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upsystem-my.sharepoint.com/personal/dddorado_outlook_up_edu_ph/Documents/Documents/Repository/obille_sentiment_analysis/"/>
    </mc:Choice>
  </mc:AlternateContent>
  <xr:revisionPtr revIDLastSave="1" documentId="11_FE206A6F9AA0D173B3128036DF2528E350B1B6F9" xr6:coauthVersionLast="47" xr6:coauthVersionMax="47" xr10:uidLastSave="{7F0944B5-96ED-4CA9-964B-195031EBA70F}"/>
  <bookViews>
    <workbookView xWindow="-120" yWindow="-120" windowWidth="20730" windowHeight="110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116" i="1" l="1"/>
  <c r="I3116" i="1"/>
  <c r="H3116" i="1"/>
  <c r="G3116" i="1"/>
  <c r="E3116" i="1"/>
  <c r="D3116" i="1"/>
  <c r="C3116" i="1"/>
  <c r="B3116" i="1"/>
  <c r="A3116" i="1"/>
  <c r="J3115" i="1"/>
  <c r="I3115" i="1"/>
  <c r="H3115" i="1"/>
  <c r="G3115" i="1"/>
  <c r="E3115" i="1"/>
  <c r="D3115" i="1"/>
  <c r="C3115" i="1"/>
  <c r="B3115" i="1"/>
  <c r="A3115" i="1"/>
  <c r="J3114" i="1"/>
  <c r="I3114" i="1"/>
  <c r="H3114" i="1"/>
  <c r="G3114" i="1"/>
  <c r="E3114" i="1"/>
  <c r="D3114" i="1"/>
  <c r="C3114" i="1"/>
  <c r="B3114" i="1"/>
  <c r="A3114" i="1"/>
  <c r="J3113" i="1"/>
  <c r="I3113" i="1"/>
  <c r="H3113" i="1"/>
  <c r="G3113" i="1"/>
  <c r="F3113" i="1"/>
  <c r="E3113" i="1"/>
  <c r="D3113" i="1"/>
  <c r="C3113" i="1"/>
  <c r="B3113" i="1"/>
  <c r="A3113" i="1"/>
  <c r="J3112" i="1"/>
  <c r="I3112" i="1"/>
  <c r="H3112" i="1"/>
  <c r="G3112" i="1"/>
  <c r="E3112" i="1"/>
  <c r="D3112" i="1"/>
  <c r="C3112" i="1"/>
  <c r="B3112" i="1"/>
  <c r="A3112" i="1"/>
  <c r="J3111" i="1"/>
  <c r="I3111" i="1"/>
  <c r="H3111" i="1"/>
  <c r="G3111" i="1"/>
  <c r="E3111" i="1"/>
  <c r="D3111" i="1"/>
  <c r="C3111" i="1"/>
  <c r="B3111" i="1"/>
  <c r="A3111" i="1"/>
  <c r="J3110" i="1"/>
  <c r="I3110" i="1"/>
  <c r="H3110" i="1"/>
  <c r="G3110" i="1"/>
  <c r="F3110" i="1"/>
  <c r="E3110" i="1"/>
  <c r="D3110" i="1"/>
  <c r="C3110" i="1"/>
  <c r="B3110" i="1"/>
  <c r="A3110" i="1"/>
  <c r="J3109" i="1"/>
  <c r="I3109" i="1"/>
  <c r="H3109" i="1"/>
  <c r="G3109" i="1"/>
  <c r="E3109" i="1"/>
  <c r="D3109" i="1"/>
  <c r="C3109" i="1"/>
  <c r="B3109" i="1"/>
  <c r="A3109" i="1"/>
  <c r="J3108" i="1"/>
  <c r="I3108" i="1"/>
  <c r="H3108" i="1"/>
  <c r="G3108" i="1"/>
  <c r="F3108" i="1"/>
  <c r="E3108" i="1"/>
  <c r="D3108" i="1"/>
  <c r="C3108" i="1"/>
  <c r="B3108" i="1"/>
  <c r="A3108" i="1"/>
  <c r="J3107" i="1"/>
  <c r="I3107" i="1"/>
  <c r="H3107" i="1"/>
  <c r="G3107" i="1"/>
  <c r="E3107" i="1"/>
  <c r="D3107" i="1"/>
  <c r="C3107" i="1"/>
  <c r="B3107" i="1"/>
  <c r="A3107" i="1"/>
  <c r="J3106" i="1"/>
  <c r="I3106" i="1"/>
  <c r="H3106" i="1"/>
  <c r="G3106" i="1"/>
  <c r="F3106" i="1"/>
  <c r="E3106" i="1"/>
  <c r="D3106" i="1"/>
  <c r="C3106" i="1"/>
  <c r="B3106" i="1"/>
  <c r="A3106" i="1"/>
  <c r="J3105" i="1"/>
  <c r="I3105" i="1"/>
  <c r="H3105" i="1"/>
  <c r="G3105" i="1"/>
  <c r="E3105" i="1"/>
  <c r="D3105" i="1"/>
  <c r="C3105" i="1"/>
  <c r="B3105" i="1"/>
  <c r="A3105" i="1"/>
  <c r="J3104" i="1"/>
  <c r="I3104" i="1"/>
  <c r="H3104" i="1"/>
  <c r="G3104" i="1"/>
  <c r="F3104" i="1"/>
  <c r="E3104" i="1"/>
  <c r="D3104" i="1"/>
  <c r="C3104" i="1"/>
  <c r="B3104" i="1"/>
  <c r="A3104" i="1"/>
  <c r="J3103" i="1"/>
  <c r="I3103" i="1"/>
  <c r="H3103" i="1"/>
  <c r="G3103" i="1"/>
  <c r="E3103" i="1"/>
  <c r="D3103" i="1"/>
  <c r="C3103" i="1"/>
  <c r="B3103" i="1"/>
  <c r="A3103" i="1"/>
  <c r="J3102" i="1"/>
  <c r="I3102" i="1"/>
  <c r="H3102" i="1"/>
  <c r="G3102" i="1"/>
  <c r="E3102" i="1"/>
  <c r="D3102" i="1"/>
  <c r="C3102" i="1"/>
  <c r="B3102" i="1"/>
  <c r="A3102" i="1"/>
  <c r="J3101" i="1"/>
  <c r="I3101" i="1"/>
  <c r="H3101" i="1"/>
  <c r="G3101" i="1"/>
  <c r="E3101" i="1"/>
  <c r="D3101" i="1"/>
  <c r="C3101" i="1"/>
  <c r="B3101" i="1"/>
  <c r="A3101" i="1"/>
  <c r="J3100" i="1"/>
  <c r="I3100" i="1"/>
  <c r="H3100" i="1"/>
  <c r="G3100" i="1"/>
  <c r="F3100" i="1"/>
  <c r="E3100" i="1"/>
  <c r="D3100" i="1"/>
  <c r="C3100" i="1"/>
  <c r="B3100" i="1"/>
  <c r="A3100" i="1"/>
  <c r="J3099" i="1"/>
  <c r="I3099" i="1"/>
  <c r="H3099" i="1"/>
  <c r="G3099" i="1"/>
  <c r="E3099" i="1"/>
  <c r="D3099" i="1"/>
  <c r="C3099" i="1"/>
  <c r="B3099" i="1"/>
  <c r="A3099" i="1"/>
  <c r="J3098" i="1"/>
  <c r="I3098" i="1"/>
  <c r="H3098" i="1"/>
  <c r="G3098" i="1"/>
  <c r="F3098" i="1"/>
  <c r="E3098" i="1"/>
  <c r="D3098" i="1"/>
  <c r="C3098" i="1"/>
  <c r="B3098" i="1"/>
  <c r="A3098" i="1"/>
  <c r="J3097" i="1"/>
  <c r="I3097" i="1"/>
  <c r="H3097" i="1"/>
  <c r="G3097" i="1"/>
  <c r="F3097" i="1"/>
  <c r="E3097" i="1"/>
  <c r="D3097" i="1"/>
  <c r="C3097" i="1"/>
  <c r="B3097" i="1"/>
  <c r="A3097" i="1"/>
  <c r="J3096" i="1"/>
  <c r="I3096" i="1"/>
  <c r="H3096" i="1"/>
  <c r="G3096" i="1"/>
  <c r="E3096" i="1"/>
  <c r="D3096" i="1"/>
  <c r="C3096" i="1"/>
  <c r="B3096" i="1"/>
  <c r="A3096" i="1"/>
  <c r="J3095" i="1"/>
  <c r="I3095" i="1"/>
  <c r="H3095" i="1"/>
  <c r="G3095" i="1"/>
  <c r="F3095" i="1"/>
  <c r="E3095" i="1"/>
  <c r="D3095" i="1"/>
  <c r="C3095" i="1"/>
  <c r="B3095" i="1"/>
  <c r="A3095" i="1"/>
  <c r="J3094" i="1"/>
  <c r="I3094" i="1"/>
  <c r="H3094" i="1"/>
  <c r="G3094" i="1"/>
  <c r="F3094" i="1"/>
  <c r="E3094" i="1"/>
  <c r="D3094" i="1"/>
  <c r="C3094" i="1"/>
  <c r="B3094" i="1"/>
  <c r="A3094" i="1"/>
  <c r="J3093" i="1"/>
  <c r="I3093" i="1"/>
  <c r="H3093" i="1"/>
  <c r="G3093" i="1"/>
  <c r="F3093" i="1"/>
  <c r="E3093" i="1"/>
  <c r="D3093" i="1"/>
  <c r="C3093" i="1"/>
  <c r="B3093" i="1"/>
  <c r="A3093" i="1"/>
  <c r="J3092" i="1"/>
  <c r="I3092" i="1"/>
  <c r="H3092" i="1"/>
  <c r="G3092" i="1"/>
  <c r="F3092" i="1"/>
  <c r="E3092" i="1"/>
  <c r="D3092" i="1"/>
  <c r="C3092" i="1"/>
  <c r="B3092" i="1"/>
  <c r="A3092" i="1"/>
  <c r="J3091" i="1"/>
  <c r="I3091" i="1"/>
  <c r="H3091" i="1"/>
  <c r="G3091" i="1"/>
  <c r="F3091" i="1"/>
  <c r="E3091" i="1"/>
  <c r="D3091" i="1"/>
  <c r="C3091" i="1"/>
  <c r="B3091" i="1"/>
  <c r="A3091" i="1"/>
  <c r="J3090" i="1"/>
  <c r="I3090" i="1"/>
  <c r="H3090" i="1"/>
  <c r="G3090" i="1"/>
  <c r="E3090" i="1"/>
  <c r="D3090" i="1"/>
  <c r="C3090" i="1"/>
  <c r="B3090" i="1"/>
  <c r="A3090" i="1"/>
  <c r="J3089" i="1"/>
  <c r="I3089" i="1"/>
  <c r="H3089" i="1"/>
  <c r="G3089" i="1"/>
  <c r="E3089" i="1"/>
  <c r="D3089" i="1"/>
  <c r="C3089" i="1"/>
  <c r="B3089" i="1"/>
  <c r="A3089" i="1"/>
  <c r="J3088" i="1"/>
  <c r="I3088" i="1"/>
  <c r="H3088" i="1"/>
  <c r="G3088" i="1"/>
  <c r="F3088" i="1"/>
  <c r="E3088" i="1"/>
  <c r="D3088" i="1"/>
  <c r="C3088" i="1"/>
  <c r="B3088" i="1"/>
  <c r="A3088" i="1"/>
  <c r="J3087" i="1"/>
  <c r="I3087" i="1"/>
  <c r="H3087" i="1"/>
  <c r="G3087" i="1"/>
  <c r="F3087" i="1"/>
  <c r="E3087" i="1"/>
  <c r="D3087" i="1"/>
  <c r="C3087" i="1"/>
  <c r="B3087" i="1"/>
  <c r="A3087" i="1"/>
  <c r="J3086" i="1"/>
  <c r="I3086" i="1"/>
  <c r="H3086" i="1"/>
  <c r="G3086" i="1"/>
  <c r="E3086" i="1"/>
  <c r="D3086" i="1"/>
  <c r="C3086" i="1"/>
  <c r="B3086" i="1"/>
  <c r="A3086" i="1"/>
  <c r="J3085" i="1"/>
  <c r="I3085" i="1"/>
  <c r="H3085" i="1"/>
  <c r="G3085" i="1"/>
  <c r="F3085" i="1"/>
  <c r="E3085" i="1"/>
  <c r="D3085" i="1"/>
  <c r="C3085" i="1"/>
  <c r="B3085" i="1"/>
  <c r="A3085" i="1"/>
  <c r="J3084" i="1"/>
  <c r="I3084" i="1"/>
  <c r="H3084" i="1"/>
  <c r="G3084" i="1"/>
  <c r="F3084" i="1"/>
  <c r="E3084" i="1"/>
  <c r="D3084" i="1"/>
  <c r="C3084" i="1"/>
  <c r="B3084" i="1"/>
  <c r="A3084" i="1"/>
  <c r="J3083" i="1"/>
  <c r="I3083" i="1"/>
  <c r="H3083" i="1"/>
  <c r="G3083" i="1"/>
  <c r="E3083" i="1"/>
  <c r="D3083" i="1"/>
  <c r="C3083" i="1"/>
  <c r="B3083" i="1"/>
  <c r="A3083" i="1"/>
  <c r="J3082" i="1"/>
  <c r="I3082" i="1"/>
  <c r="H3082" i="1"/>
  <c r="G3082" i="1"/>
  <c r="E3082" i="1"/>
  <c r="D3082" i="1"/>
  <c r="C3082" i="1"/>
  <c r="B3082" i="1"/>
  <c r="A3082" i="1"/>
  <c r="J3081" i="1"/>
  <c r="I3081" i="1"/>
  <c r="H3081" i="1"/>
  <c r="G3081" i="1"/>
  <c r="F3081" i="1"/>
  <c r="E3081" i="1"/>
  <c r="D3081" i="1"/>
  <c r="C3081" i="1"/>
  <c r="B3081" i="1"/>
  <c r="A3081" i="1"/>
  <c r="J3080" i="1"/>
  <c r="I3080" i="1"/>
  <c r="H3080" i="1"/>
  <c r="G3080" i="1"/>
  <c r="E3080" i="1"/>
  <c r="D3080" i="1"/>
  <c r="C3080" i="1"/>
  <c r="B3080" i="1"/>
  <c r="A3080" i="1"/>
  <c r="J3079" i="1"/>
  <c r="I3079" i="1"/>
  <c r="H3079" i="1"/>
  <c r="G3079" i="1"/>
  <c r="E3079" i="1"/>
  <c r="D3079" i="1"/>
  <c r="C3079" i="1"/>
  <c r="B3079" i="1"/>
  <c r="A3079" i="1"/>
  <c r="J3078" i="1"/>
  <c r="I3078" i="1"/>
  <c r="H3078" i="1"/>
  <c r="G3078" i="1"/>
  <c r="E3078" i="1"/>
  <c r="D3078" i="1"/>
  <c r="C3078" i="1"/>
  <c r="B3078" i="1"/>
  <c r="A3078" i="1"/>
  <c r="J3077" i="1"/>
  <c r="I3077" i="1"/>
  <c r="H3077" i="1"/>
  <c r="G3077" i="1"/>
  <c r="E3077" i="1"/>
  <c r="D3077" i="1"/>
  <c r="C3077" i="1"/>
  <c r="B3077" i="1"/>
  <c r="A3077" i="1"/>
  <c r="J3076" i="1"/>
  <c r="I3076" i="1"/>
  <c r="H3076" i="1"/>
  <c r="G3076" i="1"/>
  <c r="E3076" i="1"/>
  <c r="D3076" i="1"/>
  <c r="C3076" i="1"/>
  <c r="B3076" i="1"/>
  <c r="A3076" i="1"/>
  <c r="J3075" i="1"/>
  <c r="I3075" i="1"/>
  <c r="H3075" i="1"/>
  <c r="G3075" i="1"/>
  <c r="E3075" i="1"/>
  <c r="D3075" i="1"/>
  <c r="C3075" i="1"/>
  <c r="B3075" i="1"/>
  <c r="A3075" i="1"/>
  <c r="J3074" i="1"/>
  <c r="I3074" i="1"/>
  <c r="H3074" i="1"/>
  <c r="G3074" i="1"/>
  <c r="E3074" i="1"/>
  <c r="D3074" i="1"/>
  <c r="C3074" i="1"/>
  <c r="B3074" i="1"/>
  <c r="A3074" i="1"/>
  <c r="J3073" i="1"/>
  <c r="I3073" i="1"/>
  <c r="H3073" i="1"/>
  <c r="G3073" i="1"/>
  <c r="E3073" i="1"/>
  <c r="D3073" i="1"/>
  <c r="C3073" i="1"/>
  <c r="B3073" i="1"/>
  <c r="A3073" i="1"/>
  <c r="J3072" i="1"/>
  <c r="I3072" i="1"/>
  <c r="H3072" i="1"/>
  <c r="G3072" i="1"/>
  <c r="E3072" i="1"/>
  <c r="D3072" i="1"/>
  <c r="C3072" i="1"/>
  <c r="B3072" i="1"/>
  <c r="A3072" i="1"/>
  <c r="J3071" i="1"/>
  <c r="I3071" i="1"/>
  <c r="H3071" i="1"/>
  <c r="G3071" i="1"/>
  <c r="E3071" i="1"/>
  <c r="D3071" i="1"/>
  <c r="C3071" i="1"/>
  <c r="B3071" i="1"/>
  <c r="A3071" i="1"/>
  <c r="J3070" i="1"/>
  <c r="I3070" i="1"/>
  <c r="H3070" i="1"/>
  <c r="G3070" i="1"/>
  <c r="E3070" i="1"/>
  <c r="D3070" i="1"/>
  <c r="C3070" i="1"/>
  <c r="B3070" i="1"/>
  <c r="A3070" i="1"/>
  <c r="J3069" i="1"/>
  <c r="I3069" i="1"/>
  <c r="H3069" i="1"/>
  <c r="G3069" i="1"/>
  <c r="E3069" i="1"/>
  <c r="D3069" i="1"/>
  <c r="C3069" i="1"/>
  <c r="B3069" i="1"/>
  <c r="A3069" i="1"/>
  <c r="J3068" i="1"/>
  <c r="I3068" i="1"/>
  <c r="H3068" i="1"/>
  <c r="G3068" i="1"/>
  <c r="E3068" i="1"/>
  <c r="D3068" i="1"/>
  <c r="C3068" i="1"/>
  <c r="B3068" i="1"/>
  <c r="A3068" i="1"/>
  <c r="J3067" i="1"/>
  <c r="I3067" i="1"/>
  <c r="H3067" i="1"/>
  <c r="G3067" i="1"/>
  <c r="E3067" i="1"/>
  <c r="D3067" i="1"/>
  <c r="C3067" i="1"/>
  <c r="B3067" i="1"/>
  <c r="A3067" i="1"/>
  <c r="J3066" i="1"/>
  <c r="I3066" i="1"/>
  <c r="H3066" i="1"/>
  <c r="G3066" i="1"/>
  <c r="E3066" i="1"/>
  <c r="D3066" i="1"/>
  <c r="C3066" i="1"/>
  <c r="B3066" i="1"/>
  <c r="A3066" i="1"/>
  <c r="J3065" i="1"/>
  <c r="I3065" i="1"/>
  <c r="H3065" i="1"/>
  <c r="G3065" i="1"/>
  <c r="E3065" i="1"/>
  <c r="D3065" i="1"/>
  <c r="C3065" i="1"/>
  <c r="B3065" i="1"/>
  <c r="A3065" i="1"/>
  <c r="J3064" i="1"/>
  <c r="I3064" i="1"/>
  <c r="H3064" i="1"/>
  <c r="G3064" i="1"/>
  <c r="F3064" i="1"/>
  <c r="E3064" i="1"/>
  <c r="D3064" i="1"/>
  <c r="C3064" i="1"/>
  <c r="B3064" i="1"/>
  <c r="A3064" i="1"/>
  <c r="J3063" i="1"/>
  <c r="I3063" i="1"/>
  <c r="H3063" i="1"/>
  <c r="G3063" i="1"/>
  <c r="F3063" i="1"/>
  <c r="E3063" i="1"/>
  <c r="D3063" i="1"/>
  <c r="C3063" i="1"/>
  <c r="B3063" i="1"/>
  <c r="A3063" i="1"/>
  <c r="J3062" i="1"/>
  <c r="I3062" i="1"/>
  <c r="H3062" i="1"/>
  <c r="G3062" i="1"/>
  <c r="E3062" i="1"/>
  <c r="D3062" i="1"/>
  <c r="C3062" i="1"/>
  <c r="B3062" i="1"/>
  <c r="A3062" i="1"/>
  <c r="J3061" i="1"/>
  <c r="I3061" i="1"/>
  <c r="H3061" i="1"/>
  <c r="G3061" i="1"/>
  <c r="E3061" i="1"/>
  <c r="D3061" i="1"/>
  <c r="C3061" i="1"/>
  <c r="B3061" i="1"/>
  <c r="A3061" i="1"/>
  <c r="J3060" i="1"/>
  <c r="I3060" i="1"/>
  <c r="H3060" i="1"/>
  <c r="G3060" i="1"/>
  <c r="E3060" i="1"/>
  <c r="D3060" i="1"/>
  <c r="C3060" i="1"/>
  <c r="B3060" i="1"/>
  <c r="A3060" i="1"/>
  <c r="J3059" i="1"/>
  <c r="I3059" i="1"/>
  <c r="H3059" i="1"/>
  <c r="G3059" i="1"/>
  <c r="F3059" i="1"/>
  <c r="E3059" i="1"/>
  <c r="D3059" i="1"/>
  <c r="C3059" i="1"/>
  <c r="B3059" i="1"/>
  <c r="A3059" i="1"/>
  <c r="J3058" i="1"/>
  <c r="I3058" i="1"/>
  <c r="H3058" i="1"/>
  <c r="G3058" i="1"/>
  <c r="E3058" i="1"/>
  <c r="D3058" i="1"/>
  <c r="C3058" i="1"/>
  <c r="B3058" i="1"/>
  <c r="A3058" i="1"/>
  <c r="J3057" i="1"/>
  <c r="I3057" i="1"/>
  <c r="H3057" i="1"/>
  <c r="G3057" i="1"/>
  <c r="F3057" i="1"/>
  <c r="E3057" i="1"/>
  <c r="D3057" i="1"/>
  <c r="C3057" i="1"/>
  <c r="B3057" i="1"/>
  <c r="A3057" i="1"/>
  <c r="J3056" i="1"/>
  <c r="I3056" i="1"/>
  <c r="H3056" i="1"/>
  <c r="G3056" i="1"/>
  <c r="E3056" i="1"/>
  <c r="D3056" i="1"/>
  <c r="C3056" i="1"/>
  <c r="B3056" i="1"/>
  <c r="A3056" i="1"/>
  <c r="J3055" i="1"/>
  <c r="I3055" i="1"/>
  <c r="H3055" i="1"/>
  <c r="G3055" i="1"/>
  <c r="E3055" i="1"/>
  <c r="D3055" i="1"/>
  <c r="C3055" i="1"/>
  <c r="B3055" i="1"/>
  <c r="A3055" i="1"/>
  <c r="J3054" i="1"/>
  <c r="I3054" i="1"/>
  <c r="H3054" i="1"/>
  <c r="G3054" i="1"/>
  <c r="E3054" i="1"/>
  <c r="D3054" i="1"/>
  <c r="C3054" i="1"/>
  <c r="B3054" i="1"/>
  <c r="A3054" i="1"/>
  <c r="J3053" i="1"/>
  <c r="I3053" i="1"/>
  <c r="H3053" i="1"/>
  <c r="G3053" i="1"/>
  <c r="E3053" i="1"/>
  <c r="D3053" i="1"/>
  <c r="C3053" i="1"/>
  <c r="B3053" i="1"/>
  <c r="A3053" i="1"/>
  <c r="J3052" i="1"/>
  <c r="I3052" i="1"/>
  <c r="H3052" i="1"/>
  <c r="G3052" i="1"/>
  <c r="E3052" i="1"/>
  <c r="D3052" i="1"/>
  <c r="C3052" i="1"/>
  <c r="B3052" i="1"/>
  <c r="A3052" i="1"/>
  <c r="J3051" i="1"/>
  <c r="I3051" i="1"/>
  <c r="H3051" i="1"/>
  <c r="G3051" i="1"/>
  <c r="E3051" i="1"/>
  <c r="D3051" i="1"/>
  <c r="C3051" i="1"/>
  <c r="B3051" i="1"/>
  <c r="A3051" i="1"/>
  <c r="J3050" i="1"/>
  <c r="I3050" i="1"/>
  <c r="H3050" i="1"/>
  <c r="G3050" i="1"/>
  <c r="E3050" i="1"/>
  <c r="D3050" i="1"/>
  <c r="C3050" i="1"/>
  <c r="B3050" i="1"/>
  <c r="A3050" i="1"/>
  <c r="J3049" i="1"/>
  <c r="I3049" i="1"/>
  <c r="H3049" i="1"/>
  <c r="G3049" i="1"/>
  <c r="E3049" i="1"/>
  <c r="D3049" i="1"/>
  <c r="C3049" i="1"/>
  <c r="B3049" i="1"/>
  <c r="A3049" i="1"/>
  <c r="J3048" i="1"/>
  <c r="I3048" i="1"/>
  <c r="H3048" i="1"/>
  <c r="G3048" i="1"/>
  <c r="F3048" i="1"/>
  <c r="E3048" i="1"/>
  <c r="D3048" i="1"/>
  <c r="C3048" i="1"/>
  <c r="B3048" i="1"/>
  <c r="A3048" i="1"/>
  <c r="J3047" i="1"/>
  <c r="I3047" i="1"/>
  <c r="H3047" i="1"/>
  <c r="G3047" i="1"/>
  <c r="F3047" i="1"/>
  <c r="E3047" i="1"/>
  <c r="D3047" i="1"/>
  <c r="C3047" i="1"/>
  <c r="B3047" i="1"/>
  <c r="A3047" i="1"/>
  <c r="J3046" i="1"/>
  <c r="I3046" i="1"/>
  <c r="H3046" i="1"/>
  <c r="G3046" i="1"/>
  <c r="E3046" i="1"/>
  <c r="D3046" i="1"/>
  <c r="C3046" i="1"/>
  <c r="B3046" i="1"/>
  <c r="A3046" i="1"/>
  <c r="J3045" i="1"/>
  <c r="I3045" i="1"/>
  <c r="H3045" i="1"/>
  <c r="G3045" i="1"/>
  <c r="E3045" i="1"/>
  <c r="D3045" i="1"/>
  <c r="C3045" i="1"/>
  <c r="B3045" i="1"/>
  <c r="A3045" i="1"/>
  <c r="J3044" i="1"/>
  <c r="I3044" i="1"/>
  <c r="H3044" i="1"/>
  <c r="G3044" i="1"/>
  <c r="F3044" i="1"/>
  <c r="E3044" i="1"/>
  <c r="D3044" i="1"/>
  <c r="C3044" i="1"/>
  <c r="B3044" i="1"/>
  <c r="A3044" i="1"/>
  <c r="J3043" i="1"/>
  <c r="I3043" i="1"/>
  <c r="H3043" i="1"/>
  <c r="G3043" i="1"/>
  <c r="E3043" i="1"/>
  <c r="D3043" i="1"/>
  <c r="C3043" i="1"/>
  <c r="B3043" i="1"/>
  <c r="A3043" i="1"/>
  <c r="J3042" i="1"/>
  <c r="I3042" i="1"/>
  <c r="H3042" i="1"/>
  <c r="G3042" i="1"/>
  <c r="E3042" i="1"/>
  <c r="D3042" i="1"/>
  <c r="C3042" i="1"/>
  <c r="B3042" i="1"/>
  <c r="A3042" i="1"/>
  <c r="J3041" i="1"/>
  <c r="I3041" i="1"/>
  <c r="H3041" i="1"/>
  <c r="G3041" i="1"/>
  <c r="E3041" i="1"/>
  <c r="D3041" i="1"/>
  <c r="C3041" i="1"/>
  <c r="B3041" i="1"/>
  <c r="A3041" i="1"/>
  <c r="J3040" i="1"/>
  <c r="I3040" i="1"/>
  <c r="H3040" i="1"/>
  <c r="G3040" i="1"/>
  <c r="F3040" i="1"/>
  <c r="E3040" i="1"/>
  <c r="D3040" i="1"/>
  <c r="C3040" i="1"/>
  <c r="B3040" i="1"/>
  <c r="A3040" i="1"/>
  <c r="J3039" i="1"/>
  <c r="I3039" i="1"/>
  <c r="H3039" i="1"/>
  <c r="G3039" i="1"/>
  <c r="E3039" i="1"/>
  <c r="D3039" i="1"/>
  <c r="C3039" i="1"/>
  <c r="B3039" i="1"/>
  <c r="A3039" i="1"/>
  <c r="J3038" i="1"/>
  <c r="I3038" i="1"/>
  <c r="H3038" i="1"/>
  <c r="G3038" i="1"/>
  <c r="F3038" i="1"/>
  <c r="E3038" i="1"/>
  <c r="D3038" i="1"/>
  <c r="C3038" i="1"/>
  <c r="B3038" i="1"/>
  <c r="A3038" i="1"/>
  <c r="J3037" i="1"/>
  <c r="I3037" i="1"/>
  <c r="H3037" i="1"/>
  <c r="G3037" i="1"/>
  <c r="E3037" i="1"/>
  <c r="D3037" i="1"/>
  <c r="C3037" i="1"/>
  <c r="B3037" i="1"/>
  <c r="A3037" i="1"/>
  <c r="J3036" i="1"/>
  <c r="I3036" i="1"/>
  <c r="H3036" i="1"/>
  <c r="G3036" i="1"/>
  <c r="E3036" i="1"/>
  <c r="D3036" i="1"/>
  <c r="C3036" i="1"/>
  <c r="B3036" i="1"/>
  <c r="A3036" i="1"/>
  <c r="J3035" i="1"/>
  <c r="I3035" i="1"/>
  <c r="H3035" i="1"/>
  <c r="G3035" i="1"/>
  <c r="E3035" i="1"/>
  <c r="D3035" i="1"/>
  <c r="C3035" i="1"/>
  <c r="B3035" i="1"/>
  <c r="A3035" i="1"/>
  <c r="J3034" i="1"/>
  <c r="I3034" i="1"/>
  <c r="H3034" i="1"/>
  <c r="G3034" i="1"/>
  <c r="E3034" i="1"/>
  <c r="D3034" i="1"/>
  <c r="C3034" i="1"/>
  <c r="B3034" i="1"/>
  <c r="A3034" i="1"/>
  <c r="J3033" i="1"/>
  <c r="I3033" i="1"/>
  <c r="H3033" i="1"/>
  <c r="G3033" i="1"/>
  <c r="E3033" i="1"/>
  <c r="D3033" i="1"/>
  <c r="C3033" i="1"/>
  <c r="B3033" i="1"/>
  <c r="A3033" i="1"/>
  <c r="J3032" i="1"/>
  <c r="I3032" i="1"/>
  <c r="H3032" i="1"/>
  <c r="G3032" i="1"/>
  <c r="E3032" i="1"/>
  <c r="D3032" i="1"/>
  <c r="C3032" i="1"/>
  <c r="B3032" i="1"/>
  <c r="A3032" i="1"/>
  <c r="J3031" i="1"/>
  <c r="I3031" i="1"/>
  <c r="H3031" i="1"/>
  <c r="G3031" i="1"/>
  <c r="E3031" i="1"/>
  <c r="D3031" i="1"/>
  <c r="C3031" i="1"/>
  <c r="B3031" i="1"/>
  <c r="A3031" i="1"/>
  <c r="J3030" i="1"/>
  <c r="I3030" i="1"/>
  <c r="H3030" i="1"/>
  <c r="G3030" i="1"/>
  <c r="E3030" i="1"/>
  <c r="D3030" i="1"/>
  <c r="C3030" i="1"/>
  <c r="B3030" i="1"/>
  <c r="A3030" i="1"/>
  <c r="J3029" i="1"/>
  <c r="I3029" i="1"/>
  <c r="H3029" i="1"/>
  <c r="G3029" i="1"/>
  <c r="E3029" i="1"/>
  <c r="D3029" i="1"/>
  <c r="C3029" i="1"/>
  <c r="B3029" i="1"/>
  <c r="A3029" i="1"/>
  <c r="J3028" i="1"/>
  <c r="I3028" i="1"/>
  <c r="H3028" i="1"/>
  <c r="G3028" i="1"/>
  <c r="F3028" i="1"/>
  <c r="E3028" i="1"/>
  <c r="D3028" i="1"/>
  <c r="C3028" i="1"/>
  <c r="B3028" i="1"/>
  <c r="A3028" i="1"/>
  <c r="J3027" i="1"/>
  <c r="I3027" i="1"/>
  <c r="H3027" i="1"/>
  <c r="G3027" i="1"/>
  <c r="E3027" i="1"/>
  <c r="D3027" i="1"/>
  <c r="C3027" i="1"/>
  <c r="B3027" i="1"/>
  <c r="A3027" i="1"/>
  <c r="J3026" i="1"/>
  <c r="I3026" i="1"/>
  <c r="H3026" i="1"/>
  <c r="G3026" i="1"/>
  <c r="E3026" i="1"/>
  <c r="D3026" i="1"/>
  <c r="C3026" i="1"/>
  <c r="B3026" i="1"/>
  <c r="A3026" i="1"/>
  <c r="J3025" i="1"/>
  <c r="I3025" i="1"/>
  <c r="H3025" i="1"/>
  <c r="G3025" i="1"/>
  <c r="F3025" i="1"/>
  <c r="E3025" i="1"/>
  <c r="D3025" i="1"/>
  <c r="C3025" i="1"/>
  <c r="B3025" i="1"/>
  <c r="A3025" i="1"/>
  <c r="J3024" i="1"/>
  <c r="I3024" i="1"/>
  <c r="H3024" i="1"/>
  <c r="G3024" i="1"/>
  <c r="E3024" i="1"/>
  <c r="D3024" i="1"/>
  <c r="C3024" i="1"/>
  <c r="B3024" i="1"/>
  <c r="A3024" i="1"/>
  <c r="J3023" i="1"/>
  <c r="I3023" i="1"/>
  <c r="H3023" i="1"/>
  <c r="G3023" i="1"/>
  <c r="F3023" i="1"/>
  <c r="E3023" i="1"/>
  <c r="D3023" i="1"/>
  <c r="C3023" i="1"/>
  <c r="B3023" i="1"/>
  <c r="A3023" i="1"/>
  <c r="J3022" i="1"/>
  <c r="I3022" i="1"/>
  <c r="H3022" i="1"/>
  <c r="G3022" i="1"/>
  <c r="E3022" i="1"/>
  <c r="D3022" i="1"/>
  <c r="C3022" i="1"/>
  <c r="B3022" i="1"/>
  <c r="A3022" i="1"/>
  <c r="J3021" i="1"/>
  <c r="I3021" i="1"/>
  <c r="H3021" i="1"/>
  <c r="G3021" i="1"/>
  <c r="E3021" i="1"/>
  <c r="D3021" i="1"/>
  <c r="C3021" i="1"/>
  <c r="B3021" i="1"/>
  <c r="A3021" i="1"/>
  <c r="J3020" i="1"/>
  <c r="I3020" i="1"/>
  <c r="H3020" i="1"/>
  <c r="G3020" i="1"/>
  <c r="E3020" i="1"/>
  <c r="D3020" i="1"/>
  <c r="C3020" i="1"/>
  <c r="B3020" i="1"/>
  <c r="A3020" i="1"/>
  <c r="J3019" i="1"/>
  <c r="I3019" i="1"/>
  <c r="H3019" i="1"/>
  <c r="G3019" i="1"/>
  <c r="F3019" i="1"/>
  <c r="E3019" i="1"/>
  <c r="D3019" i="1"/>
  <c r="C3019" i="1"/>
  <c r="B3019" i="1"/>
  <c r="A3019" i="1"/>
  <c r="J3018" i="1"/>
  <c r="I3018" i="1"/>
  <c r="H3018" i="1"/>
  <c r="G3018" i="1"/>
  <c r="F3018" i="1"/>
  <c r="E3018" i="1"/>
  <c r="D3018" i="1"/>
  <c r="C3018" i="1"/>
  <c r="B3018" i="1"/>
  <c r="A3018" i="1"/>
  <c r="J3017" i="1"/>
  <c r="I3017" i="1"/>
  <c r="H3017" i="1"/>
  <c r="G3017" i="1"/>
  <c r="E3017" i="1"/>
  <c r="D3017" i="1"/>
  <c r="C3017" i="1"/>
  <c r="B3017" i="1"/>
  <c r="A3017" i="1"/>
  <c r="J3016" i="1"/>
  <c r="I3016" i="1"/>
  <c r="H3016" i="1"/>
  <c r="G3016" i="1"/>
  <c r="E3016" i="1"/>
  <c r="D3016" i="1"/>
  <c r="C3016" i="1"/>
  <c r="B3016" i="1"/>
  <c r="A3016" i="1"/>
  <c r="J3015" i="1"/>
  <c r="I3015" i="1"/>
  <c r="H3015" i="1"/>
  <c r="G3015" i="1"/>
  <c r="E3015" i="1"/>
  <c r="D3015" i="1"/>
  <c r="C3015" i="1"/>
  <c r="B3015" i="1"/>
  <c r="A3015" i="1"/>
  <c r="J3014" i="1"/>
  <c r="I3014" i="1"/>
  <c r="H3014" i="1"/>
  <c r="G3014" i="1"/>
  <c r="F3014" i="1"/>
  <c r="E3014" i="1"/>
  <c r="D3014" i="1"/>
  <c r="C3014" i="1"/>
  <c r="B3014" i="1"/>
  <c r="A3014" i="1"/>
  <c r="J3013" i="1"/>
  <c r="I3013" i="1"/>
  <c r="H3013" i="1"/>
  <c r="G3013" i="1"/>
  <c r="E3013" i="1"/>
  <c r="D3013" i="1"/>
  <c r="C3013" i="1"/>
  <c r="B3013" i="1"/>
  <c r="A3013" i="1"/>
  <c r="J3012" i="1"/>
  <c r="I3012" i="1"/>
  <c r="H3012" i="1"/>
  <c r="G3012" i="1"/>
  <c r="F3012" i="1"/>
  <c r="E3012" i="1"/>
  <c r="D3012" i="1"/>
  <c r="C3012" i="1"/>
  <c r="B3012" i="1"/>
  <c r="A3012" i="1"/>
  <c r="J3011" i="1"/>
  <c r="I3011" i="1"/>
  <c r="H3011" i="1"/>
  <c r="G3011" i="1"/>
  <c r="E3011" i="1"/>
  <c r="D3011" i="1"/>
  <c r="C3011" i="1"/>
  <c r="B3011" i="1"/>
  <c r="A3011" i="1"/>
  <c r="J3010" i="1"/>
  <c r="I3010" i="1"/>
  <c r="H3010" i="1"/>
  <c r="G3010" i="1"/>
  <c r="E3010" i="1"/>
  <c r="D3010" i="1"/>
  <c r="C3010" i="1"/>
  <c r="B3010" i="1"/>
  <c r="A3010" i="1"/>
  <c r="J3009" i="1"/>
  <c r="I3009" i="1"/>
  <c r="H3009" i="1"/>
  <c r="G3009" i="1"/>
  <c r="E3009" i="1"/>
  <c r="D3009" i="1"/>
  <c r="C3009" i="1"/>
  <c r="B3009" i="1"/>
  <c r="A3009" i="1"/>
  <c r="J3008" i="1"/>
  <c r="I3008" i="1"/>
  <c r="H3008" i="1"/>
  <c r="G3008" i="1"/>
  <c r="F3008" i="1"/>
  <c r="E3008" i="1"/>
  <c r="D3008" i="1"/>
  <c r="C3008" i="1"/>
  <c r="B3008" i="1"/>
  <c r="A3008" i="1"/>
  <c r="J3007" i="1"/>
  <c r="I3007" i="1"/>
  <c r="H3007" i="1"/>
  <c r="G3007" i="1"/>
  <c r="E3007" i="1"/>
  <c r="D3007" i="1"/>
  <c r="C3007" i="1"/>
  <c r="B3007" i="1"/>
  <c r="A3007" i="1"/>
  <c r="J3006" i="1"/>
  <c r="I3006" i="1"/>
  <c r="H3006" i="1"/>
  <c r="G3006" i="1"/>
  <c r="F3006" i="1"/>
  <c r="E3006" i="1"/>
  <c r="D3006" i="1"/>
  <c r="C3006" i="1"/>
  <c r="B3006" i="1"/>
  <c r="A3006" i="1"/>
  <c r="J3005" i="1"/>
  <c r="I3005" i="1"/>
  <c r="H3005" i="1"/>
  <c r="G3005" i="1"/>
  <c r="E3005" i="1"/>
  <c r="D3005" i="1"/>
  <c r="C3005" i="1"/>
  <c r="B3005" i="1"/>
  <c r="A3005" i="1"/>
  <c r="J3004" i="1"/>
  <c r="I3004" i="1"/>
  <c r="H3004" i="1"/>
  <c r="G3004" i="1"/>
  <c r="E3004" i="1"/>
  <c r="D3004" i="1"/>
  <c r="C3004" i="1"/>
  <c r="B3004" i="1"/>
  <c r="A3004" i="1"/>
  <c r="J3003" i="1"/>
  <c r="I3003" i="1"/>
  <c r="H3003" i="1"/>
  <c r="G3003" i="1"/>
  <c r="E3003" i="1"/>
  <c r="D3003" i="1"/>
  <c r="C3003" i="1"/>
  <c r="B3003" i="1"/>
  <c r="A3003" i="1"/>
  <c r="J3002" i="1"/>
  <c r="I3002" i="1"/>
  <c r="H3002" i="1"/>
  <c r="G3002" i="1"/>
  <c r="E3002" i="1"/>
  <c r="D3002" i="1"/>
  <c r="C3002" i="1"/>
  <c r="B3002" i="1"/>
  <c r="A3002" i="1"/>
  <c r="J3001" i="1"/>
  <c r="I3001" i="1"/>
  <c r="H3001" i="1"/>
  <c r="G3001" i="1"/>
  <c r="F3001" i="1"/>
  <c r="E3001" i="1"/>
  <c r="D3001" i="1"/>
  <c r="C3001" i="1"/>
  <c r="B3001" i="1"/>
  <c r="A3001" i="1"/>
  <c r="J3000" i="1"/>
  <c r="I3000" i="1"/>
  <c r="H3000" i="1"/>
  <c r="G3000" i="1"/>
  <c r="E3000" i="1"/>
  <c r="D3000" i="1"/>
  <c r="C3000" i="1"/>
  <c r="B3000" i="1"/>
  <c r="A3000" i="1"/>
  <c r="J2999" i="1"/>
  <c r="I2999" i="1"/>
  <c r="H2999" i="1"/>
  <c r="G2999" i="1"/>
  <c r="E2999" i="1"/>
  <c r="D2999" i="1"/>
  <c r="C2999" i="1"/>
  <c r="B2999" i="1"/>
  <c r="A2999" i="1"/>
  <c r="J2998" i="1"/>
  <c r="I2998" i="1"/>
  <c r="H2998" i="1"/>
  <c r="G2998" i="1"/>
  <c r="F2998" i="1"/>
  <c r="E2998" i="1"/>
  <c r="D2998" i="1"/>
  <c r="C2998" i="1"/>
  <c r="B2998" i="1"/>
  <c r="A2998" i="1"/>
  <c r="J2997" i="1"/>
  <c r="I2997" i="1"/>
  <c r="H2997" i="1"/>
  <c r="G2997" i="1"/>
  <c r="E2997" i="1"/>
  <c r="D2997" i="1"/>
  <c r="C2997" i="1"/>
  <c r="B2997" i="1"/>
  <c r="A2997" i="1"/>
  <c r="J2996" i="1"/>
  <c r="I2996" i="1"/>
  <c r="H2996" i="1"/>
  <c r="G2996" i="1"/>
  <c r="E2996" i="1"/>
  <c r="D2996" i="1"/>
  <c r="C2996" i="1"/>
  <c r="B2996" i="1"/>
  <c r="A2996" i="1"/>
  <c r="J2995" i="1"/>
  <c r="I2995" i="1"/>
  <c r="H2995" i="1"/>
  <c r="G2995" i="1"/>
  <c r="F2995" i="1"/>
  <c r="E2995" i="1"/>
  <c r="D2995" i="1"/>
  <c r="C2995" i="1"/>
  <c r="B2995" i="1"/>
  <c r="A2995" i="1"/>
  <c r="J2994" i="1"/>
  <c r="I2994" i="1"/>
  <c r="H2994" i="1"/>
  <c r="G2994" i="1"/>
  <c r="E2994" i="1"/>
  <c r="D2994" i="1"/>
  <c r="C2994" i="1"/>
  <c r="B2994" i="1"/>
  <c r="A2994" i="1"/>
  <c r="J2993" i="1"/>
  <c r="I2993" i="1"/>
  <c r="H2993" i="1"/>
  <c r="G2993" i="1"/>
  <c r="F2993" i="1"/>
  <c r="E2993" i="1"/>
  <c r="D2993" i="1"/>
  <c r="C2993" i="1"/>
  <c r="B2993" i="1"/>
  <c r="A2993" i="1"/>
  <c r="J2992" i="1"/>
  <c r="I2992" i="1"/>
  <c r="H2992" i="1"/>
  <c r="G2992" i="1"/>
  <c r="E2992" i="1"/>
  <c r="D2992" i="1"/>
  <c r="C2992" i="1"/>
  <c r="B2992" i="1"/>
  <c r="A2992" i="1"/>
  <c r="J2991" i="1"/>
  <c r="I2991" i="1"/>
  <c r="H2991" i="1"/>
  <c r="G2991" i="1"/>
  <c r="E2991" i="1"/>
  <c r="D2991" i="1"/>
  <c r="C2991" i="1"/>
  <c r="B2991" i="1"/>
  <c r="A2991" i="1"/>
  <c r="J2990" i="1"/>
  <c r="I2990" i="1"/>
  <c r="H2990" i="1"/>
  <c r="G2990" i="1"/>
  <c r="E2990" i="1"/>
  <c r="D2990" i="1"/>
  <c r="C2990" i="1"/>
  <c r="B2990" i="1"/>
  <c r="A2990" i="1"/>
  <c r="J2989" i="1"/>
  <c r="I2989" i="1"/>
  <c r="H2989" i="1"/>
  <c r="G2989" i="1"/>
  <c r="E2989" i="1"/>
  <c r="D2989" i="1"/>
  <c r="C2989" i="1"/>
  <c r="B2989" i="1"/>
  <c r="A2989" i="1"/>
  <c r="J2988" i="1"/>
  <c r="I2988" i="1"/>
  <c r="H2988" i="1"/>
  <c r="G2988" i="1"/>
  <c r="F2988" i="1"/>
  <c r="E2988" i="1"/>
  <c r="D2988" i="1"/>
  <c r="C2988" i="1"/>
  <c r="B2988" i="1"/>
  <c r="A2988" i="1"/>
  <c r="J2987" i="1"/>
  <c r="I2987" i="1"/>
  <c r="H2987" i="1"/>
  <c r="G2987" i="1"/>
  <c r="E2987" i="1"/>
  <c r="D2987" i="1"/>
  <c r="C2987" i="1"/>
  <c r="B2987" i="1"/>
  <c r="A2987" i="1"/>
  <c r="J2986" i="1"/>
  <c r="I2986" i="1"/>
  <c r="H2986" i="1"/>
  <c r="G2986" i="1"/>
  <c r="F2986" i="1"/>
  <c r="E2986" i="1"/>
  <c r="D2986" i="1"/>
  <c r="C2986" i="1"/>
  <c r="B2986" i="1"/>
  <c r="A2986" i="1"/>
  <c r="J2985" i="1"/>
  <c r="I2985" i="1"/>
  <c r="H2985" i="1"/>
  <c r="G2985" i="1"/>
  <c r="E2985" i="1"/>
  <c r="D2985" i="1"/>
  <c r="C2985" i="1"/>
  <c r="B2985" i="1"/>
  <c r="A2985" i="1"/>
  <c r="J2984" i="1"/>
  <c r="I2984" i="1"/>
  <c r="H2984" i="1"/>
  <c r="G2984" i="1"/>
  <c r="E2984" i="1"/>
  <c r="D2984" i="1"/>
  <c r="C2984" i="1"/>
  <c r="B2984" i="1"/>
  <c r="A2984" i="1"/>
  <c r="J2983" i="1"/>
  <c r="I2983" i="1"/>
  <c r="H2983" i="1"/>
  <c r="G2983" i="1"/>
  <c r="E2983" i="1"/>
  <c r="D2983" i="1"/>
  <c r="C2983" i="1"/>
  <c r="B2983" i="1"/>
  <c r="A2983" i="1"/>
  <c r="J2982" i="1"/>
  <c r="I2982" i="1"/>
  <c r="H2982" i="1"/>
  <c r="G2982" i="1"/>
  <c r="F2982" i="1"/>
  <c r="E2982" i="1"/>
  <c r="D2982" i="1"/>
  <c r="C2982" i="1"/>
  <c r="B2982" i="1"/>
  <c r="A2982" i="1"/>
  <c r="J2981" i="1"/>
  <c r="I2981" i="1"/>
  <c r="H2981" i="1"/>
  <c r="G2981" i="1"/>
  <c r="F2981" i="1"/>
  <c r="E2981" i="1"/>
  <c r="D2981" i="1"/>
  <c r="C2981" i="1"/>
  <c r="B2981" i="1"/>
  <c r="A2981" i="1"/>
  <c r="J2980" i="1"/>
  <c r="I2980" i="1"/>
  <c r="H2980" i="1"/>
  <c r="G2980" i="1"/>
  <c r="F2980" i="1"/>
  <c r="E2980" i="1"/>
  <c r="D2980" i="1"/>
  <c r="C2980" i="1"/>
  <c r="B2980" i="1"/>
  <c r="A2980" i="1"/>
  <c r="J2979" i="1"/>
  <c r="I2979" i="1"/>
  <c r="H2979" i="1"/>
  <c r="G2979" i="1"/>
  <c r="F2979" i="1"/>
  <c r="E2979" i="1"/>
  <c r="D2979" i="1"/>
  <c r="C2979" i="1"/>
  <c r="B2979" i="1"/>
  <c r="A2979" i="1"/>
  <c r="J2978" i="1"/>
  <c r="I2978" i="1"/>
  <c r="H2978" i="1"/>
  <c r="G2978" i="1"/>
  <c r="F2978" i="1"/>
  <c r="E2978" i="1"/>
  <c r="D2978" i="1"/>
  <c r="C2978" i="1"/>
  <c r="B2978" i="1"/>
  <c r="A2978" i="1"/>
  <c r="J2977" i="1"/>
  <c r="I2977" i="1"/>
  <c r="H2977" i="1"/>
  <c r="G2977" i="1"/>
  <c r="F2977" i="1"/>
  <c r="E2977" i="1"/>
  <c r="D2977" i="1"/>
  <c r="C2977" i="1"/>
  <c r="B2977" i="1"/>
  <c r="A2977" i="1"/>
  <c r="J2976" i="1"/>
  <c r="I2976" i="1"/>
  <c r="H2976" i="1"/>
  <c r="G2976" i="1"/>
  <c r="E2976" i="1"/>
  <c r="D2976" i="1"/>
  <c r="C2976" i="1"/>
  <c r="B2976" i="1"/>
  <c r="A2976" i="1"/>
  <c r="J2975" i="1"/>
  <c r="I2975" i="1"/>
  <c r="H2975" i="1"/>
  <c r="G2975" i="1"/>
  <c r="F2975" i="1"/>
  <c r="E2975" i="1"/>
  <c r="D2975" i="1"/>
  <c r="C2975" i="1"/>
  <c r="B2975" i="1"/>
  <c r="A2975" i="1"/>
  <c r="J2974" i="1"/>
  <c r="I2974" i="1"/>
  <c r="H2974" i="1"/>
  <c r="G2974" i="1"/>
  <c r="F2974" i="1"/>
  <c r="E2974" i="1"/>
  <c r="D2974" i="1"/>
  <c r="C2974" i="1"/>
  <c r="B2974" i="1"/>
  <c r="A2974" i="1"/>
  <c r="J2973" i="1"/>
  <c r="I2973" i="1"/>
  <c r="H2973" i="1"/>
  <c r="G2973" i="1"/>
  <c r="F2973" i="1"/>
  <c r="E2973" i="1"/>
  <c r="D2973" i="1"/>
  <c r="C2973" i="1"/>
  <c r="B2973" i="1"/>
  <c r="A2973" i="1"/>
  <c r="J2972" i="1"/>
  <c r="I2972" i="1"/>
  <c r="H2972" i="1"/>
  <c r="G2972" i="1"/>
  <c r="E2972" i="1"/>
  <c r="D2972" i="1"/>
  <c r="C2972" i="1"/>
  <c r="B2972" i="1"/>
  <c r="A2972" i="1"/>
  <c r="J2971" i="1"/>
  <c r="I2971" i="1"/>
  <c r="H2971" i="1"/>
  <c r="G2971" i="1"/>
  <c r="F2971" i="1"/>
  <c r="E2971" i="1"/>
  <c r="D2971" i="1"/>
  <c r="C2971" i="1"/>
  <c r="B2971" i="1"/>
  <c r="A2971" i="1"/>
  <c r="J2970" i="1"/>
  <c r="I2970" i="1"/>
  <c r="H2970" i="1"/>
  <c r="G2970" i="1"/>
  <c r="F2970" i="1"/>
  <c r="E2970" i="1"/>
  <c r="D2970" i="1"/>
  <c r="C2970" i="1"/>
  <c r="B2970" i="1"/>
  <c r="A2970" i="1"/>
  <c r="J2969" i="1"/>
  <c r="I2969" i="1"/>
  <c r="H2969" i="1"/>
  <c r="G2969" i="1"/>
  <c r="F2969" i="1"/>
  <c r="E2969" i="1"/>
  <c r="D2969" i="1"/>
  <c r="C2969" i="1"/>
  <c r="B2969" i="1"/>
  <c r="A2969" i="1"/>
  <c r="J2968" i="1"/>
  <c r="I2968" i="1"/>
  <c r="H2968" i="1"/>
  <c r="G2968" i="1"/>
  <c r="F2968" i="1"/>
  <c r="E2968" i="1"/>
  <c r="D2968" i="1"/>
  <c r="C2968" i="1"/>
  <c r="B2968" i="1"/>
  <c r="A2968" i="1"/>
  <c r="J2967" i="1"/>
  <c r="I2967" i="1"/>
  <c r="H2967" i="1"/>
  <c r="G2967" i="1"/>
  <c r="E2967" i="1"/>
  <c r="D2967" i="1"/>
  <c r="C2967" i="1"/>
  <c r="B2967" i="1"/>
  <c r="A2967" i="1"/>
  <c r="J2966" i="1"/>
  <c r="I2966" i="1"/>
  <c r="H2966" i="1"/>
  <c r="G2966" i="1"/>
  <c r="E2966" i="1"/>
  <c r="D2966" i="1"/>
  <c r="C2966" i="1"/>
  <c r="B2966" i="1"/>
  <c r="A2966" i="1"/>
  <c r="J2965" i="1"/>
  <c r="I2965" i="1"/>
  <c r="H2965" i="1"/>
  <c r="G2965" i="1"/>
  <c r="E2965" i="1"/>
  <c r="D2965" i="1"/>
  <c r="C2965" i="1"/>
  <c r="B2965" i="1"/>
  <c r="A2965" i="1"/>
  <c r="J2964" i="1"/>
  <c r="I2964" i="1"/>
  <c r="H2964" i="1"/>
  <c r="G2964" i="1"/>
  <c r="F2964" i="1"/>
  <c r="E2964" i="1"/>
  <c r="D2964" i="1"/>
  <c r="C2964" i="1"/>
  <c r="B2964" i="1"/>
  <c r="A2964" i="1"/>
  <c r="J2963" i="1"/>
  <c r="I2963" i="1"/>
  <c r="H2963" i="1"/>
  <c r="G2963" i="1"/>
  <c r="F2963" i="1"/>
  <c r="E2963" i="1"/>
  <c r="D2963" i="1"/>
  <c r="C2963" i="1"/>
  <c r="B2963" i="1"/>
  <c r="A2963" i="1"/>
  <c r="J2962" i="1"/>
  <c r="I2962" i="1"/>
  <c r="H2962" i="1"/>
  <c r="G2962" i="1"/>
  <c r="F2962" i="1"/>
  <c r="E2962" i="1"/>
  <c r="D2962" i="1"/>
  <c r="C2962" i="1"/>
  <c r="B2962" i="1"/>
  <c r="A2962" i="1"/>
  <c r="J2961" i="1"/>
  <c r="I2961" i="1"/>
  <c r="H2961" i="1"/>
  <c r="G2961" i="1"/>
  <c r="F2961" i="1"/>
  <c r="E2961" i="1"/>
  <c r="D2961" i="1"/>
  <c r="C2961" i="1"/>
  <c r="B2961" i="1"/>
  <c r="A2961" i="1"/>
  <c r="J2960" i="1"/>
  <c r="I2960" i="1"/>
  <c r="H2960" i="1"/>
  <c r="G2960" i="1"/>
  <c r="F2960" i="1"/>
  <c r="E2960" i="1"/>
  <c r="D2960" i="1"/>
  <c r="C2960" i="1"/>
  <c r="B2960" i="1"/>
  <c r="A2960" i="1"/>
  <c r="J2959" i="1"/>
  <c r="I2959" i="1"/>
  <c r="H2959" i="1"/>
  <c r="G2959" i="1"/>
  <c r="F2959" i="1"/>
  <c r="E2959" i="1"/>
  <c r="D2959" i="1"/>
  <c r="C2959" i="1"/>
  <c r="B2959" i="1"/>
  <c r="A2959" i="1"/>
  <c r="J2958" i="1"/>
  <c r="I2958" i="1"/>
  <c r="H2958" i="1"/>
  <c r="G2958" i="1"/>
  <c r="E2958" i="1"/>
  <c r="D2958" i="1"/>
  <c r="C2958" i="1"/>
  <c r="B2958" i="1"/>
  <c r="A2958" i="1"/>
  <c r="J2957" i="1"/>
  <c r="I2957" i="1"/>
  <c r="H2957" i="1"/>
  <c r="G2957" i="1"/>
  <c r="E2957" i="1"/>
  <c r="D2957" i="1"/>
  <c r="C2957" i="1"/>
  <c r="B2957" i="1"/>
  <c r="A2957" i="1"/>
  <c r="J2956" i="1"/>
  <c r="I2956" i="1"/>
  <c r="H2956" i="1"/>
  <c r="G2956" i="1"/>
  <c r="E2956" i="1"/>
  <c r="D2956" i="1"/>
  <c r="C2956" i="1"/>
  <c r="B2956" i="1"/>
  <c r="A2956" i="1"/>
  <c r="J2955" i="1"/>
  <c r="I2955" i="1"/>
  <c r="H2955" i="1"/>
  <c r="G2955" i="1"/>
  <c r="E2955" i="1"/>
  <c r="D2955" i="1"/>
  <c r="C2955" i="1"/>
  <c r="B2955" i="1"/>
  <c r="A2955" i="1"/>
  <c r="J2954" i="1"/>
  <c r="I2954" i="1"/>
  <c r="H2954" i="1"/>
  <c r="G2954" i="1"/>
  <c r="F2954" i="1"/>
  <c r="E2954" i="1"/>
  <c r="D2954" i="1"/>
  <c r="C2954" i="1"/>
  <c r="B2954" i="1"/>
  <c r="A2954" i="1"/>
  <c r="J2953" i="1"/>
  <c r="I2953" i="1"/>
  <c r="H2953" i="1"/>
  <c r="G2953" i="1"/>
  <c r="E2953" i="1"/>
  <c r="D2953" i="1"/>
  <c r="C2953" i="1"/>
  <c r="B2953" i="1"/>
  <c r="A2953" i="1"/>
  <c r="J2952" i="1"/>
  <c r="I2952" i="1"/>
  <c r="H2952" i="1"/>
  <c r="G2952" i="1"/>
  <c r="F2952" i="1"/>
  <c r="E2952" i="1"/>
  <c r="D2952" i="1"/>
  <c r="C2952" i="1"/>
  <c r="B2952" i="1"/>
  <c r="A2952" i="1"/>
  <c r="J2951" i="1"/>
  <c r="I2951" i="1"/>
  <c r="H2951" i="1"/>
  <c r="G2951" i="1"/>
  <c r="F2951" i="1"/>
  <c r="E2951" i="1"/>
  <c r="D2951" i="1"/>
  <c r="C2951" i="1"/>
  <c r="B2951" i="1"/>
  <c r="A2951" i="1"/>
  <c r="J2950" i="1"/>
  <c r="I2950" i="1"/>
  <c r="H2950" i="1"/>
  <c r="G2950" i="1"/>
  <c r="F2950" i="1"/>
  <c r="E2950" i="1"/>
  <c r="D2950" i="1"/>
  <c r="C2950" i="1"/>
  <c r="B2950" i="1"/>
  <c r="A2950" i="1"/>
  <c r="J2949" i="1"/>
  <c r="I2949" i="1"/>
  <c r="H2949" i="1"/>
  <c r="G2949" i="1"/>
  <c r="E2949" i="1"/>
  <c r="D2949" i="1"/>
  <c r="C2949" i="1"/>
  <c r="B2949" i="1"/>
  <c r="A2949" i="1"/>
  <c r="J2948" i="1"/>
  <c r="I2948" i="1"/>
  <c r="H2948" i="1"/>
  <c r="G2948" i="1"/>
  <c r="E2948" i="1"/>
  <c r="D2948" i="1"/>
  <c r="C2948" i="1"/>
  <c r="B2948" i="1"/>
  <c r="A2948" i="1"/>
  <c r="J2947" i="1"/>
  <c r="I2947" i="1"/>
  <c r="H2947" i="1"/>
  <c r="G2947" i="1"/>
  <c r="F2947" i="1"/>
  <c r="E2947" i="1"/>
  <c r="D2947" i="1"/>
  <c r="C2947" i="1"/>
  <c r="B2947" i="1"/>
  <c r="A2947" i="1"/>
  <c r="J2946" i="1"/>
  <c r="I2946" i="1"/>
  <c r="H2946" i="1"/>
  <c r="G2946" i="1"/>
  <c r="F2946" i="1"/>
  <c r="E2946" i="1"/>
  <c r="D2946" i="1"/>
  <c r="C2946" i="1"/>
  <c r="B2946" i="1"/>
  <c r="A2946" i="1"/>
  <c r="J2945" i="1"/>
  <c r="I2945" i="1"/>
  <c r="H2945" i="1"/>
  <c r="G2945" i="1"/>
  <c r="F2945" i="1"/>
  <c r="E2945" i="1"/>
  <c r="D2945" i="1"/>
  <c r="C2945" i="1"/>
  <c r="B2945" i="1"/>
  <c r="A2945" i="1"/>
  <c r="J2944" i="1"/>
  <c r="I2944" i="1"/>
  <c r="H2944" i="1"/>
  <c r="G2944" i="1"/>
  <c r="F2944" i="1"/>
  <c r="E2944" i="1"/>
  <c r="D2944" i="1"/>
  <c r="C2944" i="1"/>
  <c r="B2944" i="1"/>
  <c r="A2944" i="1"/>
  <c r="J2943" i="1"/>
  <c r="I2943" i="1"/>
  <c r="H2943" i="1"/>
  <c r="G2943" i="1"/>
  <c r="F2943" i="1"/>
  <c r="E2943" i="1"/>
  <c r="D2943" i="1"/>
  <c r="C2943" i="1"/>
  <c r="B2943" i="1"/>
  <c r="A2943" i="1"/>
  <c r="J2942" i="1"/>
  <c r="I2942" i="1"/>
  <c r="H2942" i="1"/>
  <c r="G2942" i="1"/>
  <c r="E2942" i="1"/>
  <c r="D2942" i="1"/>
  <c r="C2942" i="1"/>
  <c r="B2942" i="1"/>
  <c r="A2942" i="1"/>
  <c r="J2941" i="1"/>
  <c r="I2941" i="1"/>
  <c r="H2941" i="1"/>
  <c r="G2941" i="1"/>
  <c r="F2941" i="1"/>
  <c r="E2941" i="1"/>
  <c r="D2941" i="1"/>
  <c r="C2941" i="1"/>
  <c r="B2941" i="1"/>
  <c r="A2941" i="1"/>
  <c r="J2940" i="1"/>
  <c r="I2940" i="1"/>
  <c r="H2940" i="1"/>
  <c r="G2940" i="1"/>
  <c r="F2940" i="1"/>
  <c r="E2940" i="1"/>
  <c r="D2940" i="1"/>
  <c r="C2940" i="1"/>
  <c r="B2940" i="1"/>
  <c r="A2940" i="1"/>
  <c r="J2939" i="1"/>
  <c r="I2939" i="1"/>
  <c r="H2939" i="1"/>
  <c r="G2939" i="1"/>
  <c r="F2939" i="1"/>
  <c r="E2939" i="1"/>
  <c r="D2939" i="1"/>
  <c r="C2939" i="1"/>
  <c r="B2939" i="1"/>
  <c r="A2939" i="1"/>
  <c r="J2938" i="1"/>
  <c r="I2938" i="1"/>
  <c r="H2938" i="1"/>
  <c r="G2938" i="1"/>
  <c r="F2938" i="1"/>
  <c r="E2938" i="1"/>
  <c r="D2938" i="1"/>
  <c r="C2938" i="1"/>
  <c r="B2938" i="1"/>
  <c r="A2938" i="1"/>
  <c r="J2937" i="1"/>
  <c r="I2937" i="1"/>
  <c r="H2937" i="1"/>
  <c r="G2937" i="1"/>
  <c r="E2937" i="1"/>
  <c r="D2937" i="1"/>
  <c r="C2937" i="1"/>
  <c r="B2937" i="1"/>
  <c r="A2937" i="1"/>
  <c r="J2936" i="1"/>
  <c r="I2936" i="1"/>
  <c r="H2936" i="1"/>
  <c r="G2936" i="1"/>
  <c r="F2936" i="1"/>
  <c r="E2936" i="1"/>
  <c r="D2936" i="1"/>
  <c r="C2936" i="1"/>
  <c r="B2936" i="1"/>
  <c r="A2936" i="1"/>
  <c r="J2935" i="1"/>
  <c r="I2935" i="1"/>
  <c r="H2935" i="1"/>
  <c r="G2935" i="1"/>
  <c r="F2935" i="1"/>
  <c r="E2935" i="1"/>
  <c r="D2935" i="1"/>
  <c r="C2935" i="1"/>
  <c r="B2935" i="1"/>
  <c r="A2935" i="1"/>
  <c r="J2934" i="1"/>
  <c r="I2934" i="1"/>
  <c r="H2934" i="1"/>
  <c r="G2934" i="1"/>
  <c r="F2934" i="1"/>
  <c r="E2934" i="1"/>
  <c r="D2934" i="1"/>
  <c r="C2934" i="1"/>
  <c r="B2934" i="1"/>
  <c r="A2934" i="1"/>
  <c r="J2933" i="1"/>
  <c r="I2933" i="1"/>
  <c r="H2933" i="1"/>
  <c r="G2933" i="1"/>
  <c r="F2933" i="1"/>
  <c r="E2933" i="1"/>
  <c r="D2933" i="1"/>
  <c r="C2933" i="1"/>
  <c r="B2933" i="1"/>
  <c r="A2933" i="1"/>
  <c r="J2932" i="1"/>
  <c r="I2932" i="1"/>
  <c r="H2932" i="1"/>
  <c r="G2932" i="1"/>
  <c r="F2932" i="1"/>
  <c r="E2932" i="1"/>
  <c r="D2932" i="1"/>
  <c r="C2932" i="1"/>
  <c r="B2932" i="1"/>
  <c r="A2932" i="1"/>
  <c r="J2931" i="1"/>
  <c r="I2931" i="1"/>
  <c r="H2931" i="1"/>
  <c r="G2931" i="1"/>
  <c r="E2931" i="1"/>
  <c r="D2931" i="1"/>
  <c r="C2931" i="1"/>
  <c r="B2931" i="1"/>
  <c r="A2931" i="1"/>
  <c r="J2930" i="1"/>
  <c r="I2930" i="1"/>
  <c r="H2930" i="1"/>
  <c r="G2930" i="1"/>
  <c r="E2930" i="1"/>
  <c r="D2930" i="1"/>
  <c r="C2930" i="1"/>
  <c r="B2930" i="1"/>
  <c r="A2930" i="1"/>
  <c r="J2929" i="1"/>
  <c r="I2929" i="1"/>
  <c r="H2929" i="1"/>
  <c r="G2929" i="1"/>
  <c r="E2929" i="1"/>
  <c r="D2929" i="1"/>
  <c r="C2929" i="1"/>
  <c r="B2929" i="1"/>
  <c r="A2929" i="1"/>
  <c r="J2928" i="1"/>
  <c r="I2928" i="1"/>
  <c r="H2928" i="1"/>
  <c r="G2928" i="1"/>
  <c r="E2928" i="1"/>
  <c r="D2928" i="1"/>
  <c r="C2928" i="1"/>
  <c r="B2928" i="1"/>
  <c r="A2928" i="1"/>
  <c r="J2927" i="1"/>
  <c r="I2927" i="1"/>
  <c r="H2927" i="1"/>
  <c r="G2927" i="1"/>
  <c r="E2927" i="1"/>
  <c r="D2927" i="1"/>
  <c r="C2927" i="1"/>
  <c r="B2927" i="1"/>
  <c r="A2927" i="1"/>
  <c r="J2926" i="1"/>
  <c r="I2926" i="1"/>
  <c r="H2926" i="1"/>
  <c r="G2926" i="1"/>
  <c r="E2926" i="1"/>
  <c r="D2926" i="1"/>
  <c r="C2926" i="1"/>
  <c r="B2926" i="1"/>
  <c r="A2926" i="1"/>
  <c r="J2925" i="1"/>
  <c r="I2925" i="1"/>
  <c r="H2925" i="1"/>
  <c r="G2925" i="1"/>
  <c r="E2925" i="1"/>
  <c r="D2925" i="1"/>
  <c r="C2925" i="1"/>
  <c r="B2925" i="1"/>
  <c r="A2925" i="1"/>
  <c r="J2924" i="1"/>
  <c r="I2924" i="1"/>
  <c r="H2924" i="1"/>
  <c r="G2924" i="1"/>
  <c r="E2924" i="1"/>
  <c r="D2924" i="1"/>
  <c r="C2924" i="1"/>
  <c r="B2924" i="1"/>
  <c r="A2924" i="1"/>
  <c r="J2923" i="1"/>
  <c r="I2923" i="1"/>
  <c r="H2923" i="1"/>
  <c r="G2923" i="1"/>
  <c r="F2923" i="1"/>
  <c r="E2923" i="1"/>
  <c r="D2923" i="1"/>
  <c r="C2923" i="1"/>
  <c r="B2923" i="1"/>
  <c r="A2923" i="1"/>
  <c r="J2922" i="1"/>
  <c r="I2922" i="1"/>
  <c r="H2922" i="1"/>
  <c r="G2922" i="1"/>
  <c r="E2922" i="1"/>
  <c r="D2922" i="1"/>
  <c r="C2922" i="1"/>
  <c r="B2922" i="1"/>
  <c r="A2922" i="1"/>
  <c r="J2921" i="1"/>
  <c r="I2921" i="1"/>
  <c r="H2921" i="1"/>
  <c r="G2921" i="1"/>
  <c r="F2921" i="1"/>
  <c r="E2921" i="1"/>
  <c r="D2921" i="1"/>
  <c r="C2921" i="1"/>
  <c r="B2921" i="1"/>
  <c r="A2921" i="1"/>
  <c r="J2920" i="1"/>
  <c r="I2920" i="1"/>
  <c r="H2920" i="1"/>
  <c r="G2920" i="1"/>
  <c r="F2920" i="1"/>
  <c r="E2920" i="1"/>
  <c r="D2920" i="1"/>
  <c r="C2920" i="1"/>
  <c r="B2920" i="1"/>
  <c r="A2920" i="1"/>
  <c r="J2919" i="1"/>
  <c r="I2919" i="1"/>
  <c r="H2919" i="1"/>
  <c r="G2919" i="1"/>
  <c r="F2919" i="1"/>
  <c r="E2919" i="1"/>
  <c r="D2919" i="1"/>
  <c r="C2919" i="1"/>
  <c r="B2919" i="1"/>
  <c r="A2919" i="1"/>
  <c r="J2918" i="1"/>
  <c r="I2918" i="1"/>
  <c r="H2918" i="1"/>
  <c r="G2918" i="1"/>
  <c r="E2918" i="1"/>
  <c r="D2918" i="1"/>
  <c r="C2918" i="1"/>
  <c r="B2918" i="1"/>
  <c r="A2918" i="1"/>
  <c r="J2917" i="1"/>
  <c r="I2917" i="1"/>
  <c r="H2917" i="1"/>
  <c r="G2917" i="1"/>
  <c r="E2917" i="1"/>
  <c r="D2917" i="1"/>
  <c r="C2917" i="1"/>
  <c r="B2917" i="1"/>
  <c r="A2917" i="1"/>
  <c r="J2916" i="1"/>
  <c r="I2916" i="1"/>
  <c r="H2916" i="1"/>
  <c r="G2916" i="1"/>
  <c r="F2916" i="1"/>
  <c r="E2916" i="1"/>
  <c r="D2916" i="1"/>
  <c r="C2916" i="1"/>
  <c r="B2916" i="1"/>
  <c r="A2916" i="1"/>
  <c r="J2915" i="1"/>
  <c r="I2915" i="1"/>
  <c r="H2915" i="1"/>
  <c r="G2915" i="1"/>
  <c r="E2915" i="1"/>
  <c r="D2915" i="1"/>
  <c r="C2915" i="1"/>
  <c r="B2915" i="1"/>
  <c r="A2915" i="1"/>
  <c r="J2914" i="1"/>
  <c r="I2914" i="1"/>
  <c r="H2914" i="1"/>
  <c r="G2914" i="1"/>
  <c r="E2914" i="1"/>
  <c r="D2914" i="1"/>
  <c r="C2914" i="1"/>
  <c r="B2914" i="1"/>
  <c r="A2914" i="1"/>
  <c r="J2913" i="1"/>
  <c r="I2913" i="1"/>
  <c r="H2913" i="1"/>
  <c r="G2913" i="1"/>
  <c r="E2913" i="1"/>
  <c r="D2913" i="1"/>
  <c r="C2913" i="1"/>
  <c r="B2913" i="1"/>
  <c r="A2913" i="1"/>
  <c r="J2912" i="1"/>
  <c r="I2912" i="1"/>
  <c r="H2912" i="1"/>
  <c r="G2912" i="1"/>
  <c r="F2912" i="1"/>
  <c r="E2912" i="1"/>
  <c r="D2912" i="1"/>
  <c r="C2912" i="1"/>
  <c r="B2912" i="1"/>
  <c r="A2912" i="1"/>
  <c r="J2911" i="1"/>
  <c r="I2911" i="1"/>
  <c r="H2911" i="1"/>
  <c r="G2911" i="1"/>
  <c r="E2911" i="1"/>
  <c r="D2911" i="1"/>
  <c r="C2911" i="1"/>
  <c r="B2911" i="1"/>
  <c r="A2911" i="1"/>
  <c r="J2910" i="1"/>
  <c r="I2910" i="1"/>
  <c r="H2910" i="1"/>
  <c r="G2910" i="1"/>
  <c r="E2910" i="1"/>
  <c r="D2910" i="1"/>
  <c r="C2910" i="1"/>
  <c r="B2910" i="1"/>
  <c r="A2910" i="1"/>
  <c r="J2909" i="1"/>
  <c r="I2909" i="1"/>
  <c r="H2909" i="1"/>
  <c r="G2909" i="1"/>
  <c r="F2909" i="1"/>
  <c r="E2909" i="1"/>
  <c r="D2909" i="1"/>
  <c r="C2909" i="1"/>
  <c r="B2909" i="1"/>
  <c r="A2909" i="1"/>
  <c r="J2908" i="1"/>
  <c r="I2908" i="1"/>
  <c r="H2908" i="1"/>
  <c r="G2908" i="1"/>
  <c r="E2908" i="1"/>
  <c r="D2908" i="1"/>
  <c r="C2908" i="1"/>
  <c r="B2908" i="1"/>
  <c r="A2908" i="1"/>
  <c r="J2907" i="1"/>
  <c r="I2907" i="1"/>
  <c r="H2907" i="1"/>
  <c r="G2907" i="1"/>
  <c r="E2907" i="1"/>
  <c r="D2907" i="1"/>
  <c r="C2907" i="1"/>
  <c r="B2907" i="1"/>
  <c r="A2907" i="1"/>
  <c r="J2906" i="1"/>
  <c r="I2906" i="1"/>
  <c r="H2906" i="1"/>
  <c r="G2906" i="1"/>
  <c r="E2906" i="1"/>
  <c r="D2906" i="1"/>
  <c r="C2906" i="1"/>
  <c r="B2906" i="1"/>
  <c r="A2906" i="1"/>
  <c r="J2905" i="1"/>
  <c r="I2905" i="1"/>
  <c r="H2905" i="1"/>
  <c r="G2905" i="1"/>
  <c r="F2905" i="1"/>
  <c r="E2905" i="1"/>
  <c r="D2905" i="1"/>
  <c r="C2905" i="1"/>
  <c r="B2905" i="1"/>
  <c r="A2905" i="1"/>
  <c r="J2904" i="1"/>
  <c r="I2904" i="1"/>
  <c r="H2904" i="1"/>
  <c r="G2904" i="1"/>
  <c r="E2904" i="1"/>
  <c r="D2904" i="1"/>
  <c r="C2904" i="1"/>
  <c r="B2904" i="1"/>
  <c r="A2904" i="1"/>
  <c r="J2903" i="1"/>
  <c r="I2903" i="1"/>
  <c r="H2903" i="1"/>
  <c r="G2903" i="1"/>
  <c r="F2903" i="1"/>
  <c r="E2903" i="1"/>
  <c r="D2903" i="1"/>
  <c r="C2903" i="1"/>
  <c r="B2903" i="1"/>
  <c r="A2903" i="1"/>
  <c r="J2902" i="1"/>
  <c r="I2902" i="1"/>
  <c r="H2902" i="1"/>
  <c r="G2902" i="1"/>
  <c r="F2902" i="1"/>
  <c r="E2902" i="1"/>
  <c r="D2902" i="1"/>
  <c r="C2902" i="1"/>
  <c r="B2902" i="1"/>
  <c r="A2902" i="1"/>
  <c r="J2901" i="1"/>
  <c r="I2901" i="1"/>
  <c r="H2901" i="1"/>
  <c r="G2901" i="1"/>
  <c r="F2901" i="1"/>
  <c r="E2901" i="1"/>
  <c r="D2901" i="1"/>
  <c r="C2901" i="1"/>
  <c r="B2901" i="1"/>
  <c r="A2901" i="1"/>
  <c r="J2900" i="1"/>
  <c r="I2900" i="1"/>
  <c r="H2900" i="1"/>
  <c r="G2900" i="1"/>
  <c r="F2900" i="1"/>
  <c r="E2900" i="1"/>
  <c r="D2900" i="1"/>
  <c r="C2900" i="1"/>
  <c r="B2900" i="1"/>
  <c r="A2900" i="1"/>
  <c r="J2899" i="1"/>
  <c r="I2899" i="1"/>
  <c r="H2899" i="1"/>
  <c r="G2899" i="1"/>
  <c r="E2899" i="1"/>
  <c r="D2899" i="1"/>
  <c r="C2899" i="1"/>
  <c r="B2899" i="1"/>
  <c r="A2899" i="1"/>
  <c r="J2898" i="1"/>
  <c r="I2898" i="1"/>
  <c r="H2898" i="1"/>
  <c r="G2898" i="1"/>
  <c r="E2898" i="1"/>
  <c r="D2898" i="1"/>
  <c r="C2898" i="1"/>
  <c r="B2898" i="1"/>
  <c r="A2898" i="1"/>
  <c r="J2897" i="1"/>
  <c r="I2897" i="1"/>
  <c r="H2897" i="1"/>
  <c r="G2897" i="1"/>
  <c r="F2897" i="1"/>
  <c r="E2897" i="1"/>
  <c r="D2897" i="1"/>
  <c r="C2897" i="1"/>
  <c r="B2897" i="1"/>
  <c r="A2897" i="1"/>
  <c r="J2896" i="1"/>
  <c r="I2896" i="1"/>
  <c r="H2896" i="1"/>
  <c r="G2896" i="1"/>
  <c r="F2896" i="1"/>
  <c r="E2896" i="1"/>
  <c r="D2896" i="1"/>
  <c r="C2896" i="1"/>
  <c r="B2896" i="1"/>
  <c r="A2896" i="1"/>
  <c r="J2895" i="1"/>
  <c r="I2895" i="1"/>
  <c r="H2895" i="1"/>
  <c r="G2895" i="1"/>
  <c r="F2895" i="1"/>
  <c r="E2895" i="1"/>
  <c r="D2895" i="1"/>
  <c r="C2895" i="1"/>
  <c r="B2895" i="1"/>
  <c r="A2895" i="1"/>
  <c r="J2894" i="1"/>
  <c r="I2894" i="1"/>
  <c r="H2894" i="1"/>
  <c r="G2894" i="1"/>
  <c r="E2894" i="1"/>
  <c r="D2894" i="1"/>
  <c r="C2894" i="1"/>
  <c r="B2894" i="1"/>
  <c r="A2894" i="1"/>
  <c r="J2893" i="1"/>
  <c r="I2893" i="1"/>
  <c r="H2893" i="1"/>
  <c r="G2893" i="1"/>
  <c r="F2893" i="1"/>
  <c r="E2893" i="1"/>
  <c r="D2893" i="1"/>
  <c r="C2893" i="1"/>
  <c r="B2893" i="1"/>
  <c r="A2893" i="1"/>
  <c r="J2892" i="1"/>
  <c r="I2892" i="1"/>
  <c r="H2892" i="1"/>
  <c r="G2892" i="1"/>
  <c r="F2892" i="1"/>
  <c r="E2892" i="1"/>
  <c r="D2892" i="1"/>
  <c r="C2892" i="1"/>
  <c r="B2892" i="1"/>
  <c r="A2892" i="1"/>
  <c r="J2891" i="1"/>
  <c r="I2891" i="1"/>
  <c r="H2891" i="1"/>
  <c r="G2891" i="1"/>
  <c r="E2891" i="1"/>
  <c r="D2891" i="1"/>
  <c r="C2891" i="1"/>
  <c r="B2891" i="1"/>
  <c r="A2891" i="1"/>
  <c r="J2890" i="1"/>
  <c r="I2890" i="1"/>
  <c r="H2890" i="1"/>
  <c r="G2890" i="1"/>
  <c r="F2890" i="1"/>
  <c r="E2890" i="1"/>
  <c r="D2890" i="1"/>
  <c r="C2890" i="1"/>
  <c r="B2890" i="1"/>
  <c r="A2890" i="1"/>
  <c r="J2889" i="1"/>
  <c r="I2889" i="1"/>
  <c r="H2889" i="1"/>
  <c r="G2889" i="1"/>
  <c r="F2889" i="1"/>
  <c r="E2889" i="1"/>
  <c r="D2889" i="1"/>
  <c r="C2889" i="1"/>
  <c r="B2889" i="1"/>
  <c r="A2889" i="1"/>
  <c r="J2888" i="1"/>
  <c r="I2888" i="1"/>
  <c r="H2888" i="1"/>
  <c r="G2888" i="1"/>
  <c r="E2888" i="1"/>
  <c r="D2888" i="1"/>
  <c r="C2888" i="1"/>
  <c r="B2888" i="1"/>
  <c r="A2888" i="1"/>
  <c r="J2887" i="1"/>
  <c r="I2887" i="1"/>
  <c r="H2887" i="1"/>
  <c r="G2887" i="1"/>
  <c r="F2887" i="1"/>
  <c r="E2887" i="1"/>
  <c r="D2887" i="1"/>
  <c r="C2887" i="1"/>
  <c r="B2887" i="1"/>
  <c r="A2887" i="1"/>
  <c r="J2886" i="1"/>
  <c r="I2886" i="1"/>
  <c r="H2886" i="1"/>
  <c r="G2886" i="1"/>
  <c r="E2886" i="1"/>
  <c r="D2886" i="1"/>
  <c r="C2886" i="1"/>
  <c r="B2886" i="1"/>
  <c r="A2886" i="1"/>
  <c r="J2885" i="1"/>
  <c r="I2885" i="1"/>
  <c r="H2885" i="1"/>
  <c r="G2885" i="1"/>
  <c r="F2885" i="1"/>
  <c r="E2885" i="1"/>
  <c r="D2885" i="1"/>
  <c r="C2885" i="1"/>
  <c r="B2885" i="1"/>
  <c r="A2885" i="1"/>
  <c r="J2884" i="1"/>
  <c r="I2884" i="1"/>
  <c r="H2884" i="1"/>
  <c r="G2884" i="1"/>
  <c r="F2884" i="1"/>
  <c r="E2884" i="1"/>
  <c r="D2884" i="1"/>
  <c r="C2884" i="1"/>
  <c r="B2884" i="1"/>
  <c r="A2884" i="1"/>
  <c r="J2883" i="1"/>
  <c r="I2883" i="1"/>
  <c r="H2883" i="1"/>
  <c r="G2883" i="1"/>
  <c r="F2883" i="1"/>
  <c r="E2883" i="1"/>
  <c r="D2883" i="1"/>
  <c r="C2883" i="1"/>
  <c r="B2883" i="1"/>
  <c r="A2883" i="1"/>
  <c r="J2882" i="1"/>
  <c r="I2882" i="1"/>
  <c r="H2882" i="1"/>
  <c r="G2882" i="1"/>
  <c r="E2882" i="1"/>
  <c r="D2882" i="1"/>
  <c r="C2882" i="1"/>
  <c r="B2882" i="1"/>
  <c r="A2882" i="1"/>
  <c r="J2881" i="1"/>
  <c r="I2881" i="1"/>
  <c r="H2881" i="1"/>
  <c r="G2881" i="1"/>
  <c r="E2881" i="1"/>
  <c r="D2881" i="1"/>
  <c r="C2881" i="1"/>
  <c r="B2881" i="1"/>
  <c r="A2881" i="1"/>
  <c r="J2880" i="1"/>
  <c r="I2880" i="1"/>
  <c r="H2880" i="1"/>
  <c r="G2880" i="1"/>
  <c r="E2880" i="1"/>
  <c r="D2880" i="1"/>
  <c r="C2880" i="1"/>
  <c r="B2880" i="1"/>
  <c r="A2880" i="1"/>
  <c r="J2879" i="1"/>
  <c r="I2879" i="1"/>
  <c r="H2879" i="1"/>
  <c r="G2879" i="1"/>
  <c r="E2879" i="1"/>
  <c r="D2879" i="1"/>
  <c r="C2879" i="1"/>
  <c r="B2879" i="1"/>
  <c r="A2879" i="1"/>
  <c r="J2878" i="1"/>
  <c r="I2878" i="1"/>
  <c r="H2878" i="1"/>
  <c r="G2878" i="1"/>
  <c r="F2878" i="1"/>
  <c r="E2878" i="1"/>
  <c r="D2878" i="1"/>
  <c r="C2878" i="1"/>
  <c r="B2878" i="1"/>
  <c r="A2878" i="1"/>
  <c r="J2877" i="1"/>
  <c r="I2877" i="1"/>
  <c r="H2877" i="1"/>
  <c r="G2877" i="1"/>
  <c r="F2877" i="1"/>
  <c r="E2877" i="1"/>
  <c r="D2877" i="1"/>
  <c r="C2877" i="1"/>
  <c r="B2877" i="1"/>
  <c r="A2877" i="1"/>
  <c r="J2876" i="1"/>
  <c r="I2876" i="1"/>
  <c r="H2876" i="1"/>
  <c r="G2876" i="1"/>
  <c r="E2876" i="1"/>
  <c r="D2876" i="1"/>
  <c r="C2876" i="1"/>
  <c r="B2876" i="1"/>
  <c r="A2876" i="1"/>
  <c r="J2875" i="1"/>
  <c r="I2875" i="1"/>
  <c r="H2875" i="1"/>
  <c r="G2875" i="1"/>
  <c r="F2875" i="1"/>
  <c r="E2875" i="1"/>
  <c r="D2875" i="1"/>
  <c r="C2875" i="1"/>
  <c r="B2875" i="1"/>
  <c r="A2875" i="1"/>
  <c r="J2874" i="1"/>
  <c r="I2874" i="1"/>
  <c r="H2874" i="1"/>
  <c r="G2874" i="1"/>
  <c r="E2874" i="1"/>
  <c r="D2874" i="1"/>
  <c r="C2874" i="1"/>
  <c r="B2874" i="1"/>
  <c r="A2874" i="1"/>
  <c r="J2873" i="1"/>
  <c r="I2873" i="1"/>
  <c r="H2873" i="1"/>
  <c r="G2873" i="1"/>
  <c r="F2873" i="1"/>
  <c r="E2873" i="1"/>
  <c r="D2873" i="1"/>
  <c r="C2873" i="1"/>
  <c r="B2873" i="1"/>
  <c r="A2873" i="1"/>
  <c r="J2872" i="1"/>
  <c r="I2872" i="1"/>
  <c r="H2872" i="1"/>
  <c r="G2872" i="1"/>
  <c r="E2872" i="1"/>
  <c r="D2872" i="1"/>
  <c r="C2872" i="1"/>
  <c r="B2872" i="1"/>
  <c r="A2872" i="1"/>
  <c r="J2871" i="1"/>
  <c r="I2871" i="1"/>
  <c r="H2871" i="1"/>
  <c r="G2871" i="1"/>
  <c r="F2871" i="1"/>
  <c r="E2871" i="1"/>
  <c r="D2871" i="1"/>
  <c r="C2871" i="1"/>
  <c r="B2871" i="1"/>
  <c r="A2871" i="1"/>
  <c r="J2870" i="1"/>
  <c r="I2870" i="1"/>
  <c r="H2870" i="1"/>
  <c r="G2870" i="1"/>
  <c r="F2870" i="1"/>
  <c r="E2870" i="1"/>
  <c r="D2870" i="1"/>
  <c r="C2870" i="1"/>
  <c r="B2870" i="1"/>
  <c r="A2870" i="1"/>
  <c r="J2869" i="1"/>
  <c r="I2869" i="1"/>
  <c r="H2869" i="1"/>
  <c r="G2869" i="1"/>
  <c r="F2869" i="1"/>
  <c r="E2869" i="1"/>
  <c r="D2869" i="1"/>
  <c r="C2869" i="1"/>
  <c r="B2869" i="1"/>
  <c r="A2869" i="1"/>
  <c r="J2868" i="1"/>
  <c r="I2868" i="1"/>
  <c r="H2868" i="1"/>
  <c r="G2868" i="1"/>
  <c r="E2868" i="1"/>
  <c r="D2868" i="1"/>
  <c r="C2868" i="1"/>
  <c r="B2868" i="1"/>
  <c r="A2868" i="1"/>
  <c r="J2867" i="1"/>
  <c r="I2867" i="1"/>
  <c r="H2867" i="1"/>
  <c r="G2867" i="1"/>
  <c r="E2867" i="1"/>
  <c r="D2867" i="1"/>
  <c r="C2867" i="1"/>
  <c r="B2867" i="1"/>
  <c r="A2867" i="1"/>
  <c r="J2866" i="1"/>
  <c r="I2866" i="1"/>
  <c r="H2866" i="1"/>
  <c r="G2866" i="1"/>
  <c r="F2866" i="1"/>
  <c r="E2866" i="1"/>
  <c r="D2866" i="1"/>
  <c r="C2866" i="1"/>
  <c r="B2866" i="1"/>
  <c r="A2866" i="1"/>
  <c r="J2865" i="1"/>
  <c r="I2865" i="1"/>
  <c r="H2865" i="1"/>
  <c r="G2865" i="1"/>
  <c r="E2865" i="1"/>
  <c r="D2865" i="1"/>
  <c r="C2865" i="1"/>
  <c r="B2865" i="1"/>
  <c r="A2865" i="1"/>
  <c r="J2864" i="1"/>
  <c r="I2864" i="1"/>
  <c r="H2864" i="1"/>
  <c r="G2864" i="1"/>
  <c r="F2864" i="1"/>
  <c r="E2864" i="1"/>
  <c r="D2864" i="1"/>
  <c r="C2864" i="1"/>
  <c r="B2864" i="1"/>
  <c r="A2864" i="1"/>
  <c r="J2863" i="1"/>
  <c r="I2863" i="1"/>
  <c r="H2863" i="1"/>
  <c r="G2863" i="1"/>
  <c r="F2863" i="1"/>
  <c r="E2863" i="1"/>
  <c r="D2863" i="1"/>
  <c r="C2863" i="1"/>
  <c r="B2863" i="1"/>
  <c r="A2863" i="1"/>
  <c r="J2862" i="1"/>
  <c r="I2862" i="1"/>
  <c r="H2862" i="1"/>
  <c r="G2862" i="1"/>
  <c r="E2862" i="1"/>
  <c r="D2862" i="1"/>
  <c r="C2862" i="1"/>
  <c r="B2862" i="1"/>
  <c r="A2862" i="1"/>
  <c r="J2861" i="1"/>
  <c r="I2861" i="1"/>
  <c r="H2861" i="1"/>
  <c r="G2861" i="1"/>
  <c r="F2861" i="1"/>
  <c r="E2861" i="1"/>
  <c r="D2861" i="1"/>
  <c r="C2861" i="1"/>
  <c r="B2861" i="1"/>
  <c r="A2861" i="1"/>
  <c r="J2860" i="1"/>
  <c r="I2860" i="1"/>
  <c r="H2860" i="1"/>
  <c r="G2860" i="1"/>
  <c r="E2860" i="1"/>
  <c r="D2860" i="1"/>
  <c r="C2860" i="1"/>
  <c r="B2860" i="1"/>
  <c r="A2860" i="1"/>
  <c r="J2859" i="1"/>
  <c r="I2859" i="1"/>
  <c r="H2859" i="1"/>
  <c r="G2859" i="1"/>
  <c r="E2859" i="1"/>
  <c r="D2859" i="1"/>
  <c r="C2859" i="1"/>
  <c r="B2859" i="1"/>
  <c r="A2859" i="1"/>
  <c r="J2858" i="1"/>
  <c r="I2858" i="1"/>
  <c r="H2858" i="1"/>
  <c r="G2858" i="1"/>
  <c r="F2858" i="1"/>
  <c r="E2858" i="1"/>
  <c r="D2858" i="1"/>
  <c r="C2858" i="1"/>
  <c r="B2858" i="1"/>
  <c r="A2858" i="1"/>
  <c r="J2857" i="1"/>
  <c r="I2857" i="1"/>
  <c r="H2857" i="1"/>
  <c r="G2857" i="1"/>
  <c r="E2857" i="1"/>
  <c r="D2857" i="1"/>
  <c r="C2857" i="1"/>
  <c r="B2857" i="1"/>
  <c r="A2857" i="1"/>
  <c r="J2856" i="1"/>
  <c r="I2856" i="1"/>
  <c r="H2856" i="1"/>
  <c r="G2856" i="1"/>
  <c r="E2856" i="1"/>
  <c r="D2856" i="1"/>
  <c r="C2856" i="1"/>
  <c r="B2856" i="1"/>
  <c r="A2856" i="1"/>
  <c r="J2855" i="1"/>
  <c r="I2855" i="1"/>
  <c r="H2855" i="1"/>
  <c r="G2855" i="1"/>
  <c r="F2855" i="1"/>
  <c r="E2855" i="1"/>
  <c r="D2855" i="1"/>
  <c r="C2855" i="1"/>
  <c r="B2855" i="1"/>
  <c r="A2855" i="1"/>
  <c r="J2854" i="1"/>
  <c r="I2854" i="1"/>
  <c r="H2854" i="1"/>
  <c r="G2854" i="1"/>
  <c r="F2854" i="1"/>
  <c r="E2854" i="1"/>
  <c r="D2854" i="1"/>
  <c r="C2854" i="1"/>
  <c r="B2854" i="1"/>
  <c r="A2854" i="1"/>
  <c r="J2853" i="1"/>
  <c r="I2853" i="1"/>
  <c r="H2853" i="1"/>
  <c r="G2853" i="1"/>
  <c r="E2853" i="1"/>
  <c r="D2853" i="1"/>
  <c r="C2853" i="1"/>
  <c r="B2853" i="1"/>
  <c r="A2853" i="1"/>
  <c r="J2852" i="1"/>
  <c r="I2852" i="1"/>
  <c r="H2852" i="1"/>
  <c r="G2852" i="1"/>
  <c r="F2852" i="1"/>
  <c r="E2852" i="1"/>
  <c r="D2852" i="1"/>
  <c r="C2852" i="1"/>
  <c r="B2852" i="1"/>
  <c r="A2852" i="1"/>
  <c r="J2851" i="1"/>
  <c r="I2851" i="1"/>
  <c r="H2851" i="1"/>
  <c r="G2851" i="1"/>
  <c r="E2851" i="1"/>
  <c r="D2851" i="1"/>
  <c r="C2851" i="1"/>
  <c r="B2851" i="1"/>
  <c r="A2851" i="1"/>
  <c r="J2850" i="1"/>
  <c r="I2850" i="1"/>
  <c r="H2850" i="1"/>
  <c r="G2850" i="1"/>
  <c r="E2850" i="1"/>
  <c r="D2850" i="1"/>
  <c r="C2850" i="1"/>
  <c r="B2850" i="1"/>
  <c r="A2850" i="1"/>
  <c r="J2849" i="1"/>
  <c r="I2849" i="1"/>
  <c r="H2849" i="1"/>
  <c r="G2849" i="1"/>
  <c r="E2849" i="1"/>
  <c r="D2849" i="1"/>
  <c r="C2849" i="1"/>
  <c r="B2849" i="1"/>
  <c r="A2849" i="1"/>
  <c r="J2848" i="1"/>
  <c r="I2848" i="1"/>
  <c r="H2848" i="1"/>
  <c r="G2848" i="1"/>
  <c r="F2848" i="1"/>
  <c r="E2848" i="1"/>
  <c r="D2848" i="1"/>
  <c r="C2848" i="1"/>
  <c r="B2848" i="1"/>
  <c r="A2848" i="1"/>
  <c r="J2847" i="1"/>
  <c r="I2847" i="1"/>
  <c r="H2847" i="1"/>
  <c r="G2847" i="1"/>
  <c r="E2847" i="1"/>
  <c r="D2847" i="1"/>
  <c r="C2847" i="1"/>
  <c r="B2847" i="1"/>
  <c r="A2847" i="1"/>
  <c r="J2846" i="1"/>
  <c r="I2846" i="1"/>
  <c r="H2846" i="1"/>
  <c r="G2846" i="1"/>
  <c r="F2846" i="1"/>
  <c r="E2846" i="1"/>
  <c r="D2846" i="1"/>
  <c r="C2846" i="1"/>
  <c r="B2846" i="1"/>
  <c r="A2846" i="1"/>
  <c r="J2845" i="1"/>
  <c r="I2845" i="1"/>
  <c r="H2845" i="1"/>
  <c r="G2845" i="1"/>
  <c r="F2845" i="1"/>
  <c r="E2845" i="1"/>
  <c r="D2845" i="1"/>
  <c r="C2845" i="1"/>
  <c r="B2845" i="1"/>
  <c r="A2845" i="1"/>
  <c r="J2844" i="1"/>
  <c r="I2844" i="1"/>
  <c r="H2844" i="1"/>
  <c r="G2844" i="1"/>
  <c r="F2844" i="1"/>
  <c r="E2844" i="1"/>
  <c r="D2844" i="1"/>
  <c r="C2844" i="1"/>
  <c r="B2844" i="1"/>
  <c r="A2844" i="1"/>
  <c r="J2843" i="1"/>
  <c r="I2843" i="1"/>
  <c r="H2843" i="1"/>
  <c r="G2843" i="1"/>
  <c r="E2843" i="1"/>
  <c r="D2843" i="1"/>
  <c r="C2843" i="1"/>
  <c r="B2843" i="1"/>
  <c r="A2843" i="1"/>
  <c r="J2842" i="1"/>
  <c r="I2842" i="1"/>
  <c r="H2842" i="1"/>
  <c r="G2842" i="1"/>
  <c r="E2842" i="1"/>
  <c r="D2842" i="1"/>
  <c r="C2842" i="1"/>
  <c r="B2842" i="1"/>
  <c r="A2842" i="1"/>
  <c r="J2841" i="1"/>
  <c r="I2841" i="1"/>
  <c r="H2841" i="1"/>
  <c r="G2841" i="1"/>
  <c r="E2841" i="1"/>
  <c r="D2841" i="1"/>
  <c r="C2841" i="1"/>
  <c r="B2841" i="1"/>
  <c r="A2841" i="1"/>
  <c r="J2840" i="1"/>
  <c r="I2840" i="1"/>
  <c r="H2840" i="1"/>
  <c r="G2840" i="1"/>
  <c r="E2840" i="1"/>
  <c r="D2840" i="1"/>
  <c r="C2840" i="1"/>
  <c r="B2840" i="1"/>
  <c r="A2840" i="1"/>
  <c r="J2839" i="1"/>
  <c r="I2839" i="1"/>
  <c r="H2839" i="1"/>
  <c r="G2839" i="1"/>
  <c r="E2839" i="1"/>
  <c r="D2839" i="1"/>
  <c r="C2839" i="1"/>
  <c r="B2839" i="1"/>
  <c r="A2839" i="1"/>
  <c r="J2838" i="1"/>
  <c r="I2838" i="1"/>
  <c r="H2838" i="1"/>
  <c r="G2838" i="1"/>
  <c r="F2838" i="1"/>
  <c r="E2838" i="1"/>
  <c r="D2838" i="1"/>
  <c r="C2838" i="1"/>
  <c r="B2838" i="1"/>
  <c r="A2838" i="1"/>
  <c r="J2837" i="1"/>
  <c r="I2837" i="1"/>
  <c r="H2837" i="1"/>
  <c r="G2837" i="1"/>
  <c r="E2837" i="1"/>
  <c r="D2837" i="1"/>
  <c r="C2837" i="1"/>
  <c r="B2837" i="1"/>
  <c r="A2837" i="1"/>
  <c r="J2836" i="1"/>
  <c r="I2836" i="1"/>
  <c r="H2836" i="1"/>
  <c r="G2836" i="1"/>
  <c r="E2836" i="1"/>
  <c r="D2836" i="1"/>
  <c r="C2836" i="1"/>
  <c r="B2836" i="1"/>
  <c r="A2836" i="1"/>
  <c r="J2835" i="1"/>
  <c r="I2835" i="1"/>
  <c r="H2835" i="1"/>
  <c r="G2835" i="1"/>
  <c r="F2835" i="1"/>
  <c r="E2835" i="1"/>
  <c r="D2835" i="1"/>
  <c r="C2835" i="1"/>
  <c r="B2835" i="1"/>
  <c r="A2835" i="1"/>
  <c r="J2834" i="1"/>
  <c r="I2834" i="1"/>
  <c r="H2834" i="1"/>
  <c r="G2834" i="1"/>
  <c r="F2834" i="1"/>
  <c r="E2834" i="1"/>
  <c r="D2834" i="1"/>
  <c r="C2834" i="1"/>
  <c r="B2834" i="1"/>
  <c r="A2834" i="1"/>
  <c r="J2833" i="1"/>
  <c r="I2833" i="1"/>
  <c r="H2833" i="1"/>
  <c r="G2833" i="1"/>
  <c r="F2833" i="1"/>
  <c r="E2833" i="1"/>
  <c r="D2833" i="1"/>
  <c r="C2833" i="1"/>
  <c r="B2833" i="1"/>
  <c r="A2833" i="1"/>
  <c r="J2832" i="1"/>
  <c r="I2832" i="1"/>
  <c r="H2832" i="1"/>
  <c r="G2832" i="1"/>
  <c r="F2832" i="1"/>
  <c r="E2832" i="1"/>
  <c r="D2832" i="1"/>
  <c r="C2832" i="1"/>
  <c r="B2832" i="1"/>
  <c r="A2832" i="1"/>
  <c r="J2831" i="1"/>
  <c r="I2831" i="1"/>
  <c r="H2831" i="1"/>
  <c r="G2831" i="1"/>
  <c r="E2831" i="1"/>
  <c r="D2831" i="1"/>
  <c r="C2831" i="1"/>
  <c r="B2831" i="1"/>
  <c r="A2831" i="1"/>
  <c r="J2830" i="1"/>
  <c r="I2830" i="1"/>
  <c r="H2830" i="1"/>
  <c r="G2830" i="1"/>
  <c r="F2830" i="1"/>
  <c r="E2830" i="1"/>
  <c r="D2830" i="1"/>
  <c r="C2830" i="1"/>
  <c r="B2830" i="1"/>
  <c r="A2830" i="1"/>
  <c r="J2829" i="1"/>
  <c r="I2829" i="1"/>
  <c r="H2829" i="1"/>
  <c r="G2829" i="1"/>
  <c r="F2829" i="1"/>
  <c r="E2829" i="1"/>
  <c r="D2829" i="1"/>
  <c r="C2829" i="1"/>
  <c r="B2829" i="1"/>
  <c r="A2829" i="1"/>
  <c r="J2828" i="1"/>
  <c r="I2828" i="1"/>
  <c r="H2828" i="1"/>
  <c r="G2828" i="1"/>
  <c r="E2828" i="1"/>
  <c r="D2828" i="1"/>
  <c r="C2828" i="1"/>
  <c r="B2828" i="1"/>
  <c r="A2828" i="1"/>
  <c r="J2827" i="1"/>
  <c r="I2827" i="1"/>
  <c r="H2827" i="1"/>
  <c r="G2827" i="1"/>
  <c r="F2827" i="1"/>
  <c r="E2827" i="1"/>
  <c r="D2827" i="1"/>
  <c r="C2827" i="1"/>
  <c r="B2827" i="1"/>
  <c r="A2827" i="1"/>
  <c r="J2826" i="1"/>
  <c r="I2826" i="1"/>
  <c r="H2826" i="1"/>
  <c r="G2826" i="1"/>
  <c r="F2826" i="1"/>
  <c r="E2826" i="1"/>
  <c r="D2826" i="1"/>
  <c r="C2826" i="1"/>
  <c r="B2826" i="1"/>
  <c r="A2826" i="1"/>
  <c r="J2825" i="1"/>
  <c r="I2825" i="1"/>
  <c r="H2825" i="1"/>
  <c r="G2825" i="1"/>
  <c r="E2825" i="1"/>
  <c r="D2825" i="1"/>
  <c r="C2825" i="1"/>
  <c r="B2825" i="1"/>
  <c r="A2825" i="1"/>
  <c r="J2824" i="1"/>
  <c r="I2824" i="1"/>
  <c r="H2824" i="1"/>
  <c r="G2824" i="1"/>
  <c r="F2824" i="1"/>
  <c r="E2824" i="1"/>
  <c r="D2824" i="1"/>
  <c r="C2824" i="1"/>
  <c r="B2824" i="1"/>
  <c r="A2824" i="1"/>
  <c r="J2823" i="1"/>
  <c r="I2823" i="1"/>
  <c r="H2823" i="1"/>
  <c r="G2823" i="1"/>
  <c r="F2823" i="1"/>
  <c r="E2823" i="1"/>
  <c r="D2823" i="1"/>
  <c r="C2823" i="1"/>
  <c r="B2823" i="1"/>
  <c r="A2823" i="1"/>
  <c r="J2822" i="1"/>
  <c r="I2822" i="1"/>
  <c r="H2822" i="1"/>
  <c r="G2822" i="1"/>
  <c r="F2822" i="1"/>
  <c r="E2822" i="1"/>
  <c r="D2822" i="1"/>
  <c r="C2822" i="1"/>
  <c r="B2822" i="1"/>
  <c r="A2822" i="1"/>
  <c r="J2821" i="1"/>
  <c r="I2821" i="1"/>
  <c r="H2821" i="1"/>
  <c r="G2821" i="1"/>
  <c r="E2821" i="1"/>
  <c r="D2821" i="1"/>
  <c r="C2821" i="1"/>
  <c r="B2821" i="1"/>
  <c r="A2821" i="1"/>
  <c r="J2820" i="1"/>
  <c r="I2820" i="1"/>
  <c r="H2820" i="1"/>
  <c r="G2820" i="1"/>
  <c r="F2820" i="1"/>
  <c r="E2820" i="1"/>
  <c r="D2820" i="1"/>
  <c r="C2820" i="1"/>
  <c r="B2820" i="1"/>
  <c r="A2820" i="1"/>
  <c r="J2819" i="1"/>
  <c r="I2819" i="1"/>
  <c r="H2819" i="1"/>
  <c r="G2819" i="1"/>
  <c r="F2819" i="1"/>
  <c r="E2819" i="1"/>
  <c r="D2819" i="1"/>
  <c r="C2819" i="1"/>
  <c r="B2819" i="1"/>
  <c r="A2819" i="1"/>
  <c r="J2818" i="1"/>
  <c r="I2818" i="1"/>
  <c r="H2818" i="1"/>
  <c r="G2818" i="1"/>
  <c r="F2818" i="1"/>
  <c r="E2818" i="1"/>
  <c r="D2818" i="1"/>
  <c r="C2818" i="1"/>
  <c r="B2818" i="1"/>
  <c r="A2818" i="1"/>
  <c r="J2817" i="1"/>
  <c r="I2817" i="1"/>
  <c r="H2817" i="1"/>
  <c r="G2817" i="1"/>
  <c r="E2817" i="1"/>
  <c r="D2817" i="1"/>
  <c r="C2817" i="1"/>
  <c r="B2817" i="1"/>
  <c r="A2817" i="1"/>
  <c r="J2816" i="1"/>
  <c r="I2816" i="1"/>
  <c r="H2816" i="1"/>
  <c r="G2816" i="1"/>
  <c r="F2816" i="1"/>
  <c r="E2816" i="1"/>
  <c r="D2816" i="1"/>
  <c r="C2816" i="1"/>
  <c r="B2816" i="1"/>
  <c r="A2816" i="1"/>
  <c r="J2815" i="1"/>
  <c r="I2815" i="1"/>
  <c r="H2815" i="1"/>
  <c r="G2815" i="1"/>
  <c r="F2815" i="1"/>
  <c r="E2815" i="1"/>
  <c r="D2815" i="1"/>
  <c r="C2815" i="1"/>
  <c r="B2815" i="1"/>
  <c r="A2815" i="1"/>
  <c r="J2814" i="1"/>
  <c r="I2814" i="1"/>
  <c r="H2814" i="1"/>
  <c r="G2814" i="1"/>
  <c r="F2814" i="1"/>
  <c r="E2814" i="1"/>
  <c r="D2814" i="1"/>
  <c r="C2814" i="1"/>
  <c r="B2814" i="1"/>
  <c r="A2814" i="1"/>
  <c r="J2813" i="1"/>
  <c r="I2813" i="1"/>
  <c r="H2813" i="1"/>
  <c r="G2813" i="1"/>
  <c r="F2813" i="1"/>
  <c r="E2813" i="1"/>
  <c r="D2813" i="1"/>
  <c r="C2813" i="1"/>
  <c r="B2813" i="1"/>
  <c r="A2813" i="1"/>
  <c r="J2812" i="1"/>
  <c r="I2812" i="1"/>
  <c r="H2812" i="1"/>
  <c r="G2812" i="1"/>
  <c r="F2812" i="1"/>
  <c r="E2812" i="1"/>
  <c r="D2812" i="1"/>
  <c r="C2812" i="1"/>
  <c r="B2812" i="1"/>
  <c r="A2812" i="1"/>
  <c r="J2811" i="1"/>
  <c r="I2811" i="1"/>
  <c r="H2811" i="1"/>
  <c r="G2811" i="1"/>
  <c r="F2811" i="1"/>
  <c r="E2811" i="1"/>
  <c r="D2811" i="1"/>
  <c r="C2811" i="1"/>
  <c r="B2811" i="1"/>
  <c r="A2811" i="1"/>
  <c r="J2810" i="1"/>
  <c r="I2810" i="1"/>
  <c r="H2810" i="1"/>
  <c r="G2810" i="1"/>
  <c r="E2810" i="1"/>
  <c r="D2810" i="1"/>
  <c r="C2810" i="1"/>
  <c r="B2810" i="1"/>
  <c r="A2810" i="1"/>
  <c r="J2809" i="1"/>
  <c r="I2809" i="1"/>
  <c r="H2809" i="1"/>
  <c r="G2809" i="1"/>
  <c r="E2809" i="1"/>
  <c r="D2809" i="1"/>
  <c r="C2809" i="1"/>
  <c r="B2809" i="1"/>
  <c r="A2809" i="1"/>
  <c r="J2808" i="1"/>
  <c r="I2808" i="1"/>
  <c r="H2808" i="1"/>
  <c r="G2808" i="1"/>
  <c r="E2808" i="1"/>
  <c r="D2808" i="1"/>
  <c r="C2808" i="1"/>
  <c r="B2808" i="1"/>
  <c r="A2808" i="1"/>
  <c r="J2807" i="1"/>
  <c r="I2807" i="1"/>
  <c r="H2807" i="1"/>
  <c r="G2807" i="1"/>
  <c r="E2807" i="1"/>
  <c r="D2807" i="1"/>
  <c r="C2807" i="1"/>
  <c r="B2807" i="1"/>
  <c r="A2807" i="1"/>
  <c r="J2806" i="1"/>
  <c r="I2806" i="1"/>
  <c r="H2806" i="1"/>
  <c r="G2806" i="1"/>
  <c r="E2806" i="1"/>
  <c r="D2806" i="1"/>
  <c r="C2806" i="1"/>
  <c r="B2806" i="1"/>
  <c r="A2806" i="1"/>
  <c r="J2805" i="1"/>
  <c r="I2805" i="1"/>
  <c r="H2805" i="1"/>
  <c r="G2805" i="1"/>
  <c r="E2805" i="1"/>
  <c r="D2805" i="1"/>
  <c r="C2805" i="1"/>
  <c r="B2805" i="1"/>
  <c r="A2805" i="1"/>
  <c r="J2804" i="1"/>
  <c r="I2804" i="1"/>
  <c r="H2804" i="1"/>
  <c r="G2804" i="1"/>
  <c r="E2804" i="1"/>
  <c r="D2804" i="1"/>
  <c r="C2804" i="1"/>
  <c r="B2804" i="1"/>
  <c r="A2804" i="1"/>
  <c r="J2803" i="1"/>
  <c r="I2803" i="1"/>
  <c r="H2803" i="1"/>
  <c r="G2803" i="1"/>
  <c r="F2803" i="1"/>
  <c r="E2803" i="1"/>
  <c r="D2803" i="1"/>
  <c r="C2803" i="1"/>
  <c r="B2803" i="1"/>
  <c r="A2803" i="1"/>
  <c r="J2802" i="1"/>
  <c r="I2802" i="1"/>
  <c r="H2802" i="1"/>
  <c r="G2802" i="1"/>
  <c r="E2802" i="1"/>
  <c r="D2802" i="1"/>
  <c r="C2802" i="1"/>
  <c r="B2802" i="1"/>
  <c r="A2802" i="1"/>
  <c r="J2801" i="1"/>
  <c r="I2801" i="1"/>
  <c r="H2801" i="1"/>
  <c r="G2801" i="1"/>
  <c r="E2801" i="1"/>
  <c r="D2801" i="1"/>
  <c r="C2801" i="1"/>
  <c r="B2801" i="1"/>
  <c r="A2801" i="1"/>
  <c r="J2800" i="1"/>
  <c r="I2800" i="1"/>
  <c r="H2800" i="1"/>
  <c r="G2800" i="1"/>
  <c r="E2800" i="1"/>
  <c r="D2800" i="1"/>
  <c r="C2800" i="1"/>
  <c r="B2800" i="1"/>
  <c r="A2800" i="1"/>
  <c r="J2799" i="1"/>
  <c r="I2799" i="1"/>
  <c r="H2799" i="1"/>
  <c r="G2799" i="1"/>
  <c r="F2799" i="1"/>
  <c r="E2799" i="1"/>
  <c r="D2799" i="1"/>
  <c r="C2799" i="1"/>
  <c r="B2799" i="1"/>
  <c r="A2799" i="1"/>
  <c r="J2798" i="1"/>
  <c r="I2798" i="1"/>
  <c r="H2798" i="1"/>
  <c r="G2798" i="1"/>
  <c r="F2798" i="1"/>
  <c r="E2798" i="1"/>
  <c r="D2798" i="1"/>
  <c r="C2798" i="1"/>
  <c r="B2798" i="1"/>
  <c r="A2798" i="1"/>
  <c r="J2797" i="1"/>
  <c r="I2797" i="1"/>
  <c r="H2797" i="1"/>
  <c r="G2797" i="1"/>
  <c r="F2797" i="1"/>
  <c r="E2797" i="1"/>
  <c r="D2797" i="1"/>
  <c r="C2797" i="1"/>
  <c r="B2797" i="1"/>
  <c r="A2797" i="1"/>
  <c r="J2796" i="1"/>
  <c r="I2796" i="1"/>
  <c r="H2796" i="1"/>
  <c r="G2796" i="1"/>
  <c r="E2796" i="1"/>
  <c r="D2796" i="1"/>
  <c r="C2796" i="1"/>
  <c r="B2796" i="1"/>
  <c r="A2796" i="1"/>
  <c r="J2795" i="1"/>
  <c r="I2795" i="1"/>
  <c r="H2795" i="1"/>
  <c r="G2795" i="1"/>
  <c r="F2795" i="1"/>
  <c r="E2795" i="1"/>
  <c r="D2795" i="1"/>
  <c r="C2795" i="1"/>
  <c r="B2795" i="1"/>
  <c r="A2795" i="1"/>
  <c r="J2794" i="1"/>
  <c r="I2794" i="1"/>
  <c r="H2794" i="1"/>
  <c r="G2794" i="1"/>
  <c r="F2794" i="1"/>
  <c r="E2794" i="1"/>
  <c r="D2794" i="1"/>
  <c r="C2794" i="1"/>
  <c r="B2794" i="1"/>
  <c r="A2794" i="1"/>
  <c r="J2793" i="1"/>
  <c r="I2793" i="1"/>
  <c r="H2793" i="1"/>
  <c r="G2793" i="1"/>
  <c r="E2793" i="1"/>
  <c r="D2793" i="1"/>
  <c r="C2793" i="1"/>
  <c r="B2793" i="1"/>
  <c r="A2793" i="1"/>
  <c r="J2792" i="1"/>
  <c r="I2792" i="1"/>
  <c r="H2792" i="1"/>
  <c r="G2792" i="1"/>
  <c r="E2792" i="1"/>
  <c r="D2792" i="1"/>
  <c r="C2792" i="1"/>
  <c r="B2792" i="1"/>
  <c r="A2792" i="1"/>
  <c r="J2791" i="1"/>
  <c r="I2791" i="1"/>
  <c r="H2791" i="1"/>
  <c r="G2791" i="1"/>
  <c r="E2791" i="1"/>
  <c r="D2791" i="1"/>
  <c r="C2791" i="1"/>
  <c r="B2791" i="1"/>
  <c r="A2791" i="1"/>
  <c r="J2790" i="1"/>
  <c r="I2790" i="1"/>
  <c r="H2790" i="1"/>
  <c r="G2790" i="1"/>
  <c r="E2790" i="1"/>
  <c r="D2790" i="1"/>
  <c r="C2790" i="1"/>
  <c r="B2790" i="1"/>
  <c r="A2790" i="1"/>
  <c r="J2789" i="1"/>
  <c r="I2789" i="1"/>
  <c r="H2789" i="1"/>
  <c r="G2789" i="1"/>
  <c r="F2789" i="1"/>
  <c r="E2789" i="1"/>
  <c r="D2789" i="1"/>
  <c r="C2789" i="1"/>
  <c r="B2789" i="1"/>
  <c r="A2789" i="1"/>
  <c r="J2788" i="1"/>
  <c r="I2788" i="1"/>
  <c r="H2788" i="1"/>
  <c r="G2788" i="1"/>
  <c r="F2788" i="1"/>
  <c r="E2788" i="1"/>
  <c r="D2788" i="1"/>
  <c r="C2788" i="1"/>
  <c r="B2788" i="1"/>
  <c r="A2788" i="1"/>
  <c r="J2787" i="1"/>
  <c r="I2787" i="1"/>
  <c r="H2787" i="1"/>
  <c r="G2787" i="1"/>
  <c r="E2787" i="1"/>
  <c r="D2787" i="1"/>
  <c r="C2787" i="1"/>
  <c r="B2787" i="1"/>
  <c r="A2787" i="1"/>
  <c r="J2786" i="1"/>
  <c r="I2786" i="1"/>
  <c r="H2786" i="1"/>
  <c r="G2786" i="1"/>
  <c r="F2786" i="1"/>
  <c r="E2786" i="1"/>
  <c r="D2786" i="1"/>
  <c r="C2786" i="1"/>
  <c r="B2786" i="1"/>
  <c r="A2786" i="1"/>
  <c r="J2785" i="1"/>
  <c r="I2785" i="1"/>
  <c r="H2785" i="1"/>
  <c r="G2785" i="1"/>
  <c r="F2785" i="1"/>
  <c r="E2785" i="1"/>
  <c r="D2785" i="1"/>
  <c r="C2785" i="1"/>
  <c r="B2785" i="1"/>
  <c r="A2785" i="1"/>
  <c r="J2784" i="1"/>
  <c r="I2784" i="1"/>
  <c r="H2784" i="1"/>
  <c r="G2784" i="1"/>
  <c r="F2784" i="1"/>
  <c r="E2784" i="1"/>
  <c r="D2784" i="1"/>
  <c r="C2784" i="1"/>
  <c r="B2784" i="1"/>
  <c r="A2784" i="1"/>
  <c r="J2783" i="1"/>
  <c r="I2783" i="1"/>
  <c r="H2783" i="1"/>
  <c r="G2783" i="1"/>
  <c r="F2783" i="1"/>
  <c r="E2783" i="1"/>
  <c r="D2783" i="1"/>
  <c r="C2783" i="1"/>
  <c r="B2783" i="1"/>
  <c r="A2783" i="1"/>
  <c r="J2782" i="1"/>
  <c r="I2782" i="1"/>
  <c r="H2782" i="1"/>
  <c r="G2782" i="1"/>
  <c r="F2782" i="1"/>
  <c r="E2782" i="1"/>
  <c r="D2782" i="1"/>
  <c r="C2782" i="1"/>
  <c r="B2782" i="1"/>
  <c r="A2782" i="1"/>
  <c r="J2781" i="1"/>
  <c r="I2781" i="1"/>
  <c r="H2781" i="1"/>
  <c r="G2781" i="1"/>
  <c r="F2781" i="1"/>
  <c r="E2781" i="1"/>
  <c r="D2781" i="1"/>
  <c r="C2781" i="1"/>
  <c r="B2781" i="1"/>
  <c r="A2781" i="1"/>
  <c r="J2780" i="1"/>
  <c r="I2780" i="1"/>
  <c r="H2780" i="1"/>
  <c r="G2780" i="1"/>
  <c r="F2780" i="1"/>
  <c r="E2780" i="1"/>
  <c r="D2780" i="1"/>
  <c r="C2780" i="1"/>
  <c r="B2780" i="1"/>
  <c r="A2780" i="1"/>
  <c r="J2779" i="1"/>
  <c r="I2779" i="1"/>
  <c r="H2779" i="1"/>
  <c r="G2779" i="1"/>
  <c r="F2779" i="1"/>
  <c r="E2779" i="1"/>
  <c r="D2779" i="1"/>
  <c r="C2779" i="1"/>
  <c r="B2779" i="1"/>
  <c r="A2779" i="1"/>
  <c r="J2778" i="1"/>
  <c r="I2778" i="1"/>
  <c r="H2778" i="1"/>
  <c r="G2778" i="1"/>
  <c r="F2778" i="1"/>
  <c r="E2778" i="1"/>
  <c r="D2778" i="1"/>
  <c r="C2778" i="1"/>
  <c r="B2778" i="1"/>
  <c r="A2778" i="1"/>
  <c r="J2777" i="1"/>
  <c r="I2777" i="1"/>
  <c r="H2777" i="1"/>
  <c r="G2777" i="1"/>
  <c r="F2777" i="1"/>
  <c r="E2777" i="1"/>
  <c r="D2777" i="1"/>
  <c r="C2777" i="1"/>
  <c r="B2777" i="1"/>
  <c r="A2777" i="1"/>
  <c r="J2776" i="1"/>
  <c r="I2776" i="1"/>
  <c r="H2776" i="1"/>
  <c r="G2776" i="1"/>
  <c r="F2776" i="1"/>
  <c r="E2776" i="1"/>
  <c r="D2776" i="1"/>
  <c r="C2776" i="1"/>
  <c r="B2776" i="1"/>
  <c r="A2776" i="1"/>
  <c r="J2775" i="1"/>
  <c r="I2775" i="1"/>
  <c r="H2775" i="1"/>
  <c r="G2775" i="1"/>
  <c r="E2775" i="1"/>
  <c r="D2775" i="1"/>
  <c r="C2775" i="1"/>
  <c r="B2775" i="1"/>
  <c r="A2775" i="1"/>
  <c r="J2774" i="1"/>
  <c r="I2774" i="1"/>
  <c r="H2774" i="1"/>
  <c r="G2774" i="1"/>
  <c r="E2774" i="1"/>
  <c r="D2774" i="1"/>
  <c r="C2774" i="1"/>
  <c r="B2774" i="1"/>
  <c r="A2774" i="1"/>
  <c r="J2773" i="1"/>
  <c r="I2773" i="1"/>
  <c r="H2773" i="1"/>
  <c r="G2773" i="1"/>
  <c r="E2773" i="1"/>
  <c r="D2773" i="1"/>
  <c r="C2773" i="1"/>
  <c r="B2773" i="1"/>
  <c r="A2773" i="1"/>
  <c r="J2772" i="1"/>
  <c r="I2772" i="1"/>
  <c r="H2772" i="1"/>
  <c r="G2772" i="1"/>
  <c r="E2772" i="1"/>
  <c r="D2772" i="1"/>
  <c r="C2772" i="1"/>
  <c r="B2772" i="1"/>
  <c r="A2772" i="1"/>
  <c r="J2771" i="1"/>
  <c r="I2771" i="1"/>
  <c r="H2771" i="1"/>
  <c r="G2771" i="1"/>
  <c r="E2771" i="1"/>
  <c r="D2771" i="1"/>
  <c r="C2771" i="1"/>
  <c r="B2771" i="1"/>
  <c r="A2771" i="1"/>
  <c r="J2770" i="1"/>
  <c r="I2770" i="1"/>
  <c r="H2770" i="1"/>
  <c r="G2770" i="1"/>
  <c r="F2770" i="1"/>
  <c r="E2770" i="1"/>
  <c r="D2770" i="1"/>
  <c r="C2770" i="1"/>
  <c r="B2770" i="1"/>
  <c r="A2770" i="1"/>
  <c r="J2769" i="1"/>
  <c r="I2769" i="1"/>
  <c r="H2769" i="1"/>
  <c r="G2769" i="1"/>
  <c r="E2769" i="1"/>
  <c r="D2769" i="1"/>
  <c r="C2769" i="1"/>
  <c r="B2769" i="1"/>
  <c r="A2769" i="1"/>
  <c r="J2768" i="1"/>
  <c r="I2768" i="1"/>
  <c r="H2768" i="1"/>
  <c r="G2768" i="1"/>
  <c r="E2768" i="1"/>
  <c r="D2768" i="1"/>
  <c r="C2768" i="1"/>
  <c r="B2768" i="1"/>
  <c r="A2768" i="1"/>
  <c r="J2767" i="1"/>
  <c r="I2767" i="1"/>
  <c r="H2767" i="1"/>
  <c r="G2767" i="1"/>
  <c r="F2767" i="1"/>
  <c r="E2767" i="1"/>
  <c r="D2767" i="1"/>
  <c r="C2767" i="1"/>
  <c r="B2767" i="1"/>
  <c r="A2767" i="1"/>
  <c r="J2766" i="1"/>
  <c r="I2766" i="1"/>
  <c r="H2766" i="1"/>
  <c r="G2766" i="1"/>
  <c r="E2766" i="1"/>
  <c r="D2766" i="1"/>
  <c r="C2766" i="1"/>
  <c r="B2766" i="1"/>
  <c r="A2766" i="1"/>
  <c r="J2765" i="1"/>
  <c r="I2765" i="1"/>
  <c r="H2765" i="1"/>
  <c r="G2765" i="1"/>
  <c r="F2765" i="1"/>
  <c r="E2765" i="1"/>
  <c r="D2765" i="1"/>
  <c r="C2765" i="1"/>
  <c r="B2765" i="1"/>
  <c r="A2765" i="1"/>
  <c r="J2764" i="1"/>
  <c r="I2764" i="1"/>
  <c r="H2764" i="1"/>
  <c r="G2764" i="1"/>
  <c r="E2764" i="1"/>
  <c r="D2764" i="1"/>
  <c r="C2764" i="1"/>
  <c r="B2764" i="1"/>
  <c r="A2764" i="1"/>
  <c r="J2763" i="1"/>
  <c r="I2763" i="1"/>
  <c r="H2763" i="1"/>
  <c r="G2763" i="1"/>
  <c r="E2763" i="1"/>
  <c r="D2763" i="1"/>
  <c r="C2763" i="1"/>
  <c r="B2763" i="1"/>
  <c r="A2763" i="1"/>
  <c r="J2762" i="1"/>
  <c r="I2762" i="1"/>
  <c r="H2762" i="1"/>
  <c r="G2762" i="1"/>
  <c r="E2762" i="1"/>
  <c r="D2762" i="1"/>
  <c r="C2762" i="1"/>
  <c r="B2762" i="1"/>
  <c r="A2762" i="1"/>
  <c r="J2761" i="1"/>
  <c r="I2761" i="1"/>
  <c r="H2761" i="1"/>
  <c r="G2761" i="1"/>
  <c r="E2761" i="1"/>
  <c r="D2761" i="1"/>
  <c r="C2761" i="1"/>
  <c r="B2761" i="1"/>
  <c r="A2761" i="1"/>
  <c r="J2760" i="1"/>
  <c r="I2760" i="1"/>
  <c r="H2760" i="1"/>
  <c r="G2760" i="1"/>
  <c r="F2760" i="1"/>
  <c r="E2760" i="1"/>
  <c r="D2760" i="1"/>
  <c r="C2760" i="1"/>
  <c r="B2760" i="1"/>
  <c r="A2760" i="1"/>
  <c r="J2759" i="1"/>
  <c r="I2759" i="1"/>
  <c r="H2759" i="1"/>
  <c r="G2759" i="1"/>
  <c r="F2759" i="1"/>
  <c r="E2759" i="1"/>
  <c r="D2759" i="1"/>
  <c r="C2759" i="1"/>
  <c r="B2759" i="1"/>
  <c r="A2759" i="1"/>
  <c r="J2758" i="1"/>
  <c r="I2758" i="1"/>
  <c r="H2758" i="1"/>
  <c r="G2758" i="1"/>
  <c r="F2758" i="1"/>
  <c r="E2758" i="1"/>
  <c r="D2758" i="1"/>
  <c r="C2758" i="1"/>
  <c r="B2758" i="1"/>
  <c r="A2758" i="1"/>
  <c r="J2757" i="1"/>
  <c r="I2757" i="1"/>
  <c r="H2757" i="1"/>
  <c r="G2757" i="1"/>
  <c r="F2757" i="1"/>
  <c r="E2757" i="1"/>
  <c r="D2757" i="1"/>
  <c r="C2757" i="1"/>
  <c r="B2757" i="1"/>
  <c r="A2757" i="1"/>
  <c r="J2756" i="1"/>
  <c r="I2756" i="1"/>
  <c r="H2756" i="1"/>
  <c r="G2756" i="1"/>
  <c r="E2756" i="1"/>
  <c r="D2756" i="1"/>
  <c r="C2756" i="1"/>
  <c r="B2756" i="1"/>
  <c r="A2756" i="1"/>
  <c r="J2755" i="1"/>
  <c r="I2755" i="1"/>
  <c r="H2755" i="1"/>
  <c r="G2755" i="1"/>
  <c r="E2755" i="1"/>
  <c r="D2755" i="1"/>
  <c r="C2755" i="1"/>
  <c r="B2755" i="1"/>
  <c r="A2755" i="1"/>
  <c r="J2754" i="1"/>
  <c r="I2754" i="1"/>
  <c r="H2754" i="1"/>
  <c r="G2754" i="1"/>
  <c r="F2754" i="1"/>
  <c r="E2754" i="1"/>
  <c r="D2754" i="1"/>
  <c r="C2754" i="1"/>
  <c r="B2754" i="1"/>
  <c r="A2754" i="1"/>
  <c r="J2753" i="1"/>
  <c r="I2753" i="1"/>
  <c r="H2753" i="1"/>
  <c r="G2753" i="1"/>
  <c r="F2753" i="1"/>
  <c r="E2753" i="1"/>
  <c r="D2753" i="1"/>
  <c r="C2753" i="1"/>
  <c r="B2753" i="1"/>
  <c r="A2753" i="1"/>
  <c r="J2752" i="1"/>
  <c r="I2752" i="1"/>
  <c r="H2752" i="1"/>
  <c r="G2752" i="1"/>
  <c r="F2752" i="1"/>
  <c r="E2752" i="1"/>
  <c r="D2752" i="1"/>
  <c r="C2752" i="1"/>
  <c r="B2752" i="1"/>
  <c r="A2752" i="1"/>
  <c r="J2751" i="1"/>
  <c r="I2751" i="1"/>
  <c r="H2751" i="1"/>
  <c r="G2751" i="1"/>
  <c r="F2751" i="1"/>
  <c r="E2751" i="1"/>
  <c r="D2751" i="1"/>
  <c r="C2751" i="1"/>
  <c r="B2751" i="1"/>
  <c r="A2751" i="1"/>
  <c r="J2750" i="1"/>
  <c r="I2750" i="1"/>
  <c r="H2750" i="1"/>
  <c r="G2750" i="1"/>
  <c r="E2750" i="1"/>
  <c r="D2750" i="1"/>
  <c r="C2750" i="1"/>
  <c r="B2750" i="1"/>
  <c r="A2750" i="1"/>
  <c r="J2749" i="1"/>
  <c r="I2749" i="1"/>
  <c r="H2749" i="1"/>
  <c r="G2749" i="1"/>
  <c r="E2749" i="1"/>
  <c r="D2749" i="1"/>
  <c r="C2749" i="1"/>
  <c r="B2749" i="1"/>
  <c r="A2749" i="1"/>
  <c r="J2748" i="1"/>
  <c r="I2748" i="1"/>
  <c r="H2748" i="1"/>
  <c r="G2748" i="1"/>
  <c r="E2748" i="1"/>
  <c r="D2748" i="1"/>
  <c r="C2748" i="1"/>
  <c r="B2748" i="1"/>
  <c r="A2748" i="1"/>
  <c r="J2747" i="1"/>
  <c r="I2747" i="1"/>
  <c r="H2747" i="1"/>
  <c r="G2747" i="1"/>
  <c r="E2747" i="1"/>
  <c r="D2747" i="1"/>
  <c r="C2747" i="1"/>
  <c r="B2747" i="1"/>
  <c r="A2747" i="1"/>
  <c r="J2746" i="1"/>
  <c r="I2746" i="1"/>
  <c r="H2746" i="1"/>
  <c r="G2746" i="1"/>
  <c r="E2746" i="1"/>
  <c r="D2746" i="1"/>
  <c r="C2746" i="1"/>
  <c r="B2746" i="1"/>
  <c r="A2746" i="1"/>
  <c r="J2745" i="1"/>
  <c r="I2745" i="1"/>
  <c r="H2745" i="1"/>
  <c r="G2745" i="1"/>
  <c r="E2745" i="1"/>
  <c r="D2745" i="1"/>
  <c r="C2745" i="1"/>
  <c r="B2745" i="1"/>
  <c r="A2745" i="1"/>
  <c r="J2744" i="1"/>
  <c r="I2744" i="1"/>
  <c r="H2744" i="1"/>
  <c r="G2744" i="1"/>
  <c r="E2744" i="1"/>
  <c r="D2744" i="1"/>
  <c r="C2744" i="1"/>
  <c r="B2744" i="1"/>
  <c r="A2744" i="1"/>
  <c r="J2743" i="1"/>
  <c r="I2743" i="1"/>
  <c r="H2743" i="1"/>
  <c r="G2743" i="1"/>
  <c r="E2743" i="1"/>
  <c r="D2743" i="1"/>
  <c r="C2743" i="1"/>
  <c r="B2743" i="1"/>
  <c r="A2743" i="1"/>
  <c r="J2742" i="1"/>
  <c r="I2742" i="1"/>
  <c r="H2742" i="1"/>
  <c r="G2742" i="1"/>
  <c r="E2742" i="1"/>
  <c r="D2742" i="1"/>
  <c r="C2742" i="1"/>
  <c r="B2742" i="1"/>
  <c r="A2742" i="1"/>
  <c r="J2741" i="1"/>
  <c r="I2741" i="1"/>
  <c r="H2741" i="1"/>
  <c r="G2741" i="1"/>
  <c r="E2741" i="1"/>
  <c r="D2741" i="1"/>
  <c r="C2741" i="1"/>
  <c r="B2741" i="1"/>
  <c r="A2741" i="1"/>
  <c r="J2740" i="1"/>
  <c r="I2740" i="1"/>
  <c r="H2740" i="1"/>
  <c r="G2740" i="1"/>
  <c r="E2740" i="1"/>
  <c r="D2740" i="1"/>
  <c r="C2740" i="1"/>
  <c r="B2740" i="1"/>
  <c r="A2740" i="1"/>
  <c r="J2739" i="1"/>
  <c r="I2739" i="1"/>
  <c r="H2739" i="1"/>
  <c r="G2739" i="1"/>
  <c r="E2739" i="1"/>
  <c r="D2739" i="1"/>
  <c r="C2739" i="1"/>
  <c r="B2739" i="1"/>
  <c r="A2739" i="1"/>
  <c r="J2738" i="1"/>
  <c r="I2738" i="1"/>
  <c r="H2738" i="1"/>
  <c r="G2738" i="1"/>
  <c r="E2738" i="1"/>
  <c r="D2738" i="1"/>
  <c r="C2738" i="1"/>
  <c r="B2738" i="1"/>
  <c r="A2738" i="1"/>
  <c r="J2737" i="1"/>
  <c r="I2737" i="1"/>
  <c r="H2737" i="1"/>
  <c r="G2737" i="1"/>
  <c r="E2737" i="1"/>
  <c r="D2737" i="1"/>
  <c r="C2737" i="1"/>
  <c r="B2737" i="1"/>
  <c r="A2737" i="1"/>
  <c r="J2736" i="1"/>
  <c r="I2736" i="1"/>
  <c r="H2736" i="1"/>
  <c r="G2736" i="1"/>
  <c r="E2736" i="1"/>
  <c r="D2736" i="1"/>
  <c r="C2736" i="1"/>
  <c r="B2736" i="1"/>
  <c r="A2736" i="1"/>
  <c r="J2735" i="1"/>
  <c r="I2735" i="1"/>
  <c r="H2735" i="1"/>
  <c r="G2735" i="1"/>
  <c r="E2735" i="1"/>
  <c r="D2735" i="1"/>
  <c r="C2735" i="1"/>
  <c r="B2735" i="1"/>
  <c r="A2735" i="1"/>
  <c r="J2734" i="1"/>
  <c r="I2734" i="1"/>
  <c r="H2734" i="1"/>
  <c r="G2734" i="1"/>
  <c r="F2734" i="1"/>
  <c r="E2734" i="1"/>
  <c r="D2734" i="1"/>
  <c r="C2734" i="1"/>
  <c r="B2734" i="1"/>
  <c r="A2734" i="1"/>
  <c r="J2733" i="1"/>
  <c r="I2733" i="1"/>
  <c r="H2733" i="1"/>
  <c r="G2733" i="1"/>
  <c r="E2733" i="1"/>
  <c r="D2733" i="1"/>
  <c r="C2733" i="1"/>
  <c r="B2733" i="1"/>
  <c r="A2733" i="1"/>
  <c r="J2732" i="1"/>
  <c r="I2732" i="1"/>
  <c r="H2732" i="1"/>
  <c r="G2732" i="1"/>
  <c r="E2732" i="1"/>
  <c r="D2732" i="1"/>
  <c r="C2732" i="1"/>
  <c r="B2732" i="1"/>
  <c r="A2732" i="1"/>
  <c r="J2731" i="1"/>
  <c r="I2731" i="1"/>
  <c r="H2731" i="1"/>
  <c r="G2731" i="1"/>
  <c r="E2731" i="1"/>
  <c r="D2731" i="1"/>
  <c r="C2731" i="1"/>
  <c r="B2731" i="1"/>
  <c r="A2731" i="1"/>
  <c r="J2730" i="1"/>
  <c r="I2730" i="1"/>
  <c r="H2730" i="1"/>
  <c r="G2730" i="1"/>
  <c r="E2730" i="1"/>
  <c r="D2730" i="1"/>
  <c r="C2730" i="1"/>
  <c r="B2730" i="1"/>
  <c r="A2730" i="1"/>
  <c r="J2729" i="1"/>
  <c r="I2729" i="1"/>
  <c r="H2729" i="1"/>
  <c r="G2729" i="1"/>
  <c r="E2729" i="1"/>
  <c r="D2729" i="1"/>
  <c r="C2729" i="1"/>
  <c r="B2729" i="1"/>
  <c r="A2729" i="1"/>
  <c r="J2728" i="1"/>
  <c r="I2728" i="1"/>
  <c r="H2728" i="1"/>
  <c r="G2728" i="1"/>
  <c r="E2728" i="1"/>
  <c r="D2728" i="1"/>
  <c r="C2728" i="1"/>
  <c r="B2728" i="1"/>
  <c r="A2728" i="1"/>
  <c r="J2727" i="1"/>
  <c r="I2727" i="1"/>
  <c r="H2727" i="1"/>
  <c r="G2727" i="1"/>
  <c r="E2727" i="1"/>
  <c r="D2727" i="1"/>
  <c r="C2727" i="1"/>
  <c r="B2727" i="1"/>
  <c r="A2727" i="1"/>
  <c r="J2726" i="1"/>
  <c r="I2726" i="1"/>
  <c r="H2726" i="1"/>
  <c r="G2726" i="1"/>
  <c r="E2726" i="1"/>
  <c r="D2726" i="1"/>
  <c r="C2726" i="1"/>
  <c r="B2726" i="1"/>
  <c r="A2726" i="1"/>
  <c r="J2725" i="1"/>
  <c r="I2725" i="1"/>
  <c r="H2725" i="1"/>
  <c r="G2725" i="1"/>
  <c r="E2725" i="1"/>
  <c r="D2725" i="1"/>
  <c r="C2725" i="1"/>
  <c r="B2725" i="1"/>
  <c r="A2725" i="1"/>
  <c r="J2724" i="1"/>
  <c r="I2724" i="1"/>
  <c r="H2724" i="1"/>
  <c r="G2724" i="1"/>
  <c r="E2724" i="1"/>
  <c r="D2724" i="1"/>
  <c r="C2724" i="1"/>
  <c r="B2724" i="1"/>
  <c r="A2724" i="1"/>
  <c r="J2723" i="1"/>
  <c r="I2723" i="1"/>
  <c r="H2723" i="1"/>
  <c r="G2723" i="1"/>
  <c r="E2723" i="1"/>
  <c r="D2723" i="1"/>
  <c r="C2723" i="1"/>
  <c r="B2723" i="1"/>
  <c r="A2723" i="1"/>
  <c r="J2722" i="1"/>
  <c r="I2722" i="1"/>
  <c r="H2722" i="1"/>
  <c r="G2722" i="1"/>
  <c r="E2722" i="1"/>
  <c r="D2722" i="1"/>
  <c r="C2722" i="1"/>
  <c r="B2722" i="1"/>
  <c r="A2722" i="1"/>
  <c r="J2721" i="1"/>
  <c r="I2721" i="1"/>
  <c r="H2721" i="1"/>
  <c r="G2721" i="1"/>
  <c r="E2721" i="1"/>
  <c r="D2721" i="1"/>
  <c r="C2721" i="1"/>
  <c r="B2721" i="1"/>
  <c r="A2721" i="1"/>
  <c r="J2720" i="1"/>
  <c r="I2720" i="1"/>
  <c r="H2720" i="1"/>
  <c r="G2720" i="1"/>
  <c r="E2720" i="1"/>
  <c r="D2720" i="1"/>
  <c r="C2720" i="1"/>
  <c r="B2720" i="1"/>
  <c r="A2720" i="1"/>
  <c r="J2719" i="1"/>
  <c r="I2719" i="1"/>
  <c r="H2719" i="1"/>
  <c r="G2719" i="1"/>
  <c r="E2719" i="1"/>
  <c r="D2719" i="1"/>
  <c r="C2719" i="1"/>
  <c r="B2719" i="1"/>
  <c r="A2719" i="1"/>
  <c r="J2718" i="1"/>
  <c r="I2718" i="1"/>
  <c r="H2718" i="1"/>
  <c r="G2718" i="1"/>
  <c r="E2718" i="1"/>
  <c r="D2718" i="1"/>
  <c r="C2718" i="1"/>
  <c r="B2718" i="1"/>
  <c r="A2718" i="1"/>
  <c r="J2717" i="1"/>
  <c r="I2717" i="1"/>
  <c r="H2717" i="1"/>
  <c r="G2717" i="1"/>
  <c r="E2717" i="1"/>
  <c r="D2717" i="1"/>
  <c r="C2717" i="1"/>
  <c r="B2717" i="1"/>
  <c r="A2717" i="1"/>
  <c r="J2716" i="1"/>
  <c r="I2716" i="1"/>
  <c r="H2716" i="1"/>
  <c r="G2716" i="1"/>
  <c r="E2716" i="1"/>
  <c r="D2716" i="1"/>
  <c r="C2716" i="1"/>
  <c r="B2716" i="1"/>
  <c r="A2716" i="1"/>
  <c r="J2715" i="1"/>
  <c r="I2715" i="1"/>
  <c r="H2715" i="1"/>
  <c r="G2715" i="1"/>
  <c r="E2715" i="1"/>
  <c r="D2715" i="1"/>
  <c r="C2715" i="1"/>
  <c r="B2715" i="1"/>
  <c r="A2715" i="1"/>
  <c r="J2714" i="1"/>
  <c r="I2714" i="1"/>
  <c r="H2714" i="1"/>
  <c r="G2714" i="1"/>
  <c r="F2714" i="1"/>
  <c r="E2714" i="1"/>
  <c r="D2714" i="1"/>
  <c r="C2714" i="1"/>
  <c r="B2714" i="1"/>
  <c r="A2714" i="1"/>
  <c r="J2713" i="1"/>
  <c r="I2713" i="1"/>
  <c r="H2713" i="1"/>
  <c r="G2713" i="1"/>
  <c r="E2713" i="1"/>
  <c r="D2713" i="1"/>
  <c r="C2713" i="1"/>
  <c r="B2713" i="1"/>
  <c r="A2713" i="1"/>
  <c r="J2712" i="1"/>
  <c r="I2712" i="1"/>
  <c r="H2712" i="1"/>
  <c r="G2712" i="1"/>
  <c r="E2712" i="1"/>
  <c r="D2712" i="1"/>
  <c r="C2712" i="1"/>
  <c r="B2712" i="1"/>
  <c r="A2712" i="1"/>
  <c r="J2711" i="1"/>
  <c r="I2711" i="1"/>
  <c r="H2711" i="1"/>
  <c r="G2711" i="1"/>
  <c r="E2711" i="1"/>
  <c r="D2711" i="1"/>
  <c r="C2711" i="1"/>
  <c r="B2711" i="1"/>
  <c r="A2711" i="1"/>
  <c r="J2710" i="1"/>
  <c r="I2710" i="1"/>
  <c r="H2710" i="1"/>
  <c r="G2710" i="1"/>
  <c r="E2710" i="1"/>
  <c r="D2710" i="1"/>
  <c r="C2710" i="1"/>
  <c r="B2710" i="1"/>
  <c r="A2710" i="1"/>
  <c r="J2709" i="1"/>
  <c r="I2709" i="1"/>
  <c r="H2709" i="1"/>
  <c r="G2709" i="1"/>
  <c r="F2709" i="1"/>
  <c r="E2709" i="1"/>
  <c r="D2709" i="1"/>
  <c r="C2709" i="1"/>
  <c r="B2709" i="1"/>
  <c r="A2709" i="1"/>
  <c r="J2708" i="1"/>
  <c r="I2708" i="1"/>
  <c r="H2708" i="1"/>
  <c r="G2708" i="1"/>
  <c r="E2708" i="1"/>
  <c r="D2708" i="1"/>
  <c r="C2708" i="1"/>
  <c r="B2708" i="1"/>
  <c r="A2708" i="1"/>
  <c r="J2707" i="1"/>
  <c r="I2707" i="1"/>
  <c r="H2707" i="1"/>
  <c r="G2707" i="1"/>
  <c r="E2707" i="1"/>
  <c r="D2707" i="1"/>
  <c r="C2707" i="1"/>
  <c r="B2707" i="1"/>
  <c r="A2707" i="1"/>
  <c r="J2706" i="1"/>
  <c r="I2706" i="1"/>
  <c r="H2706" i="1"/>
  <c r="G2706" i="1"/>
  <c r="F2706" i="1"/>
  <c r="E2706" i="1"/>
  <c r="D2706" i="1"/>
  <c r="C2706" i="1"/>
  <c r="B2706" i="1"/>
  <c r="A2706" i="1"/>
  <c r="J2705" i="1"/>
  <c r="I2705" i="1"/>
  <c r="H2705" i="1"/>
  <c r="G2705" i="1"/>
  <c r="E2705" i="1"/>
  <c r="D2705" i="1"/>
  <c r="C2705" i="1"/>
  <c r="B2705" i="1"/>
  <c r="A2705" i="1"/>
  <c r="J2704" i="1"/>
  <c r="I2704" i="1"/>
  <c r="H2704" i="1"/>
  <c r="G2704" i="1"/>
  <c r="E2704" i="1"/>
  <c r="D2704" i="1"/>
  <c r="C2704" i="1"/>
  <c r="B2704" i="1"/>
  <c r="A2704" i="1"/>
  <c r="J2703" i="1"/>
  <c r="I2703" i="1"/>
  <c r="H2703" i="1"/>
  <c r="G2703" i="1"/>
  <c r="F2703" i="1"/>
  <c r="E2703" i="1"/>
  <c r="D2703" i="1"/>
  <c r="C2703" i="1"/>
  <c r="B2703" i="1"/>
  <c r="A2703" i="1"/>
  <c r="J2702" i="1"/>
  <c r="I2702" i="1"/>
  <c r="H2702" i="1"/>
  <c r="G2702" i="1"/>
  <c r="E2702" i="1"/>
  <c r="D2702" i="1"/>
  <c r="C2702" i="1"/>
  <c r="B2702" i="1"/>
  <c r="A2702" i="1"/>
  <c r="J2701" i="1"/>
  <c r="I2701" i="1"/>
  <c r="H2701" i="1"/>
  <c r="G2701" i="1"/>
  <c r="E2701" i="1"/>
  <c r="D2701" i="1"/>
  <c r="C2701" i="1"/>
  <c r="B2701" i="1"/>
  <c r="A2701" i="1"/>
  <c r="J2700" i="1"/>
  <c r="I2700" i="1"/>
  <c r="H2700" i="1"/>
  <c r="G2700" i="1"/>
  <c r="E2700" i="1"/>
  <c r="D2700" i="1"/>
  <c r="C2700" i="1"/>
  <c r="B2700" i="1"/>
  <c r="A2700" i="1"/>
  <c r="J2699" i="1"/>
  <c r="I2699" i="1"/>
  <c r="H2699" i="1"/>
  <c r="G2699" i="1"/>
  <c r="F2699" i="1"/>
  <c r="E2699" i="1"/>
  <c r="D2699" i="1"/>
  <c r="C2699" i="1"/>
  <c r="B2699" i="1"/>
  <c r="A2699" i="1"/>
  <c r="J2698" i="1"/>
  <c r="I2698" i="1"/>
  <c r="H2698" i="1"/>
  <c r="G2698" i="1"/>
  <c r="E2698" i="1"/>
  <c r="D2698" i="1"/>
  <c r="C2698" i="1"/>
  <c r="B2698" i="1"/>
  <c r="A2698" i="1"/>
  <c r="J2697" i="1"/>
  <c r="I2697" i="1"/>
  <c r="H2697" i="1"/>
  <c r="G2697" i="1"/>
  <c r="E2697" i="1"/>
  <c r="D2697" i="1"/>
  <c r="C2697" i="1"/>
  <c r="B2697" i="1"/>
  <c r="A2697" i="1"/>
  <c r="J2696" i="1"/>
  <c r="I2696" i="1"/>
  <c r="H2696" i="1"/>
  <c r="G2696" i="1"/>
  <c r="E2696" i="1"/>
  <c r="D2696" i="1"/>
  <c r="C2696" i="1"/>
  <c r="B2696" i="1"/>
  <c r="A2696" i="1"/>
  <c r="J2695" i="1"/>
  <c r="I2695" i="1"/>
  <c r="H2695" i="1"/>
  <c r="G2695" i="1"/>
  <c r="E2695" i="1"/>
  <c r="D2695" i="1"/>
  <c r="C2695" i="1"/>
  <c r="B2695" i="1"/>
  <c r="A2695" i="1"/>
  <c r="J2694" i="1"/>
  <c r="I2694" i="1"/>
  <c r="H2694" i="1"/>
  <c r="G2694" i="1"/>
  <c r="F2694" i="1"/>
  <c r="E2694" i="1"/>
  <c r="D2694" i="1"/>
  <c r="C2694" i="1"/>
  <c r="B2694" i="1"/>
  <c r="A2694" i="1"/>
  <c r="J2693" i="1"/>
  <c r="I2693" i="1"/>
  <c r="H2693" i="1"/>
  <c r="G2693" i="1"/>
  <c r="F2693" i="1"/>
  <c r="E2693" i="1"/>
  <c r="D2693" i="1"/>
  <c r="C2693" i="1"/>
  <c r="B2693" i="1"/>
  <c r="A2693" i="1"/>
  <c r="J2692" i="1"/>
  <c r="I2692" i="1"/>
  <c r="H2692" i="1"/>
  <c r="G2692" i="1"/>
  <c r="E2692" i="1"/>
  <c r="D2692" i="1"/>
  <c r="C2692" i="1"/>
  <c r="B2692" i="1"/>
  <c r="A2692" i="1"/>
  <c r="J2691" i="1"/>
  <c r="I2691" i="1"/>
  <c r="H2691" i="1"/>
  <c r="G2691" i="1"/>
  <c r="E2691" i="1"/>
  <c r="D2691" i="1"/>
  <c r="C2691" i="1"/>
  <c r="B2691" i="1"/>
  <c r="A2691" i="1"/>
  <c r="J2690" i="1"/>
  <c r="I2690" i="1"/>
  <c r="H2690" i="1"/>
  <c r="G2690" i="1"/>
  <c r="E2690" i="1"/>
  <c r="D2690" i="1"/>
  <c r="C2690" i="1"/>
  <c r="B2690" i="1"/>
  <c r="A2690" i="1"/>
  <c r="J2689" i="1"/>
  <c r="I2689" i="1"/>
  <c r="H2689" i="1"/>
  <c r="G2689" i="1"/>
  <c r="E2689" i="1"/>
  <c r="D2689" i="1"/>
  <c r="C2689" i="1"/>
  <c r="B2689" i="1"/>
  <c r="A2689" i="1"/>
  <c r="J2688" i="1"/>
  <c r="I2688" i="1"/>
  <c r="H2688" i="1"/>
  <c r="G2688" i="1"/>
  <c r="E2688" i="1"/>
  <c r="D2688" i="1"/>
  <c r="C2688" i="1"/>
  <c r="B2688" i="1"/>
  <c r="A2688" i="1"/>
  <c r="J2687" i="1"/>
  <c r="I2687" i="1"/>
  <c r="H2687" i="1"/>
  <c r="G2687" i="1"/>
  <c r="E2687" i="1"/>
  <c r="D2687" i="1"/>
  <c r="C2687" i="1"/>
  <c r="B2687" i="1"/>
  <c r="A2687" i="1"/>
  <c r="J2686" i="1"/>
  <c r="I2686" i="1"/>
  <c r="H2686" i="1"/>
  <c r="G2686" i="1"/>
  <c r="E2686" i="1"/>
  <c r="D2686" i="1"/>
  <c r="C2686" i="1"/>
  <c r="B2686" i="1"/>
  <c r="A2686" i="1"/>
  <c r="J2685" i="1"/>
  <c r="I2685" i="1"/>
  <c r="H2685" i="1"/>
  <c r="G2685" i="1"/>
  <c r="E2685" i="1"/>
  <c r="D2685" i="1"/>
  <c r="C2685" i="1"/>
  <c r="B2685" i="1"/>
  <c r="A2685" i="1"/>
  <c r="J2684" i="1"/>
  <c r="I2684" i="1"/>
  <c r="H2684" i="1"/>
  <c r="G2684" i="1"/>
  <c r="E2684" i="1"/>
  <c r="D2684" i="1"/>
  <c r="C2684" i="1"/>
  <c r="B2684" i="1"/>
  <c r="A2684" i="1"/>
  <c r="J2683" i="1"/>
  <c r="I2683" i="1"/>
  <c r="H2683" i="1"/>
  <c r="G2683" i="1"/>
  <c r="E2683" i="1"/>
  <c r="D2683" i="1"/>
  <c r="C2683" i="1"/>
  <c r="B2683" i="1"/>
  <c r="A2683" i="1"/>
  <c r="J2682" i="1"/>
  <c r="I2682" i="1"/>
  <c r="H2682" i="1"/>
  <c r="G2682" i="1"/>
  <c r="E2682" i="1"/>
  <c r="D2682" i="1"/>
  <c r="C2682" i="1"/>
  <c r="B2682" i="1"/>
  <c r="A2682" i="1"/>
  <c r="J2681" i="1"/>
  <c r="I2681" i="1"/>
  <c r="H2681" i="1"/>
  <c r="G2681" i="1"/>
  <c r="E2681" i="1"/>
  <c r="D2681" i="1"/>
  <c r="C2681" i="1"/>
  <c r="B2681" i="1"/>
  <c r="A2681" i="1"/>
  <c r="J2680" i="1"/>
  <c r="I2680" i="1"/>
  <c r="H2680" i="1"/>
  <c r="G2680" i="1"/>
  <c r="E2680" i="1"/>
  <c r="D2680" i="1"/>
  <c r="C2680" i="1"/>
  <c r="B2680" i="1"/>
  <c r="A2680" i="1"/>
  <c r="J2679" i="1"/>
  <c r="I2679" i="1"/>
  <c r="H2679" i="1"/>
  <c r="G2679" i="1"/>
  <c r="E2679" i="1"/>
  <c r="D2679" i="1"/>
  <c r="C2679" i="1"/>
  <c r="B2679" i="1"/>
  <c r="A2679" i="1"/>
  <c r="J2678" i="1"/>
  <c r="I2678" i="1"/>
  <c r="H2678" i="1"/>
  <c r="G2678" i="1"/>
  <c r="E2678" i="1"/>
  <c r="D2678" i="1"/>
  <c r="C2678" i="1"/>
  <c r="B2678" i="1"/>
  <c r="A2678" i="1"/>
  <c r="J2677" i="1"/>
  <c r="I2677" i="1"/>
  <c r="H2677" i="1"/>
  <c r="G2677" i="1"/>
  <c r="E2677" i="1"/>
  <c r="D2677" i="1"/>
  <c r="C2677" i="1"/>
  <c r="B2677" i="1"/>
  <c r="A2677" i="1"/>
  <c r="J2676" i="1"/>
  <c r="I2676" i="1"/>
  <c r="H2676" i="1"/>
  <c r="G2676" i="1"/>
  <c r="E2676" i="1"/>
  <c r="D2676" i="1"/>
  <c r="C2676" i="1"/>
  <c r="B2676" i="1"/>
  <c r="A2676" i="1"/>
  <c r="J2675" i="1"/>
  <c r="I2675" i="1"/>
  <c r="H2675" i="1"/>
  <c r="G2675" i="1"/>
  <c r="E2675" i="1"/>
  <c r="D2675" i="1"/>
  <c r="C2675" i="1"/>
  <c r="B2675" i="1"/>
  <c r="A2675" i="1"/>
  <c r="J2674" i="1"/>
  <c r="I2674" i="1"/>
  <c r="H2674" i="1"/>
  <c r="G2674" i="1"/>
  <c r="E2674" i="1"/>
  <c r="D2674" i="1"/>
  <c r="C2674" i="1"/>
  <c r="B2674" i="1"/>
  <c r="A2674" i="1"/>
  <c r="J2673" i="1"/>
  <c r="I2673" i="1"/>
  <c r="H2673" i="1"/>
  <c r="G2673" i="1"/>
  <c r="E2673" i="1"/>
  <c r="D2673" i="1"/>
  <c r="C2673" i="1"/>
  <c r="B2673" i="1"/>
  <c r="A2673" i="1"/>
  <c r="J2672" i="1"/>
  <c r="I2672" i="1"/>
  <c r="H2672" i="1"/>
  <c r="G2672" i="1"/>
  <c r="E2672" i="1"/>
  <c r="D2672" i="1"/>
  <c r="C2672" i="1"/>
  <c r="B2672" i="1"/>
  <c r="A2672" i="1"/>
  <c r="J2671" i="1"/>
  <c r="I2671" i="1"/>
  <c r="H2671" i="1"/>
  <c r="G2671" i="1"/>
  <c r="F2671" i="1"/>
  <c r="E2671" i="1"/>
  <c r="D2671" i="1"/>
  <c r="C2671" i="1"/>
  <c r="B2671" i="1"/>
  <c r="A2671" i="1"/>
  <c r="J2670" i="1"/>
  <c r="I2670" i="1"/>
  <c r="H2670" i="1"/>
  <c r="G2670" i="1"/>
  <c r="F2670" i="1"/>
  <c r="E2670" i="1"/>
  <c r="C2670" i="1"/>
  <c r="B2670" i="1"/>
  <c r="A2670" i="1"/>
  <c r="J2669" i="1"/>
  <c r="I2669" i="1"/>
  <c r="H2669" i="1"/>
  <c r="G2669" i="1"/>
  <c r="F2669" i="1"/>
  <c r="E2669" i="1"/>
  <c r="D2669" i="1"/>
  <c r="C2669" i="1"/>
  <c r="B2669" i="1"/>
  <c r="A2669" i="1"/>
  <c r="J2668" i="1"/>
  <c r="I2668" i="1"/>
  <c r="H2668" i="1"/>
  <c r="G2668" i="1"/>
  <c r="F2668" i="1"/>
  <c r="E2668" i="1"/>
  <c r="D2668" i="1"/>
  <c r="C2668" i="1"/>
  <c r="B2668" i="1"/>
  <c r="A2668" i="1"/>
  <c r="J2667" i="1"/>
  <c r="I2667" i="1"/>
  <c r="H2667" i="1"/>
  <c r="G2667" i="1"/>
  <c r="E2667" i="1"/>
  <c r="D2667" i="1"/>
  <c r="C2667" i="1"/>
  <c r="B2667" i="1"/>
  <c r="A2667" i="1"/>
  <c r="J2666" i="1"/>
  <c r="I2666" i="1"/>
  <c r="H2666" i="1"/>
  <c r="G2666" i="1"/>
  <c r="E2666" i="1"/>
  <c r="D2666" i="1"/>
  <c r="C2666" i="1"/>
  <c r="B2666" i="1"/>
  <c r="A2666" i="1"/>
  <c r="J2665" i="1"/>
  <c r="I2665" i="1"/>
  <c r="H2665" i="1"/>
  <c r="G2665" i="1"/>
  <c r="E2665" i="1"/>
  <c r="C2665" i="1"/>
  <c r="B2665" i="1"/>
  <c r="A2665" i="1"/>
  <c r="J2664" i="1"/>
  <c r="I2664" i="1"/>
  <c r="H2664" i="1"/>
  <c r="G2664" i="1"/>
  <c r="E2664" i="1"/>
  <c r="D2664" i="1"/>
  <c r="C2664" i="1"/>
  <c r="B2664" i="1"/>
  <c r="A2664" i="1"/>
  <c r="J2663" i="1"/>
  <c r="I2663" i="1"/>
  <c r="H2663" i="1"/>
  <c r="G2663" i="1"/>
  <c r="F2663" i="1"/>
  <c r="E2663" i="1"/>
  <c r="D2663" i="1"/>
  <c r="C2663" i="1"/>
  <c r="B2663" i="1"/>
  <c r="A2663" i="1"/>
  <c r="J2662" i="1"/>
  <c r="I2662" i="1"/>
  <c r="H2662" i="1"/>
  <c r="G2662" i="1"/>
  <c r="F2662" i="1"/>
  <c r="E2662" i="1"/>
  <c r="D2662" i="1"/>
  <c r="C2662" i="1"/>
  <c r="B2662" i="1"/>
  <c r="A2662" i="1"/>
  <c r="J2661" i="1"/>
  <c r="I2661" i="1"/>
  <c r="H2661" i="1"/>
  <c r="G2661" i="1"/>
  <c r="F2661" i="1"/>
  <c r="E2661" i="1"/>
  <c r="D2661" i="1"/>
  <c r="C2661" i="1"/>
  <c r="B2661" i="1"/>
  <c r="A2661" i="1"/>
  <c r="J2660" i="1"/>
  <c r="I2660" i="1"/>
  <c r="H2660" i="1"/>
  <c r="G2660" i="1"/>
  <c r="F2660" i="1"/>
  <c r="E2660" i="1"/>
  <c r="D2660" i="1"/>
  <c r="C2660" i="1"/>
  <c r="B2660" i="1"/>
  <c r="A2660" i="1"/>
  <c r="J2659" i="1"/>
  <c r="I2659" i="1"/>
  <c r="H2659" i="1"/>
  <c r="G2659" i="1"/>
  <c r="E2659" i="1"/>
  <c r="D2659" i="1"/>
  <c r="C2659" i="1"/>
  <c r="B2659" i="1"/>
  <c r="A2659" i="1"/>
  <c r="J2658" i="1"/>
  <c r="I2658" i="1"/>
  <c r="H2658" i="1"/>
  <c r="G2658" i="1"/>
  <c r="F2658" i="1"/>
  <c r="E2658" i="1"/>
  <c r="D2658" i="1"/>
  <c r="C2658" i="1"/>
  <c r="B2658" i="1"/>
  <c r="A2658" i="1"/>
  <c r="J2657" i="1"/>
  <c r="I2657" i="1"/>
  <c r="H2657" i="1"/>
  <c r="G2657" i="1"/>
  <c r="F2657" i="1"/>
  <c r="E2657" i="1"/>
  <c r="D2657" i="1"/>
  <c r="C2657" i="1"/>
  <c r="B2657" i="1"/>
  <c r="A2657" i="1"/>
  <c r="J2656" i="1"/>
  <c r="I2656" i="1"/>
  <c r="H2656" i="1"/>
  <c r="G2656" i="1"/>
  <c r="F2656" i="1"/>
  <c r="E2656" i="1"/>
  <c r="D2656" i="1"/>
  <c r="C2656" i="1"/>
  <c r="B2656" i="1"/>
  <c r="A2656" i="1"/>
  <c r="J2655" i="1"/>
  <c r="I2655" i="1"/>
  <c r="H2655" i="1"/>
  <c r="G2655" i="1"/>
  <c r="E2655" i="1"/>
  <c r="D2655" i="1"/>
  <c r="C2655" i="1"/>
  <c r="B2655" i="1"/>
  <c r="A2655" i="1"/>
  <c r="J2654" i="1"/>
  <c r="I2654" i="1"/>
  <c r="H2654" i="1"/>
  <c r="G2654" i="1"/>
  <c r="F2654" i="1"/>
  <c r="E2654" i="1"/>
  <c r="D2654" i="1"/>
  <c r="C2654" i="1"/>
  <c r="B2654" i="1"/>
  <c r="A2654" i="1"/>
  <c r="J2653" i="1"/>
  <c r="I2653" i="1"/>
  <c r="H2653" i="1"/>
  <c r="G2653" i="1"/>
  <c r="E2653" i="1"/>
  <c r="D2653" i="1"/>
  <c r="C2653" i="1"/>
  <c r="B2653" i="1"/>
  <c r="A2653" i="1"/>
  <c r="J2652" i="1"/>
  <c r="I2652" i="1"/>
  <c r="H2652" i="1"/>
  <c r="G2652" i="1"/>
  <c r="F2652" i="1"/>
  <c r="E2652" i="1"/>
  <c r="D2652" i="1"/>
  <c r="C2652" i="1"/>
  <c r="B2652" i="1"/>
  <c r="A2652" i="1"/>
  <c r="J2651" i="1"/>
  <c r="I2651" i="1"/>
  <c r="H2651" i="1"/>
  <c r="G2651" i="1"/>
  <c r="E2651" i="1"/>
  <c r="D2651" i="1"/>
  <c r="C2651" i="1"/>
  <c r="B2651" i="1"/>
  <c r="A2651" i="1"/>
  <c r="J2650" i="1"/>
  <c r="I2650" i="1"/>
  <c r="H2650" i="1"/>
  <c r="G2650" i="1"/>
  <c r="F2650" i="1"/>
  <c r="E2650" i="1"/>
  <c r="D2650" i="1"/>
  <c r="C2650" i="1"/>
  <c r="B2650" i="1"/>
  <c r="A2650" i="1"/>
  <c r="J2649" i="1"/>
  <c r="I2649" i="1"/>
  <c r="H2649" i="1"/>
  <c r="G2649" i="1"/>
  <c r="E2649" i="1"/>
  <c r="D2649" i="1"/>
  <c r="C2649" i="1"/>
  <c r="B2649" i="1"/>
  <c r="A2649" i="1"/>
  <c r="J2648" i="1"/>
  <c r="I2648" i="1"/>
  <c r="H2648" i="1"/>
  <c r="G2648" i="1"/>
  <c r="E2648" i="1"/>
  <c r="D2648" i="1"/>
  <c r="C2648" i="1"/>
  <c r="B2648" i="1"/>
  <c r="A2648" i="1"/>
  <c r="J2647" i="1"/>
  <c r="I2647" i="1"/>
  <c r="H2647" i="1"/>
  <c r="G2647" i="1"/>
  <c r="F2647" i="1"/>
  <c r="E2647" i="1"/>
  <c r="D2647" i="1"/>
  <c r="C2647" i="1"/>
  <c r="B2647" i="1"/>
  <c r="A2647" i="1"/>
  <c r="J2646" i="1"/>
  <c r="I2646" i="1"/>
  <c r="H2646" i="1"/>
  <c r="G2646" i="1"/>
  <c r="F2646" i="1"/>
  <c r="E2646" i="1"/>
  <c r="D2646" i="1"/>
  <c r="C2646" i="1"/>
  <c r="B2646" i="1"/>
  <c r="A2646" i="1"/>
  <c r="J2645" i="1"/>
  <c r="I2645" i="1"/>
  <c r="H2645" i="1"/>
  <c r="G2645" i="1"/>
  <c r="E2645" i="1"/>
  <c r="D2645" i="1"/>
  <c r="C2645" i="1"/>
  <c r="B2645" i="1"/>
  <c r="A2645" i="1"/>
  <c r="J2644" i="1"/>
  <c r="I2644" i="1"/>
  <c r="H2644" i="1"/>
  <c r="G2644" i="1"/>
  <c r="E2644" i="1"/>
  <c r="D2644" i="1"/>
  <c r="C2644" i="1"/>
  <c r="B2644" i="1"/>
  <c r="A2644" i="1"/>
  <c r="J2643" i="1"/>
  <c r="I2643" i="1"/>
  <c r="H2643" i="1"/>
  <c r="G2643" i="1"/>
  <c r="E2643" i="1"/>
  <c r="D2643" i="1"/>
  <c r="C2643" i="1"/>
  <c r="B2643" i="1"/>
  <c r="A2643" i="1"/>
  <c r="J2642" i="1"/>
  <c r="I2642" i="1"/>
  <c r="H2642" i="1"/>
  <c r="G2642" i="1"/>
  <c r="E2642" i="1"/>
  <c r="D2642" i="1"/>
  <c r="C2642" i="1"/>
  <c r="B2642" i="1"/>
  <c r="A2642" i="1"/>
  <c r="J2641" i="1"/>
  <c r="I2641" i="1"/>
  <c r="H2641" i="1"/>
  <c r="G2641" i="1"/>
  <c r="E2641" i="1"/>
  <c r="D2641" i="1"/>
  <c r="C2641" i="1"/>
  <c r="B2641" i="1"/>
  <c r="A2641" i="1"/>
  <c r="J2640" i="1"/>
  <c r="I2640" i="1"/>
  <c r="H2640" i="1"/>
  <c r="G2640" i="1"/>
  <c r="F2640" i="1"/>
  <c r="E2640" i="1"/>
  <c r="D2640" i="1"/>
  <c r="C2640" i="1"/>
  <c r="B2640" i="1"/>
  <c r="A2640" i="1"/>
  <c r="J2639" i="1"/>
  <c r="I2639" i="1"/>
  <c r="H2639" i="1"/>
  <c r="G2639" i="1"/>
  <c r="F2639" i="1"/>
  <c r="E2639" i="1"/>
  <c r="D2639" i="1"/>
  <c r="C2639" i="1"/>
  <c r="B2639" i="1"/>
  <c r="A2639" i="1"/>
  <c r="J2638" i="1"/>
  <c r="I2638" i="1"/>
  <c r="H2638" i="1"/>
  <c r="G2638" i="1"/>
  <c r="E2638" i="1"/>
  <c r="D2638" i="1"/>
  <c r="C2638" i="1"/>
  <c r="B2638" i="1"/>
  <c r="A2638" i="1"/>
  <c r="J2637" i="1"/>
  <c r="I2637" i="1"/>
  <c r="H2637" i="1"/>
  <c r="G2637" i="1"/>
  <c r="E2637" i="1"/>
  <c r="D2637" i="1"/>
  <c r="C2637" i="1"/>
  <c r="B2637" i="1"/>
  <c r="A2637" i="1"/>
  <c r="J2636" i="1"/>
  <c r="I2636" i="1"/>
  <c r="H2636" i="1"/>
  <c r="G2636" i="1"/>
  <c r="E2636" i="1"/>
  <c r="D2636" i="1"/>
  <c r="C2636" i="1"/>
  <c r="B2636" i="1"/>
  <c r="A2636" i="1"/>
  <c r="J2635" i="1"/>
  <c r="I2635" i="1"/>
  <c r="H2635" i="1"/>
  <c r="G2635" i="1"/>
  <c r="E2635" i="1"/>
  <c r="D2635" i="1"/>
  <c r="C2635" i="1"/>
  <c r="B2635" i="1"/>
  <c r="A2635" i="1"/>
  <c r="J2634" i="1"/>
  <c r="I2634" i="1"/>
  <c r="H2634" i="1"/>
  <c r="G2634" i="1"/>
  <c r="E2634" i="1"/>
  <c r="D2634" i="1"/>
  <c r="C2634" i="1"/>
  <c r="B2634" i="1"/>
  <c r="A2634" i="1"/>
  <c r="J2633" i="1"/>
  <c r="I2633" i="1"/>
  <c r="H2633" i="1"/>
  <c r="G2633" i="1"/>
  <c r="E2633" i="1"/>
  <c r="D2633" i="1"/>
  <c r="C2633" i="1"/>
  <c r="B2633" i="1"/>
  <c r="A2633" i="1"/>
  <c r="J2632" i="1"/>
  <c r="I2632" i="1"/>
  <c r="H2632" i="1"/>
  <c r="G2632" i="1"/>
  <c r="E2632" i="1"/>
  <c r="D2632" i="1"/>
  <c r="C2632" i="1"/>
  <c r="B2632" i="1"/>
  <c r="A2632" i="1"/>
  <c r="J2631" i="1"/>
  <c r="I2631" i="1"/>
  <c r="H2631" i="1"/>
  <c r="G2631" i="1"/>
  <c r="E2631" i="1"/>
  <c r="D2631" i="1"/>
  <c r="C2631" i="1"/>
  <c r="B2631" i="1"/>
  <c r="A2631" i="1"/>
  <c r="J2630" i="1"/>
  <c r="I2630" i="1"/>
  <c r="H2630" i="1"/>
  <c r="G2630" i="1"/>
  <c r="E2630" i="1"/>
  <c r="D2630" i="1"/>
  <c r="C2630" i="1"/>
  <c r="B2630" i="1"/>
  <c r="A2630" i="1"/>
  <c r="J2629" i="1"/>
  <c r="I2629" i="1"/>
  <c r="H2629" i="1"/>
  <c r="G2629" i="1"/>
  <c r="F2629" i="1"/>
  <c r="E2629" i="1"/>
  <c r="D2629" i="1"/>
  <c r="C2629" i="1"/>
  <c r="B2629" i="1"/>
  <c r="A2629" i="1"/>
  <c r="J2628" i="1"/>
  <c r="I2628" i="1"/>
  <c r="H2628" i="1"/>
  <c r="G2628" i="1"/>
  <c r="F2628" i="1"/>
  <c r="E2628" i="1"/>
  <c r="D2628" i="1"/>
  <c r="C2628" i="1"/>
  <c r="B2628" i="1"/>
  <c r="A2628" i="1"/>
  <c r="J2627" i="1"/>
  <c r="I2627" i="1"/>
  <c r="H2627" i="1"/>
  <c r="G2627" i="1"/>
  <c r="F2627" i="1"/>
  <c r="E2627" i="1"/>
  <c r="D2627" i="1"/>
  <c r="C2627" i="1"/>
  <c r="B2627" i="1"/>
  <c r="A2627" i="1"/>
  <c r="J2626" i="1"/>
  <c r="I2626" i="1"/>
  <c r="H2626" i="1"/>
  <c r="G2626" i="1"/>
  <c r="E2626" i="1"/>
  <c r="D2626" i="1"/>
  <c r="C2626" i="1"/>
  <c r="B2626" i="1"/>
  <c r="A2626" i="1"/>
  <c r="J2625" i="1"/>
  <c r="I2625" i="1"/>
  <c r="H2625" i="1"/>
  <c r="G2625" i="1"/>
  <c r="E2625" i="1"/>
  <c r="D2625" i="1"/>
  <c r="C2625" i="1"/>
  <c r="B2625" i="1"/>
  <c r="A2625" i="1"/>
  <c r="J2624" i="1"/>
  <c r="I2624" i="1"/>
  <c r="H2624" i="1"/>
  <c r="G2624" i="1"/>
  <c r="F2624" i="1"/>
  <c r="E2624" i="1"/>
  <c r="D2624" i="1"/>
  <c r="C2624" i="1"/>
  <c r="B2624" i="1"/>
  <c r="A2624" i="1"/>
  <c r="J2623" i="1"/>
  <c r="I2623" i="1"/>
  <c r="H2623" i="1"/>
  <c r="G2623" i="1"/>
  <c r="E2623" i="1"/>
  <c r="D2623" i="1"/>
  <c r="C2623" i="1"/>
  <c r="B2623" i="1"/>
  <c r="A2623" i="1"/>
  <c r="J2622" i="1"/>
  <c r="I2622" i="1"/>
  <c r="H2622" i="1"/>
  <c r="G2622" i="1"/>
  <c r="E2622" i="1"/>
  <c r="D2622" i="1"/>
  <c r="C2622" i="1"/>
  <c r="B2622" i="1"/>
  <c r="A2622" i="1"/>
  <c r="J2621" i="1"/>
  <c r="I2621" i="1"/>
  <c r="H2621" i="1"/>
  <c r="G2621" i="1"/>
  <c r="E2621" i="1"/>
  <c r="D2621" i="1"/>
  <c r="C2621" i="1"/>
  <c r="B2621" i="1"/>
  <c r="A2621" i="1"/>
  <c r="J2620" i="1"/>
  <c r="I2620" i="1"/>
  <c r="H2620" i="1"/>
  <c r="G2620" i="1"/>
  <c r="F2620" i="1"/>
  <c r="E2620" i="1"/>
  <c r="D2620" i="1"/>
  <c r="C2620" i="1"/>
  <c r="B2620" i="1"/>
  <c r="A2620" i="1"/>
  <c r="J2619" i="1"/>
  <c r="I2619" i="1"/>
  <c r="H2619" i="1"/>
  <c r="G2619" i="1"/>
  <c r="E2619" i="1"/>
  <c r="D2619" i="1"/>
  <c r="C2619" i="1"/>
  <c r="B2619" i="1"/>
  <c r="A2619" i="1"/>
  <c r="J2618" i="1"/>
  <c r="I2618" i="1"/>
  <c r="H2618" i="1"/>
  <c r="G2618" i="1"/>
  <c r="E2618" i="1"/>
  <c r="D2618" i="1"/>
  <c r="C2618" i="1"/>
  <c r="B2618" i="1"/>
  <c r="A2618" i="1"/>
  <c r="J2617" i="1"/>
  <c r="I2617" i="1"/>
  <c r="H2617" i="1"/>
  <c r="G2617" i="1"/>
  <c r="E2617" i="1"/>
  <c r="D2617" i="1"/>
  <c r="C2617" i="1"/>
  <c r="B2617" i="1"/>
  <c r="A2617" i="1"/>
  <c r="J2616" i="1"/>
  <c r="I2616" i="1"/>
  <c r="H2616" i="1"/>
  <c r="G2616" i="1"/>
  <c r="E2616" i="1"/>
  <c r="D2616" i="1"/>
  <c r="C2616" i="1"/>
  <c r="B2616" i="1"/>
  <c r="A2616" i="1"/>
  <c r="J2615" i="1"/>
  <c r="I2615" i="1"/>
  <c r="H2615" i="1"/>
  <c r="G2615" i="1"/>
  <c r="E2615" i="1"/>
  <c r="D2615" i="1"/>
  <c r="C2615" i="1"/>
  <c r="B2615" i="1"/>
  <c r="A2615" i="1"/>
  <c r="J2614" i="1"/>
  <c r="I2614" i="1"/>
  <c r="H2614" i="1"/>
  <c r="G2614" i="1"/>
  <c r="E2614" i="1"/>
  <c r="D2614" i="1"/>
  <c r="C2614" i="1"/>
  <c r="B2614" i="1"/>
  <c r="A2614" i="1"/>
  <c r="J2613" i="1"/>
  <c r="I2613" i="1"/>
  <c r="H2613" i="1"/>
  <c r="G2613" i="1"/>
  <c r="F2613" i="1"/>
  <c r="E2613" i="1"/>
  <c r="D2613" i="1"/>
  <c r="C2613" i="1"/>
  <c r="B2613" i="1"/>
  <c r="A2613" i="1"/>
  <c r="J2612" i="1"/>
  <c r="I2612" i="1"/>
  <c r="H2612" i="1"/>
  <c r="G2612" i="1"/>
  <c r="E2612" i="1"/>
  <c r="D2612" i="1"/>
  <c r="C2612" i="1"/>
  <c r="B2612" i="1"/>
  <c r="A2612" i="1"/>
  <c r="J2611" i="1"/>
  <c r="I2611" i="1"/>
  <c r="H2611" i="1"/>
  <c r="G2611" i="1"/>
  <c r="F2611" i="1"/>
  <c r="E2611" i="1"/>
  <c r="D2611" i="1"/>
  <c r="C2611" i="1"/>
  <c r="B2611" i="1"/>
  <c r="A2611" i="1"/>
  <c r="J2610" i="1"/>
  <c r="I2610" i="1"/>
  <c r="H2610" i="1"/>
  <c r="G2610" i="1"/>
  <c r="F2610" i="1"/>
  <c r="E2610" i="1"/>
  <c r="D2610" i="1"/>
  <c r="C2610" i="1"/>
  <c r="B2610" i="1"/>
  <c r="A2610" i="1"/>
  <c r="J2609" i="1"/>
  <c r="I2609" i="1"/>
  <c r="H2609" i="1"/>
  <c r="G2609" i="1"/>
  <c r="F2609" i="1"/>
  <c r="E2609" i="1"/>
  <c r="D2609" i="1"/>
  <c r="C2609" i="1"/>
  <c r="B2609" i="1"/>
  <c r="A2609" i="1"/>
  <c r="J2608" i="1"/>
  <c r="I2608" i="1"/>
  <c r="H2608" i="1"/>
  <c r="G2608" i="1"/>
  <c r="F2608" i="1"/>
  <c r="E2608" i="1"/>
  <c r="D2608" i="1"/>
  <c r="C2608" i="1"/>
  <c r="B2608" i="1"/>
  <c r="A2608" i="1"/>
  <c r="J2607" i="1"/>
  <c r="I2607" i="1"/>
  <c r="H2607" i="1"/>
  <c r="G2607" i="1"/>
  <c r="F2607" i="1"/>
  <c r="E2607" i="1"/>
  <c r="D2607" i="1"/>
  <c r="C2607" i="1"/>
  <c r="B2607" i="1"/>
  <c r="A2607" i="1"/>
  <c r="J2606" i="1"/>
  <c r="I2606" i="1"/>
  <c r="H2606" i="1"/>
  <c r="G2606" i="1"/>
  <c r="F2606" i="1"/>
  <c r="E2606" i="1"/>
  <c r="D2606" i="1"/>
  <c r="C2606" i="1"/>
  <c r="B2606" i="1"/>
  <c r="A2606" i="1"/>
  <c r="J2605" i="1"/>
  <c r="I2605" i="1"/>
  <c r="H2605" i="1"/>
  <c r="G2605" i="1"/>
  <c r="E2605" i="1"/>
  <c r="D2605" i="1"/>
  <c r="C2605" i="1"/>
  <c r="B2605" i="1"/>
  <c r="A2605" i="1"/>
  <c r="J2604" i="1"/>
  <c r="I2604" i="1"/>
  <c r="H2604" i="1"/>
  <c r="G2604" i="1"/>
  <c r="E2604" i="1"/>
  <c r="D2604" i="1"/>
  <c r="C2604" i="1"/>
  <c r="B2604" i="1"/>
  <c r="A2604" i="1"/>
  <c r="J2603" i="1"/>
  <c r="I2603" i="1"/>
  <c r="H2603" i="1"/>
  <c r="G2603" i="1"/>
  <c r="F2603" i="1"/>
  <c r="E2603" i="1"/>
  <c r="D2603" i="1"/>
  <c r="C2603" i="1"/>
  <c r="B2603" i="1"/>
  <c r="A2603" i="1"/>
  <c r="J2602" i="1"/>
  <c r="I2602" i="1"/>
  <c r="H2602" i="1"/>
  <c r="G2602" i="1"/>
  <c r="F2602" i="1"/>
  <c r="E2602" i="1"/>
  <c r="D2602" i="1"/>
  <c r="C2602" i="1"/>
  <c r="B2602" i="1"/>
  <c r="A2602" i="1"/>
  <c r="J2601" i="1"/>
  <c r="I2601" i="1"/>
  <c r="H2601" i="1"/>
  <c r="G2601" i="1"/>
  <c r="F2601" i="1"/>
  <c r="E2601" i="1"/>
  <c r="D2601" i="1"/>
  <c r="C2601" i="1"/>
  <c r="B2601" i="1"/>
  <c r="A2601" i="1"/>
  <c r="J2600" i="1"/>
  <c r="I2600" i="1"/>
  <c r="H2600" i="1"/>
  <c r="G2600" i="1"/>
  <c r="E2600" i="1"/>
  <c r="D2600" i="1"/>
  <c r="C2600" i="1"/>
  <c r="B2600" i="1"/>
  <c r="A2600" i="1"/>
  <c r="J2599" i="1"/>
  <c r="I2599" i="1"/>
  <c r="H2599" i="1"/>
  <c r="G2599" i="1"/>
  <c r="E2599" i="1"/>
  <c r="D2599" i="1"/>
  <c r="C2599" i="1"/>
  <c r="B2599" i="1"/>
  <c r="A2599" i="1"/>
  <c r="J2598" i="1"/>
  <c r="I2598" i="1"/>
  <c r="H2598" i="1"/>
  <c r="G2598" i="1"/>
  <c r="E2598" i="1"/>
  <c r="D2598" i="1"/>
  <c r="C2598" i="1"/>
  <c r="B2598" i="1"/>
  <c r="A2598" i="1"/>
  <c r="J2597" i="1"/>
  <c r="I2597" i="1"/>
  <c r="H2597" i="1"/>
  <c r="G2597" i="1"/>
  <c r="E2597" i="1"/>
  <c r="D2597" i="1"/>
  <c r="C2597" i="1"/>
  <c r="B2597" i="1"/>
  <c r="A2597" i="1"/>
  <c r="J2596" i="1"/>
  <c r="I2596" i="1"/>
  <c r="H2596" i="1"/>
  <c r="G2596" i="1"/>
  <c r="F2596" i="1"/>
  <c r="E2596" i="1"/>
  <c r="D2596" i="1"/>
  <c r="C2596" i="1"/>
  <c r="B2596" i="1"/>
  <c r="A2596" i="1"/>
  <c r="J2595" i="1"/>
  <c r="I2595" i="1"/>
  <c r="H2595" i="1"/>
  <c r="G2595" i="1"/>
  <c r="F2595" i="1"/>
  <c r="E2595" i="1"/>
  <c r="D2595" i="1"/>
  <c r="C2595" i="1"/>
  <c r="B2595" i="1"/>
  <c r="A2595" i="1"/>
  <c r="J2594" i="1"/>
  <c r="I2594" i="1"/>
  <c r="H2594" i="1"/>
  <c r="G2594" i="1"/>
  <c r="F2594" i="1"/>
  <c r="E2594" i="1"/>
  <c r="D2594" i="1"/>
  <c r="C2594" i="1"/>
  <c r="B2594" i="1"/>
  <c r="A2594" i="1"/>
  <c r="J2593" i="1"/>
  <c r="I2593" i="1"/>
  <c r="H2593" i="1"/>
  <c r="G2593" i="1"/>
  <c r="F2593" i="1"/>
  <c r="E2593" i="1"/>
  <c r="D2593" i="1"/>
  <c r="C2593" i="1"/>
  <c r="B2593" i="1"/>
  <c r="A2593" i="1"/>
  <c r="J2592" i="1"/>
  <c r="I2592" i="1"/>
  <c r="H2592" i="1"/>
  <c r="G2592" i="1"/>
  <c r="F2592" i="1"/>
  <c r="E2592" i="1"/>
  <c r="D2592" i="1"/>
  <c r="C2592" i="1"/>
  <c r="B2592" i="1"/>
  <c r="A2592" i="1"/>
  <c r="J2591" i="1"/>
  <c r="I2591" i="1"/>
  <c r="H2591" i="1"/>
  <c r="G2591" i="1"/>
  <c r="F2591" i="1"/>
  <c r="E2591" i="1"/>
  <c r="D2591" i="1"/>
  <c r="C2591" i="1"/>
  <c r="B2591" i="1"/>
  <c r="A2591" i="1"/>
  <c r="J2590" i="1"/>
  <c r="I2590" i="1"/>
  <c r="H2590" i="1"/>
  <c r="G2590" i="1"/>
  <c r="F2590" i="1"/>
  <c r="E2590" i="1"/>
  <c r="D2590" i="1"/>
  <c r="C2590" i="1"/>
  <c r="B2590" i="1"/>
  <c r="A2590" i="1"/>
  <c r="J2589" i="1"/>
  <c r="I2589" i="1"/>
  <c r="H2589" i="1"/>
  <c r="G2589" i="1"/>
  <c r="E2589" i="1"/>
  <c r="D2589" i="1"/>
  <c r="C2589" i="1"/>
  <c r="B2589" i="1"/>
  <c r="A2589" i="1"/>
  <c r="J2588" i="1"/>
  <c r="I2588" i="1"/>
  <c r="H2588" i="1"/>
  <c r="G2588" i="1"/>
  <c r="F2588" i="1"/>
  <c r="E2588" i="1"/>
  <c r="D2588" i="1"/>
  <c r="C2588" i="1"/>
  <c r="B2588" i="1"/>
  <c r="A2588" i="1"/>
  <c r="J2587" i="1"/>
  <c r="I2587" i="1"/>
  <c r="H2587" i="1"/>
  <c r="G2587" i="1"/>
  <c r="F2587" i="1"/>
  <c r="E2587" i="1"/>
  <c r="D2587" i="1"/>
  <c r="C2587" i="1"/>
  <c r="B2587" i="1"/>
  <c r="A2587" i="1"/>
  <c r="J2586" i="1"/>
  <c r="I2586" i="1"/>
  <c r="H2586" i="1"/>
  <c r="G2586" i="1"/>
  <c r="E2586" i="1"/>
  <c r="D2586" i="1"/>
  <c r="C2586" i="1"/>
  <c r="B2586" i="1"/>
  <c r="A2586" i="1"/>
  <c r="J2585" i="1"/>
  <c r="I2585" i="1"/>
  <c r="H2585" i="1"/>
  <c r="G2585" i="1"/>
  <c r="E2585" i="1"/>
  <c r="D2585" i="1"/>
  <c r="C2585" i="1"/>
  <c r="B2585" i="1"/>
  <c r="A2585" i="1"/>
  <c r="J2584" i="1"/>
  <c r="I2584" i="1"/>
  <c r="H2584" i="1"/>
  <c r="G2584" i="1"/>
  <c r="E2584" i="1"/>
  <c r="D2584" i="1"/>
  <c r="C2584" i="1"/>
  <c r="B2584" i="1"/>
  <c r="A2584" i="1"/>
  <c r="J2583" i="1"/>
  <c r="I2583" i="1"/>
  <c r="H2583" i="1"/>
  <c r="G2583" i="1"/>
  <c r="E2583" i="1"/>
  <c r="D2583" i="1"/>
  <c r="C2583" i="1"/>
  <c r="B2583" i="1"/>
  <c r="A2583" i="1"/>
  <c r="J2582" i="1"/>
  <c r="I2582" i="1"/>
  <c r="H2582" i="1"/>
  <c r="G2582" i="1"/>
  <c r="E2582" i="1"/>
  <c r="D2582" i="1"/>
  <c r="C2582" i="1"/>
  <c r="B2582" i="1"/>
  <c r="A2582" i="1"/>
  <c r="J2581" i="1"/>
  <c r="I2581" i="1"/>
  <c r="H2581" i="1"/>
  <c r="G2581" i="1"/>
  <c r="E2581" i="1"/>
  <c r="D2581" i="1"/>
  <c r="C2581" i="1"/>
  <c r="B2581" i="1"/>
  <c r="A2581" i="1"/>
  <c r="J2580" i="1"/>
  <c r="I2580" i="1"/>
  <c r="H2580" i="1"/>
  <c r="G2580" i="1"/>
  <c r="F2580" i="1"/>
  <c r="E2580" i="1"/>
  <c r="D2580" i="1"/>
  <c r="C2580" i="1"/>
  <c r="B2580" i="1"/>
  <c r="A2580" i="1"/>
  <c r="J2579" i="1"/>
  <c r="I2579" i="1"/>
  <c r="H2579" i="1"/>
  <c r="G2579" i="1"/>
  <c r="E2579" i="1"/>
  <c r="D2579" i="1"/>
  <c r="C2579" i="1"/>
  <c r="B2579" i="1"/>
  <c r="A2579" i="1"/>
  <c r="J2578" i="1"/>
  <c r="I2578" i="1"/>
  <c r="H2578" i="1"/>
  <c r="G2578" i="1"/>
  <c r="F2578" i="1"/>
  <c r="E2578" i="1"/>
  <c r="D2578" i="1"/>
  <c r="C2578" i="1"/>
  <c r="B2578" i="1"/>
  <c r="A2578" i="1"/>
  <c r="J2577" i="1"/>
  <c r="I2577" i="1"/>
  <c r="H2577" i="1"/>
  <c r="G2577" i="1"/>
  <c r="E2577" i="1"/>
  <c r="D2577" i="1"/>
  <c r="C2577" i="1"/>
  <c r="B2577" i="1"/>
  <c r="A2577" i="1"/>
  <c r="J2576" i="1"/>
  <c r="I2576" i="1"/>
  <c r="H2576" i="1"/>
  <c r="G2576" i="1"/>
  <c r="F2576" i="1"/>
  <c r="E2576" i="1"/>
  <c r="D2576" i="1"/>
  <c r="C2576" i="1"/>
  <c r="B2576" i="1"/>
  <c r="A2576" i="1"/>
  <c r="J2575" i="1"/>
  <c r="I2575" i="1"/>
  <c r="H2575" i="1"/>
  <c r="G2575" i="1"/>
  <c r="F2575" i="1"/>
  <c r="E2575" i="1"/>
  <c r="D2575" i="1"/>
  <c r="C2575" i="1"/>
  <c r="B2575" i="1"/>
  <c r="A2575" i="1"/>
  <c r="J2574" i="1"/>
  <c r="I2574" i="1"/>
  <c r="H2574" i="1"/>
  <c r="G2574" i="1"/>
  <c r="F2574" i="1"/>
  <c r="E2574" i="1"/>
  <c r="D2574" i="1"/>
  <c r="C2574" i="1"/>
  <c r="B2574" i="1"/>
  <c r="A2574" i="1"/>
  <c r="J2573" i="1"/>
  <c r="I2573" i="1"/>
  <c r="H2573" i="1"/>
  <c r="G2573" i="1"/>
  <c r="F2573" i="1"/>
  <c r="E2573" i="1"/>
  <c r="D2573" i="1"/>
  <c r="C2573" i="1"/>
  <c r="B2573" i="1"/>
  <c r="A2573" i="1"/>
  <c r="J2572" i="1"/>
  <c r="I2572" i="1"/>
  <c r="H2572" i="1"/>
  <c r="G2572" i="1"/>
  <c r="F2572" i="1"/>
  <c r="E2572" i="1"/>
  <c r="D2572" i="1"/>
  <c r="C2572" i="1"/>
  <c r="B2572" i="1"/>
  <c r="A2572" i="1"/>
  <c r="J2571" i="1"/>
  <c r="I2571" i="1"/>
  <c r="H2571" i="1"/>
  <c r="G2571" i="1"/>
  <c r="F2571" i="1"/>
  <c r="E2571" i="1"/>
  <c r="D2571" i="1"/>
  <c r="C2571" i="1"/>
  <c r="B2571" i="1"/>
  <c r="A2571" i="1"/>
  <c r="J2570" i="1"/>
  <c r="I2570" i="1"/>
  <c r="H2570" i="1"/>
  <c r="G2570" i="1"/>
  <c r="E2570" i="1"/>
  <c r="D2570" i="1"/>
  <c r="C2570" i="1"/>
  <c r="B2570" i="1"/>
  <c r="A2570" i="1"/>
  <c r="J2569" i="1"/>
  <c r="I2569" i="1"/>
  <c r="H2569" i="1"/>
  <c r="G2569" i="1"/>
  <c r="E2569" i="1"/>
  <c r="D2569" i="1"/>
  <c r="C2569" i="1"/>
  <c r="B2569" i="1"/>
  <c r="A2569" i="1"/>
  <c r="J2568" i="1"/>
  <c r="I2568" i="1"/>
  <c r="H2568" i="1"/>
  <c r="G2568" i="1"/>
  <c r="E2568" i="1"/>
  <c r="D2568" i="1"/>
  <c r="C2568" i="1"/>
  <c r="B2568" i="1"/>
  <c r="A2568" i="1"/>
  <c r="J2567" i="1"/>
  <c r="I2567" i="1"/>
  <c r="H2567" i="1"/>
  <c r="G2567" i="1"/>
  <c r="F2567" i="1"/>
  <c r="E2567" i="1"/>
  <c r="D2567" i="1"/>
  <c r="C2567" i="1"/>
  <c r="B2567" i="1"/>
  <c r="A2567" i="1"/>
  <c r="J2566" i="1"/>
  <c r="I2566" i="1"/>
  <c r="H2566" i="1"/>
  <c r="G2566" i="1"/>
  <c r="F2566" i="1"/>
  <c r="E2566" i="1"/>
  <c r="D2566" i="1"/>
  <c r="C2566" i="1"/>
  <c r="B2566" i="1"/>
  <c r="A2566" i="1"/>
  <c r="J2565" i="1"/>
  <c r="I2565" i="1"/>
  <c r="H2565" i="1"/>
  <c r="G2565" i="1"/>
  <c r="F2565" i="1"/>
  <c r="E2565" i="1"/>
  <c r="D2565" i="1"/>
  <c r="C2565" i="1"/>
  <c r="B2565" i="1"/>
  <c r="A2565" i="1"/>
  <c r="J2564" i="1"/>
  <c r="I2564" i="1"/>
  <c r="H2564" i="1"/>
  <c r="G2564" i="1"/>
  <c r="E2564" i="1"/>
  <c r="D2564" i="1"/>
  <c r="C2564" i="1"/>
  <c r="B2564" i="1"/>
  <c r="A2564" i="1"/>
  <c r="J2563" i="1"/>
  <c r="I2563" i="1"/>
  <c r="H2563" i="1"/>
  <c r="G2563" i="1"/>
  <c r="E2563" i="1"/>
  <c r="D2563" i="1"/>
  <c r="C2563" i="1"/>
  <c r="B2563" i="1"/>
  <c r="A2563" i="1"/>
  <c r="J2562" i="1"/>
  <c r="I2562" i="1"/>
  <c r="H2562" i="1"/>
  <c r="G2562" i="1"/>
  <c r="F2562" i="1"/>
  <c r="E2562" i="1"/>
  <c r="D2562" i="1"/>
  <c r="C2562" i="1"/>
  <c r="B2562" i="1"/>
  <c r="A2562" i="1"/>
  <c r="J2561" i="1"/>
  <c r="I2561" i="1"/>
  <c r="H2561" i="1"/>
  <c r="G2561" i="1"/>
  <c r="E2561" i="1"/>
  <c r="D2561" i="1"/>
  <c r="C2561" i="1"/>
  <c r="B2561" i="1"/>
  <c r="A2561" i="1"/>
  <c r="J2560" i="1"/>
  <c r="I2560" i="1"/>
  <c r="H2560" i="1"/>
  <c r="G2560" i="1"/>
  <c r="E2560" i="1"/>
  <c r="D2560" i="1"/>
  <c r="C2560" i="1"/>
  <c r="B2560" i="1"/>
  <c r="A2560" i="1"/>
  <c r="J2559" i="1"/>
  <c r="I2559" i="1"/>
  <c r="H2559" i="1"/>
  <c r="G2559" i="1"/>
  <c r="E2559" i="1"/>
  <c r="D2559" i="1"/>
  <c r="C2559" i="1"/>
  <c r="B2559" i="1"/>
  <c r="A2559" i="1"/>
  <c r="J2558" i="1"/>
  <c r="I2558" i="1"/>
  <c r="H2558" i="1"/>
  <c r="G2558" i="1"/>
  <c r="E2558" i="1"/>
  <c r="D2558" i="1"/>
  <c r="C2558" i="1"/>
  <c r="B2558" i="1"/>
  <c r="A2558" i="1"/>
  <c r="J2557" i="1"/>
  <c r="I2557" i="1"/>
  <c r="H2557" i="1"/>
  <c r="G2557" i="1"/>
  <c r="E2557" i="1"/>
  <c r="D2557" i="1"/>
  <c r="C2557" i="1"/>
  <c r="B2557" i="1"/>
  <c r="A2557" i="1"/>
  <c r="J2556" i="1"/>
  <c r="I2556" i="1"/>
  <c r="H2556" i="1"/>
  <c r="G2556" i="1"/>
  <c r="F2556" i="1"/>
  <c r="E2556" i="1"/>
  <c r="D2556" i="1"/>
  <c r="C2556" i="1"/>
  <c r="B2556" i="1"/>
  <c r="A2556" i="1"/>
  <c r="J2555" i="1"/>
  <c r="I2555" i="1"/>
  <c r="H2555" i="1"/>
  <c r="G2555" i="1"/>
  <c r="F2555" i="1"/>
  <c r="E2555" i="1"/>
  <c r="D2555" i="1"/>
  <c r="C2555" i="1"/>
  <c r="B2555" i="1"/>
  <c r="A2555" i="1"/>
  <c r="J2554" i="1"/>
  <c r="I2554" i="1"/>
  <c r="H2554" i="1"/>
  <c r="G2554" i="1"/>
  <c r="F2554" i="1"/>
  <c r="E2554" i="1"/>
  <c r="D2554" i="1"/>
  <c r="C2554" i="1"/>
  <c r="B2554" i="1"/>
  <c r="A2554" i="1"/>
  <c r="J2553" i="1"/>
  <c r="I2553" i="1"/>
  <c r="H2553" i="1"/>
  <c r="G2553" i="1"/>
  <c r="F2553" i="1"/>
  <c r="E2553" i="1"/>
  <c r="D2553" i="1"/>
  <c r="C2553" i="1"/>
  <c r="B2553" i="1"/>
  <c r="A2553" i="1"/>
  <c r="J2552" i="1"/>
  <c r="I2552" i="1"/>
  <c r="H2552" i="1"/>
  <c r="G2552" i="1"/>
  <c r="E2552" i="1"/>
  <c r="D2552" i="1"/>
  <c r="C2552" i="1"/>
  <c r="B2552" i="1"/>
  <c r="A2552" i="1"/>
  <c r="J2551" i="1"/>
  <c r="I2551" i="1"/>
  <c r="H2551" i="1"/>
  <c r="G2551" i="1"/>
  <c r="F2551" i="1"/>
  <c r="E2551" i="1"/>
  <c r="D2551" i="1"/>
  <c r="C2551" i="1"/>
  <c r="B2551" i="1"/>
  <c r="A2551" i="1"/>
  <c r="J2550" i="1"/>
  <c r="I2550" i="1"/>
  <c r="H2550" i="1"/>
  <c r="G2550" i="1"/>
  <c r="F2550" i="1"/>
  <c r="E2550" i="1"/>
  <c r="D2550" i="1"/>
  <c r="C2550" i="1"/>
  <c r="B2550" i="1"/>
  <c r="A2550" i="1"/>
  <c r="J2549" i="1"/>
  <c r="I2549" i="1"/>
  <c r="H2549" i="1"/>
  <c r="G2549" i="1"/>
  <c r="E2549" i="1"/>
  <c r="D2549" i="1"/>
  <c r="C2549" i="1"/>
  <c r="B2549" i="1"/>
  <c r="A2549" i="1"/>
  <c r="J2548" i="1"/>
  <c r="I2548" i="1"/>
  <c r="H2548" i="1"/>
  <c r="G2548" i="1"/>
  <c r="E2548" i="1"/>
  <c r="D2548" i="1"/>
  <c r="C2548" i="1"/>
  <c r="B2548" i="1"/>
  <c r="A2548" i="1"/>
  <c r="J2547" i="1"/>
  <c r="I2547" i="1"/>
  <c r="H2547" i="1"/>
  <c r="G2547" i="1"/>
  <c r="E2547" i="1"/>
  <c r="D2547" i="1"/>
  <c r="C2547" i="1"/>
  <c r="B2547" i="1"/>
  <c r="A2547" i="1"/>
  <c r="J2546" i="1"/>
  <c r="I2546" i="1"/>
  <c r="H2546" i="1"/>
  <c r="G2546" i="1"/>
  <c r="E2546" i="1"/>
  <c r="D2546" i="1"/>
  <c r="C2546" i="1"/>
  <c r="B2546" i="1"/>
  <c r="A2546" i="1"/>
  <c r="J2545" i="1"/>
  <c r="I2545" i="1"/>
  <c r="H2545" i="1"/>
  <c r="G2545" i="1"/>
  <c r="E2545" i="1"/>
  <c r="D2545" i="1"/>
  <c r="C2545" i="1"/>
  <c r="B2545" i="1"/>
  <c r="A2545" i="1"/>
  <c r="J2544" i="1"/>
  <c r="I2544" i="1"/>
  <c r="H2544" i="1"/>
  <c r="G2544" i="1"/>
  <c r="E2544" i="1"/>
  <c r="D2544" i="1"/>
  <c r="C2544" i="1"/>
  <c r="B2544" i="1"/>
  <c r="A2544" i="1"/>
  <c r="J2543" i="1"/>
  <c r="I2543" i="1"/>
  <c r="H2543" i="1"/>
  <c r="G2543" i="1"/>
  <c r="E2543" i="1"/>
  <c r="D2543" i="1"/>
  <c r="C2543" i="1"/>
  <c r="B2543" i="1"/>
  <c r="A2543" i="1"/>
  <c r="J2542" i="1"/>
  <c r="I2542" i="1"/>
  <c r="H2542" i="1"/>
  <c r="G2542" i="1"/>
  <c r="E2542" i="1"/>
  <c r="D2542" i="1"/>
  <c r="C2542" i="1"/>
  <c r="B2542" i="1"/>
  <c r="A2542" i="1"/>
  <c r="J2541" i="1"/>
  <c r="I2541" i="1"/>
  <c r="H2541" i="1"/>
  <c r="G2541" i="1"/>
  <c r="E2541" i="1"/>
  <c r="D2541" i="1"/>
  <c r="C2541" i="1"/>
  <c r="B2541" i="1"/>
  <c r="A2541" i="1"/>
  <c r="J2540" i="1"/>
  <c r="I2540" i="1"/>
  <c r="H2540" i="1"/>
  <c r="G2540" i="1"/>
  <c r="E2540" i="1"/>
  <c r="D2540" i="1"/>
  <c r="C2540" i="1"/>
  <c r="B2540" i="1"/>
  <c r="A2540" i="1"/>
  <c r="J2539" i="1"/>
  <c r="I2539" i="1"/>
  <c r="H2539" i="1"/>
  <c r="G2539" i="1"/>
  <c r="E2539" i="1"/>
  <c r="D2539" i="1"/>
  <c r="C2539" i="1"/>
  <c r="B2539" i="1"/>
  <c r="A2539" i="1"/>
  <c r="J2538" i="1"/>
  <c r="I2538" i="1"/>
  <c r="H2538" i="1"/>
  <c r="G2538" i="1"/>
  <c r="E2538" i="1"/>
  <c r="D2538" i="1"/>
  <c r="C2538" i="1"/>
  <c r="B2538" i="1"/>
  <c r="A2538" i="1"/>
  <c r="J2537" i="1"/>
  <c r="I2537" i="1"/>
  <c r="H2537" i="1"/>
  <c r="G2537" i="1"/>
  <c r="E2537" i="1"/>
  <c r="D2537" i="1"/>
  <c r="C2537" i="1"/>
  <c r="B2537" i="1"/>
  <c r="A2537" i="1"/>
  <c r="J2536" i="1"/>
  <c r="I2536" i="1"/>
  <c r="H2536" i="1"/>
  <c r="G2536" i="1"/>
  <c r="F2536" i="1"/>
  <c r="E2536" i="1"/>
  <c r="D2536" i="1"/>
  <c r="C2536" i="1"/>
  <c r="B2536" i="1"/>
  <c r="A2536" i="1"/>
  <c r="J2535" i="1"/>
  <c r="I2535" i="1"/>
  <c r="H2535" i="1"/>
  <c r="G2535" i="1"/>
  <c r="E2535" i="1"/>
  <c r="D2535" i="1"/>
  <c r="C2535" i="1"/>
  <c r="B2535" i="1"/>
  <c r="A2535" i="1"/>
  <c r="J2534" i="1"/>
  <c r="I2534" i="1"/>
  <c r="H2534" i="1"/>
  <c r="G2534" i="1"/>
  <c r="F2534" i="1"/>
  <c r="E2534" i="1"/>
  <c r="D2534" i="1"/>
  <c r="C2534" i="1"/>
  <c r="B2534" i="1"/>
  <c r="A2534" i="1"/>
  <c r="J2533" i="1"/>
  <c r="I2533" i="1"/>
  <c r="H2533" i="1"/>
  <c r="G2533" i="1"/>
  <c r="F2533" i="1"/>
  <c r="E2533" i="1"/>
  <c r="D2533" i="1"/>
  <c r="C2533" i="1"/>
  <c r="B2533" i="1"/>
  <c r="A2533" i="1"/>
  <c r="J2532" i="1"/>
  <c r="I2532" i="1"/>
  <c r="H2532" i="1"/>
  <c r="G2532" i="1"/>
  <c r="F2532" i="1"/>
  <c r="E2532" i="1"/>
  <c r="D2532" i="1"/>
  <c r="C2532" i="1"/>
  <c r="B2532" i="1"/>
  <c r="A2532" i="1"/>
  <c r="J2531" i="1"/>
  <c r="I2531" i="1"/>
  <c r="H2531" i="1"/>
  <c r="G2531" i="1"/>
  <c r="E2531" i="1"/>
  <c r="D2531" i="1"/>
  <c r="C2531" i="1"/>
  <c r="B2531" i="1"/>
  <c r="A2531" i="1"/>
  <c r="J2530" i="1"/>
  <c r="I2530" i="1"/>
  <c r="H2530" i="1"/>
  <c r="G2530" i="1"/>
  <c r="F2530" i="1"/>
  <c r="E2530" i="1"/>
  <c r="D2530" i="1"/>
  <c r="C2530" i="1"/>
  <c r="B2530" i="1"/>
  <c r="A2530" i="1"/>
  <c r="J2529" i="1"/>
  <c r="I2529" i="1"/>
  <c r="H2529" i="1"/>
  <c r="G2529" i="1"/>
  <c r="F2529" i="1"/>
  <c r="E2529" i="1"/>
  <c r="D2529" i="1"/>
  <c r="C2529" i="1"/>
  <c r="B2529" i="1"/>
  <c r="A2529" i="1"/>
  <c r="J2528" i="1"/>
  <c r="I2528" i="1"/>
  <c r="H2528" i="1"/>
  <c r="G2528" i="1"/>
  <c r="F2528" i="1"/>
  <c r="E2528" i="1"/>
  <c r="D2528" i="1"/>
  <c r="C2528" i="1"/>
  <c r="B2528" i="1"/>
  <c r="A2528" i="1"/>
  <c r="J2527" i="1"/>
  <c r="I2527" i="1"/>
  <c r="H2527" i="1"/>
  <c r="G2527" i="1"/>
  <c r="E2527" i="1"/>
  <c r="D2527" i="1"/>
  <c r="C2527" i="1"/>
  <c r="B2527" i="1"/>
  <c r="A2527" i="1"/>
  <c r="J2526" i="1"/>
  <c r="I2526" i="1"/>
  <c r="H2526" i="1"/>
  <c r="G2526" i="1"/>
  <c r="E2526" i="1"/>
  <c r="D2526" i="1"/>
  <c r="C2526" i="1"/>
  <c r="B2526" i="1"/>
  <c r="A2526" i="1"/>
  <c r="J2525" i="1"/>
  <c r="I2525" i="1"/>
  <c r="H2525" i="1"/>
  <c r="G2525" i="1"/>
  <c r="F2525" i="1"/>
  <c r="E2525" i="1"/>
  <c r="D2525" i="1"/>
  <c r="C2525" i="1"/>
  <c r="B2525" i="1"/>
  <c r="A2525" i="1"/>
  <c r="J2524" i="1"/>
  <c r="I2524" i="1"/>
  <c r="H2524" i="1"/>
  <c r="G2524" i="1"/>
  <c r="E2524" i="1"/>
  <c r="D2524" i="1"/>
  <c r="C2524" i="1"/>
  <c r="B2524" i="1"/>
  <c r="A2524" i="1"/>
  <c r="J2523" i="1"/>
  <c r="I2523" i="1"/>
  <c r="H2523" i="1"/>
  <c r="G2523" i="1"/>
  <c r="F2523" i="1"/>
  <c r="E2523" i="1"/>
  <c r="D2523" i="1"/>
  <c r="C2523" i="1"/>
  <c r="B2523" i="1"/>
  <c r="A2523" i="1"/>
  <c r="J2522" i="1"/>
  <c r="I2522" i="1"/>
  <c r="H2522" i="1"/>
  <c r="G2522" i="1"/>
  <c r="F2522" i="1"/>
  <c r="E2522" i="1"/>
  <c r="D2522" i="1"/>
  <c r="C2522" i="1"/>
  <c r="B2522" i="1"/>
  <c r="A2522" i="1"/>
  <c r="J2521" i="1"/>
  <c r="I2521" i="1"/>
  <c r="H2521" i="1"/>
  <c r="G2521" i="1"/>
  <c r="F2521" i="1"/>
  <c r="E2521" i="1"/>
  <c r="D2521" i="1"/>
  <c r="C2521" i="1"/>
  <c r="B2521" i="1"/>
  <c r="A2521" i="1"/>
  <c r="J2520" i="1"/>
  <c r="I2520" i="1"/>
  <c r="H2520" i="1"/>
  <c r="G2520" i="1"/>
  <c r="E2520" i="1"/>
  <c r="D2520" i="1"/>
  <c r="C2520" i="1"/>
  <c r="B2520" i="1"/>
  <c r="A2520" i="1"/>
  <c r="J2519" i="1"/>
  <c r="I2519" i="1"/>
  <c r="H2519" i="1"/>
  <c r="G2519" i="1"/>
  <c r="E2519" i="1"/>
  <c r="D2519" i="1"/>
  <c r="C2519" i="1"/>
  <c r="B2519" i="1"/>
  <c r="A2519" i="1"/>
  <c r="J2518" i="1"/>
  <c r="I2518" i="1"/>
  <c r="H2518" i="1"/>
  <c r="G2518" i="1"/>
  <c r="E2518" i="1"/>
  <c r="D2518" i="1"/>
  <c r="C2518" i="1"/>
  <c r="B2518" i="1"/>
  <c r="A2518" i="1"/>
  <c r="J2517" i="1"/>
  <c r="I2517" i="1"/>
  <c r="H2517" i="1"/>
  <c r="G2517" i="1"/>
  <c r="F2517" i="1"/>
  <c r="E2517" i="1"/>
  <c r="D2517" i="1"/>
  <c r="C2517" i="1"/>
  <c r="B2517" i="1"/>
  <c r="A2517" i="1"/>
  <c r="J2516" i="1"/>
  <c r="I2516" i="1"/>
  <c r="H2516" i="1"/>
  <c r="G2516" i="1"/>
  <c r="F2516" i="1"/>
  <c r="E2516" i="1"/>
  <c r="D2516" i="1"/>
  <c r="C2516" i="1"/>
  <c r="B2516" i="1"/>
  <c r="A2516" i="1"/>
  <c r="J2515" i="1"/>
  <c r="I2515" i="1"/>
  <c r="H2515" i="1"/>
  <c r="G2515" i="1"/>
  <c r="F2515" i="1"/>
  <c r="E2515" i="1"/>
  <c r="D2515" i="1"/>
  <c r="C2515" i="1"/>
  <c r="B2515" i="1"/>
  <c r="A2515" i="1"/>
  <c r="J2514" i="1"/>
  <c r="I2514" i="1"/>
  <c r="H2514" i="1"/>
  <c r="G2514" i="1"/>
  <c r="E2514" i="1"/>
  <c r="D2514" i="1"/>
  <c r="C2514" i="1"/>
  <c r="B2514" i="1"/>
  <c r="A2514" i="1"/>
  <c r="J2513" i="1"/>
  <c r="I2513" i="1"/>
  <c r="H2513" i="1"/>
  <c r="G2513" i="1"/>
  <c r="F2513" i="1"/>
  <c r="E2513" i="1"/>
  <c r="D2513" i="1"/>
  <c r="C2513" i="1"/>
  <c r="B2513" i="1"/>
  <c r="A2513" i="1"/>
  <c r="J2512" i="1"/>
  <c r="I2512" i="1"/>
  <c r="H2512" i="1"/>
  <c r="G2512" i="1"/>
  <c r="F2512" i="1"/>
  <c r="E2512" i="1"/>
  <c r="D2512" i="1"/>
  <c r="C2512" i="1"/>
  <c r="B2512" i="1"/>
  <c r="A2512" i="1"/>
  <c r="J2511" i="1"/>
  <c r="I2511" i="1"/>
  <c r="H2511" i="1"/>
  <c r="G2511" i="1"/>
  <c r="E2511" i="1"/>
  <c r="D2511" i="1"/>
  <c r="C2511" i="1"/>
  <c r="B2511" i="1"/>
  <c r="A2511" i="1"/>
  <c r="J2510" i="1"/>
  <c r="I2510" i="1"/>
  <c r="H2510" i="1"/>
  <c r="G2510" i="1"/>
  <c r="E2510" i="1"/>
  <c r="D2510" i="1"/>
  <c r="C2510" i="1"/>
  <c r="B2510" i="1"/>
  <c r="A2510" i="1"/>
  <c r="J2509" i="1"/>
  <c r="I2509" i="1"/>
  <c r="H2509" i="1"/>
  <c r="G2509" i="1"/>
  <c r="F2509" i="1"/>
  <c r="E2509" i="1"/>
  <c r="D2509" i="1"/>
  <c r="C2509" i="1"/>
  <c r="B2509" i="1"/>
  <c r="A2509" i="1"/>
  <c r="J2508" i="1"/>
  <c r="I2508" i="1"/>
  <c r="H2508" i="1"/>
  <c r="G2508" i="1"/>
  <c r="F2508" i="1"/>
  <c r="E2508" i="1"/>
  <c r="D2508" i="1"/>
  <c r="C2508" i="1"/>
  <c r="B2508" i="1"/>
  <c r="A2508" i="1"/>
  <c r="J2507" i="1"/>
  <c r="I2507" i="1"/>
  <c r="H2507" i="1"/>
  <c r="G2507" i="1"/>
  <c r="F2507" i="1"/>
  <c r="E2507" i="1"/>
  <c r="D2507" i="1"/>
  <c r="C2507" i="1"/>
  <c r="B2507" i="1"/>
  <c r="A2507" i="1"/>
  <c r="J2506" i="1"/>
  <c r="I2506" i="1"/>
  <c r="H2506" i="1"/>
  <c r="G2506" i="1"/>
  <c r="E2506" i="1"/>
  <c r="D2506" i="1"/>
  <c r="C2506" i="1"/>
  <c r="B2506" i="1"/>
  <c r="A2506" i="1"/>
  <c r="J2505" i="1"/>
  <c r="I2505" i="1"/>
  <c r="H2505" i="1"/>
  <c r="G2505" i="1"/>
  <c r="F2505" i="1"/>
  <c r="E2505" i="1"/>
  <c r="D2505" i="1"/>
  <c r="C2505" i="1"/>
  <c r="B2505" i="1"/>
  <c r="A2505" i="1"/>
  <c r="J2504" i="1"/>
  <c r="I2504" i="1"/>
  <c r="H2504" i="1"/>
  <c r="G2504" i="1"/>
  <c r="F2504" i="1"/>
  <c r="E2504" i="1"/>
  <c r="D2504" i="1"/>
  <c r="C2504" i="1"/>
  <c r="B2504" i="1"/>
  <c r="A2504" i="1"/>
  <c r="J2503" i="1"/>
  <c r="I2503" i="1"/>
  <c r="H2503" i="1"/>
  <c r="G2503" i="1"/>
  <c r="F2503" i="1"/>
  <c r="E2503" i="1"/>
  <c r="D2503" i="1"/>
  <c r="C2503" i="1"/>
  <c r="B2503" i="1"/>
  <c r="A2503" i="1"/>
  <c r="J2502" i="1"/>
  <c r="I2502" i="1"/>
  <c r="H2502" i="1"/>
  <c r="G2502" i="1"/>
  <c r="E2502" i="1"/>
  <c r="D2502" i="1"/>
  <c r="C2502" i="1"/>
  <c r="B2502" i="1"/>
  <c r="A2502" i="1"/>
  <c r="J2501" i="1"/>
  <c r="I2501" i="1"/>
  <c r="H2501" i="1"/>
  <c r="G2501" i="1"/>
  <c r="E2501" i="1"/>
  <c r="D2501" i="1"/>
  <c r="C2501" i="1"/>
  <c r="B2501" i="1"/>
  <c r="A2501" i="1"/>
  <c r="J2500" i="1"/>
  <c r="I2500" i="1"/>
  <c r="H2500" i="1"/>
  <c r="G2500" i="1"/>
  <c r="E2500" i="1"/>
  <c r="D2500" i="1"/>
  <c r="C2500" i="1"/>
  <c r="B2500" i="1"/>
  <c r="A2500" i="1"/>
  <c r="J2499" i="1"/>
  <c r="I2499" i="1"/>
  <c r="H2499" i="1"/>
  <c r="G2499" i="1"/>
  <c r="F2499" i="1"/>
  <c r="E2499" i="1"/>
  <c r="D2499" i="1"/>
  <c r="C2499" i="1"/>
  <c r="B2499" i="1"/>
  <c r="A2499" i="1"/>
  <c r="J2498" i="1"/>
  <c r="I2498" i="1"/>
  <c r="H2498" i="1"/>
  <c r="G2498" i="1"/>
  <c r="E2498" i="1"/>
  <c r="D2498" i="1"/>
  <c r="C2498" i="1"/>
  <c r="B2498" i="1"/>
  <c r="A2498" i="1"/>
  <c r="J2497" i="1"/>
  <c r="I2497" i="1"/>
  <c r="H2497" i="1"/>
  <c r="G2497" i="1"/>
  <c r="E2497" i="1"/>
  <c r="D2497" i="1"/>
  <c r="C2497" i="1"/>
  <c r="B2497" i="1"/>
  <c r="A2497" i="1"/>
  <c r="J2496" i="1"/>
  <c r="I2496" i="1"/>
  <c r="H2496" i="1"/>
  <c r="G2496" i="1"/>
  <c r="E2496" i="1"/>
  <c r="D2496" i="1"/>
  <c r="C2496" i="1"/>
  <c r="B2496" i="1"/>
  <c r="A2496" i="1"/>
  <c r="J2495" i="1"/>
  <c r="I2495" i="1"/>
  <c r="H2495" i="1"/>
  <c r="G2495" i="1"/>
  <c r="E2495" i="1"/>
  <c r="D2495" i="1"/>
  <c r="C2495" i="1"/>
  <c r="B2495" i="1"/>
  <c r="A2495" i="1"/>
  <c r="J2494" i="1"/>
  <c r="I2494" i="1"/>
  <c r="H2494" i="1"/>
  <c r="G2494" i="1"/>
  <c r="F2494" i="1"/>
  <c r="E2494" i="1"/>
  <c r="D2494" i="1"/>
  <c r="C2494" i="1"/>
  <c r="B2494" i="1"/>
  <c r="A2494" i="1"/>
  <c r="J2493" i="1"/>
  <c r="I2493" i="1"/>
  <c r="H2493" i="1"/>
  <c r="G2493" i="1"/>
  <c r="F2493" i="1"/>
  <c r="E2493" i="1"/>
  <c r="D2493" i="1"/>
  <c r="C2493" i="1"/>
  <c r="B2493" i="1"/>
  <c r="A2493" i="1"/>
  <c r="J2492" i="1"/>
  <c r="I2492" i="1"/>
  <c r="H2492" i="1"/>
  <c r="G2492" i="1"/>
  <c r="F2492" i="1"/>
  <c r="E2492" i="1"/>
  <c r="D2492" i="1"/>
  <c r="C2492" i="1"/>
  <c r="B2492" i="1"/>
  <c r="A2492" i="1"/>
  <c r="J2491" i="1"/>
  <c r="I2491" i="1"/>
  <c r="H2491" i="1"/>
  <c r="G2491" i="1"/>
  <c r="F2491" i="1"/>
  <c r="E2491" i="1"/>
  <c r="D2491" i="1"/>
  <c r="C2491" i="1"/>
  <c r="B2491" i="1"/>
  <c r="A2491" i="1"/>
  <c r="J2490" i="1"/>
  <c r="I2490" i="1"/>
  <c r="H2490" i="1"/>
  <c r="G2490" i="1"/>
  <c r="E2490" i="1"/>
  <c r="D2490" i="1"/>
  <c r="C2490" i="1"/>
  <c r="B2490" i="1"/>
  <c r="A2490" i="1"/>
  <c r="J2489" i="1"/>
  <c r="I2489" i="1"/>
  <c r="H2489" i="1"/>
  <c r="G2489" i="1"/>
  <c r="E2489" i="1"/>
  <c r="D2489" i="1"/>
  <c r="C2489" i="1"/>
  <c r="B2489" i="1"/>
  <c r="A2489" i="1"/>
  <c r="J2488" i="1"/>
  <c r="I2488" i="1"/>
  <c r="H2488" i="1"/>
  <c r="G2488" i="1"/>
  <c r="F2488" i="1"/>
  <c r="E2488" i="1"/>
  <c r="D2488" i="1"/>
  <c r="C2488" i="1"/>
  <c r="B2488" i="1"/>
  <c r="A2488" i="1"/>
  <c r="J2487" i="1"/>
  <c r="I2487" i="1"/>
  <c r="H2487" i="1"/>
  <c r="G2487" i="1"/>
  <c r="E2487" i="1"/>
  <c r="D2487" i="1"/>
  <c r="C2487" i="1"/>
  <c r="B2487" i="1"/>
  <c r="A2487" i="1"/>
  <c r="J2486" i="1"/>
  <c r="I2486" i="1"/>
  <c r="H2486" i="1"/>
  <c r="G2486" i="1"/>
  <c r="F2486" i="1"/>
  <c r="E2486" i="1"/>
  <c r="D2486" i="1"/>
  <c r="C2486" i="1"/>
  <c r="B2486" i="1"/>
  <c r="A2486" i="1"/>
  <c r="J2485" i="1"/>
  <c r="I2485" i="1"/>
  <c r="H2485" i="1"/>
  <c r="G2485" i="1"/>
  <c r="E2485" i="1"/>
  <c r="D2485" i="1"/>
  <c r="C2485" i="1"/>
  <c r="B2485" i="1"/>
  <c r="A2485" i="1"/>
  <c r="J2484" i="1"/>
  <c r="I2484" i="1"/>
  <c r="H2484" i="1"/>
  <c r="G2484" i="1"/>
  <c r="E2484" i="1"/>
  <c r="D2484" i="1"/>
  <c r="C2484" i="1"/>
  <c r="B2484" i="1"/>
  <c r="A2484" i="1"/>
  <c r="J2483" i="1"/>
  <c r="I2483" i="1"/>
  <c r="H2483" i="1"/>
  <c r="G2483" i="1"/>
  <c r="E2483" i="1"/>
  <c r="D2483" i="1"/>
  <c r="C2483" i="1"/>
  <c r="B2483" i="1"/>
  <c r="A2483" i="1"/>
  <c r="J2482" i="1"/>
  <c r="I2482" i="1"/>
  <c r="H2482" i="1"/>
  <c r="G2482" i="1"/>
  <c r="E2482" i="1"/>
  <c r="D2482" i="1"/>
  <c r="C2482" i="1"/>
  <c r="B2482" i="1"/>
  <c r="A2482" i="1"/>
  <c r="J2481" i="1"/>
  <c r="I2481" i="1"/>
  <c r="H2481" i="1"/>
  <c r="G2481" i="1"/>
  <c r="E2481" i="1"/>
  <c r="D2481" i="1"/>
  <c r="C2481" i="1"/>
  <c r="B2481" i="1"/>
  <c r="A2481" i="1"/>
  <c r="J2480" i="1"/>
  <c r="I2480" i="1"/>
  <c r="H2480" i="1"/>
  <c r="G2480" i="1"/>
  <c r="F2480" i="1"/>
  <c r="E2480" i="1"/>
  <c r="D2480" i="1"/>
  <c r="C2480" i="1"/>
  <c r="B2480" i="1"/>
  <c r="A2480" i="1"/>
  <c r="J2479" i="1"/>
  <c r="I2479" i="1"/>
  <c r="H2479" i="1"/>
  <c r="G2479" i="1"/>
  <c r="E2479" i="1"/>
  <c r="D2479" i="1"/>
  <c r="C2479" i="1"/>
  <c r="B2479" i="1"/>
  <c r="A2479" i="1"/>
  <c r="J2478" i="1"/>
  <c r="I2478" i="1"/>
  <c r="H2478" i="1"/>
  <c r="G2478" i="1"/>
  <c r="E2478" i="1"/>
  <c r="D2478" i="1"/>
  <c r="C2478" i="1"/>
  <c r="B2478" i="1"/>
  <c r="A2478" i="1"/>
  <c r="J2477" i="1"/>
  <c r="I2477" i="1"/>
  <c r="H2477" i="1"/>
  <c r="G2477" i="1"/>
  <c r="F2477" i="1"/>
  <c r="E2477" i="1"/>
  <c r="D2477" i="1"/>
  <c r="C2477" i="1"/>
  <c r="B2477" i="1"/>
  <c r="A2477" i="1"/>
  <c r="J2476" i="1"/>
  <c r="I2476" i="1"/>
  <c r="H2476" i="1"/>
  <c r="G2476" i="1"/>
  <c r="F2476" i="1"/>
  <c r="E2476" i="1"/>
  <c r="D2476" i="1"/>
  <c r="C2476" i="1"/>
  <c r="B2476" i="1"/>
  <c r="A2476" i="1"/>
  <c r="J2475" i="1"/>
  <c r="I2475" i="1"/>
  <c r="H2475" i="1"/>
  <c r="G2475" i="1"/>
  <c r="F2475" i="1"/>
  <c r="E2475" i="1"/>
  <c r="D2475" i="1"/>
  <c r="C2475" i="1"/>
  <c r="B2475" i="1"/>
  <c r="A2475" i="1"/>
  <c r="J2474" i="1"/>
  <c r="I2474" i="1"/>
  <c r="H2474" i="1"/>
  <c r="G2474" i="1"/>
  <c r="E2474" i="1"/>
  <c r="D2474" i="1"/>
  <c r="C2474" i="1"/>
  <c r="B2474" i="1"/>
  <c r="A2474" i="1"/>
  <c r="J2473" i="1"/>
  <c r="I2473" i="1"/>
  <c r="H2473" i="1"/>
  <c r="G2473" i="1"/>
  <c r="E2473" i="1"/>
  <c r="D2473" i="1"/>
  <c r="C2473" i="1"/>
  <c r="B2473" i="1"/>
  <c r="A2473" i="1"/>
  <c r="J2472" i="1"/>
  <c r="I2472" i="1"/>
  <c r="H2472" i="1"/>
  <c r="G2472" i="1"/>
  <c r="F2472" i="1"/>
  <c r="E2472" i="1"/>
  <c r="D2472" i="1"/>
  <c r="C2472" i="1"/>
  <c r="B2472" i="1"/>
  <c r="A2472" i="1"/>
  <c r="J2471" i="1"/>
  <c r="I2471" i="1"/>
  <c r="H2471" i="1"/>
  <c r="G2471" i="1"/>
  <c r="E2471" i="1"/>
  <c r="D2471" i="1"/>
  <c r="C2471" i="1"/>
  <c r="B2471" i="1"/>
  <c r="A2471" i="1"/>
  <c r="J2470" i="1"/>
  <c r="I2470" i="1"/>
  <c r="H2470" i="1"/>
  <c r="G2470" i="1"/>
  <c r="F2470" i="1"/>
  <c r="E2470" i="1"/>
  <c r="D2470" i="1"/>
  <c r="C2470" i="1"/>
  <c r="B2470" i="1"/>
  <c r="A2470" i="1"/>
  <c r="J2469" i="1"/>
  <c r="I2469" i="1"/>
  <c r="H2469" i="1"/>
  <c r="G2469" i="1"/>
  <c r="F2469" i="1"/>
  <c r="E2469" i="1"/>
  <c r="D2469" i="1"/>
  <c r="C2469" i="1"/>
  <c r="B2469" i="1"/>
  <c r="A2469" i="1"/>
  <c r="J2468" i="1"/>
  <c r="I2468" i="1"/>
  <c r="H2468" i="1"/>
  <c r="G2468" i="1"/>
  <c r="E2468" i="1"/>
  <c r="D2468" i="1"/>
  <c r="C2468" i="1"/>
  <c r="B2468" i="1"/>
  <c r="A2468" i="1"/>
  <c r="J2467" i="1"/>
  <c r="I2467" i="1"/>
  <c r="H2467" i="1"/>
  <c r="G2467" i="1"/>
  <c r="F2467" i="1"/>
  <c r="E2467" i="1"/>
  <c r="D2467" i="1"/>
  <c r="C2467" i="1"/>
  <c r="B2467" i="1"/>
  <c r="A2467" i="1"/>
  <c r="J2466" i="1"/>
  <c r="I2466" i="1"/>
  <c r="H2466" i="1"/>
  <c r="G2466" i="1"/>
  <c r="E2466" i="1"/>
  <c r="D2466" i="1"/>
  <c r="C2466" i="1"/>
  <c r="B2466" i="1"/>
  <c r="A2466" i="1"/>
  <c r="J2465" i="1"/>
  <c r="I2465" i="1"/>
  <c r="H2465" i="1"/>
  <c r="G2465" i="1"/>
  <c r="F2465" i="1"/>
  <c r="E2465" i="1"/>
  <c r="D2465" i="1"/>
  <c r="C2465" i="1"/>
  <c r="B2465" i="1"/>
  <c r="A2465" i="1"/>
  <c r="J2464" i="1"/>
  <c r="I2464" i="1"/>
  <c r="H2464" i="1"/>
  <c r="G2464" i="1"/>
  <c r="E2464" i="1"/>
  <c r="D2464" i="1"/>
  <c r="C2464" i="1"/>
  <c r="B2464" i="1"/>
  <c r="A2464" i="1"/>
  <c r="J2463" i="1"/>
  <c r="I2463" i="1"/>
  <c r="H2463" i="1"/>
  <c r="G2463" i="1"/>
  <c r="E2463" i="1"/>
  <c r="D2463" i="1"/>
  <c r="C2463" i="1"/>
  <c r="B2463" i="1"/>
  <c r="A2463" i="1"/>
  <c r="J2462" i="1"/>
  <c r="I2462" i="1"/>
  <c r="H2462" i="1"/>
  <c r="G2462" i="1"/>
  <c r="E2462" i="1"/>
  <c r="D2462" i="1"/>
  <c r="C2462" i="1"/>
  <c r="B2462" i="1"/>
  <c r="A2462" i="1"/>
  <c r="J2461" i="1"/>
  <c r="I2461" i="1"/>
  <c r="H2461" i="1"/>
  <c r="G2461" i="1"/>
  <c r="F2461" i="1"/>
  <c r="E2461" i="1"/>
  <c r="D2461" i="1"/>
  <c r="C2461" i="1"/>
  <c r="B2461" i="1"/>
  <c r="A2461" i="1"/>
  <c r="J2460" i="1"/>
  <c r="I2460" i="1"/>
  <c r="H2460" i="1"/>
  <c r="G2460" i="1"/>
  <c r="E2460" i="1"/>
  <c r="D2460" i="1"/>
  <c r="C2460" i="1"/>
  <c r="B2460" i="1"/>
  <c r="A2460" i="1"/>
  <c r="J2459" i="1"/>
  <c r="I2459" i="1"/>
  <c r="H2459" i="1"/>
  <c r="G2459" i="1"/>
  <c r="F2459" i="1"/>
  <c r="E2459" i="1"/>
  <c r="D2459" i="1"/>
  <c r="C2459" i="1"/>
  <c r="B2459" i="1"/>
  <c r="A2459" i="1"/>
  <c r="J2458" i="1"/>
  <c r="I2458" i="1"/>
  <c r="H2458" i="1"/>
  <c r="G2458" i="1"/>
  <c r="F2458" i="1"/>
  <c r="E2458" i="1"/>
  <c r="D2458" i="1"/>
  <c r="C2458" i="1"/>
  <c r="B2458" i="1"/>
  <c r="A2458" i="1"/>
  <c r="J2457" i="1"/>
  <c r="I2457" i="1"/>
  <c r="H2457" i="1"/>
  <c r="G2457" i="1"/>
  <c r="F2457" i="1"/>
  <c r="E2457" i="1"/>
  <c r="D2457" i="1"/>
  <c r="C2457" i="1"/>
  <c r="B2457" i="1"/>
  <c r="A2457" i="1"/>
  <c r="J2456" i="1"/>
  <c r="I2456" i="1"/>
  <c r="H2456" i="1"/>
  <c r="G2456" i="1"/>
  <c r="E2456" i="1"/>
  <c r="D2456" i="1"/>
  <c r="C2456" i="1"/>
  <c r="B2456" i="1"/>
  <c r="A2456" i="1"/>
  <c r="J2455" i="1"/>
  <c r="I2455" i="1"/>
  <c r="H2455" i="1"/>
  <c r="G2455" i="1"/>
  <c r="F2455" i="1"/>
  <c r="E2455" i="1"/>
  <c r="D2455" i="1"/>
  <c r="C2455" i="1"/>
  <c r="B2455" i="1"/>
  <c r="A2455" i="1"/>
  <c r="J2454" i="1"/>
  <c r="I2454" i="1"/>
  <c r="H2454" i="1"/>
  <c r="G2454" i="1"/>
  <c r="E2454" i="1"/>
  <c r="D2454" i="1"/>
  <c r="C2454" i="1"/>
  <c r="B2454" i="1"/>
  <c r="A2454" i="1"/>
  <c r="J2453" i="1"/>
  <c r="I2453" i="1"/>
  <c r="H2453" i="1"/>
  <c r="G2453" i="1"/>
  <c r="E2453" i="1"/>
  <c r="D2453" i="1"/>
  <c r="C2453" i="1"/>
  <c r="B2453" i="1"/>
  <c r="A2453" i="1"/>
  <c r="J2452" i="1"/>
  <c r="I2452" i="1"/>
  <c r="H2452" i="1"/>
  <c r="G2452" i="1"/>
  <c r="E2452" i="1"/>
  <c r="D2452" i="1"/>
  <c r="C2452" i="1"/>
  <c r="B2452" i="1"/>
  <c r="A2452" i="1"/>
  <c r="J2451" i="1"/>
  <c r="I2451" i="1"/>
  <c r="H2451" i="1"/>
  <c r="G2451" i="1"/>
  <c r="E2451" i="1"/>
  <c r="D2451" i="1"/>
  <c r="C2451" i="1"/>
  <c r="B2451" i="1"/>
  <c r="A2451" i="1"/>
  <c r="J2450" i="1"/>
  <c r="I2450" i="1"/>
  <c r="H2450" i="1"/>
  <c r="G2450" i="1"/>
  <c r="E2450" i="1"/>
  <c r="D2450" i="1"/>
  <c r="C2450" i="1"/>
  <c r="B2450" i="1"/>
  <c r="A2450" i="1"/>
  <c r="J2449" i="1"/>
  <c r="I2449" i="1"/>
  <c r="H2449" i="1"/>
  <c r="G2449" i="1"/>
  <c r="E2449" i="1"/>
  <c r="D2449" i="1"/>
  <c r="C2449" i="1"/>
  <c r="B2449" i="1"/>
  <c r="A2449" i="1"/>
  <c r="J2448" i="1"/>
  <c r="I2448" i="1"/>
  <c r="H2448" i="1"/>
  <c r="G2448" i="1"/>
  <c r="E2448" i="1"/>
  <c r="D2448" i="1"/>
  <c r="C2448" i="1"/>
  <c r="B2448" i="1"/>
  <c r="A2448" i="1"/>
  <c r="J2447" i="1"/>
  <c r="I2447" i="1"/>
  <c r="H2447" i="1"/>
  <c r="G2447" i="1"/>
  <c r="F2447" i="1"/>
  <c r="E2447" i="1"/>
  <c r="D2447" i="1"/>
  <c r="C2447" i="1"/>
  <c r="B2447" i="1"/>
  <c r="A2447" i="1"/>
  <c r="J2446" i="1"/>
  <c r="I2446" i="1"/>
  <c r="H2446" i="1"/>
  <c r="G2446" i="1"/>
  <c r="E2446" i="1"/>
  <c r="D2446" i="1"/>
  <c r="C2446" i="1"/>
  <c r="B2446" i="1"/>
  <c r="A2446" i="1"/>
  <c r="J2445" i="1"/>
  <c r="I2445" i="1"/>
  <c r="H2445" i="1"/>
  <c r="G2445" i="1"/>
  <c r="E2445" i="1"/>
  <c r="D2445" i="1"/>
  <c r="C2445" i="1"/>
  <c r="B2445" i="1"/>
  <c r="A2445" i="1"/>
  <c r="J2444" i="1"/>
  <c r="I2444" i="1"/>
  <c r="H2444" i="1"/>
  <c r="G2444" i="1"/>
  <c r="F2444" i="1"/>
  <c r="E2444" i="1"/>
  <c r="D2444" i="1"/>
  <c r="C2444" i="1"/>
  <c r="B2444" i="1"/>
  <c r="A2444" i="1"/>
  <c r="J2443" i="1"/>
  <c r="I2443" i="1"/>
  <c r="H2443" i="1"/>
  <c r="G2443" i="1"/>
  <c r="E2443" i="1"/>
  <c r="D2443" i="1"/>
  <c r="C2443" i="1"/>
  <c r="B2443" i="1"/>
  <c r="A2443" i="1"/>
  <c r="J2442" i="1"/>
  <c r="I2442" i="1"/>
  <c r="H2442" i="1"/>
  <c r="G2442" i="1"/>
  <c r="F2442" i="1"/>
  <c r="E2442" i="1"/>
  <c r="D2442" i="1"/>
  <c r="C2442" i="1"/>
  <c r="B2442" i="1"/>
  <c r="A2442" i="1"/>
  <c r="J2441" i="1"/>
  <c r="I2441" i="1"/>
  <c r="H2441" i="1"/>
  <c r="G2441" i="1"/>
  <c r="F2441" i="1"/>
  <c r="E2441" i="1"/>
  <c r="D2441" i="1"/>
  <c r="C2441" i="1"/>
  <c r="B2441" i="1"/>
  <c r="A2441" i="1"/>
  <c r="J2440" i="1"/>
  <c r="I2440" i="1"/>
  <c r="H2440" i="1"/>
  <c r="G2440" i="1"/>
  <c r="E2440" i="1"/>
  <c r="D2440" i="1"/>
  <c r="C2440" i="1"/>
  <c r="B2440" i="1"/>
  <c r="A2440" i="1"/>
  <c r="J2439" i="1"/>
  <c r="I2439" i="1"/>
  <c r="H2439" i="1"/>
  <c r="G2439" i="1"/>
  <c r="F2439" i="1"/>
  <c r="E2439" i="1"/>
  <c r="D2439" i="1"/>
  <c r="C2439" i="1"/>
  <c r="B2439" i="1"/>
  <c r="A2439" i="1"/>
  <c r="J2438" i="1"/>
  <c r="I2438" i="1"/>
  <c r="H2438" i="1"/>
  <c r="G2438" i="1"/>
  <c r="E2438" i="1"/>
  <c r="D2438" i="1"/>
  <c r="C2438" i="1"/>
  <c r="B2438" i="1"/>
  <c r="A2438" i="1"/>
  <c r="J2437" i="1"/>
  <c r="I2437" i="1"/>
  <c r="H2437" i="1"/>
  <c r="G2437" i="1"/>
  <c r="E2437" i="1"/>
  <c r="D2437" i="1"/>
  <c r="C2437" i="1"/>
  <c r="B2437" i="1"/>
  <c r="A2437" i="1"/>
  <c r="J2436" i="1"/>
  <c r="I2436" i="1"/>
  <c r="H2436" i="1"/>
  <c r="G2436" i="1"/>
  <c r="E2436" i="1"/>
  <c r="D2436" i="1"/>
  <c r="C2436" i="1"/>
  <c r="B2436" i="1"/>
  <c r="A2436" i="1"/>
  <c r="J2435" i="1"/>
  <c r="I2435" i="1"/>
  <c r="H2435" i="1"/>
  <c r="G2435" i="1"/>
  <c r="E2435" i="1"/>
  <c r="D2435" i="1"/>
  <c r="C2435" i="1"/>
  <c r="B2435" i="1"/>
  <c r="A2435" i="1"/>
  <c r="J2434" i="1"/>
  <c r="I2434" i="1"/>
  <c r="H2434" i="1"/>
  <c r="G2434" i="1"/>
  <c r="E2434" i="1"/>
  <c r="D2434" i="1"/>
  <c r="C2434" i="1"/>
  <c r="B2434" i="1"/>
  <c r="A2434" i="1"/>
  <c r="J2433" i="1"/>
  <c r="I2433" i="1"/>
  <c r="H2433" i="1"/>
  <c r="G2433" i="1"/>
  <c r="E2433" i="1"/>
  <c r="D2433" i="1"/>
  <c r="C2433" i="1"/>
  <c r="B2433" i="1"/>
  <c r="A2433" i="1"/>
  <c r="J2432" i="1"/>
  <c r="I2432" i="1"/>
  <c r="H2432" i="1"/>
  <c r="G2432" i="1"/>
  <c r="E2432" i="1"/>
  <c r="D2432" i="1"/>
  <c r="C2432" i="1"/>
  <c r="B2432" i="1"/>
  <c r="A2432" i="1"/>
  <c r="J2431" i="1"/>
  <c r="I2431" i="1"/>
  <c r="H2431" i="1"/>
  <c r="G2431" i="1"/>
  <c r="E2431" i="1"/>
  <c r="D2431" i="1"/>
  <c r="C2431" i="1"/>
  <c r="B2431" i="1"/>
  <c r="A2431" i="1"/>
  <c r="J2430" i="1"/>
  <c r="I2430" i="1"/>
  <c r="H2430" i="1"/>
  <c r="G2430" i="1"/>
  <c r="E2430" i="1"/>
  <c r="D2430" i="1"/>
  <c r="C2430" i="1"/>
  <c r="B2430" i="1"/>
  <c r="A2430" i="1"/>
  <c r="J2429" i="1"/>
  <c r="I2429" i="1"/>
  <c r="H2429" i="1"/>
  <c r="G2429" i="1"/>
  <c r="F2429" i="1"/>
  <c r="E2429" i="1"/>
  <c r="D2429" i="1"/>
  <c r="C2429" i="1"/>
  <c r="B2429" i="1"/>
  <c r="A2429" i="1"/>
  <c r="J2428" i="1"/>
  <c r="I2428" i="1"/>
  <c r="H2428" i="1"/>
  <c r="G2428" i="1"/>
  <c r="F2428" i="1"/>
  <c r="E2428" i="1"/>
  <c r="D2428" i="1"/>
  <c r="C2428" i="1"/>
  <c r="B2428" i="1"/>
  <c r="A2428" i="1"/>
  <c r="J2427" i="1"/>
  <c r="I2427" i="1"/>
  <c r="H2427" i="1"/>
  <c r="G2427" i="1"/>
  <c r="E2427" i="1"/>
  <c r="D2427" i="1"/>
  <c r="C2427" i="1"/>
  <c r="B2427" i="1"/>
  <c r="A2427" i="1"/>
  <c r="J2426" i="1"/>
  <c r="I2426" i="1"/>
  <c r="H2426" i="1"/>
  <c r="G2426" i="1"/>
  <c r="F2426" i="1"/>
  <c r="E2426" i="1"/>
  <c r="D2426" i="1"/>
  <c r="C2426" i="1"/>
  <c r="B2426" i="1"/>
  <c r="A2426" i="1"/>
  <c r="J2425" i="1"/>
  <c r="I2425" i="1"/>
  <c r="H2425" i="1"/>
  <c r="G2425" i="1"/>
  <c r="E2425" i="1"/>
  <c r="D2425" i="1"/>
  <c r="C2425" i="1"/>
  <c r="B2425" i="1"/>
  <c r="A2425" i="1"/>
  <c r="J2424" i="1"/>
  <c r="I2424" i="1"/>
  <c r="H2424" i="1"/>
  <c r="G2424" i="1"/>
  <c r="E2424" i="1"/>
  <c r="D2424" i="1"/>
  <c r="C2424" i="1"/>
  <c r="B2424" i="1"/>
  <c r="A2424" i="1"/>
  <c r="J2423" i="1"/>
  <c r="I2423" i="1"/>
  <c r="H2423" i="1"/>
  <c r="G2423" i="1"/>
  <c r="F2423" i="1"/>
  <c r="E2423" i="1"/>
  <c r="D2423" i="1"/>
  <c r="C2423" i="1"/>
  <c r="B2423" i="1"/>
  <c r="A2423" i="1"/>
  <c r="J2422" i="1"/>
  <c r="I2422" i="1"/>
  <c r="H2422" i="1"/>
  <c r="G2422" i="1"/>
  <c r="E2422" i="1"/>
  <c r="D2422" i="1"/>
  <c r="C2422" i="1"/>
  <c r="B2422" i="1"/>
  <c r="A2422" i="1"/>
  <c r="J2421" i="1"/>
  <c r="I2421" i="1"/>
  <c r="H2421" i="1"/>
  <c r="G2421" i="1"/>
  <c r="F2421" i="1"/>
  <c r="E2421" i="1"/>
  <c r="D2421" i="1"/>
  <c r="C2421" i="1"/>
  <c r="B2421" i="1"/>
  <c r="A2421" i="1"/>
  <c r="J2420" i="1"/>
  <c r="I2420" i="1"/>
  <c r="H2420" i="1"/>
  <c r="G2420" i="1"/>
  <c r="E2420" i="1"/>
  <c r="D2420" i="1"/>
  <c r="C2420" i="1"/>
  <c r="B2420" i="1"/>
  <c r="A2420" i="1"/>
  <c r="J2419" i="1"/>
  <c r="I2419" i="1"/>
  <c r="H2419" i="1"/>
  <c r="G2419" i="1"/>
  <c r="E2419" i="1"/>
  <c r="D2419" i="1"/>
  <c r="C2419" i="1"/>
  <c r="B2419" i="1"/>
  <c r="A2419" i="1"/>
  <c r="J2418" i="1"/>
  <c r="I2418" i="1"/>
  <c r="H2418" i="1"/>
  <c r="G2418" i="1"/>
  <c r="E2418" i="1"/>
  <c r="D2418" i="1"/>
  <c r="C2418" i="1"/>
  <c r="B2418" i="1"/>
  <c r="A2418" i="1"/>
  <c r="J2417" i="1"/>
  <c r="I2417" i="1"/>
  <c r="H2417" i="1"/>
  <c r="G2417" i="1"/>
  <c r="E2417" i="1"/>
  <c r="D2417" i="1"/>
  <c r="C2417" i="1"/>
  <c r="B2417" i="1"/>
  <c r="A2417" i="1"/>
  <c r="J2416" i="1"/>
  <c r="I2416" i="1"/>
  <c r="H2416" i="1"/>
  <c r="G2416" i="1"/>
  <c r="E2416" i="1"/>
  <c r="D2416" i="1"/>
  <c r="C2416" i="1"/>
  <c r="B2416" i="1"/>
  <c r="A2416" i="1"/>
  <c r="J2415" i="1"/>
  <c r="I2415" i="1"/>
  <c r="H2415" i="1"/>
  <c r="G2415" i="1"/>
  <c r="E2415" i="1"/>
  <c r="D2415" i="1"/>
  <c r="C2415" i="1"/>
  <c r="B2415" i="1"/>
  <c r="A2415" i="1"/>
  <c r="J2414" i="1"/>
  <c r="I2414" i="1"/>
  <c r="H2414" i="1"/>
  <c r="G2414" i="1"/>
  <c r="E2414" i="1"/>
  <c r="D2414" i="1"/>
  <c r="C2414" i="1"/>
  <c r="B2414" i="1"/>
  <c r="A2414" i="1"/>
  <c r="J2413" i="1"/>
  <c r="I2413" i="1"/>
  <c r="H2413" i="1"/>
  <c r="G2413" i="1"/>
  <c r="E2413" i="1"/>
  <c r="D2413" i="1"/>
  <c r="C2413" i="1"/>
  <c r="B2413" i="1"/>
  <c r="A2413" i="1"/>
  <c r="J2412" i="1"/>
  <c r="I2412" i="1"/>
  <c r="H2412" i="1"/>
  <c r="G2412" i="1"/>
  <c r="F2412" i="1"/>
  <c r="E2412" i="1"/>
  <c r="D2412" i="1"/>
  <c r="C2412" i="1"/>
  <c r="B2412" i="1"/>
  <c r="A2412" i="1"/>
  <c r="J2411" i="1"/>
  <c r="I2411" i="1"/>
  <c r="H2411" i="1"/>
  <c r="G2411" i="1"/>
  <c r="F2411" i="1"/>
  <c r="E2411" i="1"/>
  <c r="D2411" i="1"/>
  <c r="C2411" i="1"/>
  <c r="B2411" i="1"/>
  <c r="A2411" i="1"/>
  <c r="J2410" i="1"/>
  <c r="I2410" i="1"/>
  <c r="H2410" i="1"/>
  <c r="G2410" i="1"/>
  <c r="F2410" i="1"/>
  <c r="E2410" i="1"/>
  <c r="D2410" i="1"/>
  <c r="C2410" i="1"/>
  <c r="B2410" i="1"/>
  <c r="A2410" i="1"/>
  <c r="J2409" i="1"/>
  <c r="I2409" i="1"/>
  <c r="H2409" i="1"/>
  <c r="G2409" i="1"/>
  <c r="E2409" i="1"/>
  <c r="D2409" i="1"/>
  <c r="C2409" i="1"/>
  <c r="B2409" i="1"/>
  <c r="A2409" i="1"/>
  <c r="J2408" i="1"/>
  <c r="I2408" i="1"/>
  <c r="H2408" i="1"/>
  <c r="G2408" i="1"/>
  <c r="E2408" i="1"/>
  <c r="D2408" i="1"/>
  <c r="C2408" i="1"/>
  <c r="B2408" i="1"/>
  <c r="A2408" i="1"/>
  <c r="J2407" i="1"/>
  <c r="I2407" i="1"/>
  <c r="H2407" i="1"/>
  <c r="G2407" i="1"/>
  <c r="F2407" i="1"/>
  <c r="E2407" i="1"/>
  <c r="D2407" i="1"/>
  <c r="C2407" i="1"/>
  <c r="B2407" i="1"/>
  <c r="A2407" i="1"/>
  <c r="J2406" i="1"/>
  <c r="I2406" i="1"/>
  <c r="H2406" i="1"/>
  <c r="G2406" i="1"/>
  <c r="E2406" i="1"/>
  <c r="D2406" i="1"/>
  <c r="C2406" i="1"/>
  <c r="B2406" i="1"/>
  <c r="A2406" i="1"/>
  <c r="J2405" i="1"/>
  <c r="I2405" i="1"/>
  <c r="H2405" i="1"/>
  <c r="G2405" i="1"/>
  <c r="E2405" i="1"/>
  <c r="D2405" i="1"/>
  <c r="C2405" i="1"/>
  <c r="B2405" i="1"/>
  <c r="A2405" i="1"/>
  <c r="J2404" i="1"/>
  <c r="I2404" i="1"/>
  <c r="H2404" i="1"/>
  <c r="G2404" i="1"/>
  <c r="F2404" i="1"/>
  <c r="E2404" i="1"/>
  <c r="D2404" i="1"/>
  <c r="C2404" i="1"/>
  <c r="B2404" i="1"/>
  <c r="A2404" i="1"/>
  <c r="J2403" i="1"/>
  <c r="I2403" i="1"/>
  <c r="H2403" i="1"/>
  <c r="G2403" i="1"/>
  <c r="F2403" i="1"/>
  <c r="E2403" i="1"/>
  <c r="D2403" i="1"/>
  <c r="C2403" i="1"/>
  <c r="B2403" i="1"/>
  <c r="A2403" i="1"/>
  <c r="J2402" i="1"/>
  <c r="I2402" i="1"/>
  <c r="H2402" i="1"/>
  <c r="G2402" i="1"/>
  <c r="F2402" i="1"/>
  <c r="E2402" i="1"/>
  <c r="D2402" i="1"/>
  <c r="C2402" i="1"/>
  <c r="B2402" i="1"/>
  <c r="A2402" i="1"/>
  <c r="J2401" i="1"/>
  <c r="I2401" i="1"/>
  <c r="H2401" i="1"/>
  <c r="G2401" i="1"/>
  <c r="F2401" i="1"/>
  <c r="E2401" i="1"/>
  <c r="D2401" i="1"/>
  <c r="C2401" i="1"/>
  <c r="B2401" i="1"/>
  <c r="A2401" i="1"/>
  <c r="J2400" i="1"/>
  <c r="I2400" i="1"/>
  <c r="H2400" i="1"/>
  <c r="G2400" i="1"/>
  <c r="E2400" i="1"/>
  <c r="D2400" i="1"/>
  <c r="C2400" i="1"/>
  <c r="B2400" i="1"/>
  <c r="A2400" i="1"/>
  <c r="J2399" i="1"/>
  <c r="I2399" i="1"/>
  <c r="H2399" i="1"/>
  <c r="G2399" i="1"/>
  <c r="E2399" i="1"/>
  <c r="D2399" i="1"/>
  <c r="C2399" i="1"/>
  <c r="B2399" i="1"/>
  <c r="A2399" i="1"/>
  <c r="J2398" i="1"/>
  <c r="I2398" i="1"/>
  <c r="H2398" i="1"/>
  <c r="G2398" i="1"/>
  <c r="F2398" i="1"/>
  <c r="E2398" i="1"/>
  <c r="D2398" i="1"/>
  <c r="C2398" i="1"/>
  <c r="B2398" i="1"/>
  <c r="A2398" i="1"/>
  <c r="J2397" i="1"/>
  <c r="I2397" i="1"/>
  <c r="H2397" i="1"/>
  <c r="G2397" i="1"/>
  <c r="E2397" i="1"/>
  <c r="D2397" i="1"/>
  <c r="C2397" i="1"/>
  <c r="B2397" i="1"/>
  <c r="A2397" i="1"/>
  <c r="J2396" i="1"/>
  <c r="I2396" i="1"/>
  <c r="H2396" i="1"/>
  <c r="G2396" i="1"/>
  <c r="F2396" i="1"/>
  <c r="E2396" i="1"/>
  <c r="D2396" i="1"/>
  <c r="C2396" i="1"/>
  <c r="B2396" i="1"/>
  <c r="A2396" i="1"/>
  <c r="J2395" i="1"/>
  <c r="I2395" i="1"/>
  <c r="H2395" i="1"/>
  <c r="G2395" i="1"/>
  <c r="E2395" i="1"/>
  <c r="D2395" i="1"/>
  <c r="C2395" i="1"/>
  <c r="B2395" i="1"/>
  <c r="A2395" i="1"/>
  <c r="J2394" i="1"/>
  <c r="I2394" i="1"/>
  <c r="H2394" i="1"/>
  <c r="G2394" i="1"/>
  <c r="E2394" i="1"/>
  <c r="D2394" i="1"/>
  <c r="C2394" i="1"/>
  <c r="B2394" i="1"/>
  <c r="A2394" i="1"/>
  <c r="J2393" i="1"/>
  <c r="I2393" i="1"/>
  <c r="H2393" i="1"/>
  <c r="G2393" i="1"/>
  <c r="F2393" i="1"/>
  <c r="E2393" i="1"/>
  <c r="D2393" i="1"/>
  <c r="C2393" i="1"/>
  <c r="B2393" i="1"/>
  <c r="A2393" i="1"/>
  <c r="J2392" i="1"/>
  <c r="I2392" i="1"/>
  <c r="H2392" i="1"/>
  <c r="G2392" i="1"/>
  <c r="E2392" i="1"/>
  <c r="D2392" i="1"/>
  <c r="C2392" i="1"/>
  <c r="B2392" i="1"/>
  <c r="A2392" i="1"/>
  <c r="J2391" i="1"/>
  <c r="I2391" i="1"/>
  <c r="H2391" i="1"/>
  <c r="G2391" i="1"/>
  <c r="E2391" i="1"/>
  <c r="D2391" i="1"/>
  <c r="C2391" i="1"/>
  <c r="B2391" i="1"/>
  <c r="A2391" i="1"/>
  <c r="J2390" i="1"/>
  <c r="I2390" i="1"/>
  <c r="H2390" i="1"/>
  <c r="G2390" i="1"/>
  <c r="F2390" i="1"/>
  <c r="E2390" i="1"/>
  <c r="D2390" i="1"/>
  <c r="C2390" i="1"/>
  <c r="B2390" i="1"/>
  <c r="A2390" i="1"/>
  <c r="J2389" i="1"/>
  <c r="I2389" i="1"/>
  <c r="H2389" i="1"/>
  <c r="G2389" i="1"/>
  <c r="E2389" i="1"/>
  <c r="D2389" i="1"/>
  <c r="C2389" i="1"/>
  <c r="B2389" i="1"/>
  <c r="A2389" i="1"/>
  <c r="J2388" i="1"/>
  <c r="I2388" i="1"/>
  <c r="H2388" i="1"/>
  <c r="G2388" i="1"/>
  <c r="F2388" i="1"/>
  <c r="E2388" i="1"/>
  <c r="D2388" i="1"/>
  <c r="C2388" i="1"/>
  <c r="B2388" i="1"/>
  <c r="A2388" i="1"/>
  <c r="J2387" i="1"/>
  <c r="I2387" i="1"/>
  <c r="H2387" i="1"/>
  <c r="G2387" i="1"/>
  <c r="E2387" i="1"/>
  <c r="D2387" i="1"/>
  <c r="C2387" i="1"/>
  <c r="B2387" i="1"/>
  <c r="A2387" i="1"/>
  <c r="J2386" i="1"/>
  <c r="I2386" i="1"/>
  <c r="H2386" i="1"/>
  <c r="G2386" i="1"/>
  <c r="E2386" i="1"/>
  <c r="D2386" i="1"/>
  <c r="C2386" i="1"/>
  <c r="B2386" i="1"/>
  <c r="A2386" i="1"/>
  <c r="J2385" i="1"/>
  <c r="I2385" i="1"/>
  <c r="H2385" i="1"/>
  <c r="G2385" i="1"/>
  <c r="E2385" i="1"/>
  <c r="D2385" i="1"/>
  <c r="C2385" i="1"/>
  <c r="B2385" i="1"/>
  <c r="A2385" i="1"/>
  <c r="J2384" i="1"/>
  <c r="I2384" i="1"/>
  <c r="H2384" i="1"/>
  <c r="G2384" i="1"/>
  <c r="E2384" i="1"/>
  <c r="D2384" i="1"/>
  <c r="C2384" i="1"/>
  <c r="B2384" i="1"/>
  <c r="A2384" i="1"/>
  <c r="J2383" i="1"/>
  <c r="I2383" i="1"/>
  <c r="H2383" i="1"/>
  <c r="G2383" i="1"/>
  <c r="F2383" i="1"/>
  <c r="E2383" i="1"/>
  <c r="D2383" i="1"/>
  <c r="C2383" i="1"/>
  <c r="B2383" i="1"/>
  <c r="A2383" i="1"/>
  <c r="J2382" i="1"/>
  <c r="I2382" i="1"/>
  <c r="H2382" i="1"/>
  <c r="G2382" i="1"/>
  <c r="F2382" i="1"/>
  <c r="E2382" i="1"/>
  <c r="D2382" i="1"/>
  <c r="C2382" i="1"/>
  <c r="B2382" i="1"/>
  <c r="A2382" i="1"/>
  <c r="J2381" i="1"/>
  <c r="I2381" i="1"/>
  <c r="H2381" i="1"/>
  <c r="G2381" i="1"/>
  <c r="E2381" i="1"/>
  <c r="D2381" i="1"/>
  <c r="C2381" i="1"/>
  <c r="B2381" i="1"/>
  <c r="A2381" i="1"/>
  <c r="J2380" i="1"/>
  <c r="I2380" i="1"/>
  <c r="H2380" i="1"/>
  <c r="G2380" i="1"/>
  <c r="E2380" i="1"/>
  <c r="D2380" i="1"/>
  <c r="C2380" i="1"/>
  <c r="B2380" i="1"/>
  <c r="A2380" i="1"/>
  <c r="J2379" i="1"/>
  <c r="I2379" i="1"/>
  <c r="H2379" i="1"/>
  <c r="G2379" i="1"/>
  <c r="E2379" i="1"/>
  <c r="D2379" i="1"/>
  <c r="C2379" i="1"/>
  <c r="B2379" i="1"/>
  <c r="A2379" i="1"/>
  <c r="J2378" i="1"/>
  <c r="I2378" i="1"/>
  <c r="H2378" i="1"/>
  <c r="G2378" i="1"/>
  <c r="E2378" i="1"/>
  <c r="D2378" i="1"/>
  <c r="C2378" i="1"/>
  <c r="B2378" i="1"/>
  <c r="A2378" i="1"/>
  <c r="J2377" i="1"/>
  <c r="I2377" i="1"/>
  <c r="H2377" i="1"/>
  <c r="G2377" i="1"/>
  <c r="F2377" i="1"/>
  <c r="E2377" i="1"/>
  <c r="D2377" i="1"/>
  <c r="C2377" i="1"/>
  <c r="B2377" i="1"/>
  <c r="A2377" i="1"/>
  <c r="J2376" i="1"/>
  <c r="I2376" i="1"/>
  <c r="H2376" i="1"/>
  <c r="G2376" i="1"/>
  <c r="F2376" i="1"/>
  <c r="E2376" i="1"/>
  <c r="D2376" i="1"/>
  <c r="C2376" i="1"/>
  <c r="B2376" i="1"/>
  <c r="A2376" i="1"/>
  <c r="J2375" i="1"/>
  <c r="I2375" i="1"/>
  <c r="H2375" i="1"/>
  <c r="G2375" i="1"/>
  <c r="E2375" i="1"/>
  <c r="D2375" i="1"/>
  <c r="C2375" i="1"/>
  <c r="B2375" i="1"/>
  <c r="A2375" i="1"/>
  <c r="J2374" i="1"/>
  <c r="I2374" i="1"/>
  <c r="H2374" i="1"/>
  <c r="G2374" i="1"/>
  <c r="F2374" i="1"/>
  <c r="E2374" i="1"/>
  <c r="D2374" i="1"/>
  <c r="C2374" i="1"/>
  <c r="B2374" i="1"/>
  <c r="A2374" i="1"/>
  <c r="J2373" i="1"/>
  <c r="I2373" i="1"/>
  <c r="H2373" i="1"/>
  <c r="G2373" i="1"/>
  <c r="F2373" i="1"/>
  <c r="E2373" i="1"/>
  <c r="D2373" i="1"/>
  <c r="C2373" i="1"/>
  <c r="B2373" i="1"/>
  <c r="A2373" i="1"/>
  <c r="J2372" i="1"/>
  <c r="I2372" i="1"/>
  <c r="H2372" i="1"/>
  <c r="G2372" i="1"/>
  <c r="F2372" i="1"/>
  <c r="E2372" i="1"/>
  <c r="D2372" i="1"/>
  <c r="C2372" i="1"/>
  <c r="B2372" i="1"/>
  <c r="A2372" i="1"/>
  <c r="J2371" i="1"/>
  <c r="I2371" i="1"/>
  <c r="H2371" i="1"/>
  <c r="G2371" i="1"/>
  <c r="F2371" i="1"/>
  <c r="E2371" i="1"/>
  <c r="D2371" i="1"/>
  <c r="C2371" i="1"/>
  <c r="B2371" i="1"/>
  <c r="A2371" i="1"/>
  <c r="J2370" i="1"/>
  <c r="I2370" i="1"/>
  <c r="H2370" i="1"/>
  <c r="G2370" i="1"/>
  <c r="F2370" i="1"/>
  <c r="E2370" i="1"/>
  <c r="D2370" i="1"/>
  <c r="C2370" i="1"/>
  <c r="B2370" i="1"/>
  <c r="A2370" i="1"/>
  <c r="J2369" i="1"/>
  <c r="I2369" i="1"/>
  <c r="H2369" i="1"/>
  <c r="G2369" i="1"/>
  <c r="F2369" i="1"/>
  <c r="E2369" i="1"/>
  <c r="D2369" i="1"/>
  <c r="C2369" i="1"/>
  <c r="B2369" i="1"/>
  <c r="A2369" i="1"/>
  <c r="J2368" i="1"/>
  <c r="I2368" i="1"/>
  <c r="H2368" i="1"/>
  <c r="G2368" i="1"/>
  <c r="F2368" i="1"/>
  <c r="E2368" i="1"/>
  <c r="D2368" i="1"/>
  <c r="C2368" i="1"/>
  <c r="B2368" i="1"/>
  <c r="A2368" i="1"/>
  <c r="J2367" i="1"/>
  <c r="I2367" i="1"/>
  <c r="H2367" i="1"/>
  <c r="G2367" i="1"/>
  <c r="F2367" i="1"/>
  <c r="E2367" i="1"/>
  <c r="D2367" i="1"/>
  <c r="C2367" i="1"/>
  <c r="B2367" i="1"/>
  <c r="A2367" i="1"/>
  <c r="J2366" i="1"/>
  <c r="I2366" i="1"/>
  <c r="H2366" i="1"/>
  <c r="G2366" i="1"/>
  <c r="F2366" i="1"/>
  <c r="E2366" i="1"/>
  <c r="D2366" i="1"/>
  <c r="C2366" i="1"/>
  <c r="B2366" i="1"/>
  <c r="A2366" i="1"/>
  <c r="J2365" i="1"/>
  <c r="I2365" i="1"/>
  <c r="H2365" i="1"/>
  <c r="G2365" i="1"/>
  <c r="E2365" i="1"/>
  <c r="D2365" i="1"/>
  <c r="C2365" i="1"/>
  <c r="B2365" i="1"/>
  <c r="A2365" i="1"/>
  <c r="J2364" i="1"/>
  <c r="I2364" i="1"/>
  <c r="H2364" i="1"/>
  <c r="G2364" i="1"/>
  <c r="E2364" i="1"/>
  <c r="D2364" i="1"/>
  <c r="C2364" i="1"/>
  <c r="B2364" i="1"/>
  <c r="A2364" i="1"/>
  <c r="J2363" i="1"/>
  <c r="I2363" i="1"/>
  <c r="H2363" i="1"/>
  <c r="G2363" i="1"/>
  <c r="F2363" i="1"/>
  <c r="E2363" i="1"/>
  <c r="D2363" i="1"/>
  <c r="C2363" i="1"/>
  <c r="B2363" i="1"/>
  <c r="A2363" i="1"/>
  <c r="J2362" i="1"/>
  <c r="I2362" i="1"/>
  <c r="H2362" i="1"/>
  <c r="G2362" i="1"/>
  <c r="F2362" i="1"/>
  <c r="E2362" i="1"/>
  <c r="D2362" i="1"/>
  <c r="C2362" i="1"/>
  <c r="B2362" i="1"/>
  <c r="A2362" i="1"/>
  <c r="J2361" i="1"/>
  <c r="I2361" i="1"/>
  <c r="H2361" i="1"/>
  <c r="G2361" i="1"/>
  <c r="E2361" i="1"/>
  <c r="D2361" i="1"/>
  <c r="C2361" i="1"/>
  <c r="B2361" i="1"/>
  <c r="A2361" i="1"/>
  <c r="J2360" i="1"/>
  <c r="I2360" i="1"/>
  <c r="H2360" i="1"/>
  <c r="G2360" i="1"/>
  <c r="E2360" i="1"/>
  <c r="D2360" i="1"/>
  <c r="C2360" i="1"/>
  <c r="B2360" i="1"/>
  <c r="A2360" i="1"/>
  <c r="J2359" i="1"/>
  <c r="I2359" i="1"/>
  <c r="H2359" i="1"/>
  <c r="G2359" i="1"/>
  <c r="F2359" i="1"/>
  <c r="E2359" i="1"/>
  <c r="D2359" i="1"/>
  <c r="C2359" i="1"/>
  <c r="B2359" i="1"/>
  <c r="A2359" i="1"/>
  <c r="J2358" i="1"/>
  <c r="I2358" i="1"/>
  <c r="H2358" i="1"/>
  <c r="G2358" i="1"/>
  <c r="E2358" i="1"/>
  <c r="D2358" i="1"/>
  <c r="C2358" i="1"/>
  <c r="B2358" i="1"/>
  <c r="A2358" i="1"/>
  <c r="J2357" i="1"/>
  <c r="I2357" i="1"/>
  <c r="H2357" i="1"/>
  <c r="G2357" i="1"/>
  <c r="E2357" i="1"/>
  <c r="D2357" i="1"/>
  <c r="C2357" i="1"/>
  <c r="B2357" i="1"/>
  <c r="A2357" i="1"/>
  <c r="J2356" i="1"/>
  <c r="I2356" i="1"/>
  <c r="H2356" i="1"/>
  <c r="G2356" i="1"/>
  <c r="F2356" i="1"/>
  <c r="E2356" i="1"/>
  <c r="D2356" i="1"/>
  <c r="C2356" i="1"/>
  <c r="B2356" i="1"/>
  <c r="A2356" i="1"/>
  <c r="J2355" i="1"/>
  <c r="I2355" i="1"/>
  <c r="H2355" i="1"/>
  <c r="G2355" i="1"/>
  <c r="F2355" i="1"/>
  <c r="E2355" i="1"/>
  <c r="D2355" i="1"/>
  <c r="C2355" i="1"/>
  <c r="B2355" i="1"/>
  <c r="A2355" i="1"/>
  <c r="J2354" i="1"/>
  <c r="I2354" i="1"/>
  <c r="H2354" i="1"/>
  <c r="G2354" i="1"/>
  <c r="E2354" i="1"/>
  <c r="D2354" i="1"/>
  <c r="C2354" i="1"/>
  <c r="B2354" i="1"/>
  <c r="A2354" i="1"/>
  <c r="J2353" i="1"/>
  <c r="I2353" i="1"/>
  <c r="H2353" i="1"/>
  <c r="G2353" i="1"/>
  <c r="F2353" i="1"/>
  <c r="E2353" i="1"/>
  <c r="D2353" i="1"/>
  <c r="C2353" i="1"/>
  <c r="B2353" i="1"/>
  <c r="A2353" i="1"/>
  <c r="J2352" i="1"/>
  <c r="I2352" i="1"/>
  <c r="H2352" i="1"/>
  <c r="G2352" i="1"/>
  <c r="F2352" i="1"/>
  <c r="E2352" i="1"/>
  <c r="D2352" i="1"/>
  <c r="C2352" i="1"/>
  <c r="B2352" i="1"/>
  <c r="A2352" i="1"/>
  <c r="J2351" i="1"/>
  <c r="I2351" i="1"/>
  <c r="H2351" i="1"/>
  <c r="G2351" i="1"/>
  <c r="F2351" i="1"/>
  <c r="E2351" i="1"/>
  <c r="D2351" i="1"/>
  <c r="C2351" i="1"/>
  <c r="B2351" i="1"/>
  <c r="A2351" i="1"/>
  <c r="J2350" i="1"/>
  <c r="I2350" i="1"/>
  <c r="H2350" i="1"/>
  <c r="G2350" i="1"/>
  <c r="E2350" i="1"/>
  <c r="D2350" i="1"/>
  <c r="C2350" i="1"/>
  <c r="B2350" i="1"/>
  <c r="A2350" i="1"/>
  <c r="J2349" i="1"/>
  <c r="I2349" i="1"/>
  <c r="H2349" i="1"/>
  <c r="G2349" i="1"/>
  <c r="F2349" i="1"/>
  <c r="E2349" i="1"/>
  <c r="D2349" i="1"/>
  <c r="C2349" i="1"/>
  <c r="B2349" i="1"/>
  <c r="A2349" i="1"/>
  <c r="J2348" i="1"/>
  <c r="I2348" i="1"/>
  <c r="H2348" i="1"/>
  <c r="G2348" i="1"/>
  <c r="F2348" i="1"/>
  <c r="E2348" i="1"/>
  <c r="D2348" i="1"/>
  <c r="C2348" i="1"/>
  <c r="B2348" i="1"/>
  <c r="A2348" i="1"/>
  <c r="J2347" i="1"/>
  <c r="I2347" i="1"/>
  <c r="H2347" i="1"/>
  <c r="G2347" i="1"/>
  <c r="F2347" i="1"/>
  <c r="E2347" i="1"/>
  <c r="D2347" i="1"/>
  <c r="C2347" i="1"/>
  <c r="B2347" i="1"/>
  <c r="A2347" i="1"/>
  <c r="J2346" i="1"/>
  <c r="I2346" i="1"/>
  <c r="H2346" i="1"/>
  <c r="G2346" i="1"/>
  <c r="E2346" i="1"/>
  <c r="D2346" i="1"/>
  <c r="C2346" i="1"/>
  <c r="B2346" i="1"/>
  <c r="A2346" i="1"/>
  <c r="J2345" i="1"/>
  <c r="I2345" i="1"/>
  <c r="H2345" i="1"/>
  <c r="G2345" i="1"/>
  <c r="E2345" i="1"/>
  <c r="D2345" i="1"/>
  <c r="C2345" i="1"/>
  <c r="B2345" i="1"/>
  <c r="A2345" i="1"/>
  <c r="J2344" i="1"/>
  <c r="I2344" i="1"/>
  <c r="H2344" i="1"/>
  <c r="G2344" i="1"/>
  <c r="E2344" i="1"/>
  <c r="D2344" i="1"/>
  <c r="C2344" i="1"/>
  <c r="B2344" i="1"/>
  <c r="A2344" i="1"/>
  <c r="J2343" i="1"/>
  <c r="I2343" i="1"/>
  <c r="H2343" i="1"/>
  <c r="G2343" i="1"/>
  <c r="F2343" i="1"/>
  <c r="E2343" i="1"/>
  <c r="D2343" i="1"/>
  <c r="C2343" i="1"/>
  <c r="B2343" i="1"/>
  <c r="A2343" i="1"/>
  <c r="J2342" i="1"/>
  <c r="I2342" i="1"/>
  <c r="H2342" i="1"/>
  <c r="G2342" i="1"/>
  <c r="F2342" i="1"/>
  <c r="E2342" i="1"/>
  <c r="D2342" i="1"/>
  <c r="C2342" i="1"/>
  <c r="B2342" i="1"/>
  <c r="A2342" i="1"/>
  <c r="J2341" i="1"/>
  <c r="I2341" i="1"/>
  <c r="H2341" i="1"/>
  <c r="G2341" i="1"/>
  <c r="F2341" i="1"/>
  <c r="E2341" i="1"/>
  <c r="D2341" i="1"/>
  <c r="C2341" i="1"/>
  <c r="B2341" i="1"/>
  <c r="A2341" i="1"/>
  <c r="J2340" i="1"/>
  <c r="I2340" i="1"/>
  <c r="H2340" i="1"/>
  <c r="G2340" i="1"/>
  <c r="F2340" i="1"/>
  <c r="E2340" i="1"/>
  <c r="D2340" i="1"/>
  <c r="C2340" i="1"/>
  <c r="B2340" i="1"/>
  <c r="A2340" i="1"/>
  <c r="J2339" i="1"/>
  <c r="I2339" i="1"/>
  <c r="H2339" i="1"/>
  <c r="G2339" i="1"/>
  <c r="E2339" i="1"/>
  <c r="D2339" i="1"/>
  <c r="C2339" i="1"/>
  <c r="B2339" i="1"/>
  <c r="A2339" i="1"/>
  <c r="J2338" i="1"/>
  <c r="I2338" i="1"/>
  <c r="H2338" i="1"/>
  <c r="G2338" i="1"/>
  <c r="F2338" i="1"/>
  <c r="E2338" i="1"/>
  <c r="D2338" i="1"/>
  <c r="C2338" i="1"/>
  <c r="B2338" i="1"/>
  <c r="A2338" i="1"/>
  <c r="J2337" i="1"/>
  <c r="I2337" i="1"/>
  <c r="H2337" i="1"/>
  <c r="G2337" i="1"/>
  <c r="F2337" i="1"/>
  <c r="E2337" i="1"/>
  <c r="D2337" i="1"/>
  <c r="C2337" i="1"/>
  <c r="B2337" i="1"/>
  <c r="A2337" i="1"/>
  <c r="J2336" i="1"/>
  <c r="I2336" i="1"/>
  <c r="H2336" i="1"/>
  <c r="G2336" i="1"/>
  <c r="F2336" i="1"/>
  <c r="E2336" i="1"/>
  <c r="D2336" i="1"/>
  <c r="C2336" i="1"/>
  <c r="B2336" i="1"/>
  <c r="A2336" i="1"/>
  <c r="J2335" i="1"/>
  <c r="I2335" i="1"/>
  <c r="H2335" i="1"/>
  <c r="G2335" i="1"/>
  <c r="E2335" i="1"/>
  <c r="D2335" i="1"/>
  <c r="C2335" i="1"/>
  <c r="B2335" i="1"/>
  <c r="A2335" i="1"/>
  <c r="J2334" i="1"/>
  <c r="I2334" i="1"/>
  <c r="H2334" i="1"/>
  <c r="G2334" i="1"/>
  <c r="E2334" i="1"/>
  <c r="D2334" i="1"/>
  <c r="C2334" i="1"/>
  <c r="B2334" i="1"/>
  <c r="A2334" i="1"/>
  <c r="J2333" i="1"/>
  <c r="I2333" i="1"/>
  <c r="H2333" i="1"/>
  <c r="G2333" i="1"/>
  <c r="E2333" i="1"/>
  <c r="D2333" i="1"/>
  <c r="C2333" i="1"/>
  <c r="B2333" i="1"/>
  <c r="A2333" i="1"/>
  <c r="J2332" i="1"/>
  <c r="I2332" i="1"/>
  <c r="H2332" i="1"/>
  <c r="G2332" i="1"/>
  <c r="E2332" i="1"/>
  <c r="D2332" i="1"/>
  <c r="C2332" i="1"/>
  <c r="B2332" i="1"/>
  <c r="A2332" i="1"/>
  <c r="J2331" i="1"/>
  <c r="I2331" i="1"/>
  <c r="H2331" i="1"/>
  <c r="G2331" i="1"/>
  <c r="F2331" i="1"/>
  <c r="E2331" i="1"/>
  <c r="D2331" i="1"/>
  <c r="C2331" i="1"/>
  <c r="B2331" i="1"/>
  <c r="A2331" i="1"/>
  <c r="J2330" i="1"/>
  <c r="I2330" i="1"/>
  <c r="H2330" i="1"/>
  <c r="G2330" i="1"/>
  <c r="F2330" i="1"/>
  <c r="E2330" i="1"/>
  <c r="D2330" i="1"/>
  <c r="C2330" i="1"/>
  <c r="B2330" i="1"/>
  <c r="A2330" i="1"/>
  <c r="J2329" i="1"/>
  <c r="I2329" i="1"/>
  <c r="H2329" i="1"/>
  <c r="G2329" i="1"/>
  <c r="F2329" i="1"/>
  <c r="E2329" i="1"/>
  <c r="D2329" i="1"/>
  <c r="C2329" i="1"/>
  <c r="B2329" i="1"/>
  <c r="A2329" i="1"/>
  <c r="J2328" i="1"/>
  <c r="I2328" i="1"/>
  <c r="H2328" i="1"/>
  <c r="G2328" i="1"/>
  <c r="F2328" i="1"/>
  <c r="E2328" i="1"/>
  <c r="D2328" i="1"/>
  <c r="C2328" i="1"/>
  <c r="B2328" i="1"/>
  <c r="A2328" i="1"/>
  <c r="J2327" i="1"/>
  <c r="I2327" i="1"/>
  <c r="H2327" i="1"/>
  <c r="G2327" i="1"/>
  <c r="F2327" i="1"/>
  <c r="E2327" i="1"/>
  <c r="D2327" i="1"/>
  <c r="C2327" i="1"/>
  <c r="B2327" i="1"/>
  <c r="A2327" i="1"/>
  <c r="J2326" i="1"/>
  <c r="I2326" i="1"/>
  <c r="H2326" i="1"/>
  <c r="G2326" i="1"/>
  <c r="E2326" i="1"/>
  <c r="D2326" i="1"/>
  <c r="C2326" i="1"/>
  <c r="B2326" i="1"/>
  <c r="A2326" i="1"/>
  <c r="J2325" i="1"/>
  <c r="I2325" i="1"/>
  <c r="H2325" i="1"/>
  <c r="G2325" i="1"/>
  <c r="E2325" i="1"/>
  <c r="D2325" i="1"/>
  <c r="C2325" i="1"/>
  <c r="B2325" i="1"/>
  <c r="A2325" i="1"/>
  <c r="J2324" i="1"/>
  <c r="I2324" i="1"/>
  <c r="H2324" i="1"/>
  <c r="G2324" i="1"/>
  <c r="F2324" i="1"/>
  <c r="E2324" i="1"/>
  <c r="D2324" i="1"/>
  <c r="C2324" i="1"/>
  <c r="B2324" i="1"/>
  <c r="A2324" i="1"/>
  <c r="J2323" i="1"/>
  <c r="I2323" i="1"/>
  <c r="H2323" i="1"/>
  <c r="G2323" i="1"/>
  <c r="E2323" i="1"/>
  <c r="D2323" i="1"/>
  <c r="C2323" i="1"/>
  <c r="B2323" i="1"/>
  <c r="A2323" i="1"/>
  <c r="J2322" i="1"/>
  <c r="I2322" i="1"/>
  <c r="H2322" i="1"/>
  <c r="G2322" i="1"/>
  <c r="E2322" i="1"/>
  <c r="D2322" i="1"/>
  <c r="C2322" i="1"/>
  <c r="B2322" i="1"/>
  <c r="A2322" i="1"/>
  <c r="J2321" i="1"/>
  <c r="I2321" i="1"/>
  <c r="H2321" i="1"/>
  <c r="G2321" i="1"/>
  <c r="F2321" i="1"/>
  <c r="E2321" i="1"/>
  <c r="D2321" i="1"/>
  <c r="C2321" i="1"/>
  <c r="B2321" i="1"/>
  <c r="A2321" i="1"/>
  <c r="J2320" i="1"/>
  <c r="I2320" i="1"/>
  <c r="H2320" i="1"/>
  <c r="G2320" i="1"/>
  <c r="F2320" i="1"/>
  <c r="E2320" i="1"/>
  <c r="D2320" i="1"/>
  <c r="C2320" i="1"/>
  <c r="B2320" i="1"/>
  <c r="A2320" i="1"/>
  <c r="J2319" i="1"/>
  <c r="I2319" i="1"/>
  <c r="H2319" i="1"/>
  <c r="G2319" i="1"/>
  <c r="F2319" i="1"/>
  <c r="E2319" i="1"/>
  <c r="D2319" i="1"/>
  <c r="C2319" i="1"/>
  <c r="B2319" i="1"/>
  <c r="A2319" i="1"/>
  <c r="J2318" i="1"/>
  <c r="I2318" i="1"/>
  <c r="H2318" i="1"/>
  <c r="G2318" i="1"/>
  <c r="F2318" i="1"/>
  <c r="E2318" i="1"/>
  <c r="D2318" i="1"/>
  <c r="C2318" i="1"/>
  <c r="B2318" i="1"/>
  <c r="A2318" i="1"/>
  <c r="J2317" i="1"/>
  <c r="I2317" i="1"/>
  <c r="H2317" i="1"/>
  <c r="G2317" i="1"/>
  <c r="E2317" i="1"/>
  <c r="D2317" i="1"/>
  <c r="C2317" i="1"/>
  <c r="B2317" i="1"/>
  <c r="A2317" i="1"/>
  <c r="J2316" i="1"/>
  <c r="I2316" i="1"/>
  <c r="H2316" i="1"/>
  <c r="G2316" i="1"/>
  <c r="F2316" i="1"/>
  <c r="E2316" i="1"/>
  <c r="D2316" i="1"/>
  <c r="C2316" i="1"/>
  <c r="B2316" i="1"/>
  <c r="A2316" i="1"/>
  <c r="J2315" i="1"/>
  <c r="I2315" i="1"/>
  <c r="H2315" i="1"/>
  <c r="G2315" i="1"/>
  <c r="E2315" i="1"/>
  <c r="D2315" i="1"/>
  <c r="C2315" i="1"/>
  <c r="B2315" i="1"/>
  <c r="A2315" i="1"/>
  <c r="J2314" i="1"/>
  <c r="I2314" i="1"/>
  <c r="H2314" i="1"/>
  <c r="G2314" i="1"/>
  <c r="E2314" i="1"/>
  <c r="D2314" i="1"/>
  <c r="C2314" i="1"/>
  <c r="B2314" i="1"/>
  <c r="A2314" i="1"/>
  <c r="J2313" i="1"/>
  <c r="I2313" i="1"/>
  <c r="H2313" i="1"/>
  <c r="G2313" i="1"/>
  <c r="F2313" i="1"/>
  <c r="E2313" i="1"/>
  <c r="D2313" i="1"/>
  <c r="C2313" i="1"/>
  <c r="B2313" i="1"/>
  <c r="A2313" i="1"/>
  <c r="J2312" i="1"/>
  <c r="I2312" i="1"/>
  <c r="H2312" i="1"/>
  <c r="G2312" i="1"/>
  <c r="E2312" i="1"/>
  <c r="D2312" i="1"/>
  <c r="C2312" i="1"/>
  <c r="B2312" i="1"/>
  <c r="A2312" i="1"/>
  <c r="J2311" i="1"/>
  <c r="I2311" i="1"/>
  <c r="H2311" i="1"/>
  <c r="G2311" i="1"/>
  <c r="F2311" i="1"/>
  <c r="E2311" i="1"/>
  <c r="D2311" i="1"/>
  <c r="C2311" i="1"/>
  <c r="B2311" i="1"/>
  <c r="A2311" i="1"/>
  <c r="J2310" i="1"/>
  <c r="I2310" i="1"/>
  <c r="H2310" i="1"/>
  <c r="G2310" i="1"/>
  <c r="F2310" i="1"/>
  <c r="E2310" i="1"/>
  <c r="D2310" i="1"/>
  <c r="C2310" i="1"/>
  <c r="B2310" i="1"/>
  <c r="A2310" i="1"/>
  <c r="J2309" i="1"/>
  <c r="I2309" i="1"/>
  <c r="H2309" i="1"/>
  <c r="G2309" i="1"/>
  <c r="F2309" i="1"/>
  <c r="E2309" i="1"/>
  <c r="D2309" i="1"/>
  <c r="C2309" i="1"/>
  <c r="B2309" i="1"/>
  <c r="A2309" i="1"/>
  <c r="J2308" i="1"/>
  <c r="I2308" i="1"/>
  <c r="H2308" i="1"/>
  <c r="G2308" i="1"/>
  <c r="F2308" i="1"/>
  <c r="E2308" i="1"/>
  <c r="D2308" i="1"/>
  <c r="C2308" i="1"/>
  <c r="B2308" i="1"/>
  <c r="A2308" i="1"/>
  <c r="J2307" i="1"/>
  <c r="I2307" i="1"/>
  <c r="H2307" i="1"/>
  <c r="G2307" i="1"/>
  <c r="E2307" i="1"/>
  <c r="D2307" i="1"/>
  <c r="C2307" i="1"/>
  <c r="B2307" i="1"/>
  <c r="A2307" i="1"/>
  <c r="J2306" i="1"/>
  <c r="I2306" i="1"/>
  <c r="H2306" i="1"/>
  <c r="G2306" i="1"/>
  <c r="F2306" i="1"/>
  <c r="E2306" i="1"/>
  <c r="D2306" i="1"/>
  <c r="C2306" i="1"/>
  <c r="B2306" i="1"/>
  <c r="A2306" i="1"/>
  <c r="J2305" i="1"/>
  <c r="I2305" i="1"/>
  <c r="H2305" i="1"/>
  <c r="G2305" i="1"/>
  <c r="F2305" i="1"/>
  <c r="E2305" i="1"/>
  <c r="D2305" i="1"/>
  <c r="C2305" i="1"/>
  <c r="B2305" i="1"/>
  <c r="A2305" i="1"/>
  <c r="J2304" i="1"/>
  <c r="I2304" i="1"/>
  <c r="H2304" i="1"/>
  <c r="G2304" i="1"/>
  <c r="F2304" i="1"/>
  <c r="E2304" i="1"/>
  <c r="D2304" i="1"/>
  <c r="C2304" i="1"/>
  <c r="B2304" i="1"/>
  <c r="A2304" i="1"/>
  <c r="J2303" i="1"/>
  <c r="I2303" i="1"/>
  <c r="H2303" i="1"/>
  <c r="G2303" i="1"/>
  <c r="E2303" i="1"/>
  <c r="D2303" i="1"/>
  <c r="C2303" i="1"/>
  <c r="B2303" i="1"/>
  <c r="A2303" i="1"/>
  <c r="J2302" i="1"/>
  <c r="I2302" i="1"/>
  <c r="H2302" i="1"/>
  <c r="G2302" i="1"/>
  <c r="F2302" i="1"/>
  <c r="E2302" i="1"/>
  <c r="D2302" i="1"/>
  <c r="C2302" i="1"/>
  <c r="B2302" i="1"/>
  <c r="A2302" i="1"/>
  <c r="J2301" i="1"/>
  <c r="I2301" i="1"/>
  <c r="H2301" i="1"/>
  <c r="G2301" i="1"/>
  <c r="E2301" i="1"/>
  <c r="D2301" i="1"/>
  <c r="C2301" i="1"/>
  <c r="B2301" i="1"/>
  <c r="A2301" i="1"/>
  <c r="J2300" i="1"/>
  <c r="I2300" i="1"/>
  <c r="H2300" i="1"/>
  <c r="G2300" i="1"/>
  <c r="F2300" i="1"/>
  <c r="E2300" i="1"/>
  <c r="D2300" i="1"/>
  <c r="C2300" i="1"/>
  <c r="B2300" i="1"/>
  <c r="A2300" i="1"/>
  <c r="J2299" i="1"/>
  <c r="I2299" i="1"/>
  <c r="H2299" i="1"/>
  <c r="G2299" i="1"/>
  <c r="F2299" i="1"/>
  <c r="E2299" i="1"/>
  <c r="D2299" i="1"/>
  <c r="C2299" i="1"/>
  <c r="B2299" i="1"/>
  <c r="A2299" i="1"/>
  <c r="J2298" i="1"/>
  <c r="I2298" i="1"/>
  <c r="H2298" i="1"/>
  <c r="G2298" i="1"/>
  <c r="F2298" i="1"/>
  <c r="E2298" i="1"/>
  <c r="D2298" i="1"/>
  <c r="C2298" i="1"/>
  <c r="B2298" i="1"/>
  <c r="A2298" i="1"/>
  <c r="J2297" i="1"/>
  <c r="I2297" i="1"/>
  <c r="H2297" i="1"/>
  <c r="G2297" i="1"/>
  <c r="F2297" i="1"/>
  <c r="E2297" i="1"/>
  <c r="D2297" i="1"/>
  <c r="C2297" i="1"/>
  <c r="B2297" i="1"/>
  <c r="A2297" i="1"/>
  <c r="J2296" i="1"/>
  <c r="I2296" i="1"/>
  <c r="H2296" i="1"/>
  <c r="G2296" i="1"/>
  <c r="E2296" i="1"/>
  <c r="D2296" i="1"/>
  <c r="C2296" i="1"/>
  <c r="B2296" i="1"/>
  <c r="A2296" i="1"/>
  <c r="J2295" i="1"/>
  <c r="I2295" i="1"/>
  <c r="H2295" i="1"/>
  <c r="G2295" i="1"/>
  <c r="F2295" i="1"/>
  <c r="E2295" i="1"/>
  <c r="D2295" i="1"/>
  <c r="C2295" i="1"/>
  <c r="B2295" i="1"/>
  <c r="A2295" i="1"/>
  <c r="J2294" i="1"/>
  <c r="I2294" i="1"/>
  <c r="H2294" i="1"/>
  <c r="G2294" i="1"/>
  <c r="F2294" i="1"/>
  <c r="E2294" i="1"/>
  <c r="D2294" i="1"/>
  <c r="C2294" i="1"/>
  <c r="B2294" i="1"/>
  <c r="A2294" i="1"/>
  <c r="J2293" i="1"/>
  <c r="I2293" i="1"/>
  <c r="H2293" i="1"/>
  <c r="G2293" i="1"/>
  <c r="F2293" i="1"/>
  <c r="E2293" i="1"/>
  <c r="D2293" i="1"/>
  <c r="C2293" i="1"/>
  <c r="B2293" i="1"/>
  <c r="A2293" i="1"/>
  <c r="J2292" i="1"/>
  <c r="I2292" i="1"/>
  <c r="H2292" i="1"/>
  <c r="G2292" i="1"/>
  <c r="F2292" i="1"/>
  <c r="E2292" i="1"/>
  <c r="D2292" i="1"/>
  <c r="C2292" i="1"/>
  <c r="B2292" i="1"/>
  <c r="A2292" i="1"/>
  <c r="J2291" i="1"/>
  <c r="I2291" i="1"/>
  <c r="H2291" i="1"/>
  <c r="G2291" i="1"/>
  <c r="E2291" i="1"/>
  <c r="D2291" i="1"/>
  <c r="C2291" i="1"/>
  <c r="B2291" i="1"/>
  <c r="A2291" i="1"/>
  <c r="J2290" i="1"/>
  <c r="I2290" i="1"/>
  <c r="H2290" i="1"/>
  <c r="G2290" i="1"/>
  <c r="F2290" i="1"/>
  <c r="E2290" i="1"/>
  <c r="D2290" i="1"/>
  <c r="C2290" i="1"/>
  <c r="B2290" i="1"/>
  <c r="A2290" i="1"/>
  <c r="J2289" i="1"/>
  <c r="I2289" i="1"/>
  <c r="H2289" i="1"/>
  <c r="G2289" i="1"/>
  <c r="F2289" i="1"/>
  <c r="E2289" i="1"/>
  <c r="D2289" i="1"/>
  <c r="C2289" i="1"/>
  <c r="B2289" i="1"/>
  <c r="A2289" i="1"/>
  <c r="J2288" i="1"/>
  <c r="I2288" i="1"/>
  <c r="H2288" i="1"/>
  <c r="G2288" i="1"/>
  <c r="F2288" i="1"/>
  <c r="E2288" i="1"/>
  <c r="D2288" i="1"/>
  <c r="C2288" i="1"/>
  <c r="B2288" i="1"/>
  <c r="A2288" i="1"/>
  <c r="J2287" i="1"/>
  <c r="I2287" i="1"/>
  <c r="H2287" i="1"/>
  <c r="G2287" i="1"/>
  <c r="F2287" i="1"/>
  <c r="E2287" i="1"/>
  <c r="D2287" i="1"/>
  <c r="C2287" i="1"/>
  <c r="B2287" i="1"/>
  <c r="A2287" i="1"/>
  <c r="J2286" i="1"/>
  <c r="I2286" i="1"/>
  <c r="H2286" i="1"/>
  <c r="G2286" i="1"/>
  <c r="F2286" i="1"/>
  <c r="E2286" i="1"/>
  <c r="D2286" i="1"/>
  <c r="C2286" i="1"/>
  <c r="B2286" i="1"/>
  <c r="A2286" i="1"/>
  <c r="J2285" i="1"/>
  <c r="I2285" i="1"/>
  <c r="H2285" i="1"/>
  <c r="G2285" i="1"/>
  <c r="F2285" i="1"/>
  <c r="E2285" i="1"/>
  <c r="D2285" i="1"/>
  <c r="C2285" i="1"/>
  <c r="B2285" i="1"/>
  <c r="A2285" i="1"/>
  <c r="J2284" i="1"/>
  <c r="I2284" i="1"/>
  <c r="H2284" i="1"/>
  <c r="G2284" i="1"/>
  <c r="F2284" i="1"/>
  <c r="E2284" i="1"/>
  <c r="D2284" i="1"/>
  <c r="C2284" i="1"/>
  <c r="B2284" i="1"/>
  <c r="A2284" i="1"/>
  <c r="J2283" i="1"/>
  <c r="I2283" i="1"/>
  <c r="H2283" i="1"/>
  <c r="G2283" i="1"/>
  <c r="E2283" i="1"/>
  <c r="D2283" i="1"/>
  <c r="C2283" i="1"/>
  <c r="B2283" i="1"/>
  <c r="A2283" i="1"/>
  <c r="J2282" i="1"/>
  <c r="I2282" i="1"/>
  <c r="H2282" i="1"/>
  <c r="G2282" i="1"/>
  <c r="E2282" i="1"/>
  <c r="D2282" i="1"/>
  <c r="C2282" i="1"/>
  <c r="B2282" i="1"/>
  <c r="A2282" i="1"/>
  <c r="J2281" i="1"/>
  <c r="I2281" i="1"/>
  <c r="H2281" i="1"/>
  <c r="G2281" i="1"/>
  <c r="F2281" i="1"/>
  <c r="E2281" i="1"/>
  <c r="D2281" i="1"/>
  <c r="C2281" i="1"/>
  <c r="B2281" i="1"/>
  <c r="A2281" i="1"/>
  <c r="J2280" i="1"/>
  <c r="I2280" i="1"/>
  <c r="H2280" i="1"/>
  <c r="G2280" i="1"/>
  <c r="F2280" i="1"/>
  <c r="E2280" i="1"/>
  <c r="D2280" i="1"/>
  <c r="C2280" i="1"/>
  <c r="B2280" i="1"/>
  <c r="A2280" i="1"/>
  <c r="J2279" i="1"/>
  <c r="I2279" i="1"/>
  <c r="H2279" i="1"/>
  <c r="G2279" i="1"/>
  <c r="F2279" i="1"/>
  <c r="E2279" i="1"/>
  <c r="D2279" i="1"/>
  <c r="C2279" i="1"/>
  <c r="B2279" i="1"/>
  <c r="A2279" i="1"/>
  <c r="J2278" i="1"/>
  <c r="I2278" i="1"/>
  <c r="H2278" i="1"/>
  <c r="G2278" i="1"/>
  <c r="F2278" i="1"/>
  <c r="E2278" i="1"/>
  <c r="D2278" i="1"/>
  <c r="C2278" i="1"/>
  <c r="B2278" i="1"/>
  <c r="A2278" i="1"/>
  <c r="J2277" i="1"/>
  <c r="I2277" i="1"/>
  <c r="H2277" i="1"/>
  <c r="G2277" i="1"/>
  <c r="F2277" i="1"/>
  <c r="E2277" i="1"/>
  <c r="D2277" i="1"/>
  <c r="C2277" i="1"/>
  <c r="B2277" i="1"/>
  <c r="A2277" i="1"/>
  <c r="J2276" i="1"/>
  <c r="I2276" i="1"/>
  <c r="H2276" i="1"/>
  <c r="G2276" i="1"/>
  <c r="F2276" i="1"/>
  <c r="E2276" i="1"/>
  <c r="D2276" i="1"/>
  <c r="C2276" i="1"/>
  <c r="B2276" i="1"/>
  <c r="A2276" i="1"/>
  <c r="J2275" i="1"/>
  <c r="I2275" i="1"/>
  <c r="H2275" i="1"/>
  <c r="G2275" i="1"/>
  <c r="F2275" i="1"/>
  <c r="E2275" i="1"/>
  <c r="D2275" i="1"/>
  <c r="C2275" i="1"/>
  <c r="B2275" i="1"/>
  <c r="A2275" i="1"/>
  <c r="J2274" i="1"/>
  <c r="I2274" i="1"/>
  <c r="H2274" i="1"/>
  <c r="G2274" i="1"/>
  <c r="F2274" i="1"/>
  <c r="E2274" i="1"/>
  <c r="D2274" i="1"/>
  <c r="C2274" i="1"/>
  <c r="B2274" i="1"/>
  <c r="A2274" i="1"/>
  <c r="J2273" i="1"/>
  <c r="I2273" i="1"/>
  <c r="H2273" i="1"/>
  <c r="G2273" i="1"/>
  <c r="F2273" i="1"/>
  <c r="E2273" i="1"/>
  <c r="D2273" i="1"/>
  <c r="C2273" i="1"/>
  <c r="B2273" i="1"/>
  <c r="A2273" i="1"/>
  <c r="J2272" i="1"/>
  <c r="I2272" i="1"/>
  <c r="H2272" i="1"/>
  <c r="G2272" i="1"/>
  <c r="E2272" i="1"/>
  <c r="D2272" i="1"/>
  <c r="C2272" i="1"/>
  <c r="B2272" i="1"/>
  <c r="A2272" i="1"/>
  <c r="J2271" i="1"/>
  <c r="I2271" i="1"/>
  <c r="H2271" i="1"/>
  <c r="G2271" i="1"/>
  <c r="F2271" i="1"/>
  <c r="E2271" i="1"/>
  <c r="D2271" i="1"/>
  <c r="C2271" i="1"/>
  <c r="B2271" i="1"/>
  <c r="A2271" i="1"/>
  <c r="J2270" i="1"/>
  <c r="I2270" i="1"/>
  <c r="H2270" i="1"/>
  <c r="G2270" i="1"/>
  <c r="E2270" i="1"/>
  <c r="D2270" i="1"/>
  <c r="C2270" i="1"/>
  <c r="B2270" i="1"/>
  <c r="A2270" i="1"/>
  <c r="J2269" i="1"/>
  <c r="I2269" i="1"/>
  <c r="H2269" i="1"/>
  <c r="G2269" i="1"/>
  <c r="E2269" i="1"/>
  <c r="D2269" i="1"/>
  <c r="C2269" i="1"/>
  <c r="B2269" i="1"/>
  <c r="A2269" i="1"/>
  <c r="J2268" i="1"/>
  <c r="I2268" i="1"/>
  <c r="H2268" i="1"/>
  <c r="G2268" i="1"/>
  <c r="E2268" i="1"/>
  <c r="D2268" i="1"/>
  <c r="C2268" i="1"/>
  <c r="B2268" i="1"/>
  <c r="A2268" i="1"/>
  <c r="J2267" i="1"/>
  <c r="I2267" i="1"/>
  <c r="H2267" i="1"/>
  <c r="G2267" i="1"/>
  <c r="E2267" i="1"/>
  <c r="D2267" i="1"/>
  <c r="C2267" i="1"/>
  <c r="B2267" i="1"/>
  <c r="A2267" i="1"/>
  <c r="J2266" i="1"/>
  <c r="I2266" i="1"/>
  <c r="H2266" i="1"/>
  <c r="G2266" i="1"/>
  <c r="F2266" i="1"/>
  <c r="E2266" i="1"/>
  <c r="D2266" i="1"/>
  <c r="C2266" i="1"/>
  <c r="B2266" i="1"/>
  <c r="A2266" i="1"/>
  <c r="J2265" i="1"/>
  <c r="I2265" i="1"/>
  <c r="H2265" i="1"/>
  <c r="G2265" i="1"/>
  <c r="F2265" i="1"/>
  <c r="E2265" i="1"/>
  <c r="D2265" i="1"/>
  <c r="C2265" i="1"/>
  <c r="B2265" i="1"/>
  <c r="A2265" i="1"/>
  <c r="J2264" i="1"/>
  <c r="I2264" i="1"/>
  <c r="H2264" i="1"/>
  <c r="G2264" i="1"/>
  <c r="E2264" i="1"/>
  <c r="D2264" i="1"/>
  <c r="C2264" i="1"/>
  <c r="B2264" i="1"/>
  <c r="A2264" i="1"/>
  <c r="J2263" i="1"/>
  <c r="I2263" i="1"/>
  <c r="H2263" i="1"/>
  <c r="G2263" i="1"/>
  <c r="E2263" i="1"/>
  <c r="D2263" i="1"/>
  <c r="C2263" i="1"/>
  <c r="B2263" i="1"/>
  <c r="A2263" i="1"/>
  <c r="J2262" i="1"/>
  <c r="I2262" i="1"/>
  <c r="H2262" i="1"/>
  <c r="G2262" i="1"/>
  <c r="E2262" i="1"/>
  <c r="D2262" i="1"/>
  <c r="C2262" i="1"/>
  <c r="B2262" i="1"/>
  <c r="A2262" i="1"/>
  <c r="J2261" i="1"/>
  <c r="I2261" i="1"/>
  <c r="H2261" i="1"/>
  <c r="G2261" i="1"/>
  <c r="E2261" i="1"/>
  <c r="D2261" i="1"/>
  <c r="C2261" i="1"/>
  <c r="B2261" i="1"/>
  <c r="A2261" i="1"/>
  <c r="J2260" i="1"/>
  <c r="I2260" i="1"/>
  <c r="H2260" i="1"/>
  <c r="G2260" i="1"/>
  <c r="F2260" i="1"/>
  <c r="E2260" i="1"/>
  <c r="D2260" i="1"/>
  <c r="C2260" i="1"/>
  <c r="B2260" i="1"/>
  <c r="A2260" i="1"/>
  <c r="J2259" i="1"/>
  <c r="I2259" i="1"/>
  <c r="H2259" i="1"/>
  <c r="G2259" i="1"/>
  <c r="E2259" i="1"/>
  <c r="D2259" i="1"/>
  <c r="C2259" i="1"/>
  <c r="B2259" i="1"/>
  <c r="A2259" i="1"/>
  <c r="J2258" i="1"/>
  <c r="I2258" i="1"/>
  <c r="H2258" i="1"/>
  <c r="G2258" i="1"/>
  <c r="F2258" i="1"/>
  <c r="E2258" i="1"/>
  <c r="D2258" i="1"/>
  <c r="C2258" i="1"/>
  <c r="B2258" i="1"/>
  <c r="A2258" i="1"/>
  <c r="J2257" i="1"/>
  <c r="I2257" i="1"/>
  <c r="H2257" i="1"/>
  <c r="G2257" i="1"/>
  <c r="E2257" i="1"/>
  <c r="D2257" i="1"/>
  <c r="C2257" i="1"/>
  <c r="B2257" i="1"/>
  <c r="A2257" i="1"/>
  <c r="J2256" i="1"/>
  <c r="I2256" i="1"/>
  <c r="H2256" i="1"/>
  <c r="G2256" i="1"/>
  <c r="F2256" i="1"/>
  <c r="E2256" i="1"/>
  <c r="D2256" i="1"/>
  <c r="C2256" i="1"/>
  <c r="B2256" i="1"/>
  <c r="A2256" i="1"/>
  <c r="J2255" i="1"/>
  <c r="I2255" i="1"/>
  <c r="H2255" i="1"/>
  <c r="G2255" i="1"/>
  <c r="E2255" i="1"/>
  <c r="D2255" i="1"/>
  <c r="C2255" i="1"/>
  <c r="B2255" i="1"/>
  <c r="A2255" i="1"/>
  <c r="J2254" i="1"/>
  <c r="I2254" i="1"/>
  <c r="H2254" i="1"/>
  <c r="G2254" i="1"/>
  <c r="E2254" i="1"/>
  <c r="D2254" i="1"/>
  <c r="C2254" i="1"/>
  <c r="B2254" i="1"/>
  <c r="A2254" i="1"/>
  <c r="J2253" i="1"/>
  <c r="I2253" i="1"/>
  <c r="H2253" i="1"/>
  <c r="G2253" i="1"/>
  <c r="E2253" i="1"/>
  <c r="D2253" i="1"/>
  <c r="C2253" i="1"/>
  <c r="B2253" i="1"/>
  <c r="A2253" i="1"/>
  <c r="J2252" i="1"/>
  <c r="I2252" i="1"/>
  <c r="H2252" i="1"/>
  <c r="G2252" i="1"/>
  <c r="E2252" i="1"/>
  <c r="D2252" i="1"/>
  <c r="C2252" i="1"/>
  <c r="B2252" i="1"/>
  <c r="A2252" i="1"/>
  <c r="J2251" i="1"/>
  <c r="I2251" i="1"/>
  <c r="H2251" i="1"/>
  <c r="G2251" i="1"/>
  <c r="E2251" i="1"/>
  <c r="D2251" i="1"/>
  <c r="C2251" i="1"/>
  <c r="B2251" i="1"/>
  <c r="A2251" i="1"/>
  <c r="J2250" i="1"/>
  <c r="I2250" i="1"/>
  <c r="H2250" i="1"/>
  <c r="G2250" i="1"/>
  <c r="E2250" i="1"/>
  <c r="D2250" i="1"/>
  <c r="C2250" i="1"/>
  <c r="B2250" i="1"/>
  <c r="A2250" i="1"/>
  <c r="J2249" i="1"/>
  <c r="I2249" i="1"/>
  <c r="H2249" i="1"/>
  <c r="G2249" i="1"/>
  <c r="E2249" i="1"/>
  <c r="D2249" i="1"/>
  <c r="C2249" i="1"/>
  <c r="B2249" i="1"/>
  <c r="A2249" i="1"/>
  <c r="J2248" i="1"/>
  <c r="I2248" i="1"/>
  <c r="H2248" i="1"/>
  <c r="G2248" i="1"/>
  <c r="E2248" i="1"/>
  <c r="D2248" i="1"/>
  <c r="C2248" i="1"/>
  <c r="B2248" i="1"/>
  <c r="A2248" i="1"/>
  <c r="J2247" i="1"/>
  <c r="I2247" i="1"/>
  <c r="H2247" i="1"/>
  <c r="G2247" i="1"/>
  <c r="F2247" i="1"/>
  <c r="E2247" i="1"/>
  <c r="D2247" i="1"/>
  <c r="C2247" i="1"/>
  <c r="B2247" i="1"/>
  <c r="A2247" i="1"/>
  <c r="J2246" i="1"/>
  <c r="I2246" i="1"/>
  <c r="H2246" i="1"/>
  <c r="G2246" i="1"/>
  <c r="F2246" i="1"/>
  <c r="E2246" i="1"/>
  <c r="D2246" i="1"/>
  <c r="C2246" i="1"/>
  <c r="B2246" i="1"/>
  <c r="A2246" i="1"/>
  <c r="J2245" i="1"/>
  <c r="I2245" i="1"/>
  <c r="H2245" i="1"/>
  <c r="G2245" i="1"/>
  <c r="E2245" i="1"/>
  <c r="D2245" i="1"/>
  <c r="C2245" i="1"/>
  <c r="B2245" i="1"/>
  <c r="A2245" i="1"/>
  <c r="J2244" i="1"/>
  <c r="I2244" i="1"/>
  <c r="H2244" i="1"/>
  <c r="G2244" i="1"/>
  <c r="E2244" i="1"/>
  <c r="D2244" i="1"/>
  <c r="C2244" i="1"/>
  <c r="B2244" i="1"/>
  <c r="A2244" i="1"/>
  <c r="J2243" i="1"/>
  <c r="I2243" i="1"/>
  <c r="H2243" i="1"/>
  <c r="G2243" i="1"/>
  <c r="E2243" i="1"/>
  <c r="D2243" i="1"/>
  <c r="C2243" i="1"/>
  <c r="B2243" i="1"/>
  <c r="A2243" i="1"/>
  <c r="J2242" i="1"/>
  <c r="I2242" i="1"/>
  <c r="H2242" i="1"/>
  <c r="G2242" i="1"/>
  <c r="E2242" i="1"/>
  <c r="D2242" i="1"/>
  <c r="C2242" i="1"/>
  <c r="B2242" i="1"/>
  <c r="A2242" i="1"/>
  <c r="J2241" i="1"/>
  <c r="I2241" i="1"/>
  <c r="H2241" i="1"/>
  <c r="G2241" i="1"/>
  <c r="F2241" i="1"/>
  <c r="E2241" i="1"/>
  <c r="D2241" i="1"/>
  <c r="C2241" i="1"/>
  <c r="B2241" i="1"/>
  <c r="A2241" i="1"/>
  <c r="J2240" i="1"/>
  <c r="I2240" i="1"/>
  <c r="H2240" i="1"/>
  <c r="G2240" i="1"/>
  <c r="E2240" i="1"/>
  <c r="D2240" i="1"/>
  <c r="C2240" i="1"/>
  <c r="B2240" i="1"/>
  <c r="A2240" i="1"/>
  <c r="J2239" i="1"/>
  <c r="I2239" i="1"/>
  <c r="H2239" i="1"/>
  <c r="G2239" i="1"/>
  <c r="E2239" i="1"/>
  <c r="D2239" i="1"/>
  <c r="C2239" i="1"/>
  <c r="B2239" i="1"/>
  <c r="A2239" i="1"/>
  <c r="J2238" i="1"/>
  <c r="I2238" i="1"/>
  <c r="H2238" i="1"/>
  <c r="G2238" i="1"/>
  <c r="F2238" i="1"/>
  <c r="E2238" i="1"/>
  <c r="D2238" i="1"/>
  <c r="C2238" i="1"/>
  <c r="B2238" i="1"/>
  <c r="A2238" i="1"/>
  <c r="J2237" i="1"/>
  <c r="I2237" i="1"/>
  <c r="H2237" i="1"/>
  <c r="G2237" i="1"/>
  <c r="F2237" i="1"/>
  <c r="E2237" i="1"/>
  <c r="D2237" i="1"/>
  <c r="C2237" i="1"/>
  <c r="B2237" i="1"/>
  <c r="A2237" i="1"/>
  <c r="J2236" i="1"/>
  <c r="I2236" i="1"/>
  <c r="H2236" i="1"/>
  <c r="G2236" i="1"/>
  <c r="E2236" i="1"/>
  <c r="D2236" i="1"/>
  <c r="C2236" i="1"/>
  <c r="B2236" i="1"/>
  <c r="A2236" i="1"/>
  <c r="J2235" i="1"/>
  <c r="I2235" i="1"/>
  <c r="H2235" i="1"/>
  <c r="G2235" i="1"/>
  <c r="E2235" i="1"/>
  <c r="D2235" i="1"/>
  <c r="C2235" i="1"/>
  <c r="B2235" i="1"/>
  <c r="A2235" i="1"/>
  <c r="J2234" i="1"/>
  <c r="I2234" i="1"/>
  <c r="H2234" i="1"/>
  <c r="G2234" i="1"/>
  <c r="E2234" i="1"/>
  <c r="D2234" i="1"/>
  <c r="C2234" i="1"/>
  <c r="B2234" i="1"/>
  <c r="A2234" i="1"/>
  <c r="J2233" i="1"/>
  <c r="I2233" i="1"/>
  <c r="H2233" i="1"/>
  <c r="G2233" i="1"/>
  <c r="E2233" i="1"/>
  <c r="D2233" i="1"/>
  <c r="C2233" i="1"/>
  <c r="B2233" i="1"/>
  <c r="A2233" i="1"/>
  <c r="J2232" i="1"/>
  <c r="I2232" i="1"/>
  <c r="H2232" i="1"/>
  <c r="G2232" i="1"/>
  <c r="E2232" i="1"/>
  <c r="D2232" i="1"/>
  <c r="C2232" i="1"/>
  <c r="B2232" i="1"/>
  <c r="A2232" i="1"/>
  <c r="J2231" i="1"/>
  <c r="I2231" i="1"/>
  <c r="H2231" i="1"/>
  <c r="G2231" i="1"/>
  <c r="E2231" i="1"/>
  <c r="D2231" i="1"/>
  <c r="C2231" i="1"/>
  <c r="B2231" i="1"/>
  <c r="A2231" i="1"/>
  <c r="J2230" i="1"/>
  <c r="I2230" i="1"/>
  <c r="H2230" i="1"/>
  <c r="G2230" i="1"/>
  <c r="F2230" i="1"/>
  <c r="E2230" i="1"/>
  <c r="D2230" i="1"/>
  <c r="C2230" i="1"/>
  <c r="B2230" i="1"/>
  <c r="A2230" i="1"/>
  <c r="J2229" i="1"/>
  <c r="I2229" i="1"/>
  <c r="H2229" i="1"/>
  <c r="G2229" i="1"/>
  <c r="E2229" i="1"/>
  <c r="D2229" i="1"/>
  <c r="C2229" i="1"/>
  <c r="B2229" i="1"/>
  <c r="A2229" i="1"/>
  <c r="J2228" i="1"/>
  <c r="I2228" i="1"/>
  <c r="H2228" i="1"/>
  <c r="G2228" i="1"/>
  <c r="E2228" i="1"/>
  <c r="D2228" i="1"/>
  <c r="C2228" i="1"/>
  <c r="B2228" i="1"/>
  <c r="A2228" i="1"/>
  <c r="J2227" i="1"/>
  <c r="I2227" i="1"/>
  <c r="H2227" i="1"/>
  <c r="G2227" i="1"/>
  <c r="E2227" i="1"/>
  <c r="D2227" i="1"/>
  <c r="C2227" i="1"/>
  <c r="B2227" i="1"/>
  <c r="A2227" i="1"/>
  <c r="J2226" i="1"/>
  <c r="I2226" i="1"/>
  <c r="H2226" i="1"/>
  <c r="G2226" i="1"/>
  <c r="E2226" i="1"/>
  <c r="D2226" i="1"/>
  <c r="C2226" i="1"/>
  <c r="B2226" i="1"/>
  <c r="A2226" i="1"/>
  <c r="J2225" i="1"/>
  <c r="I2225" i="1"/>
  <c r="H2225" i="1"/>
  <c r="G2225" i="1"/>
  <c r="F2225" i="1"/>
  <c r="E2225" i="1"/>
  <c r="D2225" i="1"/>
  <c r="C2225" i="1"/>
  <c r="B2225" i="1"/>
  <c r="A2225" i="1"/>
  <c r="J2224" i="1"/>
  <c r="I2224" i="1"/>
  <c r="H2224" i="1"/>
  <c r="G2224" i="1"/>
  <c r="E2224" i="1"/>
  <c r="D2224" i="1"/>
  <c r="C2224" i="1"/>
  <c r="B2224" i="1"/>
  <c r="A2224" i="1"/>
  <c r="J2223" i="1"/>
  <c r="I2223" i="1"/>
  <c r="H2223" i="1"/>
  <c r="G2223" i="1"/>
  <c r="E2223" i="1"/>
  <c r="D2223" i="1"/>
  <c r="C2223" i="1"/>
  <c r="B2223" i="1"/>
  <c r="A2223" i="1"/>
  <c r="J2222" i="1"/>
  <c r="I2222" i="1"/>
  <c r="H2222" i="1"/>
  <c r="G2222" i="1"/>
  <c r="E2222" i="1"/>
  <c r="D2222" i="1"/>
  <c r="C2222" i="1"/>
  <c r="B2222" i="1"/>
  <c r="A2222" i="1"/>
  <c r="J2221" i="1"/>
  <c r="I2221" i="1"/>
  <c r="H2221" i="1"/>
  <c r="G2221" i="1"/>
  <c r="E2221" i="1"/>
  <c r="D2221" i="1"/>
  <c r="C2221" i="1"/>
  <c r="B2221" i="1"/>
  <c r="A2221" i="1"/>
  <c r="J2220" i="1"/>
  <c r="I2220" i="1"/>
  <c r="H2220" i="1"/>
  <c r="G2220" i="1"/>
  <c r="E2220" i="1"/>
  <c r="D2220" i="1"/>
  <c r="C2220" i="1"/>
  <c r="B2220" i="1"/>
  <c r="A2220" i="1"/>
  <c r="J2219" i="1"/>
  <c r="I2219" i="1"/>
  <c r="H2219" i="1"/>
  <c r="G2219" i="1"/>
  <c r="E2219" i="1"/>
  <c r="D2219" i="1"/>
  <c r="C2219" i="1"/>
  <c r="B2219" i="1"/>
  <c r="A2219" i="1"/>
  <c r="J2218" i="1"/>
  <c r="I2218" i="1"/>
  <c r="H2218" i="1"/>
  <c r="G2218" i="1"/>
  <c r="F2218" i="1"/>
  <c r="E2218" i="1"/>
  <c r="D2218" i="1"/>
  <c r="C2218" i="1"/>
  <c r="B2218" i="1"/>
  <c r="A2218" i="1"/>
  <c r="J2217" i="1"/>
  <c r="I2217" i="1"/>
  <c r="H2217" i="1"/>
  <c r="G2217" i="1"/>
  <c r="E2217" i="1"/>
  <c r="D2217" i="1"/>
  <c r="C2217" i="1"/>
  <c r="B2217" i="1"/>
  <c r="A2217" i="1"/>
  <c r="J2216" i="1"/>
  <c r="I2216" i="1"/>
  <c r="H2216" i="1"/>
  <c r="G2216" i="1"/>
  <c r="F2216" i="1"/>
  <c r="E2216" i="1"/>
  <c r="D2216" i="1"/>
  <c r="C2216" i="1"/>
  <c r="B2216" i="1"/>
  <c r="A2216" i="1"/>
  <c r="J2215" i="1"/>
  <c r="I2215" i="1"/>
  <c r="H2215" i="1"/>
  <c r="G2215" i="1"/>
  <c r="E2215" i="1"/>
  <c r="D2215" i="1"/>
  <c r="C2215" i="1"/>
  <c r="B2215" i="1"/>
  <c r="A2215" i="1"/>
  <c r="J2214" i="1"/>
  <c r="I2214" i="1"/>
  <c r="H2214" i="1"/>
  <c r="G2214" i="1"/>
  <c r="F2214" i="1"/>
  <c r="E2214" i="1"/>
  <c r="D2214" i="1"/>
  <c r="C2214" i="1"/>
  <c r="B2214" i="1"/>
  <c r="A2214" i="1"/>
  <c r="J2213" i="1"/>
  <c r="I2213" i="1"/>
  <c r="H2213" i="1"/>
  <c r="G2213" i="1"/>
  <c r="E2213" i="1"/>
  <c r="D2213" i="1"/>
  <c r="C2213" i="1"/>
  <c r="B2213" i="1"/>
  <c r="A2213" i="1"/>
  <c r="J2212" i="1"/>
  <c r="I2212" i="1"/>
  <c r="H2212" i="1"/>
  <c r="G2212" i="1"/>
  <c r="E2212" i="1"/>
  <c r="D2212" i="1"/>
  <c r="C2212" i="1"/>
  <c r="B2212" i="1"/>
  <c r="A2212" i="1"/>
  <c r="J2211" i="1"/>
  <c r="I2211" i="1"/>
  <c r="H2211" i="1"/>
  <c r="G2211" i="1"/>
  <c r="E2211" i="1"/>
  <c r="D2211" i="1"/>
  <c r="C2211" i="1"/>
  <c r="B2211" i="1"/>
  <c r="A2211" i="1"/>
  <c r="J2210" i="1"/>
  <c r="I2210" i="1"/>
  <c r="H2210" i="1"/>
  <c r="G2210" i="1"/>
  <c r="E2210" i="1"/>
  <c r="D2210" i="1"/>
  <c r="C2210" i="1"/>
  <c r="B2210" i="1"/>
  <c r="A2210" i="1"/>
  <c r="J2209" i="1"/>
  <c r="I2209" i="1"/>
  <c r="H2209" i="1"/>
  <c r="G2209" i="1"/>
  <c r="E2209" i="1"/>
  <c r="D2209" i="1"/>
  <c r="C2209" i="1"/>
  <c r="B2209" i="1"/>
  <c r="A2209" i="1"/>
  <c r="J2208" i="1"/>
  <c r="I2208" i="1"/>
  <c r="H2208" i="1"/>
  <c r="G2208" i="1"/>
  <c r="F2208" i="1"/>
  <c r="E2208" i="1"/>
  <c r="D2208" i="1"/>
  <c r="C2208" i="1"/>
  <c r="B2208" i="1"/>
  <c r="A2208" i="1"/>
  <c r="J2207" i="1"/>
  <c r="I2207" i="1"/>
  <c r="H2207" i="1"/>
  <c r="G2207" i="1"/>
  <c r="E2207" i="1"/>
  <c r="D2207" i="1"/>
  <c r="C2207" i="1"/>
  <c r="B2207" i="1"/>
  <c r="A2207" i="1"/>
  <c r="J2206" i="1"/>
  <c r="I2206" i="1"/>
  <c r="H2206" i="1"/>
  <c r="G2206" i="1"/>
  <c r="E2206" i="1"/>
  <c r="D2206" i="1"/>
  <c r="C2206" i="1"/>
  <c r="B2206" i="1"/>
  <c r="A2206" i="1"/>
  <c r="J2205" i="1"/>
  <c r="I2205" i="1"/>
  <c r="H2205" i="1"/>
  <c r="G2205" i="1"/>
  <c r="E2205" i="1"/>
  <c r="D2205" i="1"/>
  <c r="C2205" i="1"/>
  <c r="B2205" i="1"/>
  <c r="A2205" i="1"/>
  <c r="J2204" i="1"/>
  <c r="I2204" i="1"/>
  <c r="H2204" i="1"/>
  <c r="G2204" i="1"/>
  <c r="E2204" i="1"/>
  <c r="D2204" i="1"/>
  <c r="C2204" i="1"/>
  <c r="B2204" i="1"/>
  <c r="A2204" i="1"/>
  <c r="J2203" i="1"/>
  <c r="I2203" i="1"/>
  <c r="H2203" i="1"/>
  <c r="G2203" i="1"/>
  <c r="E2203" i="1"/>
  <c r="D2203" i="1"/>
  <c r="C2203" i="1"/>
  <c r="B2203" i="1"/>
  <c r="A2203" i="1"/>
  <c r="J2202" i="1"/>
  <c r="I2202" i="1"/>
  <c r="H2202" i="1"/>
  <c r="G2202" i="1"/>
  <c r="E2202" i="1"/>
  <c r="D2202" i="1"/>
  <c r="C2202" i="1"/>
  <c r="B2202" i="1"/>
  <c r="A2202" i="1"/>
  <c r="J2201" i="1"/>
  <c r="I2201" i="1"/>
  <c r="H2201" i="1"/>
  <c r="G2201" i="1"/>
  <c r="F2201" i="1"/>
  <c r="E2201" i="1"/>
  <c r="D2201" i="1"/>
  <c r="C2201" i="1"/>
  <c r="B2201" i="1"/>
  <c r="A2201" i="1"/>
  <c r="J2200" i="1"/>
  <c r="I2200" i="1"/>
  <c r="H2200" i="1"/>
  <c r="G2200" i="1"/>
  <c r="F2200" i="1"/>
  <c r="E2200" i="1"/>
  <c r="D2200" i="1"/>
  <c r="C2200" i="1"/>
  <c r="B2200" i="1"/>
  <c r="A2200" i="1"/>
  <c r="J2199" i="1"/>
  <c r="I2199" i="1"/>
  <c r="H2199" i="1"/>
  <c r="G2199" i="1"/>
  <c r="F2199" i="1"/>
  <c r="E2199" i="1"/>
  <c r="D2199" i="1"/>
  <c r="C2199" i="1"/>
  <c r="B2199" i="1"/>
  <c r="A2199" i="1"/>
  <c r="J2198" i="1"/>
  <c r="I2198" i="1"/>
  <c r="H2198" i="1"/>
  <c r="G2198" i="1"/>
  <c r="E2198" i="1"/>
  <c r="D2198" i="1"/>
  <c r="C2198" i="1"/>
  <c r="B2198" i="1"/>
  <c r="A2198" i="1"/>
  <c r="J2197" i="1"/>
  <c r="I2197" i="1"/>
  <c r="H2197" i="1"/>
  <c r="G2197" i="1"/>
  <c r="F2197" i="1"/>
  <c r="E2197" i="1"/>
  <c r="D2197" i="1"/>
  <c r="C2197" i="1"/>
  <c r="B2197" i="1"/>
  <c r="A2197" i="1"/>
  <c r="J2196" i="1"/>
  <c r="I2196" i="1"/>
  <c r="H2196" i="1"/>
  <c r="G2196" i="1"/>
  <c r="F2196" i="1"/>
  <c r="E2196" i="1"/>
  <c r="D2196" i="1"/>
  <c r="C2196" i="1"/>
  <c r="B2196" i="1"/>
  <c r="A2196" i="1"/>
  <c r="J2195" i="1"/>
  <c r="I2195" i="1"/>
  <c r="H2195" i="1"/>
  <c r="G2195" i="1"/>
  <c r="F2195" i="1"/>
  <c r="E2195" i="1"/>
  <c r="D2195" i="1"/>
  <c r="C2195" i="1"/>
  <c r="B2195" i="1"/>
  <c r="A2195" i="1"/>
  <c r="J2194" i="1"/>
  <c r="I2194" i="1"/>
  <c r="H2194" i="1"/>
  <c r="G2194" i="1"/>
  <c r="E2194" i="1"/>
  <c r="D2194" i="1"/>
  <c r="C2194" i="1"/>
  <c r="B2194" i="1"/>
  <c r="A2194" i="1"/>
  <c r="J2193" i="1"/>
  <c r="I2193" i="1"/>
  <c r="H2193" i="1"/>
  <c r="G2193" i="1"/>
  <c r="E2193" i="1"/>
  <c r="D2193" i="1"/>
  <c r="C2193" i="1"/>
  <c r="B2193" i="1"/>
  <c r="A2193" i="1"/>
  <c r="J2192" i="1"/>
  <c r="I2192" i="1"/>
  <c r="H2192" i="1"/>
  <c r="G2192" i="1"/>
  <c r="E2192" i="1"/>
  <c r="D2192" i="1"/>
  <c r="C2192" i="1"/>
  <c r="B2192" i="1"/>
  <c r="A2192" i="1"/>
  <c r="J2191" i="1"/>
  <c r="I2191" i="1"/>
  <c r="H2191" i="1"/>
  <c r="G2191" i="1"/>
  <c r="E2191" i="1"/>
  <c r="D2191" i="1"/>
  <c r="C2191" i="1"/>
  <c r="B2191" i="1"/>
  <c r="A2191" i="1"/>
  <c r="J2190" i="1"/>
  <c r="I2190" i="1"/>
  <c r="H2190" i="1"/>
  <c r="G2190" i="1"/>
  <c r="E2190" i="1"/>
  <c r="D2190" i="1"/>
  <c r="C2190" i="1"/>
  <c r="B2190" i="1"/>
  <c r="A2190" i="1"/>
  <c r="J2189" i="1"/>
  <c r="I2189" i="1"/>
  <c r="H2189" i="1"/>
  <c r="G2189" i="1"/>
  <c r="F2189" i="1"/>
  <c r="E2189" i="1"/>
  <c r="D2189" i="1"/>
  <c r="C2189" i="1"/>
  <c r="B2189" i="1"/>
  <c r="A2189" i="1"/>
  <c r="J2188" i="1"/>
  <c r="I2188" i="1"/>
  <c r="H2188" i="1"/>
  <c r="G2188" i="1"/>
  <c r="E2188" i="1"/>
  <c r="D2188" i="1"/>
  <c r="C2188" i="1"/>
  <c r="B2188" i="1"/>
  <c r="A2188" i="1"/>
  <c r="J2187" i="1"/>
  <c r="I2187" i="1"/>
  <c r="H2187" i="1"/>
  <c r="G2187" i="1"/>
  <c r="E2187" i="1"/>
  <c r="D2187" i="1"/>
  <c r="C2187" i="1"/>
  <c r="B2187" i="1"/>
  <c r="A2187" i="1"/>
  <c r="J2186" i="1"/>
  <c r="I2186" i="1"/>
  <c r="H2186" i="1"/>
  <c r="G2186" i="1"/>
  <c r="E2186" i="1"/>
  <c r="D2186" i="1"/>
  <c r="C2186" i="1"/>
  <c r="B2186" i="1"/>
  <c r="A2186" i="1"/>
  <c r="J2185" i="1"/>
  <c r="I2185" i="1"/>
  <c r="H2185" i="1"/>
  <c r="G2185" i="1"/>
  <c r="E2185" i="1"/>
  <c r="D2185" i="1"/>
  <c r="C2185" i="1"/>
  <c r="B2185" i="1"/>
  <c r="A2185" i="1"/>
  <c r="J2184" i="1"/>
  <c r="I2184" i="1"/>
  <c r="H2184" i="1"/>
  <c r="G2184" i="1"/>
  <c r="E2184" i="1"/>
  <c r="D2184" i="1"/>
  <c r="C2184" i="1"/>
  <c r="B2184" i="1"/>
  <c r="A2184" i="1"/>
  <c r="J2183" i="1"/>
  <c r="I2183" i="1"/>
  <c r="H2183" i="1"/>
  <c r="G2183" i="1"/>
  <c r="E2183" i="1"/>
  <c r="D2183" i="1"/>
  <c r="C2183" i="1"/>
  <c r="B2183" i="1"/>
  <c r="A2183" i="1"/>
  <c r="J2182" i="1"/>
  <c r="I2182" i="1"/>
  <c r="H2182" i="1"/>
  <c r="G2182" i="1"/>
  <c r="E2182" i="1"/>
  <c r="C2182" i="1"/>
  <c r="B2182" i="1"/>
  <c r="A2182" i="1"/>
  <c r="J2181" i="1"/>
  <c r="I2181" i="1"/>
  <c r="H2181" i="1"/>
  <c r="G2181" i="1"/>
  <c r="E2181" i="1"/>
  <c r="D2181" i="1"/>
  <c r="C2181" i="1"/>
  <c r="B2181" i="1"/>
  <c r="A2181" i="1"/>
  <c r="J2180" i="1"/>
  <c r="I2180" i="1"/>
  <c r="H2180" i="1"/>
  <c r="G2180" i="1"/>
  <c r="E2180" i="1"/>
  <c r="D2180" i="1"/>
  <c r="C2180" i="1"/>
  <c r="B2180" i="1"/>
  <c r="A2180" i="1"/>
  <c r="J2179" i="1"/>
  <c r="I2179" i="1"/>
  <c r="H2179" i="1"/>
  <c r="G2179" i="1"/>
  <c r="E2179" i="1"/>
  <c r="C2179" i="1"/>
  <c r="B2179" i="1"/>
  <c r="A2179" i="1"/>
  <c r="J2178" i="1"/>
  <c r="I2178" i="1"/>
  <c r="H2178" i="1"/>
  <c r="G2178" i="1"/>
  <c r="E2178" i="1"/>
  <c r="D2178" i="1"/>
  <c r="C2178" i="1"/>
  <c r="B2178" i="1"/>
  <c r="A2178" i="1"/>
  <c r="J2177" i="1"/>
  <c r="I2177" i="1"/>
  <c r="H2177" i="1"/>
  <c r="G2177" i="1"/>
  <c r="E2177" i="1"/>
  <c r="D2177" i="1"/>
  <c r="C2177" i="1"/>
  <c r="B2177" i="1"/>
  <c r="A2177" i="1"/>
  <c r="J2176" i="1"/>
  <c r="I2176" i="1"/>
  <c r="H2176" i="1"/>
  <c r="G2176" i="1"/>
  <c r="F2176" i="1"/>
  <c r="E2176" i="1"/>
  <c r="D2176" i="1"/>
  <c r="C2176" i="1"/>
  <c r="B2176" i="1"/>
  <c r="A2176" i="1"/>
  <c r="J2175" i="1"/>
  <c r="I2175" i="1"/>
  <c r="H2175" i="1"/>
  <c r="G2175" i="1"/>
  <c r="F2175" i="1"/>
  <c r="E2175" i="1"/>
  <c r="D2175" i="1"/>
  <c r="C2175" i="1"/>
  <c r="B2175" i="1"/>
  <c r="A2175" i="1"/>
  <c r="J2174" i="1"/>
  <c r="I2174" i="1"/>
  <c r="H2174" i="1"/>
  <c r="G2174" i="1"/>
  <c r="F2174" i="1"/>
  <c r="E2174" i="1"/>
  <c r="D2174" i="1"/>
  <c r="C2174" i="1"/>
  <c r="B2174" i="1"/>
  <c r="A2174" i="1"/>
  <c r="J2173" i="1"/>
  <c r="I2173" i="1"/>
  <c r="H2173" i="1"/>
  <c r="G2173" i="1"/>
  <c r="F2173" i="1"/>
  <c r="E2173" i="1"/>
  <c r="D2173" i="1"/>
  <c r="C2173" i="1"/>
  <c r="B2173" i="1"/>
  <c r="A2173" i="1"/>
  <c r="J2172" i="1"/>
  <c r="I2172" i="1"/>
  <c r="H2172" i="1"/>
  <c r="G2172" i="1"/>
  <c r="E2172" i="1"/>
  <c r="D2172" i="1"/>
  <c r="C2172" i="1"/>
  <c r="B2172" i="1"/>
  <c r="A2172" i="1"/>
  <c r="J2171" i="1"/>
  <c r="I2171" i="1"/>
  <c r="H2171" i="1"/>
  <c r="G2171" i="1"/>
  <c r="E2171" i="1"/>
  <c r="D2171" i="1"/>
  <c r="C2171" i="1"/>
  <c r="B2171" i="1"/>
  <c r="A2171" i="1"/>
  <c r="J2170" i="1"/>
  <c r="I2170" i="1"/>
  <c r="H2170" i="1"/>
  <c r="G2170" i="1"/>
  <c r="E2170" i="1"/>
  <c r="D2170" i="1"/>
  <c r="C2170" i="1"/>
  <c r="B2170" i="1"/>
  <c r="A2170" i="1"/>
  <c r="J2169" i="1"/>
  <c r="I2169" i="1"/>
  <c r="H2169" i="1"/>
  <c r="G2169" i="1"/>
  <c r="E2169" i="1"/>
  <c r="D2169" i="1"/>
  <c r="C2169" i="1"/>
  <c r="B2169" i="1"/>
  <c r="A2169" i="1"/>
  <c r="J2168" i="1"/>
  <c r="I2168" i="1"/>
  <c r="H2168" i="1"/>
  <c r="G2168" i="1"/>
  <c r="F2168" i="1"/>
  <c r="E2168" i="1"/>
  <c r="D2168" i="1"/>
  <c r="C2168" i="1"/>
  <c r="B2168" i="1"/>
  <c r="A2168" i="1"/>
  <c r="J2167" i="1"/>
  <c r="I2167" i="1"/>
  <c r="H2167" i="1"/>
  <c r="G2167" i="1"/>
  <c r="E2167" i="1"/>
  <c r="D2167" i="1"/>
  <c r="C2167" i="1"/>
  <c r="B2167" i="1"/>
  <c r="A2167" i="1"/>
  <c r="J2166" i="1"/>
  <c r="I2166" i="1"/>
  <c r="H2166" i="1"/>
  <c r="G2166" i="1"/>
  <c r="E2166" i="1"/>
  <c r="D2166" i="1"/>
  <c r="C2166" i="1"/>
  <c r="B2166" i="1"/>
  <c r="A2166" i="1"/>
  <c r="J2165" i="1"/>
  <c r="I2165" i="1"/>
  <c r="H2165" i="1"/>
  <c r="G2165" i="1"/>
  <c r="E2165" i="1"/>
  <c r="D2165" i="1"/>
  <c r="C2165" i="1"/>
  <c r="B2165" i="1"/>
  <c r="A2165" i="1"/>
  <c r="J2164" i="1"/>
  <c r="I2164" i="1"/>
  <c r="H2164" i="1"/>
  <c r="G2164" i="1"/>
  <c r="E2164" i="1"/>
  <c r="D2164" i="1"/>
  <c r="C2164" i="1"/>
  <c r="B2164" i="1"/>
  <c r="A2164" i="1"/>
  <c r="J2163" i="1"/>
  <c r="I2163" i="1"/>
  <c r="H2163" i="1"/>
  <c r="G2163" i="1"/>
  <c r="E2163" i="1"/>
  <c r="D2163" i="1"/>
  <c r="C2163" i="1"/>
  <c r="B2163" i="1"/>
  <c r="A2163" i="1"/>
  <c r="J2162" i="1"/>
  <c r="I2162" i="1"/>
  <c r="H2162" i="1"/>
  <c r="G2162" i="1"/>
  <c r="F2162" i="1"/>
  <c r="E2162" i="1"/>
  <c r="D2162" i="1"/>
  <c r="C2162" i="1"/>
  <c r="B2162" i="1"/>
  <c r="A2162" i="1"/>
  <c r="J2161" i="1"/>
  <c r="I2161" i="1"/>
  <c r="H2161" i="1"/>
  <c r="G2161" i="1"/>
  <c r="E2161" i="1"/>
  <c r="D2161" i="1"/>
  <c r="C2161" i="1"/>
  <c r="B2161" i="1"/>
  <c r="A2161" i="1"/>
  <c r="J2160" i="1"/>
  <c r="I2160" i="1"/>
  <c r="H2160" i="1"/>
  <c r="G2160" i="1"/>
  <c r="F2160" i="1"/>
  <c r="E2160" i="1"/>
  <c r="D2160" i="1"/>
  <c r="C2160" i="1"/>
  <c r="B2160" i="1"/>
  <c r="A2160" i="1"/>
  <c r="J2159" i="1"/>
  <c r="I2159" i="1"/>
  <c r="H2159" i="1"/>
  <c r="G2159" i="1"/>
  <c r="F2159" i="1"/>
  <c r="E2159" i="1"/>
  <c r="D2159" i="1"/>
  <c r="C2159" i="1"/>
  <c r="B2159" i="1"/>
  <c r="A2159" i="1"/>
  <c r="J2158" i="1"/>
  <c r="I2158" i="1"/>
  <c r="H2158" i="1"/>
  <c r="G2158" i="1"/>
  <c r="E2158" i="1"/>
  <c r="D2158" i="1"/>
  <c r="C2158" i="1"/>
  <c r="B2158" i="1"/>
  <c r="A2158" i="1"/>
  <c r="J2157" i="1"/>
  <c r="I2157" i="1"/>
  <c r="H2157" i="1"/>
  <c r="G2157" i="1"/>
  <c r="F2157" i="1"/>
  <c r="E2157" i="1"/>
  <c r="D2157" i="1"/>
  <c r="C2157" i="1"/>
  <c r="B2157" i="1"/>
  <c r="A2157" i="1"/>
  <c r="J2156" i="1"/>
  <c r="I2156" i="1"/>
  <c r="H2156" i="1"/>
  <c r="G2156" i="1"/>
  <c r="F2156" i="1"/>
  <c r="E2156" i="1"/>
  <c r="D2156" i="1"/>
  <c r="C2156" i="1"/>
  <c r="B2156" i="1"/>
  <c r="A2156" i="1"/>
  <c r="J2155" i="1"/>
  <c r="I2155" i="1"/>
  <c r="H2155" i="1"/>
  <c r="G2155" i="1"/>
  <c r="F2155" i="1"/>
  <c r="E2155" i="1"/>
  <c r="D2155" i="1"/>
  <c r="C2155" i="1"/>
  <c r="B2155" i="1"/>
  <c r="A2155" i="1"/>
  <c r="J2154" i="1"/>
  <c r="I2154" i="1"/>
  <c r="H2154" i="1"/>
  <c r="G2154" i="1"/>
  <c r="E2154" i="1"/>
  <c r="D2154" i="1"/>
  <c r="C2154" i="1"/>
  <c r="B2154" i="1"/>
  <c r="A2154" i="1"/>
  <c r="J2153" i="1"/>
  <c r="I2153" i="1"/>
  <c r="H2153" i="1"/>
  <c r="G2153" i="1"/>
  <c r="E2153" i="1"/>
  <c r="D2153" i="1"/>
  <c r="C2153" i="1"/>
  <c r="B2153" i="1"/>
  <c r="A2153" i="1"/>
  <c r="J2152" i="1"/>
  <c r="I2152" i="1"/>
  <c r="H2152" i="1"/>
  <c r="G2152" i="1"/>
  <c r="F2152" i="1"/>
  <c r="E2152" i="1"/>
  <c r="D2152" i="1"/>
  <c r="C2152" i="1"/>
  <c r="B2152" i="1"/>
  <c r="A2152" i="1"/>
  <c r="J2151" i="1"/>
  <c r="I2151" i="1"/>
  <c r="H2151" i="1"/>
  <c r="G2151" i="1"/>
  <c r="F2151" i="1"/>
  <c r="E2151" i="1"/>
  <c r="D2151" i="1"/>
  <c r="C2151" i="1"/>
  <c r="B2151" i="1"/>
  <c r="A2151" i="1"/>
  <c r="J2150" i="1"/>
  <c r="I2150" i="1"/>
  <c r="H2150" i="1"/>
  <c r="G2150" i="1"/>
  <c r="F2150" i="1"/>
  <c r="E2150" i="1"/>
  <c r="D2150" i="1"/>
  <c r="C2150" i="1"/>
  <c r="B2150" i="1"/>
  <c r="A2150" i="1"/>
  <c r="J2149" i="1"/>
  <c r="I2149" i="1"/>
  <c r="H2149" i="1"/>
  <c r="G2149" i="1"/>
  <c r="F2149" i="1"/>
  <c r="E2149" i="1"/>
  <c r="D2149" i="1"/>
  <c r="C2149" i="1"/>
  <c r="B2149" i="1"/>
  <c r="A2149" i="1"/>
  <c r="J2148" i="1"/>
  <c r="I2148" i="1"/>
  <c r="H2148" i="1"/>
  <c r="G2148" i="1"/>
  <c r="F2148" i="1"/>
  <c r="E2148" i="1"/>
  <c r="D2148" i="1"/>
  <c r="C2148" i="1"/>
  <c r="B2148" i="1"/>
  <c r="A2148" i="1"/>
  <c r="J2147" i="1"/>
  <c r="I2147" i="1"/>
  <c r="H2147" i="1"/>
  <c r="G2147" i="1"/>
  <c r="F2147" i="1"/>
  <c r="E2147" i="1"/>
  <c r="C2147" i="1"/>
  <c r="B2147" i="1"/>
  <c r="A2147" i="1"/>
  <c r="J2146" i="1"/>
  <c r="I2146" i="1"/>
  <c r="H2146" i="1"/>
  <c r="G2146" i="1"/>
  <c r="F2146" i="1"/>
  <c r="E2146" i="1"/>
  <c r="D2146" i="1"/>
  <c r="C2146" i="1"/>
  <c r="B2146" i="1"/>
  <c r="A2146" i="1"/>
  <c r="J2145" i="1"/>
  <c r="I2145" i="1"/>
  <c r="H2145" i="1"/>
  <c r="G2145" i="1"/>
  <c r="E2145" i="1"/>
  <c r="D2145" i="1"/>
  <c r="C2145" i="1"/>
  <c r="B2145" i="1"/>
  <c r="A2145" i="1"/>
  <c r="J2144" i="1"/>
  <c r="I2144" i="1"/>
  <c r="H2144" i="1"/>
  <c r="G2144" i="1"/>
  <c r="E2144" i="1"/>
  <c r="D2144" i="1"/>
  <c r="C2144" i="1"/>
  <c r="B2144" i="1"/>
  <c r="A2144" i="1"/>
  <c r="J2143" i="1"/>
  <c r="I2143" i="1"/>
  <c r="H2143" i="1"/>
  <c r="G2143" i="1"/>
  <c r="F2143" i="1"/>
  <c r="E2143" i="1"/>
  <c r="D2143" i="1"/>
  <c r="C2143" i="1"/>
  <c r="B2143" i="1"/>
  <c r="A2143" i="1"/>
  <c r="J2142" i="1"/>
  <c r="I2142" i="1"/>
  <c r="H2142" i="1"/>
  <c r="G2142" i="1"/>
  <c r="F2142" i="1"/>
  <c r="E2142" i="1"/>
  <c r="D2142" i="1"/>
  <c r="C2142" i="1"/>
  <c r="B2142" i="1"/>
  <c r="A2142" i="1"/>
  <c r="J2141" i="1"/>
  <c r="I2141" i="1"/>
  <c r="H2141" i="1"/>
  <c r="G2141" i="1"/>
  <c r="E2141" i="1"/>
  <c r="D2141" i="1"/>
  <c r="C2141" i="1"/>
  <c r="B2141" i="1"/>
  <c r="A2141" i="1"/>
  <c r="J2140" i="1"/>
  <c r="I2140" i="1"/>
  <c r="H2140" i="1"/>
  <c r="G2140" i="1"/>
  <c r="F2140" i="1"/>
  <c r="E2140" i="1"/>
  <c r="D2140" i="1"/>
  <c r="C2140" i="1"/>
  <c r="B2140" i="1"/>
  <c r="A2140" i="1"/>
  <c r="J2139" i="1"/>
  <c r="I2139" i="1"/>
  <c r="H2139" i="1"/>
  <c r="G2139" i="1"/>
  <c r="F2139" i="1"/>
  <c r="E2139" i="1"/>
  <c r="D2139" i="1"/>
  <c r="C2139" i="1"/>
  <c r="B2139" i="1"/>
  <c r="A2139" i="1"/>
  <c r="J2138" i="1"/>
  <c r="I2138" i="1"/>
  <c r="H2138" i="1"/>
  <c r="G2138" i="1"/>
  <c r="F2138" i="1"/>
  <c r="E2138" i="1"/>
  <c r="D2138" i="1"/>
  <c r="C2138" i="1"/>
  <c r="B2138" i="1"/>
  <c r="A2138" i="1"/>
  <c r="J2137" i="1"/>
  <c r="I2137" i="1"/>
  <c r="H2137" i="1"/>
  <c r="G2137" i="1"/>
  <c r="E2137" i="1"/>
  <c r="D2137" i="1"/>
  <c r="C2137" i="1"/>
  <c r="B2137" i="1"/>
  <c r="A2137" i="1"/>
  <c r="J2136" i="1"/>
  <c r="I2136" i="1"/>
  <c r="H2136" i="1"/>
  <c r="G2136" i="1"/>
  <c r="F2136" i="1"/>
  <c r="E2136" i="1"/>
  <c r="D2136" i="1"/>
  <c r="C2136" i="1"/>
  <c r="B2136" i="1"/>
  <c r="A2136" i="1"/>
  <c r="J2135" i="1"/>
  <c r="I2135" i="1"/>
  <c r="H2135" i="1"/>
  <c r="G2135" i="1"/>
  <c r="E2135" i="1"/>
  <c r="D2135" i="1"/>
  <c r="C2135" i="1"/>
  <c r="B2135" i="1"/>
  <c r="A2135" i="1"/>
  <c r="J2134" i="1"/>
  <c r="I2134" i="1"/>
  <c r="H2134" i="1"/>
  <c r="G2134" i="1"/>
  <c r="E2134" i="1"/>
  <c r="D2134" i="1"/>
  <c r="C2134" i="1"/>
  <c r="B2134" i="1"/>
  <c r="A2134" i="1"/>
  <c r="J2133" i="1"/>
  <c r="I2133" i="1"/>
  <c r="H2133" i="1"/>
  <c r="G2133" i="1"/>
  <c r="F2133" i="1"/>
  <c r="E2133" i="1"/>
  <c r="D2133" i="1"/>
  <c r="C2133" i="1"/>
  <c r="B2133" i="1"/>
  <c r="A2133" i="1"/>
  <c r="J2132" i="1"/>
  <c r="I2132" i="1"/>
  <c r="H2132" i="1"/>
  <c r="G2132" i="1"/>
  <c r="E2132" i="1"/>
  <c r="D2132" i="1"/>
  <c r="C2132" i="1"/>
  <c r="B2132" i="1"/>
  <c r="A2132" i="1"/>
  <c r="J2131" i="1"/>
  <c r="I2131" i="1"/>
  <c r="H2131" i="1"/>
  <c r="G2131" i="1"/>
  <c r="F2131" i="1"/>
  <c r="E2131" i="1"/>
  <c r="D2131" i="1"/>
  <c r="C2131" i="1"/>
  <c r="B2131" i="1"/>
  <c r="A2131" i="1"/>
  <c r="J2130" i="1"/>
  <c r="I2130" i="1"/>
  <c r="H2130" i="1"/>
  <c r="G2130" i="1"/>
  <c r="E2130" i="1"/>
  <c r="D2130" i="1"/>
  <c r="C2130" i="1"/>
  <c r="B2130" i="1"/>
  <c r="A2130" i="1"/>
  <c r="J2129" i="1"/>
  <c r="I2129" i="1"/>
  <c r="H2129" i="1"/>
  <c r="G2129" i="1"/>
  <c r="E2129" i="1"/>
  <c r="D2129" i="1"/>
  <c r="C2129" i="1"/>
  <c r="B2129" i="1"/>
  <c r="A2129" i="1"/>
  <c r="J2128" i="1"/>
  <c r="I2128" i="1"/>
  <c r="H2128" i="1"/>
  <c r="G2128" i="1"/>
  <c r="E2128" i="1"/>
  <c r="D2128" i="1"/>
  <c r="C2128" i="1"/>
  <c r="B2128" i="1"/>
  <c r="A2128" i="1"/>
  <c r="J2127" i="1"/>
  <c r="I2127" i="1"/>
  <c r="H2127" i="1"/>
  <c r="G2127" i="1"/>
  <c r="F2127" i="1"/>
  <c r="E2127" i="1"/>
  <c r="D2127" i="1"/>
  <c r="C2127" i="1"/>
  <c r="B2127" i="1"/>
  <c r="A2127" i="1"/>
  <c r="J2126" i="1"/>
  <c r="I2126" i="1"/>
  <c r="H2126" i="1"/>
  <c r="G2126" i="1"/>
  <c r="F2126" i="1"/>
  <c r="E2126" i="1"/>
  <c r="D2126" i="1"/>
  <c r="C2126" i="1"/>
  <c r="B2126" i="1"/>
  <c r="A2126" i="1"/>
  <c r="J2125" i="1"/>
  <c r="I2125" i="1"/>
  <c r="H2125" i="1"/>
  <c r="G2125" i="1"/>
  <c r="E2125" i="1"/>
  <c r="D2125" i="1"/>
  <c r="C2125" i="1"/>
  <c r="B2125" i="1"/>
  <c r="A2125" i="1"/>
  <c r="J2124" i="1"/>
  <c r="I2124" i="1"/>
  <c r="H2124" i="1"/>
  <c r="G2124" i="1"/>
  <c r="F2124" i="1"/>
  <c r="E2124" i="1"/>
  <c r="D2124" i="1"/>
  <c r="C2124" i="1"/>
  <c r="B2124" i="1"/>
  <c r="A2124" i="1"/>
  <c r="J2123" i="1"/>
  <c r="I2123" i="1"/>
  <c r="H2123" i="1"/>
  <c r="G2123" i="1"/>
  <c r="E2123" i="1"/>
  <c r="D2123" i="1"/>
  <c r="C2123" i="1"/>
  <c r="B2123" i="1"/>
  <c r="A2123" i="1"/>
  <c r="J2122" i="1"/>
  <c r="I2122" i="1"/>
  <c r="H2122" i="1"/>
  <c r="G2122" i="1"/>
  <c r="E2122" i="1"/>
  <c r="D2122" i="1"/>
  <c r="C2122" i="1"/>
  <c r="B2122" i="1"/>
  <c r="A2122" i="1"/>
  <c r="J2121" i="1"/>
  <c r="I2121" i="1"/>
  <c r="H2121" i="1"/>
  <c r="G2121" i="1"/>
  <c r="E2121" i="1"/>
  <c r="D2121" i="1"/>
  <c r="C2121" i="1"/>
  <c r="B2121" i="1"/>
  <c r="A2121" i="1"/>
  <c r="J2120" i="1"/>
  <c r="I2120" i="1"/>
  <c r="H2120" i="1"/>
  <c r="G2120" i="1"/>
  <c r="E2120" i="1"/>
  <c r="D2120" i="1"/>
  <c r="C2120" i="1"/>
  <c r="B2120" i="1"/>
  <c r="A2120" i="1"/>
  <c r="J2119" i="1"/>
  <c r="I2119" i="1"/>
  <c r="H2119" i="1"/>
  <c r="G2119" i="1"/>
  <c r="F2119" i="1"/>
  <c r="E2119" i="1"/>
  <c r="D2119" i="1"/>
  <c r="C2119" i="1"/>
  <c r="B2119" i="1"/>
  <c r="A2119" i="1"/>
  <c r="J2118" i="1"/>
  <c r="I2118" i="1"/>
  <c r="H2118" i="1"/>
  <c r="G2118" i="1"/>
  <c r="E2118" i="1"/>
  <c r="D2118" i="1"/>
  <c r="C2118" i="1"/>
  <c r="B2118" i="1"/>
  <c r="A2118" i="1"/>
  <c r="J2117" i="1"/>
  <c r="I2117" i="1"/>
  <c r="H2117" i="1"/>
  <c r="G2117" i="1"/>
  <c r="F2117" i="1"/>
  <c r="E2117" i="1"/>
  <c r="D2117" i="1"/>
  <c r="C2117" i="1"/>
  <c r="B2117" i="1"/>
  <c r="A2117" i="1"/>
  <c r="J2116" i="1"/>
  <c r="I2116" i="1"/>
  <c r="H2116" i="1"/>
  <c r="G2116" i="1"/>
  <c r="F2116" i="1"/>
  <c r="E2116" i="1"/>
  <c r="D2116" i="1"/>
  <c r="C2116" i="1"/>
  <c r="B2116" i="1"/>
  <c r="A2116" i="1"/>
  <c r="J2115" i="1"/>
  <c r="I2115" i="1"/>
  <c r="H2115" i="1"/>
  <c r="G2115" i="1"/>
  <c r="E2115" i="1"/>
  <c r="D2115" i="1"/>
  <c r="C2115" i="1"/>
  <c r="B2115" i="1"/>
  <c r="A2115" i="1"/>
  <c r="J2114" i="1"/>
  <c r="I2114" i="1"/>
  <c r="H2114" i="1"/>
  <c r="G2114" i="1"/>
  <c r="E2114" i="1"/>
  <c r="C2114" i="1"/>
  <c r="B2114" i="1"/>
  <c r="A2114" i="1"/>
  <c r="J2113" i="1"/>
  <c r="I2113" i="1"/>
  <c r="H2113" i="1"/>
  <c r="G2113" i="1"/>
  <c r="E2113" i="1"/>
  <c r="D2113" i="1"/>
  <c r="C2113" i="1"/>
  <c r="B2113" i="1"/>
  <c r="A2113" i="1"/>
  <c r="J2112" i="1"/>
  <c r="I2112" i="1"/>
  <c r="H2112" i="1"/>
  <c r="G2112" i="1"/>
  <c r="F2112" i="1"/>
  <c r="E2112" i="1"/>
  <c r="D2112" i="1"/>
  <c r="C2112" i="1"/>
  <c r="B2112" i="1"/>
  <c r="A2112" i="1"/>
  <c r="J2111" i="1"/>
  <c r="I2111" i="1"/>
  <c r="H2111" i="1"/>
  <c r="G2111" i="1"/>
  <c r="E2111" i="1"/>
  <c r="D2111" i="1"/>
  <c r="C2111" i="1"/>
  <c r="B2111" i="1"/>
  <c r="A2111" i="1"/>
  <c r="J2110" i="1"/>
  <c r="I2110" i="1"/>
  <c r="H2110" i="1"/>
  <c r="G2110" i="1"/>
  <c r="F2110" i="1"/>
  <c r="E2110" i="1"/>
  <c r="D2110" i="1"/>
  <c r="C2110" i="1"/>
  <c r="B2110" i="1"/>
  <c r="A2110" i="1"/>
  <c r="J2109" i="1"/>
  <c r="I2109" i="1"/>
  <c r="H2109" i="1"/>
  <c r="G2109" i="1"/>
  <c r="E2109" i="1"/>
  <c r="D2109" i="1"/>
  <c r="C2109" i="1"/>
  <c r="B2109" i="1"/>
  <c r="A2109" i="1"/>
  <c r="J2108" i="1"/>
  <c r="I2108" i="1"/>
  <c r="H2108" i="1"/>
  <c r="G2108" i="1"/>
  <c r="E2108" i="1"/>
  <c r="D2108" i="1"/>
  <c r="C2108" i="1"/>
  <c r="B2108" i="1"/>
  <c r="A2108" i="1"/>
  <c r="J2107" i="1"/>
  <c r="I2107" i="1"/>
  <c r="H2107" i="1"/>
  <c r="G2107" i="1"/>
  <c r="E2107" i="1"/>
  <c r="D2107" i="1"/>
  <c r="C2107" i="1"/>
  <c r="B2107" i="1"/>
  <c r="A2107" i="1"/>
  <c r="J2106" i="1"/>
  <c r="I2106" i="1"/>
  <c r="H2106" i="1"/>
  <c r="G2106" i="1"/>
  <c r="E2106" i="1"/>
  <c r="D2106" i="1"/>
  <c r="C2106" i="1"/>
  <c r="B2106" i="1"/>
  <c r="A2106" i="1"/>
  <c r="J2105" i="1"/>
  <c r="I2105" i="1"/>
  <c r="H2105" i="1"/>
  <c r="G2105" i="1"/>
  <c r="F2105" i="1"/>
  <c r="E2105" i="1"/>
  <c r="D2105" i="1"/>
  <c r="C2105" i="1"/>
  <c r="B2105" i="1"/>
  <c r="A2105" i="1"/>
  <c r="J2104" i="1"/>
  <c r="I2104" i="1"/>
  <c r="H2104" i="1"/>
  <c r="G2104" i="1"/>
  <c r="E2104" i="1"/>
  <c r="D2104" i="1"/>
  <c r="C2104" i="1"/>
  <c r="B2104" i="1"/>
  <c r="A2104" i="1"/>
  <c r="J2103" i="1"/>
  <c r="I2103" i="1"/>
  <c r="H2103" i="1"/>
  <c r="G2103" i="1"/>
  <c r="F2103" i="1"/>
  <c r="E2103" i="1"/>
  <c r="D2103" i="1"/>
  <c r="C2103" i="1"/>
  <c r="B2103" i="1"/>
  <c r="A2103" i="1"/>
  <c r="J2102" i="1"/>
  <c r="I2102" i="1"/>
  <c r="H2102" i="1"/>
  <c r="G2102" i="1"/>
  <c r="F2102" i="1"/>
  <c r="E2102" i="1"/>
  <c r="D2102" i="1"/>
  <c r="C2102" i="1"/>
  <c r="B2102" i="1"/>
  <c r="A2102" i="1"/>
  <c r="J2101" i="1"/>
  <c r="I2101" i="1"/>
  <c r="H2101" i="1"/>
  <c r="G2101" i="1"/>
  <c r="F2101" i="1"/>
  <c r="E2101" i="1"/>
  <c r="D2101" i="1"/>
  <c r="C2101" i="1"/>
  <c r="B2101" i="1"/>
  <c r="A2101" i="1"/>
  <c r="J2100" i="1"/>
  <c r="I2100" i="1"/>
  <c r="H2100" i="1"/>
  <c r="G2100" i="1"/>
  <c r="E2100" i="1"/>
  <c r="D2100" i="1"/>
  <c r="C2100" i="1"/>
  <c r="B2100" i="1"/>
  <c r="A2100" i="1"/>
  <c r="J2099" i="1"/>
  <c r="I2099" i="1"/>
  <c r="H2099" i="1"/>
  <c r="G2099" i="1"/>
  <c r="E2099" i="1"/>
  <c r="C2099" i="1"/>
  <c r="B2099" i="1"/>
  <c r="A2099" i="1"/>
  <c r="J2098" i="1"/>
  <c r="I2098" i="1"/>
  <c r="H2098" i="1"/>
  <c r="G2098" i="1"/>
  <c r="F2098" i="1"/>
  <c r="E2098" i="1"/>
  <c r="D2098" i="1"/>
  <c r="C2098" i="1"/>
  <c r="B2098" i="1"/>
  <c r="A2098" i="1"/>
  <c r="J2097" i="1"/>
  <c r="I2097" i="1"/>
  <c r="H2097" i="1"/>
  <c r="G2097" i="1"/>
  <c r="F2097" i="1"/>
  <c r="E2097" i="1"/>
  <c r="D2097" i="1"/>
  <c r="C2097" i="1"/>
  <c r="B2097" i="1"/>
  <c r="A2097" i="1"/>
  <c r="J2096" i="1"/>
  <c r="I2096" i="1"/>
  <c r="H2096" i="1"/>
  <c r="G2096" i="1"/>
  <c r="E2096" i="1"/>
  <c r="D2096" i="1"/>
  <c r="C2096" i="1"/>
  <c r="B2096" i="1"/>
  <c r="A2096" i="1"/>
  <c r="J2095" i="1"/>
  <c r="I2095" i="1"/>
  <c r="H2095" i="1"/>
  <c r="G2095" i="1"/>
  <c r="F2095" i="1"/>
  <c r="E2095" i="1"/>
  <c r="D2095" i="1"/>
  <c r="C2095" i="1"/>
  <c r="B2095" i="1"/>
  <c r="A2095" i="1"/>
  <c r="J2094" i="1"/>
  <c r="I2094" i="1"/>
  <c r="H2094" i="1"/>
  <c r="G2094" i="1"/>
  <c r="E2094" i="1"/>
  <c r="D2094" i="1"/>
  <c r="C2094" i="1"/>
  <c r="B2094" i="1"/>
  <c r="A2094" i="1"/>
  <c r="J2093" i="1"/>
  <c r="I2093" i="1"/>
  <c r="H2093" i="1"/>
  <c r="G2093" i="1"/>
  <c r="E2093" i="1"/>
  <c r="D2093" i="1"/>
  <c r="C2093" i="1"/>
  <c r="B2093" i="1"/>
  <c r="A2093" i="1"/>
  <c r="J2092" i="1"/>
  <c r="I2092" i="1"/>
  <c r="H2092" i="1"/>
  <c r="G2092" i="1"/>
  <c r="E2092" i="1"/>
  <c r="C2092" i="1"/>
  <c r="B2092" i="1"/>
  <c r="A2092" i="1"/>
  <c r="J2091" i="1"/>
  <c r="I2091" i="1"/>
  <c r="H2091" i="1"/>
  <c r="G2091" i="1"/>
  <c r="F2091" i="1"/>
  <c r="E2091" i="1"/>
  <c r="D2091" i="1"/>
  <c r="C2091" i="1"/>
  <c r="B2091" i="1"/>
  <c r="A2091" i="1"/>
  <c r="J2090" i="1"/>
  <c r="I2090" i="1"/>
  <c r="H2090" i="1"/>
  <c r="G2090" i="1"/>
  <c r="E2090" i="1"/>
  <c r="D2090" i="1"/>
  <c r="C2090" i="1"/>
  <c r="B2090" i="1"/>
  <c r="A2090" i="1"/>
  <c r="J2089" i="1"/>
  <c r="I2089" i="1"/>
  <c r="H2089" i="1"/>
  <c r="G2089" i="1"/>
  <c r="F2089" i="1"/>
  <c r="E2089" i="1"/>
  <c r="D2089" i="1"/>
  <c r="C2089" i="1"/>
  <c r="B2089" i="1"/>
  <c r="A2089" i="1"/>
  <c r="J2088" i="1"/>
  <c r="I2088" i="1"/>
  <c r="H2088" i="1"/>
  <c r="G2088" i="1"/>
  <c r="F2088" i="1"/>
  <c r="E2088" i="1"/>
  <c r="D2088" i="1"/>
  <c r="C2088" i="1"/>
  <c r="B2088" i="1"/>
  <c r="A2088" i="1"/>
  <c r="J2087" i="1"/>
  <c r="I2087" i="1"/>
  <c r="H2087" i="1"/>
  <c r="G2087" i="1"/>
  <c r="F2087" i="1"/>
  <c r="E2087" i="1"/>
  <c r="D2087" i="1"/>
  <c r="C2087" i="1"/>
  <c r="B2087" i="1"/>
  <c r="A2087" i="1"/>
  <c r="J2086" i="1"/>
  <c r="I2086" i="1"/>
  <c r="H2086" i="1"/>
  <c r="G2086" i="1"/>
  <c r="F2086" i="1"/>
  <c r="E2086" i="1"/>
  <c r="D2086" i="1"/>
  <c r="C2086" i="1"/>
  <c r="B2086" i="1"/>
  <c r="A2086" i="1"/>
  <c r="J2085" i="1"/>
  <c r="I2085" i="1"/>
  <c r="H2085" i="1"/>
  <c r="G2085" i="1"/>
  <c r="F2085" i="1"/>
  <c r="E2085" i="1"/>
  <c r="D2085" i="1"/>
  <c r="C2085" i="1"/>
  <c r="B2085" i="1"/>
  <c r="A2085" i="1"/>
  <c r="J2084" i="1"/>
  <c r="I2084" i="1"/>
  <c r="H2084" i="1"/>
  <c r="G2084" i="1"/>
  <c r="E2084" i="1"/>
  <c r="D2084" i="1"/>
  <c r="C2084" i="1"/>
  <c r="B2084" i="1"/>
  <c r="A2084" i="1"/>
  <c r="J2083" i="1"/>
  <c r="I2083" i="1"/>
  <c r="H2083" i="1"/>
  <c r="G2083" i="1"/>
  <c r="E2083" i="1"/>
  <c r="D2083" i="1"/>
  <c r="C2083" i="1"/>
  <c r="B2083" i="1"/>
  <c r="A2083" i="1"/>
  <c r="J2082" i="1"/>
  <c r="I2082" i="1"/>
  <c r="H2082" i="1"/>
  <c r="G2082" i="1"/>
  <c r="F2082" i="1"/>
  <c r="E2082" i="1"/>
  <c r="D2082" i="1"/>
  <c r="C2082" i="1"/>
  <c r="B2082" i="1"/>
  <c r="A2082" i="1"/>
  <c r="J2081" i="1"/>
  <c r="I2081" i="1"/>
  <c r="H2081" i="1"/>
  <c r="G2081" i="1"/>
  <c r="F2081" i="1"/>
  <c r="E2081" i="1"/>
  <c r="D2081" i="1"/>
  <c r="C2081" i="1"/>
  <c r="B2081" i="1"/>
  <c r="A2081" i="1"/>
  <c r="J2080" i="1"/>
  <c r="I2080" i="1"/>
  <c r="H2080" i="1"/>
  <c r="G2080" i="1"/>
  <c r="F2080" i="1"/>
  <c r="E2080" i="1"/>
  <c r="D2080" i="1"/>
  <c r="C2080" i="1"/>
  <c r="B2080" i="1"/>
  <c r="A2080" i="1"/>
  <c r="J2079" i="1"/>
  <c r="I2079" i="1"/>
  <c r="H2079" i="1"/>
  <c r="G2079" i="1"/>
  <c r="E2079" i="1"/>
  <c r="D2079" i="1"/>
  <c r="C2079" i="1"/>
  <c r="B2079" i="1"/>
  <c r="A2079" i="1"/>
  <c r="J2078" i="1"/>
  <c r="I2078" i="1"/>
  <c r="H2078" i="1"/>
  <c r="G2078" i="1"/>
  <c r="E2078" i="1"/>
  <c r="D2078" i="1"/>
  <c r="C2078" i="1"/>
  <c r="B2078" i="1"/>
  <c r="A2078" i="1"/>
  <c r="J2077" i="1"/>
  <c r="I2077" i="1"/>
  <c r="H2077" i="1"/>
  <c r="G2077" i="1"/>
  <c r="F2077" i="1"/>
  <c r="E2077" i="1"/>
  <c r="D2077" i="1"/>
  <c r="C2077" i="1"/>
  <c r="B2077" i="1"/>
  <c r="A2077" i="1"/>
  <c r="J2076" i="1"/>
  <c r="I2076" i="1"/>
  <c r="H2076" i="1"/>
  <c r="G2076" i="1"/>
  <c r="E2076" i="1"/>
  <c r="D2076" i="1"/>
  <c r="C2076" i="1"/>
  <c r="B2076" i="1"/>
  <c r="A2076" i="1"/>
  <c r="J2075" i="1"/>
  <c r="I2075" i="1"/>
  <c r="H2075" i="1"/>
  <c r="G2075" i="1"/>
  <c r="E2075" i="1"/>
  <c r="D2075" i="1"/>
  <c r="C2075" i="1"/>
  <c r="B2075" i="1"/>
  <c r="A2075" i="1"/>
  <c r="J2074" i="1"/>
  <c r="I2074" i="1"/>
  <c r="H2074" i="1"/>
  <c r="G2074" i="1"/>
  <c r="E2074" i="1"/>
  <c r="D2074" i="1"/>
  <c r="C2074" i="1"/>
  <c r="B2074" i="1"/>
  <c r="A2074" i="1"/>
  <c r="J2073" i="1"/>
  <c r="I2073" i="1"/>
  <c r="H2073" i="1"/>
  <c r="G2073" i="1"/>
  <c r="E2073" i="1"/>
  <c r="D2073" i="1"/>
  <c r="C2073" i="1"/>
  <c r="B2073" i="1"/>
  <c r="A2073" i="1"/>
  <c r="J2072" i="1"/>
  <c r="I2072" i="1"/>
  <c r="H2072" i="1"/>
  <c r="G2072" i="1"/>
  <c r="E2072" i="1"/>
  <c r="D2072" i="1"/>
  <c r="C2072" i="1"/>
  <c r="B2072" i="1"/>
  <c r="A2072" i="1"/>
  <c r="J2071" i="1"/>
  <c r="I2071" i="1"/>
  <c r="H2071" i="1"/>
  <c r="G2071" i="1"/>
  <c r="E2071" i="1"/>
  <c r="D2071" i="1"/>
  <c r="C2071" i="1"/>
  <c r="B2071" i="1"/>
  <c r="A2071" i="1"/>
  <c r="J2070" i="1"/>
  <c r="I2070" i="1"/>
  <c r="H2070" i="1"/>
  <c r="G2070" i="1"/>
  <c r="E2070" i="1"/>
  <c r="D2070" i="1"/>
  <c r="C2070" i="1"/>
  <c r="B2070" i="1"/>
  <c r="A2070" i="1"/>
  <c r="J2069" i="1"/>
  <c r="I2069" i="1"/>
  <c r="H2069" i="1"/>
  <c r="G2069" i="1"/>
  <c r="E2069" i="1"/>
  <c r="D2069" i="1"/>
  <c r="C2069" i="1"/>
  <c r="B2069" i="1"/>
  <c r="A2069" i="1"/>
  <c r="J2068" i="1"/>
  <c r="I2068" i="1"/>
  <c r="H2068" i="1"/>
  <c r="G2068" i="1"/>
  <c r="F2068" i="1"/>
  <c r="E2068" i="1"/>
  <c r="D2068" i="1"/>
  <c r="C2068" i="1"/>
  <c r="B2068" i="1"/>
  <c r="A2068" i="1"/>
  <c r="J2067" i="1"/>
  <c r="I2067" i="1"/>
  <c r="H2067" i="1"/>
  <c r="G2067" i="1"/>
  <c r="E2067" i="1"/>
  <c r="D2067" i="1"/>
  <c r="C2067" i="1"/>
  <c r="B2067" i="1"/>
  <c r="A2067" i="1"/>
  <c r="J2066" i="1"/>
  <c r="I2066" i="1"/>
  <c r="H2066" i="1"/>
  <c r="G2066" i="1"/>
  <c r="E2066" i="1"/>
  <c r="D2066" i="1"/>
  <c r="C2066" i="1"/>
  <c r="B2066" i="1"/>
  <c r="A2066" i="1"/>
  <c r="J2065" i="1"/>
  <c r="I2065" i="1"/>
  <c r="H2065" i="1"/>
  <c r="G2065" i="1"/>
  <c r="E2065" i="1"/>
  <c r="D2065" i="1"/>
  <c r="C2065" i="1"/>
  <c r="B2065" i="1"/>
  <c r="A2065" i="1"/>
  <c r="J2064" i="1"/>
  <c r="I2064" i="1"/>
  <c r="H2064" i="1"/>
  <c r="G2064" i="1"/>
  <c r="F2064" i="1"/>
  <c r="E2064" i="1"/>
  <c r="D2064" i="1"/>
  <c r="C2064" i="1"/>
  <c r="B2064" i="1"/>
  <c r="A2064" i="1"/>
  <c r="J2063" i="1"/>
  <c r="I2063" i="1"/>
  <c r="H2063" i="1"/>
  <c r="G2063" i="1"/>
  <c r="E2063" i="1"/>
  <c r="D2063" i="1"/>
  <c r="C2063" i="1"/>
  <c r="B2063" i="1"/>
  <c r="A2063" i="1"/>
  <c r="J2062" i="1"/>
  <c r="I2062" i="1"/>
  <c r="H2062" i="1"/>
  <c r="G2062" i="1"/>
  <c r="E2062" i="1"/>
  <c r="D2062" i="1"/>
  <c r="C2062" i="1"/>
  <c r="B2062" i="1"/>
  <c r="A2062" i="1"/>
  <c r="J2061" i="1"/>
  <c r="I2061" i="1"/>
  <c r="H2061" i="1"/>
  <c r="G2061" i="1"/>
  <c r="E2061" i="1"/>
  <c r="D2061" i="1"/>
  <c r="C2061" i="1"/>
  <c r="B2061" i="1"/>
  <c r="A2061" i="1"/>
  <c r="J2060" i="1"/>
  <c r="I2060" i="1"/>
  <c r="H2060" i="1"/>
  <c r="G2060" i="1"/>
  <c r="E2060" i="1"/>
  <c r="D2060" i="1"/>
  <c r="C2060" i="1"/>
  <c r="B2060" i="1"/>
  <c r="A2060" i="1"/>
  <c r="J2059" i="1"/>
  <c r="I2059" i="1"/>
  <c r="H2059" i="1"/>
  <c r="G2059" i="1"/>
  <c r="E2059" i="1"/>
  <c r="D2059" i="1"/>
  <c r="C2059" i="1"/>
  <c r="B2059" i="1"/>
  <c r="A2059" i="1"/>
  <c r="J2058" i="1"/>
  <c r="I2058" i="1"/>
  <c r="H2058" i="1"/>
  <c r="G2058" i="1"/>
  <c r="F2058" i="1"/>
  <c r="E2058" i="1"/>
  <c r="D2058" i="1"/>
  <c r="C2058" i="1"/>
  <c r="B2058" i="1"/>
  <c r="A2058" i="1"/>
  <c r="J2057" i="1"/>
  <c r="I2057" i="1"/>
  <c r="H2057" i="1"/>
  <c r="G2057" i="1"/>
  <c r="F2057" i="1"/>
  <c r="E2057" i="1"/>
  <c r="D2057" i="1"/>
  <c r="C2057" i="1"/>
  <c r="B2057" i="1"/>
  <c r="A2057" i="1"/>
  <c r="J2056" i="1"/>
  <c r="I2056" i="1"/>
  <c r="H2056" i="1"/>
  <c r="G2056" i="1"/>
  <c r="F2056" i="1"/>
  <c r="E2056" i="1"/>
  <c r="D2056" i="1"/>
  <c r="C2056" i="1"/>
  <c r="B2056" i="1"/>
  <c r="A2056" i="1"/>
  <c r="J2055" i="1"/>
  <c r="I2055" i="1"/>
  <c r="H2055" i="1"/>
  <c r="G2055" i="1"/>
  <c r="E2055" i="1"/>
  <c r="D2055" i="1"/>
  <c r="C2055" i="1"/>
  <c r="B2055" i="1"/>
  <c r="A2055" i="1"/>
  <c r="J2054" i="1"/>
  <c r="I2054" i="1"/>
  <c r="H2054" i="1"/>
  <c r="G2054" i="1"/>
  <c r="E2054" i="1"/>
  <c r="D2054" i="1"/>
  <c r="C2054" i="1"/>
  <c r="B2054" i="1"/>
  <c r="A2054" i="1"/>
  <c r="J2053" i="1"/>
  <c r="I2053" i="1"/>
  <c r="H2053" i="1"/>
  <c r="G2053" i="1"/>
  <c r="E2053" i="1"/>
  <c r="D2053" i="1"/>
  <c r="C2053" i="1"/>
  <c r="B2053" i="1"/>
  <c r="A2053" i="1"/>
  <c r="J2052" i="1"/>
  <c r="I2052" i="1"/>
  <c r="H2052" i="1"/>
  <c r="G2052" i="1"/>
  <c r="E2052" i="1"/>
  <c r="D2052" i="1"/>
  <c r="C2052" i="1"/>
  <c r="B2052" i="1"/>
  <c r="A2052" i="1"/>
  <c r="J2051" i="1"/>
  <c r="I2051" i="1"/>
  <c r="H2051" i="1"/>
  <c r="G2051" i="1"/>
  <c r="E2051" i="1"/>
  <c r="D2051" i="1"/>
  <c r="C2051" i="1"/>
  <c r="B2051" i="1"/>
  <c r="A2051" i="1"/>
  <c r="J2050" i="1"/>
  <c r="I2050" i="1"/>
  <c r="H2050" i="1"/>
  <c r="G2050" i="1"/>
  <c r="E2050" i="1"/>
  <c r="D2050" i="1"/>
  <c r="C2050" i="1"/>
  <c r="B2050" i="1"/>
  <c r="A2050" i="1"/>
  <c r="J2049" i="1"/>
  <c r="I2049" i="1"/>
  <c r="H2049" i="1"/>
  <c r="G2049" i="1"/>
  <c r="E2049" i="1"/>
  <c r="D2049" i="1"/>
  <c r="C2049" i="1"/>
  <c r="B2049" i="1"/>
  <c r="A2049" i="1"/>
  <c r="J2048" i="1"/>
  <c r="I2048" i="1"/>
  <c r="H2048" i="1"/>
  <c r="G2048" i="1"/>
  <c r="E2048" i="1"/>
  <c r="D2048" i="1"/>
  <c r="C2048" i="1"/>
  <c r="B2048" i="1"/>
  <c r="A2048" i="1"/>
  <c r="J2047" i="1"/>
  <c r="I2047" i="1"/>
  <c r="H2047" i="1"/>
  <c r="G2047" i="1"/>
  <c r="E2047" i="1"/>
  <c r="D2047" i="1"/>
  <c r="C2047" i="1"/>
  <c r="B2047" i="1"/>
  <c r="A2047" i="1"/>
  <c r="J2046" i="1"/>
  <c r="I2046" i="1"/>
  <c r="H2046" i="1"/>
  <c r="G2046" i="1"/>
  <c r="E2046" i="1"/>
  <c r="D2046" i="1"/>
  <c r="C2046" i="1"/>
  <c r="B2046" i="1"/>
  <c r="A2046" i="1"/>
  <c r="J2045" i="1"/>
  <c r="I2045" i="1"/>
  <c r="H2045" i="1"/>
  <c r="G2045" i="1"/>
  <c r="E2045" i="1"/>
  <c r="D2045" i="1"/>
  <c r="C2045" i="1"/>
  <c r="B2045" i="1"/>
  <c r="A2045" i="1"/>
  <c r="J2044" i="1"/>
  <c r="I2044" i="1"/>
  <c r="H2044" i="1"/>
  <c r="G2044" i="1"/>
  <c r="E2044" i="1"/>
  <c r="D2044" i="1"/>
  <c r="C2044" i="1"/>
  <c r="B2044" i="1"/>
  <c r="A2044" i="1"/>
  <c r="J2043" i="1"/>
  <c r="I2043" i="1"/>
  <c r="H2043" i="1"/>
  <c r="G2043" i="1"/>
  <c r="E2043" i="1"/>
  <c r="D2043" i="1"/>
  <c r="C2043" i="1"/>
  <c r="B2043" i="1"/>
  <c r="A2043" i="1"/>
  <c r="J2042" i="1"/>
  <c r="I2042" i="1"/>
  <c r="H2042" i="1"/>
  <c r="G2042" i="1"/>
  <c r="F2042" i="1"/>
  <c r="E2042" i="1"/>
  <c r="D2042" i="1"/>
  <c r="C2042" i="1"/>
  <c r="B2042" i="1"/>
  <c r="A2042" i="1"/>
  <c r="J2041" i="1"/>
  <c r="I2041" i="1"/>
  <c r="H2041" i="1"/>
  <c r="G2041" i="1"/>
  <c r="E2041" i="1"/>
  <c r="D2041" i="1"/>
  <c r="C2041" i="1"/>
  <c r="B2041" i="1"/>
  <c r="A2041" i="1"/>
  <c r="J2040" i="1"/>
  <c r="I2040" i="1"/>
  <c r="H2040" i="1"/>
  <c r="G2040" i="1"/>
  <c r="F2040" i="1"/>
  <c r="E2040" i="1"/>
  <c r="D2040" i="1"/>
  <c r="C2040" i="1"/>
  <c r="B2040" i="1"/>
  <c r="A2040" i="1"/>
  <c r="J2039" i="1"/>
  <c r="I2039" i="1"/>
  <c r="H2039" i="1"/>
  <c r="G2039" i="1"/>
  <c r="F2039" i="1"/>
  <c r="E2039" i="1"/>
  <c r="D2039" i="1"/>
  <c r="C2039" i="1"/>
  <c r="B2039" i="1"/>
  <c r="A2039" i="1"/>
  <c r="J2038" i="1"/>
  <c r="I2038" i="1"/>
  <c r="H2038" i="1"/>
  <c r="G2038" i="1"/>
  <c r="F2038" i="1"/>
  <c r="E2038" i="1"/>
  <c r="D2038" i="1"/>
  <c r="C2038" i="1"/>
  <c r="B2038" i="1"/>
  <c r="A2038" i="1"/>
  <c r="J2037" i="1"/>
  <c r="I2037" i="1"/>
  <c r="H2037" i="1"/>
  <c r="G2037" i="1"/>
  <c r="E2037" i="1"/>
  <c r="D2037" i="1"/>
  <c r="C2037" i="1"/>
  <c r="B2037" i="1"/>
  <c r="A2037" i="1"/>
  <c r="J2036" i="1"/>
  <c r="I2036" i="1"/>
  <c r="H2036" i="1"/>
  <c r="G2036" i="1"/>
  <c r="F2036" i="1"/>
  <c r="E2036" i="1"/>
  <c r="D2036" i="1"/>
  <c r="C2036" i="1"/>
  <c r="B2036" i="1"/>
  <c r="A2036" i="1"/>
  <c r="J2035" i="1"/>
  <c r="I2035" i="1"/>
  <c r="H2035" i="1"/>
  <c r="G2035" i="1"/>
  <c r="F2035" i="1"/>
  <c r="E2035" i="1"/>
  <c r="D2035" i="1"/>
  <c r="C2035" i="1"/>
  <c r="B2035" i="1"/>
  <c r="A2035" i="1"/>
  <c r="J2034" i="1"/>
  <c r="I2034" i="1"/>
  <c r="H2034" i="1"/>
  <c r="G2034" i="1"/>
  <c r="F2034" i="1"/>
  <c r="E2034" i="1"/>
  <c r="D2034" i="1"/>
  <c r="C2034" i="1"/>
  <c r="B2034" i="1"/>
  <c r="A2034" i="1"/>
  <c r="J2033" i="1"/>
  <c r="I2033" i="1"/>
  <c r="H2033" i="1"/>
  <c r="G2033" i="1"/>
  <c r="E2033" i="1"/>
  <c r="D2033" i="1"/>
  <c r="C2033" i="1"/>
  <c r="B2033" i="1"/>
  <c r="A2033" i="1"/>
  <c r="J2032" i="1"/>
  <c r="I2032" i="1"/>
  <c r="H2032" i="1"/>
  <c r="G2032" i="1"/>
  <c r="E2032" i="1"/>
  <c r="D2032" i="1"/>
  <c r="C2032" i="1"/>
  <c r="B2032" i="1"/>
  <c r="A2032" i="1"/>
  <c r="J2031" i="1"/>
  <c r="I2031" i="1"/>
  <c r="H2031" i="1"/>
  <c r="G2031" i="1"/>
  <c r="E2031" i="1"/>
  <c r="D2031" i="1"/>
  <c r="C2031" i="1"/>
  <c r="B2031" i="1"/>
  <c r="A2031" i="1"/>
  <c r="J2030" i="1"/>
  <c r="I2030" i="1"/>
  <c r="H2030" i="1"/>
  <c r="G2030" i="1"/>
  <c r="F2030" i="1"/>
  <c r="E2030" i="1"/>
  <c r="D2030" i="1"/>
  <c r="C2030" i="1"/>
  <c r="B2030" i="1"/>
  <c r="A2030" i="1"/>
  <c r="J2029" i="1"/>
  <c r="I2029" i="1"/>
  <c r="H2029" i="1"/>
  <c r="G2029" i="1"/>
  <c r="F2029" i="1"/>
  <c r="E2029" i="1"/>
  <c r="D2029" i="1"/>
  <c r="C2029" i="1"/>
  <c r="B2029" i="1"/>
  <c r="A2029" i="1"/>
  <c r="J2028" i="1"/>
  <c r="I2028" i="1"/>
  <c r="H2028" i="1"/>
  <c r="G2028" i="1"/>
  <c r="E2028" i="1"/>
  <c r="D2028" i="1"/>
  <c r="C2028" i="1"/>
  <c r="B2028" i="1"/>
  <c r="A2028" i="1"/>
  <c r="J2027" i="1"/>
  <c r="I2027" i="1"/>
  <c r="H2027" i="1"/>
  <c r="G2027" i="1"/>
  <c r="E2027" i="1"/>
  <c r="D2027" i="1"/>
  <c r="C2027" i="1"/>
  <c r="B2027" i="1"/>
  <c r="A2027" i="1"/>
  <c r="J2026" i="1"/>
  <c r="I2026" i="1"/>
  <c r="H2026" i="1"/>
  <c r="G2026" i="1"/>
  <c r="E2026" i="1"/>
  <c r="D2026" i="1"/>
  <c r="C2026" i="1"/>
  <c r="B2026" i="1"/>
  <c r="A2026" i="1"/>
  <c r="J2025" i="1"/>
  <c r="I2025" i="1"/>
  <c r="H2025" i="1"/>
  <c r="G2025" i="1"/>
  <c r="F2025" i="1"/>
  <c r="E2025" i="1"/>
  <c r="D2025" i="1"/>
  <c r="C2025" i="1"/>
  <c r="B2025" i="1"/>
  <c r="A2025" i="1"/>
  <c r="J2024" i="1"/>
  <c r="I2024" i="1"/>
  <c r="H2024" i="1"/>
  <c r="G2024" i="1"/>
  <c r="E2024" i="1"/>
  <c r="D2024" i="1"/>
  <c r="C2024" i="1"/>
  <c r="B2024" i="1"/>
  <c r="A2024" i="1"/>
  <c r="J2023" i="1"/>
  <c r="I2023" i="1"/>
  <c r="H2023" i="1"/>
  <c r="G2023" i="1"/>
  <c r="F2023" i="1"/>
  <c r="E2023" i="1"/>
  <c r="D2023" i="1"/>
  <c r="C2023" i="1"/>
  <c r="B2023" i="1"/>
  <c r="A2023" i="1"/>
  <c r="J2022" i="1"/>
  <c r="I2022" i="1"/>
  <c r="H2022" i="1"/>
  <c r="G2022" i="1"/>
  <c r="E2022" i="1"/>
  <c r="D2022" i="1"/>
  <c r="C2022" i="1"/>
  <c r="B2022" i="1"/>
  <c r="A2022" i="1"/>
  <c r="J2021" i="1"/>
  <c r="I2021" i="1"/>
  <c r="H2021" i="1"/>
  <c r="G2021" i="1"/>
  <c r="E2021" i="1"/>
  <c r="D2021" i="1"/>
  <c r="C2021" i="1"/>
  <c r="B2021" i="1"/>
  <c r="A2021" i="1"/>
  <c r="J2020" i="1"/>
  <c r="I2020" i="1"/>
  <c r="H2020" i="1"/>
  <c r="G2020" i="1"/>
  <c r="F2020" i="1"/>
  <c r="E2020" i="1"/>
  <c r="D2020" i="1"/>
  <c r="C2020" i="1"/>
  <c r="B2020" i="1"/>
  <c r="A2020" i="1"/>
  <c r="J2019" i="1"/>
  <c r="I2019" i="1"/>
  <c r="H2019" i="1"/>
  <c r="G2019" i="1"/>
  <c r="F2019" i="1"/>
  <c r="E2019" i="1"/>
  <c r="D2019" i="1"/>
  <c r="C2019" i="1"/>
  <c r="B2019" i="1"/>
  <c r="A2019" i="1"/>
  <c r="J2018" i="1"/>
  <c r="I2018" i="1"/>
  <c r="H2018" i="1"/>
  <c r="G2018" i="1"/>
  <c r="F2018" i="1"/>
  <c r="E2018" i="1"/>
  <c r="D2018" i="1"/>
  <c r="C2018" i="1"/>
  <c r="B2018" i="1"/>
  <c r="A2018" i="1"/>
  <c r="J2017" i="1"/>
  <c r="I2017" i="1"/>
  <c r="H2017" i="1"/>
  <c r="G2017" i="1"/>
  <c r="E2017" i="1"/>
  <c r="D2017" i="1"/>
  <c r="C2017" i="1"/>
  <c r="B2017" i="1"/>
  <c r="A2017" i="1"/>
  <c r="J2016" i="1"/>
  <c r="I2016" i="1"/>
  <c r="H2016" i="1"/>
  <c r="G2016" i="1"/>
  <c r="F2016" i="1"/>
  <c r="E2016" i="1"/>
  <c r="D2016" i="1"/>
  <c r="C2016" i="1"/>
  <c r="B2016" i="1"/>
  <c r="A2016" i="1"/>
  <c r="J2015" i="1"/>
  <c r="I2015" i="1"/>
  <c r="H2015" i="1"/>
  <c r="G2015" i="1"/>
  <c r="E2015" i="1"/>
  <c r="D2015" i="1"/>
  <c r="C2015" i="1"/>
  <c r="B2015" i="1"/>
  <c r="A2015" i="1"/>
  <c r="J2014" i="1"/>
  <c r="I2014" i="1"/>
  <c r="H2014" i="1"/>
  <c r="G2014" i="1"/>
  <c r="E2014" i="1"/>
  <c r="D2014" i="1"/>
  <c r="C2014" i="1"/>
  <c r="B2014" i="1"/>
  <c r="A2014" i="1"/>
  <c r="J2013" i="1"/>
  <c r="I2013" i="1"/>
  <c r="H2013" i="1"/>
  <c r="G2013" i="1"/>
  <c r="E2013" i="1"/>
  <c r="D2013" i="1"/>
  <c r="C2013" i="1"/>
  <c r="B2013" i="1"/>
  <c r="A2013" i="1"/>
  <c r="J2012" i="1"/>
  <c r="I2012" i="1"/>
  <c r="H2012" i="1"/>
  <c r="G2012" i="1"/>
  <c r="F2012" i="1"/>
  <c r="E2012" i="1"/>
  <c r="D2012" i="1"/>
  <c r="C2012" i="1"/>
  <c r="B2012" i="1"/>
  <c r="A2012" i="1"/>
  <c r="J2011" i="1"/>
  <c r="I2011" i="1"/>
  <c r="H2011" i="1"/>
  <c r="G2011" i="1"/>
  <c r="E2011" i="1"/>
  <c r="D2011" i="1"/>
  <c r="C2011" i="1"/>
  <c r="B2011" i="1"/>
  <c r="A2011" i="1"/>
  <c r="J2010" i="1"/>
  <c r="I2010" i="1"/>
  <c r="H2010" i="1"/>
  <c r="G2010" i="1"/>
  <c r="E2010" i="1"/>
  <c r="D2010" i="1"/>
  <c r="C2010" i="1"/>
  <c r="B2010" i="1"/>
  <c r="A2010" i="1"/>
  <c r="J2009" i="1"/>
  <c r="I2009" i="1"/>
  <c r="H2009" i="1"/>
  <c r="G2009" i="1"/>
  <c r="F2009" i="1"/>
  <c r="E2009" i="1"/>
  <c r="D2009" i="1"/>
  <c r="C2009" i="1"/>
  <c r="B2009" i="1"/>
  <c r="A2009" i="1"/>
  <c r="J2008" i="1"/>
  <c r="I2008" i="1"/>
  <c r="H2008" i="1"/>
  <c r="G2008" i="1"/>
  <c r="F2008" i="1"/>
  <c r="E2008" i="1"/>
  <c r="D2008" i="1"/>
  <c r="C2008" i="1"/>
  <c r="B2008" i="1"/>
  <c r="A2008" i="1"/>
  <c r="J2007" i="1"/>
  <c r="I2007" i="1"/>
  <c r="H2007" i="1"/>
  <c r="G2007" i="1"/>
  <c r="F2007" i="1"/>
  <c r="E2007" i="1"/>
  <c r="D2007" i="1"/>
  <c r="C2007" i="1"/>
  <c r="B2007" i="1"/>
  <c r="A2007" i="1"/>
  <c r="J2006" i="1"/>
  <c r="I2006" i="1"/>
  <c r="H2006" i="1"/>
  <c r="G2006" i="1"/>
  <c r="E2006" i="1"/>
  <c r="D2006" i="1"/>
  <c r="C2006" i="1"/>
  <c r="B2006" i="1"/>
  <c r="A2006" i="1"/>
  <c r="J2005" i="1"/>
  <c r="I2005" i="1"/>
  <c r="H2005" i="1"/>
  <c r="G2005" i="1"/>
  <c r="E2005" i="1"/>
  <c r="D2005" i="1"/>
  <c r="C2005" i="1"/>
  <c r="B2005" i="1"/>
  <c r="A2005" i="1"/>
  <c r="J2004" i="1"/>
  <c r="I2004" i="1"/>
  <c r="H2004" i="1"/>
  <c r="G2004" i="1"/>
  <c r="E2004" i="1"/>
  <c r="D2004" i="1"/>
  <c r="C2004" i="1"/>
  <c r="B2004" i="1"/>
  <c r="A2004" i="1"/>
  <c r="J2003" i="1"/>
  <c r="I2003" i="1"/>
  <c r="H2003" i="1"/>
  <c r="G2003" i="1"/>
  <c r="E2003" i="1"/>
  <c r="D2003" i="1"/>
  <c r="C2003" i="1"/>
  <c r="B2003" i="1"/>
  <c r="A2003" i="1"/>
  <c r="J2002" i="1"/>
  <c r="I2002" i="1"/>
  <c r="H2002" i="1"/>
  <c r="G2002" i="1"/>
  <c r="E2002" i="1"/>
  <c r="D2002" i="1"/>
  <c r="C2002" i="1"/>
  <c r="B2002" i="1"/>
  <c r="A2002" i="1"/>
  <c r="J2001" i="1"/>
  <c r="I2001" i="1"/>
  <c r="H2001" i="1"/>
  <c r="G2001" i="1"/>
  <c r="E2001" i="1"/>
  <c r="D2001" i="1"/>
  <c r="C2001" i="1"/>
  <c r="B2001" i="1"/>
  <c r="A2001" i="1"/>
  <c r="J2000" i="1"/>
  <c r="I2000" i="1"/>
  <c r="H2000" i="1"/>
  <c r="G2000" i="1"/>
  <c r="F2000" i="1"/>
  <c r="E2000" i="1"/>
  <c r="D2000" i="1"/>
  <c r="C2000" i="1"/>
  <c r="B2000" i="1"/>
  <c r="A2000" i="1"/>
  <c r="J1999" i="1"/>
  <c r="I1999" i="1"/>
  <c r="H1999" i="1"/>
  <c r="G1999" i="1"/>
  <c r="E1999" i="1"/>
  <c r="D1999" i="1"/>
  <c r="C1999" i="1"/>
  <c r="B1999" i="1"/>
  <c r="A1999" i="1"/>
  <c r="J1998" i="1"/>
  <c r="I1998" i="1"/>
  <c r="H1998" i="1"/>
  <c r="G1998" i="1"/>
  <c r="E1998" i="1"/>
  <c r="D1998" i="1"/>
  <c r="C1998" i="1"/>
  <c r="B1998" i="1"/>
  <c r="A1998" i="1"/>
  <c r="J1997" i="1"/>
  <c r="I1997" i="1"/>
  <c r="H1997" i="1"/>
  <c r="G1997" i="1"/>
  <c r="F1997" i="1"/>
  <c r="E1997" i="1"/>
  <c r="D1997" i="1"/>
  <c r="C1997" i="1"/>
  <c r="B1997" i="1"/>
  <c r="A1997" i="1"/>
  <c r="J1996" i="1"/>
  <c r="I1996" i="1"/>
  <c r="H1996" i="1"/>
  <c r="G1996" i="1"/>
  <c r="E1996" i="1"/>
  <c r="D1996" i="1"/>
  <c r="C1996" i="1"/>
  <c r="B1996" i="1"/>
  <c r="A1996" i="1"/>
  <c r="J1995" i="1"/>
  <c r="I1995" i="1"/>
  <c r="H1995" i="1"/>
  <c r="G1995" i="1"/>
  <c r="F1995" i="1"/>
  <c r="E1995" i="1"/>
  <c r="D1995" i="1"/>
  <c r="C1995" i="1"/>
  <c r="B1995" i="1"/>
  <c r="A1995" i="1"/>
  <c r="J1994" i="1"/>
  <c r="I1994" i="1"/>
  <c r="H1994" i="1"/>
  <c r="G1994" i="1"/>
  <c r="F1994" i="1"/>
  <c r="E1994" i="1"/>
  <c r="D1994" i="1"/>
  <c r="C1994" i="1"/>
  <c r="B1994" i="1"/>
  <c r="A1994" i="1"/>
  <c r="J1993" i="1"/>
  <c r="I1993" i="1"/>
  <c r="H1993" i="1"/>
  <c r="G1993" i="1"/>
  <c r="E1993" i="1"/>
  <c r="D1993" i="1"/>
  <c r="C1993" i="1"/>
  <c r="B1993" i="1"/>
  <c r="A1993" i="1"/>
  <c r="J1992" i="1"/>
  <c r="I1992" i="1"/>
  <c r="H1992" i="1"/>
  <c r="G1992" i="1"/>
  <c r="E1992" i="1"/>
  <c r="D1992" i="1"/>
  <c r="C1992" i="1"/>
  <c r="B1992" i="1"/>
  <c r="A1992" i="1"/>
  <c r="J1991" i="1"/>
  <c r="I1991" i="1"/>
  <c r="H1991" i="1"/>
  <c r="G1991" i="1"/>
  <c r="E1991" i="1"/>
  <c r="D1991" i="1"/>
  <c r="C1991" i="1"/>
  <c r="B1991" i="1"/>
  <c r="A1991" i="1"/>
  <c r="J1990" i="1"/>
  <c r="I1990" i="1"/>
  <c r="H1990" i="1"/>
  <c r="G1990" i="1"/>
  <c r="E1990" i="1"/>
  <c r="D1990" i="1"/>
  <c r="C1990" i="1"/>
  <c r="B1990" i="1"/>
  <c r="A1990" i="1"/>
  <c r="J1989" i="1"/>
  <c r="I1989" i="1"/>
  <c r="H1989" i="1"/>
  <c r="G1989" i="1"/>
  <c r="E1989" i="1"/>
  <c r="D1989" i="1"/>
  <c r="C1989" i="1"/>
  <c r="B1989" i="1"/>
  <c r="A1989" i="1"/>
  <c r="J1988" i="1"/>
  <c r="I1988" i="1"/>
  <c r="H1988" i="1"/>
  <c r="G1988" i="1"/>
  <c r="E1988" i="1"/>
  <c r="D1988" i="1"/>
  <c r="C1988" i="1"/>
  <c r="B1988" i="1"/>
  <c r="A1988" i="1"/>
  <c r="J1987" i="1"/>
  <c r="I1987" i="1"/>
  <c r="H1987" i="1"/>
  <c r="G1987" i="1"/>
  <c r="E1987" i="1"/>
  <c r="D1987" i="1"/>
  <c r="C1987" i="1"/>
  <c r="B1987" i="1"/>
  <c r="A1987" i="1"/>
  <c r="J1986" i="1"/>
  <c r="I1986" i="1"/>
  <c r="H1986" i="1"/>
  <c r="G1986" i="1"/>
  <c r="F1986" i="1"/>
  <c r="E1986" i="1"/>
  <c r="D1986" i="1"/>
  <c r="C1986" i="1"/>
  <c r="B1986" i="1"/>
  <c r="A1986" i="1"/>
  <c r="J1985" i="1"/>
  <c r="I1985" i="1"/>
  <c r="H1985" i="1"/>
  <c r="G1985" i="1"/>
  <c r="F1985" i="1"/>
  <c r="E1985" i="1"/>
  <c r="D1985" i="1"/>
  <c r="C1985" i="1"/>
  <c r="B1985" i="1"/>
  <c r="A1985" i="1"/>
  <c r="J1984" i="1"/>
  <c r="I1984" i="1"/>
  <c r="H1984" i="1"/>
  <c r="G1984" i="1"/>
  <c r="E1984" i="1"/>
  <c r="D1984" i="1"/>
  <c r="C1984" i="1"/>
  <c r="B1984" i="1"/>
  <c r="A1984" i="1"/>
  <c r="J1983" i="1"/>
  <c r="I1983" i="1"/>
  <c r="H1983" i="1"/>
  <c r="G1983" i="1"/>
  <c r="E1983" i="1"/>
  <c r="D1983" i="1"/>
  <c r="C1983" i="1"/>
  <c r="B1983" i="1"/>
  <c r="A1983" i="1"/>
  <c r="J1982" i="1"/>
  <c r="I1982" i="1"/>
  <c r="H1982" i="1"/>
  <c r="G1982" i="1"/>
  <c r="E1982" i="1"/>
  <c r="D1982" i="1"/>
  <c r="C1982" i="1"/>
  <c r="B1982" i="1"/>
  <c r="A1982" i="1"/>
  <c r="J1981" i="1"/>
  <c r="I1981" i="1"/>
  <c r="H1981" i="1"/>
  <c r="G1981" i="1"/>
  <c r="E1981" i="1"/>
  <c r="D1981" i="1"/>
  <c r="C1981" i="1"/>
  <c r="B1981" i="1"/>
  <c r="A1981" i="1"/>
  <c r="J1980" i="1"/>
  <c r="I1980" i="1"/>
  <c r="H1980" i="1"/>
  <c r="G1980" i="1"/>
  <c r="E1980" i="1"/>
  <c r="D1980" i="1"/>
  <c r="C1980" i="1"/>
  <c r="B1980" i="1"/>
  <c r="A1980" i="1"/>
  <c r="J1979" i="1"/>
  <c r="I1979" i="1"/>
  <c r="H1979" i="1"/>
  <c r="G1979" i="1"/>
  <c r="E1979" i="1"/>
  <c r="D1979" i="1"/>
  <c r="C1979" i="1"/>
  <c r="B1979" i="1"/>
  <c r="A1979" i="1"/>
  <c r="J1978" i="1"/>
  <c r="I1978" i="1"/>
  <c r="H1978" i="1"/>
  <c r="G1978" i="1"/>
  <c r="E1978" i="1"/>
  <c r="D1978" i="1"/>
  <c r="C1978" i="1"/>
  <c r="B1978" i="1"/>
  <c r="A1978" i="1"/>
  <c r="J1977" i="1"/>
  <c r="I1977" i="1"/>
  <c r="H1977" i="1"/>
  <c r="G1977" i="1"/>
  <c r="E1977" i="1"/>
  <c r="D1977" i="1"/>
  <c r="C1977" i="1"/>
  <c r="B1977" i="1"/>
  <c r="A1977" i="1"/>
  <c r="J1976" i="1"/>
  <c r="I1976" i="1"/>
  <c r="H1976" i="1"/>
  <c r="G1976" i="1"/>
  <c r="E1976" i="1"/>
  <c r="D1976" i="1"/>
  <c r="C1976" i="1"/>
  <c r="B1976" i="1"/>
  <c r="A1976" i="1"/>
  <c r="J1975" i="1"/>
  <c r="I1975" i="1"/>
  <c r="H1975" i="1"/>
  <c r="G1975" i="1"/>
  <c r="E1975" i="1"/>
  <c r="D1975" i="1"/>
  <c r="C1975" i="1"/>
  <c r="B1975" i="1"/>
  <c r="A1975" i="1"/>
  <c r="J1974" i="1"/>
  <c r="I1974" i="1"/>
  <c r="H1974" i="1"/>
  <c r="G1974" i="1"/>
  <c r="E1974" i="1"/>
  <c r="D1974" i="1"/>
  <c r="C1974" i="1"/>
  <c r="B1974" i="1"/>
  <c r="A1974" i="1"/>
  <c r="J1973" i="1"/>
  <c r="I1973" i="1"/>
  <c r="H1973" i="1"/>
  <c r="G1973" i="1"/>
  <c r="E1973" i="1"/>
  <c r="D1973" i="1"/>
  <c r="C1973" i="1"/>
  <c r="B1973" i="1"/>
  <c r="A1973" i="1"/>
  <c r="J1972" i="1"/>
  <c r="I1972" i="1"/>
  <c r="H1972" i="1"/>
  <c r="G1972" i="1"/>
  <c r="E1972" i="1"/>
  <c r="D1972" i="1"/>
  <c r="C1972" i="1"/>
  <c r="B1972" i="1"/>
  <c r="A1972" i="1"/>
  <c r="J1971" i="1"/>
  <c r="I1971" i="1"/>
  <c r="H1971" i="1"/>
  <c r="G1971" i="1"/>
  <c r="E1971" i="1"/>
  <c r="D1971" i="1"/>
  <c r="C1971" i="1"/>
  <c r="B1971" i="1"/>
  <c r="A1971" i="1"/>
  <c r="J1970" i="1"/>
  <c r="I1970" i="1"/>
  <c r="H1970" i="1"/>
  <c r="G1970" i="1"/>
  <c r="E1970" i="1"/>
  <c r="D1970" i="1"/>
  <c r="C1970" i="1"/>
  <c r="B1970" i="1"/>
  <c r="A1970" i="1"/>
  <c r="J1969" i="1"/>
  <c r="I1969" i="1"/>
  <c r="H1969" i="1"/>
  <c r="G1969" i="1"/>
  <c r="E1969" i="1"/>
  <c r="D1969" i="1"/>
  <c r="C1969" i="1"/>
  <c r="B1969" i="1"/>
  <c r="A1969" i="1"/>
  <c r="J1968" i="1"/>
  <c r="I1968" i="1"/>
  <c r="H1968" i="1"/>
  <c r="G1968" i="1"/>
  <c r="F1968" i="1"/>
  <c r="E1968" i="1"/>
  <c r="D1968" i="1"/>
  <c r="C1968" i="1"/>
  <c r="B1968" i="1"/>
  <c r="A1968" i="1"/>
  <c r="J1967" i="1"/>
  <c r="I1967" i="1"/>
  <c r="H1967" i="1"/>
  <c r="G1967" i="1"/>
  <c r="E1967" i="1"/>
  <c r="D1967" i="1"/>
  <c r="C1967" i="1"/>
  <c r="B1967" i="1"/>
  <c r="A1967" i="1"/>
  <c r="J1966" i="1"/>
  <c r="I1966" i="1"/>
  <c r="H1966" i="1"/>
  <c r="G1966" i="1"/>
  <c r="E1966" i="1"/>
  <c r="D1966" i="1"/>
  <c r="C1966" i="1"/>
  <c r="B1966" i="1"/>
  <c r="A1966" i="1"/>
  <c r="J1965" i="1"/>
  <c r="I1965" i="1"/>
  <c r="H1965" i="1"/>
  <c r="G1965" i="1"/>
  <c r="F1965" i="1"/>
  <c r="E1965" i="1"/>
  <c r="D1965" i="1"/>
  <c r="C1965" i="1"/>
  <c r="B1965" i="1"/>
  <c r="A1965" i="1"/>
  <c r="J1964" i="1"/>
  <c r="I1964" i="1"/>
  <c r="H1964" i="1"/>
  <c r="G1964" i="1"/>
  <c r="F1964" i="1"/>
  <c r="E1964" i="1"/>
  <c r="D1964" i="1"/>
  <c r="C1964" i="1"/>
  <c r="B1964" i="1"/>
  <c r="A1964" i="1"/>
  <c r="J1963" i="1"/>
  <c r="I1963" i="1"/>
  <c r="H1963" i="1"/>
  <c r="G1963" i="1"/>
  <c r="E1963" i="1"/>
  <c r="D1963" i="1"/>
  <c r="C1963" i="1"/>
  <c r="B1963" i="1"/>
  <c r="A1963" i="1"/>
  <c r="J1962" i="1"/>
  <c r="I1962" i="1"/>
  <c r="H1962" i="1"/>
  <c r="G1962" i="1"/>
  <c r="E1962" i="1"/>
  <c r="D1962" i="1"/>
  <c r="C1962" i="1"/>
  <c r="B1962" i="1"/>
  <c r="A1962" i="1"/>
  <c r="J1961" i="1"/>
  <c r="I1961" i="1"/>
  <c r="H1961" i="1"/>
  <c r="G1961" i="1"/>
  <c r="E1961" i="1"/>
  <c r="D1961" i="1"/>
  <c r="C1961" i="1"/>
  <c r="B1961" i="1"/>
  <c r="A1961" i="1"/>
  <c r="J1960" i="1"/>
  <c r="I1960" i="1"/>
  <c r="H1960" i="1"/>
  <c r="G1960" i="1"/>
  <c r="E1960" i="1"/>
  <c r="D1960" i="1"/>
  <c r="C1960" i="1"/>
  <c r="B1960" i="1"/>
  <c r="A1960" i="1"/>
  <c r="J1959" i="1"/>
  <c r="I1959" i="1"/>
  <c r="H1959" i="1"/>
  <c r="G1959" i="1"/>
  <c r="E1959" i="1"/>
  <c r="D1959" i="1"/>
  <c r="C1959" i="1"/>
  <c r="B1959" i="1"/>
  <c r="A1959" i="1"/>
  <c r="J1958" i="1"/>
  <c r="I1958" i="1"/>
  <c r="H1958" i="1"/>
  <c r="G1958" i="1"/>
  <c r="E1958" i="1"/>
  <c r="D1958" i="1"/>
  <c r="C1958" i="1"/>
  <c r="B1958" i="1"/>
  <c r="A1958" i="1"/>
  <c r="J1957" i="1"/>
  <c r="I1957" i="1"/>
  <c r="H1957" i="1"/>
  <c r="G1957" i="1"/>
  <c r="F1957" i="1"/>
  <c r="E1957" i="1"/>
  <c r="D1957" i="1"/>
  <c r="C1957" i="1"/>
  <c r="B1957" i="1"/>
  <c r="A1957" i="1"/>
  <c r="J1956" i="1"/>
  <c r="I1956" i="1"/>
  <c r="H1956" i="1"/>
  <c r="G1956" i="1"/>
  <c r="E1956" i="1"/>
  <c r="D1956" i="1"/>
  <c r="C1956" i="1"/>
  <c r="B1956" i="1"/>
  <c r="A1956" i="1"/>
  <c r="J1955" i="1"/>
  <c r="I1955" i="1"/>
  <c r="H1955" i="1"/>
  <c r="G1955" i="1"/>
  <c r="E1955" i="1"/>
  <c r="D1955" i="1"/>
  <c r="C1955" i="1"/>
  <c r="B1955" i="1"/>
  <c r="A1955" i="1"/>
  <c r="J1954" i="1"/>
  <c r="I1954" i="1"/>
  <c r="H1954" i="1"/>
  <c r="G1954" i="1"/>
  <c r="E1954" i="1"/>
  <c r="D1954" i="1"/>
  <c r="C1954" i="1"/>
  <c r="B1954" i="1"/>
  <c r="A1954" i="1"/>
  <c r="J1953" i="1"/>
  <c r="I1953" i="1"/>
  <c r="H1953" i="1"/>
  <c r="G1953" i="1"/>
  <c r="E1953" i="1"/>
  <c r="D1953" i="1"/>
  <c r="C1953" i="1"/>
  <c r="B1953" i="1"/>
  <c r="A1953" i="1"/>
  <c r="J1952" i="1"/>
  <c r="I1952" i="1"/>
  <c r="H1952" i="1"/>
  <c r="G1952" i="1"/>
  <c r="E1952" i="1"/>
  <c r="D1952" i="1"/>
  <c r="C1952" i="1"/>
  <c r="B1952" i="1"/>
  <c r="A1952" i="1"/>
  <c r="J1951" i="1"/>
  <c r="I1951" i="1"/>
  <c r="H1951" i="1"/>
  <c r="G1951" i="1"/>
  <c r="E1951" i="1"/>
  <c r="D1951" i="1"/>
  <c r="C1951" i="1"/>
  <c r="B1951" i="1"/>
  <c r="A1951" i="1"/>
  <c r="J1950" i="1"/>
  <c r="I1950" i="1"/>
  <c r="H1950" i="1"/>
  <c r="G1950" i="1"/>
  <c r="E1950" i="1"/>
  <c r="D1950" i="1"/>
  <c r="C1950" i="1"/>
  <c r="B1950" i="1"/>
  <c r="A1950" i="1"/>
  <c r="J1949" i="1"/>
  <c r="I1949" i="1"/>
  <c r="H1949" i="1"/>
  <c r="G1949" i="1"/>
  <c r="E1949" i="1"/>
  <c r="D1949" i="1"/>
  <c r="C1949" i="1"/>
  <c r="B1949" i="1"/>
  <c r="A1949" i="1"/>
  <c r="J1948" i="1"/>
  <c r="I1948" i="1"/>
  <c r="H1948" i="1"/>
  <c r="G1948" i="1"/>
  <c r="E1948" i="1"/>
  <c r="D1948" i="1"/>
  <c r="C1948" i="1"/>
  <c r="B1948" i="1"/>
  <c r="A1948" i="1"/>
  <c r="J1947" i="1"/>
  <c r="I1947" i="1"/>
  <c r="H1947" i="1"/>
  <c r="G1947" i="1"/>
  <c r="E1947" i="1"/>
  <c r="D1947" i="1"/>
  <c r="C1947" i="1"/>
  <c r="B1947" i="1"/>
  <c r="A1947" i="1"/>
  <c r="J1946" i="1"/>
  <c r="I1946" i="1"/>
  <c r="H1946" i="1"/>
  <c r="G1946" i="1"/>
  <c r="E1946" i="1"/>
  <c r="D1946" i="1"/>
  <c r="C1946" i="1"/>
  <c r="B1946" i="1"/>
  <c r="A1946" i="1"/>
  <c r="J1945" i="1"/>
  <c r="I1945" i="1"/>
  <c r="H1945" i="1"/>
  <c r="G1945" i="1"/>
  <c r="E1945" i="1"/>
  <c r="D1945" i="1"/>
  <c r="C1945" i="1"/>
  <c r="B1945" i="1"/>
  <c r="A1945" i="1"/>
  <c r="J1944" i="1"/>
  <c r="I1944" i="1"/>
  <c r="H1944" i="1"/>
  <c r="G1944" i="1"/>
  <c r="E1944" i="1"/>
  <c r="D1944" i="1"/>
  <c r="C1944" i="1"/>
  <c r="B1944" i="1"/>
  <c r="A1944" i="1"/>
  <c r="J1943" i="1"/>
  <c r="I1943" i="1"/>
  <c r="H1943" i="1"/>
  <c r="G1943" i="1"/>
  <c r="E1943" i="1"/>
  <c r="D1943" i="1"/>
  <c r="C1943" i="1"/>
  <c r="B1943" i="1"/>
  <c r="A1943" i="1"/>
  <c r="J1942" i="1"/>
  <c r="I1942" i="1"/>
  <c r="H1942" i="1"/>
  <c r="G1942" i="1"/>
  <c r="E1942" i="1"/>
  <c r="D1942" i="1"/>
  <c r="C1942" i="1"/>
  <c r="B1942" i="1"/>
  <c r="A1942" i="1"/>
  <c r="J1941" i="1"/>
  <c r="I1941" i="1"/>
  <c r="H1941" i="1"/>
  <c r="G1941" i="1"/>
  <c r="E1941" i="1"/>
  <c r="D1941" i="1"/>
  <c r="C1941" i="1"/>
  <c r="B1941" i="1"/>
  <c r="A1941" i="1"/>
  <c r="J1940" i="1"/>
  <c r="I1940" i="1"/>
  <c r="H1940" i="1"/>
  <c r="G1940" i="1"/>
  <c r="E1940" i="1"/>
  <c r="D1940" i="1"/>
  <c r="C1940" i="1"/>
  <c r="B1940" i="1"/>
  <c r="A1940" i="1"/>
  <c r="J1939" i="1"/>
  <c r="I1939" i="1"/>
  <c r="H1939" i="1"/>
  <c r="G1939" i="1"/>
  <c r="F1939" i="1"/>
  <c r="E1939" i="1"/>
  <c r="D1939" i="1"/>
  <c r="C1939" i="1"/>
  <c r="B1939" i="1"/>
  <c r="A1939" i="1"/>
  <c r="J1938" i="1"/>
  <c r="I1938" i="1"/>
  <c r="H1938" i="1"/>
  <c r="G1938" i="1"/>
  <c r="E1938" i="1"/>
  <c r="D1938" i="1"/>
  <c r="C1938" i="1"/>
  <c r="B1938" i="1"/>
  <c r="A1938" i="1"/>
  <c r="J1937" i="1"/>
  <c r="I1937" i="1"/>
  <c r="H1937" i="1"/>
  <c r="G1937" i="1"/>
  <c r="E1937" i="1"/>
  <c r="D1937" i="1"/>
  <c r="C1937" i="1"/>
  <c r="B1937" i="1"/>
  <c r="A1937" i="1"/>
  <c r="J1936" i="1"/>
  <c r="I1936" i="1"/>
  <c r="H1936" i="1"/>
  <c r="G1936" i="1"/>
  <c r="F1936" i="1"/>
  <c r="E1936" i="1"/>
  <c r="D1936" i="1"/>
  <c r="C1936" i="1"/>
  <c r="B1936" i="1"/>
  <c r="A1936" i="1"/>
  <c r="J1935" i="1"/>
  <c r="I1935" i="1"/>
  <c r="H1935" i="1"/>
  <c r="G1935" i="1"/>
  <c r="E1935" i="1"/>
  <c r="D1935" i="1"/>
  <c r="C1935" i="1"/>
  <c r="B1935" i="1"/>
  <c r="A1935" i="1"/>
  <c r="J1934" i="1"/>
  <c r="I1934" i="1"/>
  <c r="H1934" i="1"/>
  <c r="G1934" i="1"/>
  <c r="E1934" i="1"/>
  <c r="D1934" i="1"/>
  <c r="C1934" i="1"/>
  <c r="B1934" i="1"/>
  <c r="A1934" i="1"/>
  <c r="J1933" i="1"/>
  <c r="I1933" i="1"/>
  <c r="H1933" i="1"/>
  <c r="G1933" i="1"/>
  <c r="F1933" i="1"/>
  <c r="E1933" i="1"/>
  <c r="D1933" i="1"/>
  <c r="C1933" i="1"/>
  <c r="B1933" i="1"/>
  <c r="A1933" i="1"/>
  <c r="J1932" i="1"/>
  <c r="I1932" i="1"/>
  <c r="H1932" i="1"/>
  <c r="G1932" i="1"/>
  <c r="E1932" i="1"/>
  <c r="D1932" i="1"/>
  <c r="C1932" i="1"/>
  <c r="B1932" i="1"/>
  <c r="A1932" i="1"/>
  <c r="J1931" i="1"/>
  <c r="I1931" i="1"/>
  <c r="H1931" i="1"/>
  <c r="G1931" i="1"/>
  <c r="E1931" i="1"/>
  <c r="D1931" i="1"/>
  <c r="C1931" i="1"/>
  <c r="B1931" i="1"/>
  <c r="A1931" i="1"/>
  <c r="J1930" i="1"/>
  <c r="I1930" i="1"/>
  <c r="H1930" i="1"/>
  <c r="G1930" i="1"/>
  <c r="E1930" i="1"/>
  <c r="D1930" i="1"/>
  <c r="C1930" i="1"/>
  <c r="B1930" i="1"/>
  <c r="A1930" i="1"/>
  <c r="J1929" i="1"/>
  <c r="I1929" i="1"/>
  <c r="H1929" i="1"/>
  <c r="G1929" i="1"/>
  <c r="F1929" i="1"/>
  <c r="E1929" i="1"/>
  <c r="D1929" i="1"/>
  <c r="C1929" i="1"/>
  <c r="B1929" i="1"/>
  <c r="A1929" i="1"/>
  <c r="J1928" i="1"/>
  <c r="I1928" i="1"/>
  <c r="H1928" i="1"/>
  <c r="G1928" i="1"/>
  <c r="F1928" i="1"/>
  <c r="E1928" i="1"/>
  <c r="D1928" i="1"/>
  <c r="C1928" i="1"/>
  <c r="B1928" i="1"/>
  <c r="A1928" i="1"/>
  <c r="J1927" i="1"/>
  <c r="I1927" i="1"/>
  <c r="H1927" i="1"/>
  <c r="G1927" i="1"/>
  <c r="F1927" i="1"/>
  <c r="E1927" i="1"/>
  <c r="D1927" i="1"/>
  <c r="C1927" i="1"/>
  <c r="B1927" i="1"/>
  <c r="A1927" i="1"/>
  <c r="J1926" i="1"/>
  <c r="I1926" i="1"/>
  <c r="H1926" i="1"/>
  <c r="G1926" i="1"/>
  <c r="F1926" i="1"/>
  <c r="E1926" i="1"/>
  <c r="D1926" i="1"/>
  <c r="C1926" i="1"/>
  <c r="B1926" i="1"/>
  <c r="A1926" i="1"/>
  <c r="J1925" i="1"/>
  <c r="I1925" i="1"/>
  <c r="H1925" i="1"/>
  <c r="G1925" i="1"/>
  <c r="F1925" i="1"/>
  <c r="E1925" i="1"/>
  <c r="D1925" i="1"/>
  <c r="C1925" i="1"/>
  <c r="B1925" i="1"/>
  <c r="A1925" i="1"/>
  <c r="J1924" i="1"/>
  <c r="I1924" i="1"/>
  <c r="H1924" i="1"/>
  <c r="G1924" i="1"/>
  <c r="E1924" i="1"/>
  <c r="D1924" i="1"/>
  <c r="C1924" i="1"/>
  <c r="B1924" i="1"/>
  <c r="A1924" i="1"/>
  <c r="J1923" i="1"/>
  <c r="I1923" i="1"/>
  <c r="H1923" i="1"/>
  <c r="G1923" i="1"/>
  <c r="F1923" i="1"/>
  <c r="E1923" i="1"/>
  <c r="D1923" i="1"/>
  <c r="C1923" i="1"/>
  <c r="B1923" i="1"/>
  <c r="A1923" i="1"/>
  <c r="J1922" i="1"/>
  <c r="I1922" i="1"/>
  <c r="H1922" i="1"/>
  <c r="G1922" i="1"/>
  <c r="F1922" i="1"/>
  <c r="E1922" i="1"/>
  <c r="D1922" i="1"/>
  <c r="C1922" i="1"/>
  <c r="B1922" i="1"/>
  <c r="A1922" i="1"/>
  <c r="J1921" i="1"/>
  <c r="I1921" i="1"/>
  <c r="H1921" i="1"/>
  <c r="G1921" i="1"/>
  <c r="F1921" i="1"/>
  <c r="E1921" i="1"/>
  <c r="D1921" i="1"/>
  <c r="C1921" i="1"/>
  <c r="B1921" i="1"/>
  <c r="A1921" i="1"/>
  <c r="J1920" i="1"/>
  <c r="I1920" i="1"/>
  <c r="H1920" i="1"/>
  <c r="G1920" i="1"/>
  <c r="F1920" i="1"/>
  <c r="E1920" i="1"/>
  <c r="D1920" i="1"/>
  <c r="C1920" i="1"/>
  <c r="B1920" i="1"/>
  <c r="A1920" i="1"/>
  <c r="J1919" i="1"/>
  <c r="I1919" i="1"/>
  <c r="H1919" i="1"/>
  <c r="G1919" i="1"/>
  <c r="F1919" i="1"/>
  <c r="E1919" i="1"/>
  <c r="D1919" i="1"/>
  <c r="C1919" i="1"/>
  <c r="B1919" i="1"/>
  <c r="A1919" i="1"/>
  <c r="J1918" i="1"/>
  <c r="I1918" i="1"/>
  <c r="H1918" i="1"/>
  <c r="G1918" i="1"/>
  <c r="F1918" i="1"/>
  <c r="E1918" i="1"/>
  <c r="D1918" i="1"/>
  <c r="C1918" i="1"/>
  <c r="B1918" i="1"/>
  <c r="A1918" i="1"/>
  <c r="J1917" i="1"/>
  <c r="I1917" i="1"/>
  <c r="H1917" i="1"/>
  <c r="G1917" i="1"/>
  <c r="F1917" i="1"/>
  <c r="E1917" i="1"/>
  <c r="D1917" i="1"/>
  <c r="C1917" i="1"/>
  <c r="B1917" i="1"/>
  <c r="A1917" i="1"/>
  <c r="J1916" i="1"/>
  <c r="I1916" i="1"/>
  <c r="H1916" i="1"/>
  <c r="G1916" i="1"/>
  <c r="F1916" i="1"/>
  <c r="E1916" i="1"/>
  <c r="D1916" i="1"/>
  <c r="C1916" i="1"/>
  <c r="B1916" i="1"/>
  <c r="A1916" i="1"/>
  <c r="J1915" i="1"/>
  <c r="I1915" i="1"/>
  <c r="H1915" i="1"/>
  <c r="G1915" i="1"/>
  <c r="F1915" i="1"/>
  <c r="E1915" i="1"/>
  <c r="D1915" i="1"/>
  <c r="C1915" i="1"/>
  <c r="B1915" i="1"/>
  <c r="A1915" i="1"/>
  <c r="J1914" i="1"/>
  <c r="I1914" i="1"/>
  <c r="H1914" i="1"/>
  <c r="G1914" i="1"/>
  <c r="F1914" i="1"/>
  <c r="E1914" i="1"/>
  <c r="D1914" i="1"/>
  <c r="C1914" i="1"/>
  <c r="B1914" i="1"/>
  <c r="A1914" i="1"/>
  <c r="J1913" i="1"/>
  <c r="I1913" i="1"/>
  <c r="H1913" i="1"/>
  <c r="G1913" i="1"/>
  <c r="F1913" i="1"/>
  <c r="E1913" i="1"/>
  <c r="D1913" i="1"/>
  <c r="C1913" i="1"/>
  <c r="B1913" i="1"/>
  <c r="A1913" i="1"/>
  <c r="J1912" i="1"/>
  <c r="I1912" i="1"/>
  <c r="H1912" i="1"/>
  <c r="G1912" i="1"/>
  <c r="F1912" i="1"/>
  <c r="E1912" i="1"/>
  <c r="D1912" i="1"/>
  <c r="C1912" i="1"/>
  <c r="B1912" i="1"/>
  <c r="A1912" i="1"/>
  <c r="J1911" i="1"/>
  <c r="I1911" i="1"/>
  <c r="H1911" i="1"/>
  <c r="G1911" i="1"/>
  <c r="F1911" i="1"/>
  <c r="E1911" i="1"/>
  <c r="D1911" i="1"/>
  <c r="C1911" i="1"/>
  <c r="B1911" i="1"/>
  <c r="A1911" i="1"/>
  <c r="J1910" i="1"/>
  <c r="I1910" i="1"/>
  <c r="H1910" i="1"/>
  <c r="G1910" i="1"/>
  <c r="F1910" i="1"/>
  <c r="E1910" i="1"/>
  <c r="D1910" i="1"/>
  <c r="C1910" i="1"/>
  <c r="B1910" i="1"/>
  <c r="A1910" i="1"/>
  <c r="J1909" i="1"/>
  <c r="I1909" i="1"/>
  <c r="H1909" i="1"/>
  <c r="G1909" i="1"/>
  <c r="F1909" i="1"/>
  <c r="E1909" i="1"/>
  <c r="D1909" i="1"/>
  <c r="C1909" i="1"/>
  <c r="B1909" i="1"/>
  <c r="A1909" i="1"/>
  <c r="J1908" i="1"/>
  <c r="I1908" i="1"/>
  <c r="H1908" i="1"/>
  <c r="G1908" i="1"/>
  <c r="F1908" i="1"/>
  <c r="E1908" i="1"/>
  <c r="D1908" i="1"/>
  <c r="C1908" i="1"/>
  <c r="B1908" i="1"/>
  <c r="A1908" i="1"/>
  <c r="J1907" i="1"/>
  <c r="I1907" i="1"/>
  <c r="H1907" i="1"/>
  <c r="G1907" i="1"/>
  <c r="E1907" i="1"/>
  <c r="D1907" i="1"/>
  <c r="C1907" i="1"/>
  <c r="B1907" i="1"/>
  <c r="A1907" i="1"/>
  <c r="J1906" i="1"/>
  <c r="I1906" i="1"/>
  <c r="H1906" i="1"/>
  <c r="G1906" i="1"/>
  <c r="F1906" i="1"/>
  <c r="E1906" i="1"/>
  <c r="D1906" i="1"/>
  <c r="C1906" i="1"/>
  <c r="B1906" i="1"/>
  <c r="A1906" i="1"/>
  <c r="J1905" i="1"/>
  <c r="I1905" i="1"/>
  <c r="H1905" i="1"/>
  <c r="G1905" i="1"/>
  <c r="F1905" i="1"/>
  <c r="E1905" i="1"/>
  <c r="D1905" i="1"/>
  <c r="C1905" i="1"/>
  <c r="B1905" i="1"/>
  <c r="A1905" i="1"/>
  <c r="J1904" i="1"/>
  <c r="I1904" i="1"/>
  <c r="H1904" i="1"/>
  <c r="G1904" i="1"/>
  <c r="E1904" i="1"/>
  <c r="D1904" i="1"/>
  <c r="C1904" i="1"/>
  <c r="B1904" i="1"/>
  <c r="A1904" i="1"/>
  <c r="J1903" i="1"/>
  <c r="I1903" i="1"/>
  <c r="H1903" i="1"/>
  <c r="G1903" i="1"/>
  <c r="F1903" i="1"/>
  <c r="E1903" i="1"/>
  <c r="D1903" i="1"/>
  <c r="C1903" i="1"/>
  <c r="B1903" i="1"/>
  <c r="A1903" i="1"/>
  <c r="J1902" i="1"/>
  <c r="I1902" i="1"/>
  <c r="H1902" i="1"/>
  <c r="G1902" i="1"/>
  <c r="F1902" i="1"/>
  <c r="E1902" i="1"/>
  <c r="D1902" i="1"/>
  <c r="C1902" i="1"/>
  <c r="B1902" i="1"/>
  <c r="A1902" i="1"/>
  <c r="J1901" i="1"/>
  <c r="I1901" i="1"/>
  <c r="H1901" i="1"/>
  <c r="G1901" i="1"/>
  <c r="E1901" i="1"/>
  <c r="D1901" i="1"/>
  <c r="C1901" i="1"/>
  <c r="B1901" i="1"/>
  <c r="A1901" i="1"/>
  <c r="J1900" i="1"/>
  <c r="I1900" i="1"/>
  <c r="H1900" i="1"/>
  <c r="G1900" i="1"/>
  <c r="E1900" i="1"/>
  <c r="D1900" i="1"/>
  <c r="C1900" i="1"/>
  <c r="B1900" i="1"/>
  <c r="A1900" i="1"/>
  <c r="J1899" i="1"/>
  <c r="I1899" i="1"/>
  <c r="H1899" i="1"/>
  <c r="G1899" i="1"/>
  <c r="F1899" i="1"/>
  <c r="E1899" i="1"/>
  <c r="D1899" i="1"/>
  <c r="C1899" i="1"/>
  <c r="B1899" i="1"/>
  <c r="A1899" i="1"/>
  <c r="J1898" i="1"/>
  <c r="I1898" i="1"/>
  <c r="H1898" i="1"/>
  <c r="G1898" i="1"/>
  <c r="F1898" i="1"/>
  <c r="E1898" i="1"/>
  <c r="D1898" i="1"/>
  <c r="C1898" i="1"/>
  <c r="B1898" i="1"/>
  <c r="A1898" i="1"/>
  <c r="J1897" i="1"/>
  <c r="I1897" i="1"/>
  <c r="H1897" i="1"/>
  <c r="G1897" i="1"/>
  <c r="F1897" i="1"/>
  <c r="E1897" i="1"/>
  <c r="D1897" i="1"/>
  <c r="C1897" i="1"/>
  <c r="B1897" i="1"/>
  <c r="A1897" i="1"/>
  <c r="J1896" i="1"/>
  <c r="I1896" i="1"/>
  <c r="H1896" i="1"/>
  <c r="G1896" i="1"/>
  <c r="E1896" i="1"/>
  <c r="D1896" i="1"/>
  <c r="C1896" i="1"/>
  <c r="B1896" i="1"/>
  <c r="A1896" i="1"/>
  <c r="J1895" i="1"/>
  <c r="I1895" i="1"/>
  <c r="H1895" i="1"/>
  <c r="G1895" i="1"/>
  <c r="E1895" i="1"/>
  <c r="D1895" i="1"/>
  <c r="C1895" i="1"/>
  <c r="B1895" i="1"/>
  <c r="A1895" i="1"/>
  <c r="J1894" i="1"/>
  <c r="I1894" i="1"/>
  <c r="H1894" i="1"/>
  <c r="G1894" i="1"/>
  <c r="F1894" i="1"/>
  <c r="E1894" i="1"/>
  <c r="D1894" i="1"/>
  <c r="C1894" i="1"/>
  <c r="B1894" i="1"/>
  <c r="A1894" i="1"/>
  <c r="J1893" i="1"/>
  <c r="I1893" i="1"/>
  <c r="H1893" i="1"/>
  <c r="G1893" i="1"/>
  <c r="F1893" i="1"/>
  <c r="E1893" i="1"/>
  <c r="D1893" i="1"/>
  <c r="C1893" i="1"/>
  <c r="B1893" i="1"/>
  <c r="A1893" i="1"/>
  <c r="J1892" i="1"/>
  <c r="I1892" i="1"/>
  <c r="H1892" i="1"/>
  <c r="G1892" i="1"/>
  <c r="F1892" i="1"/>
  <c r="E1892" i="1"/>
  <c r="D1892" i="1"/>
  <c r="C1892" i="1"/>
  <c r="B1892" i="1"/>
  <c r="A1892" i="1"/>
  <c r="J1891" i="1"/>
  <c r="I1891" i="1"/>
  <c r="H1891" i="1"/>
  <c r="G1891" i="1"/>
  <c r="F1891" i="1"/>
  <c r="E1891" i="1"/>
  <c r="D1891" i="1"/>
  <c r="C1891" i="1"/>
  <c r="B1891" i="1"/>
  <c r="A1891" i="1"/>
  <c r="J1890" i="1"/>
  <c r="I1890" i="1"/>
  <c r="H1890" i="1"/>
  <c r="G1890" i="1"/>
  <c r="F1890" i="1"/>
  <c r="E1890" i="1"/>
  <c r="D1890" i="1"/>
  <c r="C1890" i="1"/>
  <c r="B1890" i="1"/>
  <c r="A1890" i="1"/>
  <c r="J1889" i="1"/>
  <c r="I1889" i="1"/>
  <c r="H1889" i="1"/>
  <c r="G1889" i="1"/>
  <c r="F1889" i="1"/>
  <c r="E1889" i="1"/>
  <c r="D1889" i="1"/>
  <c r="C1889" i="1"/>
  <c r="B1889" i="1"/>
  <c r="A1889" i="1"/>
  <c r="J1888" i="1"/>
  <c r="I1888" i="1"/>
  <c r="H1888" i="1"/>
  <c r="G1888" i="1"/>
  <c r="E1888" i="1"/>
  <c r="D1888" i="1"/>
  <c r="C1888" i="1"/>
  <c r="B1888" i="1"/>
  <c r="A1888" i="1"/>
  <c r="J1887" i="1"/>
  <c r="I1887" i="1"/>
  <c r="H1887" i="1"/>
  <c r="G1887" i="1"/>
  <c r="E1887" i="1"/>
  <c r="D1887" i="1"/>
  <c r="C1887" i="1"/>
  <c r="B1887" i="1"/>
  <c r="A1887" i="1"/>
  <c r="J1886" i="1"/>
  <c r="I1886" i="1"/>
  <c r="H1886" i="1"/>
  <c r="G1886" i="1"/>
  <c r="F1886" i="1"/>
  <c r="E1886" i="1"/>
  <c r="D1886" i="1"/>
  <c r="C1886" i="1"/>
  <c r="B1886" i="1"/>
  <c r="A1886" i="1"/>
  <c r="J1885" i="1"/>
  <c r="I1885" i="1"/>
  <c r="H1885" i="1"/>
  <c r="G1885" i="1"/>
  <c r="F1885" i="1"/>
  <c r="E1885" i="1"/>
  <c r="D1885" i="1"/>
  <c r="C1885" i="1"/>
  <c r="B1885" i="1"/>
  <c r="A1885" i="1"/>
  <c r="J1884" i="1"/>
  <c r="I1884" i="1"/>
  <c r="H1884" i="1"/>
  <c r="G1884" i="1"/>
  <c r="F1884" i="1"/>
  <c r="E1884" i="1"/>
  <c r="D1884" i="1"/>
  <c r="C1884" i="1"/>
  <c r="B1884" i="1"/>
  <c r="A1884" i="1"/>
  <c r="J1883" i="1"/>
  <c r="I1883" i="1"/>
  <c r="H1883" i="1"/>
  <c r="G1883" i="1"/>
  <c r="F1883" i="1"/>
  <c r="E1883" i="1"/>
  <c r="D1883" i="1"/>
  <c r="C1883" i="1"/>
  <c r="B1883" i="1"/>
  <c r="A1883" i="1"/>
  <c r="J1882" i="1"/>
  <c r="I1882" i="1"/>
  <c r="H1882" i="1"/>
  <c r="G1882" i="1"/>
  <c r="F1882" i="1"/>
  <c r="E1882" i="1"/>
  <c r="D1882" i="1"/>
  <c r="C1882" i="1"/>
  <c r="B1882" i="1"/>
  <c r="A1882" i="1"/>
  <c r="J1881" i="1"/>
  <c r="I1881" i="1"/>
  <c r="H1881" i="1"/>
  <c r="G1881" i="1"/>
  <c r="F1881" i="1"/>
  <c r="E1881" i="1"/>
  <c r="D1881" i="1"/>
  <c r="C1881" i="1"/>
  <c r="B1881" i="1"/>
  <c r="A1881" i="1"/>
  <c r="J1880" i="1"/>
  <c r="I1880" i="1"/>
  <c r="H1880" i="1"/>
  <c r="G1880" i="1"/>
  <c r="F1880" i="1"/>
  <c r="E1880" i="1"/>
  <c r="D1880" i="1"/>
  <c r="C1880" i="1"/>
  <c r="B1880" i="1"/>
  <c r="A1880" i="1"/>
  <c r="J1879" i="1"/>
  <c r="I1879" i="1"/>
  <c r="H1879" i="1"/>
  <c r="G1879" i="1"/>
  <c r="F1879" i="1"/>
  <c r="E1879" i="1"/>
  <c r="D1879" i="1"/>
  <c r="C1879" i="1"/>
  <c r="B1879" i="1"/>
  <c r="A1879" i="1"/>
  <c r="J1878" i="1"/>
  <c r="I1878" i="1"/>
  <c r="H1878" i="1"/>
  <c r="G1878" i="1"/>
  <c r="F1878" i="1"/>
  <c r="E1878" i="1"/>
  <c r="D1878" i="1"/>
  <c r="C1878" i="1"/>
  <c r="B1878" i="1"/>
  <c r="A1878" i="1"/>
  <c r="J1877" i="1"/>
  <c r="I1877" i="1"/>
  <c r="H1877" i="1"/>
  <c r="G1877" i="1"/>
  <c r="F1877" i="1"/>
  <c r="E1877" i="1"/>
  <c r="D1877" i="1"/>
  <c r="C1877" i="1"/>
  <c r="B1877" i="1"/>
  <c r="A1877" i="1"/>
  <c r="J1876" i="1"/>
  <c r="I1876" i="1"/>
  <c r="H1876" i="1"/>
  <c r="G1876" i="1"/>
  <c r="F1876" i="1"/>
  <c r="E1876" i="1"/>
  <c r="D1876" i="1"/>
  <c r="C1876" i="1"/>
  <c r="B1876" i="1"/>
  <c r="A1876" i="1"/>
  <c r="J1875" i="1"/>
  <c r="I1875" i="1"/>
  <c r="H1875" i="1"/>
  <c r="G1875" i="1"/>
  <c r="F1875" i="1"/>
  <c r="E1875" i="1"/>
  <c r="D1875" i="1"/>
  <c r="C1875" i="1"/>
  <c r="B1875" i="1"/>
  <c r="A1875" i="1"/>
  <c r="J1874" i="1"/>
  <c r="I1874" i="1"/>
  <c r="H1874" i="1"/>
  <c r="G1874" i="1"/>
  <c r="F1874" i="1"/>
  <c r="E1874" i="1"/>
  <c r="D1874" i="1"/>
  <c r="C1874" i="1"/>
  <c r="B1874" i="1"/>
  <c r="A1874" i="1"/>
  <c r="J1873" i="1"/>
  <c r="I1873" i="1"/>
  <c r="H1873" i="1"/>
  <c r="G1873" i="1"/>
  <c r="F1873" i="1"/>
  <c r="E1873" i="1"/>
  <c r="D1873" i="1"/>
  <c r="C1873" i="1"/>
  <c r="B1873" i="1"/>
  <c r="A1873" i="1"/>
  <c r="J1872" i="1"/>
  <c r="I1872" i="1"/>
  <c r="H1872" i="1"/>
  <c r="G1872" i="1"/>
  <c r="F1872" i="1"/>
  <c r="E1872" i="1"/>
  <c r="D1872" i="1"/>
  <c r="C1872" i="1"/>
  <c r="B1872" i="1"/>
  <c r="A1872" i="1"/>
  <c r="J1871" i="1"/>
  <c r="I1871" i="1"/>
  <c r="H1871" i="1"/>
  <c r="G1871" i="1"/>
  <c r="F1871" i="1"/>
  <c r="E1871" i="1"/>
  <c r="D1871" i="1"/>
  <c r="C1871" i="1"/>
  <c r="B1871" i="1"/>
  <c r="A1871" i="1"/>
  <c r="J1870" i="1"/>
  <c r="I1870" i="1"/>
  <c r="H1870" i="1"/>
  <c r="G1870" i="1"/>
  <c r="F1870" i="1"/>
  <c r="E1870" i="1"/>
  <c r="D1870" i="1"/>
  <c r="C1870" i="1"/>
  <c r="B1870" i="1"/>
  <c r="A1870" i="1"/>
  <c r="J1869" i="1"/>
  <c r="I1869" i="1"/>
  <c r="H1869" i="1"/>
  <c r="G1869" i="1"/>
  <c r="F1869" i="1"/>
  <c r="E1869" i="1"/>
  <c r="D1869" i="1"/>
  <c r="C1869" i="1"/>
  <c r="B1869" i="1"/>
  <c r="A1869" i="1"/>
  <c r="J1868" i="1"/>
  <c r="I1868" i="1"/>
  <c r="H1868" i="1"/>
  <c r="G1868" i="1"/>
  <c r="E1868" i="1"/>
  <c r="D1868" i="1"/>
  <c r="C1868" i="1"/>
  <c r="B1868" i="1"/>
  <c r="A1868" i="1"/>
  <c r="J1867" i="1"/>
  <c r="I1867" i="1"/>
  <c r="H1867" i="1"/>
  <c r="G1867" i="1"/>
  <c r="F1867" i="1"/>
  <c r="E1867" i="1"/>
  <c r="D1867" i="1"/>
  <c r="C1867" i="1"/>
  <c r="B1867" i="1"/>
  <c r="A1867" i="1"/>
  <c r="J1866" i="1"/>
  <c r="I1866" i="1"/>
  <c r="H1866" i="1"/>
  <c r="G1866" i="1"/>
  <c r="F1866" i="1"/>
  <c r="E1866" i="1"/>
  <c r="D1866" i="1"/>
  <c r="C1866" i="1"/>
  <c r="B1866" i="1"/>
  <c r="A1866" i="1"/>
  <c r="J1865" i="1"/>
  <c r="I1865" i="1"/>
  <c r="H1865" i="1"/>
  <c r="G1865" i="1"/>
  <c r="E1865" i="1"/>
  <c r="D1865" i="1"/>
  <c r="C1865" i="1"/>
  <c r="B1865" i="1"/>
  <c r="A1865" i="1"/>
  <c r="J1864" i="1"/>
  <c r="I1864" i="1"/>
  <c r="H1864" i="1"/>
  <c r="G1864" i="1"/>
  <c r="E1864" i="1"/>
  <c r="D1864" i="1"/>
  <c r="C1864" i="1"/>
  <c r="B1864" i="1"/>
  <c r="A1864" i="1"/>
  <c r="J1863" i="1"/>
  <c r="I1863" i="1"/>
  <c r="H1863" i="1"/>
  <c r="G1863" i="1"/>
  <c r="F1863" i="1"/>
  <c r="E1863" i="1"/>
  <c r="D1863" i="1"/>
  <c r="C1863" i="1"/>
  <c r="B1863" i="1"/>
  <c r="A1863" i="1"/>
  <c r="J1862" i="1"/>
  <c r="I1862" i="1"/>
  <c r="H1862" i="1"/>
  <c r="G1862" i="1"/>
  <c r="F1862" i="1"/>
  <c r="E1862" i="1"/>
  <c r="D1862" i="1"/>
  <c r="C1862" i="1"/>
  <c r="B1862" i="1"/>
  <c r="A1862" i="1"/>
  <c r="J1861" i="1"/>
  <c r="I1861" i="1"/>
  <c r="H1861" i="1"/>
  <c r="G1861" i="1"/>
  <c r="F1861" i="1"/>
  <c r="E1861" i="1"/>
  <c r="D1861" i="1"/>
  <c r="C1861" i="1"/>
  <c r="B1861" i="1"/>
  <c r="A1861" i="1"/>
  <c r="J1860" i="1"/>
  <c r="I1860" i="1"/>
  <c r="H1860" i="1"/>
  <c r="G1860" i="1"/>
  <c r="E1860" i="1"/>
  <c r="D1860" i="1"/>
  <c r="C1860" i="1"/>
  <c r="B1860" i="1"/>
  <c r="A1860" i="1"/>
  <c r="J1859" i="1"/>
  <c r="I1859" i="1"/>
  <c r="H1859" i="1"/>
  <c r="G1859" i="1"/>
  <c r="F1859" i="1"/>
  <c r="E1859" i="1"/>
  <c r="C1859" i="1"/>
  <c r="B1859" i="1"/>
  <c r="A1859" i="1"/>
  <c r="J1858" i="1"/>
  <c r="I1858" i="1"/>
  <c r="H1858" i="1"/>
  <c r="G1858" i="1"/>
  <c r="F1858" i="1"/>
  <c r="E1858" i="1"/>
  <c r="D1858" i="1"/>
  <c r="C1858" i="1"/>
  <c r="B1858" i="1"/>
  <c r="A1858" i="1"/>
  <c r="J1857" i="1"/>
  <c r="I1857" i="1"/>
  <c r="H1857" i="1"/>
  <c r="G1857" i="1"/>
  <c r="F1857" i="1"/>
  <c r="E1857" i="1"/>
  <c r="D1857" i="1"/>
  <c r="C1857" i="1"/>
  <c r="B1857" i="1"/>
  <c r="A1857" i="1"/>
  <c r="J1856" i="1"/>
  <c r="I1856" i="1"/>
  <c r="H1856" i="1"/>
  <c r="G1856" i="1"/>
  <c r="F1856" i="1"/>
  <c r="E1856" i="1"/>
  <c r="D1856" i="1"/>
  <c r="C1856" i="1"/>
  <c r="B1856" i="1"/>
  <c r="A1856" i="1"/>
  <c r="J1855" i="1"/>
  <c r="I1855" i="1"/>
  <c r="H1855" i="1"/>
  <c r="G1855" i="1"/>
  <c r="E1855" i="1"/>
  <c r="D1855" i="1"/>
  <c r="C1855" i="1"/>
  <c r="B1855" i="1"/>
  <c r="A1855" i="1"/>
  <c r="J1854" i="1"/>
  <c r="I1854" i="1"/>
  <c r="H1854" i="1"/>
  <c r="G1854" i="1"/>
  <c r="F1854" i="1"/>
  <c r="E1854" i="1"/>
  <c r="D1854" i="1"/>
  <c r="C1854" i="1"/>
  <c r="B1854" i="1"/>
  <c r="A1854" i="1"/>
  <c r="J1853" i="1"/>
  <c r="I1853" i="1"/>
  <c r="H1853" i="1"/>
  <c r="G1853" i="1"/>
  <c r="F1853" i="1"/>
  <c r="E1853" i="1"/>
  <c r="D1853" i="1"/>
  <c r="C1853" i="1"/>
  <c r="B1853" i="1"/>
  <c r="A1853" i="1"/>
  <c r="J1852" i="1"/>
  <c r="I1852" i="1"/>
  <c r="H1852" i="1"/>
  <c r="G1852" i="1"/>
  <c r="E1852" i="1"/>
  <c r="D1852" i="1"/>
  <c r="C1852" i="1"/>
  <c r="B1852" i="1"/>
  <c r="A1852" i="1"/>
  <c r="J1851" i="1"/>
  <c r="I1851" i="1"/>
  <c r="H1851" i="1"/>
  <c r="G1851" i="1"/>
  <c r="F1851" i="1"/>
  <c r="E1851" i="1"/>
  <c r="D1851" i="1"/>
  <c r="C1851" i="1"/>
  <c r="B1851" i="1"/>
  <c r="A1851" i="1"/>
  <c r="J1850" i="1"/>
  <c r="I1850" i="1"/>
  <c r="H1850" i="1"/>
  <c r="G1850" i="1"/>
  <c r="F1850" i="1"/>
  <c r="E1850" i="1"/>
  <c r="D1850" i="1"/>
  <c r="C1850" i="1"/>
  <c r="B1850" i="1"/>
  <c r="A1850" i="1"/>
  <c r="J1849" i="1"/>
  <c r="I1849" i="1"/>
  <c r="H1849" i="1"/>
  <c r="G1849" i="1"/>
  <c r="E1849" i="1"/>
  <c r="D1849" i="1"/>
  <c r="C1849" i="1"/>
  <c r="B1849" i="1"/>
  <c r="A1849" i="1"/>
  <c r="J1848" i="1"/>
  <c r="I1848" i="1"/>
  <c r="H1848" i="1"/>
  <c r="G1848" i="1"/>
  <c r="E1848" i="1"/>
  <c r="D1848" i="1"/>
  <c r="C1848" i="1"/>
  <c r="B1848" i="1"/>
  <c r="A1848" i="1"/>
  <c r="J1847" i="1"/>
  <c r="I1847" i="1"/>
  <c r="H1847" i="1"/>
  <c r="G1847" i="1"/>
  <c r="F1847" i="1"/>
  <c r="E1847" i="1"/>
  <c r="D1847" i="1"/>
  <c r="C1847" i="1"/>
  <c r="B1847" i="1"/>
  <c r="A1847" i="1"/>
  <c r="J1846" i="1"/>
  <c r="I1846" i="1"/>
  <c r="H1846" i="1"/>
  <c r="G1846" i="1"/>
  <c r="F1846" i="1"/>
  <c r="E1846" i="1"/>
  <c r="D1846" i="1"/>
  <c r="C1846" i="1"/>
  <c r="B1846" i="1"/>
  <c r="A1846" i="1"/>
  <c r="J1845" i="1"/>
  <c r="I1845" i="1"/>
  <c r="H1845" i="1"/>
  <c r="G1845" i="1"/>
  <c r="F1845" i="1"/>
  <c r="E1845" i="1"/>
  <c r="D1845" i="1"/>
  <c r="C1845" i="1"/>
  <c r="B1845" i="1"/>
  <c r="A1845" i="1"/>
  <c r="J1844" i="1"/>
  <c r="I1844" i="1"/>
  <c r="H1844" i="1"/>
  <c r="G1844" i="1"/>
  <c r="F1844" i="1"/>
  <c r="E1844" i="1"/>
  <c r="D1844" i="1"/>
  <c r="C1844" i="1"/>
  <c r="B1844" i="1"/>
  <c r="A1844" i="1"/>
  <c r="J1843" i="1"/>
  <c r="I1843" i="1"/>
  <c r="H1843" i="1"/>
  <c r="G1843" i="1"/>
  <c r="F1843" i="1"/>
  <c r="E1843" i="1"/>
  <c r="D1843" i="1"/>
  <c r="C1843" i="1"/>
  <c r="B1843" i="1"/>
  <c r="A1843" i="1"/>
  <c r="J1842" i="1"/>
  <c r="I1842" i="1"/>
  <c r="H1842" i="1"/>
  <c r="G1842" i="1"/>
  <c r="F1842" i="1"/>
  <c r="E1842" i="1"/>
  <c r="D1842" i="1"/>
  <c r="C1842" i="1"/>
  <c r="B1842" i="1"/>
  <c r="A1842" i="1"/>
  <c r="J1841" i="1"/>
  <c r="I1841" i="1"/>
  <c r="H1841" i="1"/>
  <c r="G1841" i="1"/>
  <c r="F1841" i="1"/>
  <c r="E1841" i="1"/>
  <c r="D1841" i="1"/>
  <c r="C1841" i="1"/>
  <c r="B1841" i="1"/>
  <c r="A1841" i="1"/>
  <c r="J1840" i="1"/>
  <c r="I1840" i="1"/>
  <c r="H1840" i="1"/>
  <c r="G1840" i="1"/>
  <c r="E1840" i="1"/>
  <c r="D1840" i="1"/>
  <c r="C1840" i="1"/>
  <c r="B1840" i="1"/>
  <c r="A1840" i="1"/>
  <c r="J1839" i="1"/>
  <c r="I1839" i="1"/>
  <c r="H1839" i="1"/>
  <c r="G1839" i="1"/>
  <c r="E1839" i="1"/>
  <c r="D1839" i="1"/>
  <c r="C1839" i="1"/>
  <c r="B1839" i="1"/>
  <c r="A1839" i="1"/>
  <c r="J1838" i="1"/>
  <c r="I1838" i="1"/>
  <c r="H1838" i="1"/>
  <c r="G1838" i="1"/>
  <c r="E1838" i="1"/>
  <c r="D1838" i="1"/>
  <c r="C1838" i="1"/>
  <c r="B1838" i="1"/>
  <c r="A1838" i="1"/>
  <c r="J1837" i="1"/>
  <c r="I1837" i="1"/>
  <c r="H1837" i="1"/>
  <c r="G1837" i="1"/>
  <c r="F1837" i="1"/>
  <c r="E1837" i="1"/>
  <c r="D1837" i="1"/>
  <c r="C1837" i="1"/>
  <c r="B1837" i="1"/>
  <c r="A1837" i="1"/>
  <c r="J1836" i="1"/>
  <c r="I1836" i="1"/>
  <c r="H1836" i="1"/>
  <c r="G1836" i="1"/>
  <c r="F1836" i="1"/>
  <c r="E1836" i="1"/>
  <c r="D1836" i="1"/>
  <c r="C1836" i="1"/>
  <c r="B1836" i="1"/>
  <c r="A1836" i="1"/>
  <c r="J1835" i="1"/>
  <c r="I1835" i="1"/>
  <c r="H1835" i="1"/>
  <c r="G1835" i="1"/>
  <c r="E1835" i="1"/>
  <c r="D1835" i="1"/>
  <c r="C1835" i="1"/>
  <c r="B1835" i="1"/>
  <c r="A1835" i="1"/>
  <c r="J1834" i="1"/>
  <c r="I1834" i="1"/>
  <c r="H1834" i="1"/>
  <c r="G1834" i="1"/>
  <c r="E1834" i="1"/>
  <c r="D1834" i="1"/>
  <c r="C1834" i="1"/>
  <c r="B1834" i="1"/>
  <c r="A1834" i="1"/>
  <c r="J1833" i="1"/>
  <c r="I1833" i="1"/>
  <c r="H1833" i="1"/>
  <c r="G1833" i="1"/>
  <c r="F1833" i="1"/>
  <c r="E1833" i="1"/>
  <c r="D1833" i="1"/>
  <c r="C1833" i="1"/>
  <c r="B1833" i="1"/>
  <c r="A1833" i="1"/>
  <c r="J1832" i="1"/>
  <c r="I1832" i="1"/>
  <c r="H1832" i="1"/>
  <c r="G1832" i="1"/>
  <c r="F1832" i="1"/>
  <c r="E1832" i="1"/>
  <c r="D1832" i="1"/>
  <c r="C1832" i="1"/>
  <c r="B1832" i="1"/>
  <c r="A1832" i="1"/>
  <c r="J1831" i="1"/>
  <c r="I1831" i="1"/>
  <c r="H1831" i="1"/>
  <c r="G1831" i="1"/>
  <c r="E1831" i="1"/>
  <c r="D1831" i="1"/>
  <c r="C1831" i="1"/>
  <c r="B1831" i="1"/>
  <c r="A1831" i="1"/>
  <c r="J1830" i="1"/>
  <c r="I1830" i="1"/>
  <c r="H1830" i="1"/>
  <c r="G1830" i="1"/>
  <c r="E1830" i="1"/>
  <c r="D1830" i="1"/>
  <c r="C1830" i="1"/>
  <c r="B1830" i="1"/>
  <c r="A1830" i="1"/>
  <c r="J1829" i="1"/>
  <c r="I1829" i="1"/>
  <c r="H1829" i="1"/>
  <c r="G1829" i="1"/>
  <c r="E1829" i="1"/>
  <c r="D1829" i="1"/>
  <c r="C1829" i="1"/>
  <c r="B1829" i="1"/>
  <c r="A1829" i="1"/>
  <c r="J1828" i="1"/>
  <c r="I1828" i="1"/>
  <c r="H1828" i="1"/>
  <c r="G1828" i="1"/>
  <c r="E1828" i="1"/>
  <c r="D1828" i="1"/>
  <c r="C1828" i="1"/>
  <c r="B1828" i="1"/>
  <c r="A1828" i="1"/>
  <c r="J1827" i="1"/>
  <c r="I1827" i="1"/>
  <c r="H1827" i="1"/>
  <c r="G1827" i="1"/>
  <c r="E1827" i="1"/>
  <c r="D1827" i="1"/>
  <c r="C1827" i="1"/>
  <c r="B1827" i="1"/>
  <c r="A1827" i="1"/>
  <c r="J1826" i="1"/>
  <c r="I1826" i="1"/>
  <c r="H1826" i="1"/>
  <c r="G1826" i="1"/>
  <c r="E1826" i="1"/>
  <c r="D1826" i="1"/>
  <c r="C1826" i="1"/>
  <c r="B1826" i="1"/>
  <c r="A1826" i="1"/>
  <c r="J1825" i="1"/>
  <c r="I1825" i="1"/>
  <c r="H1825" i="1"/>
  <c r="G1825" i="1"/>
  <c r="F1825" i="1"/>
  <c r="E1825" i="1"/>
  <c r="D1825" i="1"/>
  <c r="C1825" i="1"/>
  <c r="B1825" i="1"/>
  <c r="A1825" i="1"/>
  <c r="J1824" i="1"/>
  <c r="I1824" i="1"/>
  <c r="H1824" i="1"/>
  <c r="G1824" i="1"/>
  <c r="E1824" i="1"/>
  <c r="D1824" i="1"/>
  <c r="C1824" i="1"/>
  <c r="B1824" i="1"/>
  <c r="A1824" i="1"/>
  <c r="J1823" i="1"/>
  <c r="I1823" i="1"/>
  <c r="H1823" i="1"/>
  <c r="G1823" i="1"/>
  <c r="E1823" i="1"/>
  <c r="D1823" i="1"/>
  <c r="C1823" i="1"/>
  <c r="B1823" i="1"/>
  <c r="A1823" i="1"/>
  <c r="J1822" i="1"/>
  <c r="I1822" i="1"/>
  <c r="H1822" i="1"/>
  <c r="G1822" i="1"/>
  <c r="E1822" i="1"/>
  <c r="D1822" i="1"/>
  <c r="C1822" i="1"/>
  <c r="B1822" i="1"/>
  <c r="A1822" i="1"/>
  <c r="J1821" i="1"/>
  <c r="I1821" i="1"/>
  <c r="H1821" i="1"/>
  <c r="G1821" i="1"/>
  <c r="F1821" i="1"/>
  <c r="E1821" i="1"/>
  <c r="D1821" i="1"/>
  <c r="C1821" i="1"/>
  <c r="B1821" i="1"/>
  <c r="A1821" i="1"/>
  <c r="J1820" i="1"/>
  <c r="I1820" i="1"/>
  <c r="H1820" i="1"/>
  <c r="G1820" i="1"/>
  <c r="F1820" i="1"/>
  <c r="E1820" i="1"/>
  <c r="D1820" i="1"/>
  <c r="C1820" i="1"/>
  <c r="B1820" i="1"/>
  <c r="A1820" i="1"/>
  <c r="J1819" i="1"/>
  <c r="I1819" i="1"/>
  <c r="H1819" i="1"/>
  <c r="G1819" i="1"/>
  <c r="F1819" i="1"/>
  <c r="E1819" i="1"/>
  <c r="D1819" i="1"/>
  <c r="C1819" i="1"/>
  <c r="B1819" i="1"/>
  <c r="A1819" i="1"/>
  <c r="J1818" i="1"/>
  <c r="I1818" i="1"/>
  <c r="H1818" i="1"/>
  <c r="G1818" i="1"/>
  <c r="E1818" i="1"/>
  <c r="D1818" i="1"/>
  <c r="C1818" i="1"/>
  <c r="B1818" i="1"/>
  <c r="A1818" i="1"/>
  <c r="J1817" i="1"/>
  <c r="I1817" i="1"/>
  <c r="H1817" i="1"/>
  <c r="G1817" i="1"/>
  <c r="E1817" i="1"/>
  <c r="D1817" i="1"/>
  <c r="C1817" i="1"/>
  <c r="B1817" i="1"/>
  <c r="A1817" i="1"/>
  <c r="J1816" i="1"/>
  <c r="I1816" i="1"/>
  <c r="H1816" i="1"/>
  <c r="G1816" i="1"/>
  <c r="F1816" i="1"/>
  <c r="E1816" i="1"/>
  <c r="D1816" i="1"/>
  <c r="C1816" i="1"/>
  <c r="B1816" i="1"/>
  <c r="A1816" i="1"/>
  <c r="J1815" i="1"/>
  <c r="I1815" i="1"/>
  <c r="H1815" i="1"/>
  <c r="G1815" i="1"/>
  <c r="F1815" i="1"/>
  <c r="E1815" i="1"/>
  <c r="D1815" i="1"/>
  <c r="C1815" i="1"/>
  <c r="B1815" i="1"/>
  <c r="A1815" i="1"/>
  <c r="J1814" i="1"/>
  <c r="I1814" i="1"/>
  <c r="H1814" i="1"/>
  <c r="G1814" i="1"/>
  <c r="E1814" i="1"/>
  <c r="D1814" i="1"/>
  <c r="C1814" i="1"/>
  <c r="B1814" i="1"/>
  <c r="A1814" i="1"/>
  <c r="J1813" i="1"/>
  <c r="I1813" i="1"/>
  <c r="H1813" i="1"/>
  <c r="G1813" i="1"/>
  <c r="E1813" i="1"/>
  <c r="D1813" i="1"/>
  <c r="C1813" i="1"/>
  <c r="B1813" i="1"/>
  <c r="A1813" i="1"/>
  <c r="J1812" i="1"/>
  <c r="I1812" i="1"/>
  <c r="H1812" i="1"/>
  <c r="G1812" i="1"/>
  <c r="E1812" i="1"/>
  <c r="D1812" i="1"/>
  <c r="C1812" i="1"/>
  <c r="B1812" i="1"/>
  <c r="A1812" i="1"/>
  <c r="J1811" i="1"/>
  <c r="I1811" i="1"/>
  <c r="H1811" i="1"/>
  <c r="G1811" i="1"/>
  <c r="F1811" i="1"/>
  <c r="E1811" i="1"/>
  <c r="D1811" i="1"/>
  <c r="C1811" i="1"/>
  <c r="B1811" i="1"/>
  <c r="A1811" i="1"/>
  <c r="J1810" i="1"/>
  <c r="I1810" i="1"/>
  <c r="H1810" i="1"/>
  <c r="G1810" i="1"/>
  <c r="E1810" i="1"/>
  <c r="D1810" i="1"/>
  <c r="C1810" i="1"/>
  <c r="B1810" i="1"/>
  <c r="A1810" i="1"/>
  <c r="J1809" i="1"/>
  <c r="I1809" i="1"/>
  <c r="H1809" i="1"/>
  <c r="G1809" i="1"/>
  <c r="E1809" i="1"/>
  <c r="D1809" i="1"/>
  <c r="C1809" i="1"/>
  <c r="B1809" i="1"/>
  <c r="A1809" i="1"/>
  <c r="J1808" i="1"/>
  <c r="I1808" i="1"/>
  <c r="H1808" i="1"/>
  <c r="G1808" i="1"/>
  <c r="E1808" i="1"/>
  <c r="D1808" i="1"/>
  <c r="C1808" i="1"/>
  <c r="B1808" i="1"/>
  <c r="A1808" i="1"/>
  <c r="J1807" i="1"/>
  <c r="I1807" i="1"/>
  <c r="H1807" i="1"/>
  <c r="G1807" i="1"/>
  <c r="E1807" i="1"/>
  <c r="D1807" i="1"/>
  <c r="C1807" i="1"/>
  <c r="B1807" i="1"/>
  <c r="A1807" i="1"/>
  <c r="J1806" i="1"/>
  <c r="I1806" i="1"/>
  <c r="H1806" i="1"/>
  <c r="G1806" i="1"/>
  <c r="E1806" i="1"/>
  <c r="D1806" i="1"/>
  <c r="C1806" i="1"/>
  <c r="B1806" i="1"/>
  <c r="A1806" i="1"/>
  <c r="J1805" i="1"/>
  <c r="I1805" i="1"/>
  <c r="H1805" i="1"/>
  <c r="G1805" i="1"/>
  <c r="E1805" i="1"/>
  <c r="D1805" i="1"/>
  <c r="C1805" i="1"/>
  <c r="B1805" i="1"/>
  <c r="A1805" i="1"/>
  <c r="J1804" i="1"/>
  <c r="I1804" i="1"/>
  <c r="H1804" i="1"/>
  <c r="G1804" i="1"/>
  <c r="E1804" i="1"/>
  <c r="D1804" i="1"/>
  <c r="C1804" i="1"/>
  <c r="B1804" i="1"/>
  <c r="A1804" i="1"/>
  <c r="J1803" i="1"/>
  <c r="I1803" i="1"/>
  <c r="H1803" i="1"/>
  <c r="G1803" i="1"/>
  <c r="E1803" i="1"/>
  <c r="D1803" i="1"/>
  <c r="C1803" i="1"/>
  <c r="B1803" i="1"/>
  <c r="A1803" i="1"/>
  <c r="J1802" i="1"/>
  <c r="I1802" i="1"/>
  <c r="H1802" i="1"/>
  <c r="G1802" i="1"/>
  <c r="E1802" i="1"/>
  <c r="D1802" i="1"/>
  <c r="C1802" i="1"/>
  <c r="B1802" i="1"/>
  <c r="A1802" i="1"/>
  <c r="J1801" i="1"/>
  <c r="I1801" i="1"/>
  <c r="H1801" i="1"/>
  <c r="G1801" i="1"/>
  <c r="E1801" i="1"/>
  <c r="D1801" i="1"/>
  <c r="C1801" i="1"/>
  <c r="B1801" i="1"/>
  <c r="A1801" i="1"/>
  <c r="J1800" i="1"/>
  <c r="I1800" i="1"/>
  <c r="H1800" i="1"/>
  <c r="G1800" i="1"/>
  <c r="E1800" i="1"/>
  <c r="D1800" i="1"/>
  <c r="C1800" i="1"/>
  <c r="B1800" i="1"/>
  <c r="A1800" i="1"/>
  <c r="J1799" i="1"/>
  <c r="I1799" i="1"/>
  <c r="H1799" i="1"/>
  <c r="G1799" i="1"/>
  <c r="E1799" i="1"/>
  <c r="D1799" i="1"/>
  <c r="C1799" i="1"/>
  <c r="B1799" i="1"/>
  <c r="A1799" i="1"/>
  <c r="J1798" i="1"/>
  <c r="I1798" i="1"/>
  <c r="H1798" i="1"/>
  <c r="G1798" i="1"/>
  <c r="E1798" i="1"/>
  <c r="D1798" i="1"/>
  <c r="C1798" i="1"/>
  <c r="B1798" i="1"/>
  <c r="A1798" i="1"/>
  <c r="J1797" i="1"/>
  <c r="I1797" i="1"/>
  <c r="H1797" i="1"/>
  <c r="G1797" i="1"/>
  <c r="E1797" i="1"/>
  <c r="D1797" i="1"/>
  <c r="C1797" i="1"/>
  <c r="B1797" i="1"/>
  <c r="A1797" i="1"/>
  <c r="J1796" i="1"/>
  <c r="I1796" i="1"/>
  <c r="H1796" i="1"/>
  <c r="G1796" i="1"/>
  <c r="E1796" i="1"/>
  <c r="D1796" i="1"/>
  <c r="C1796" i="1"/>
  <c r="B1796" i="1"/>
  <c r="A1796" i="1"/>
  <c r="J1795" i="1"/>
  <c r="I1795" i="1"/>
  <c r="H1795" i="1"/>
  <c r="G1795" i="1"/>
  <c r="E1795" i="1"/>
  <c r="D1795" i="1"/>
  <c r="C1795" i="1"/>
  <c r="B1795" i="1"/>
  <c r="A1795" i="1"/>
  <c r="J1794" i="1"/>
  <c r="I1794" i="1"/>
  <c r="H1794" i="1"/>
  <c r="G1794" i="1"/>
  <c r="E1794" i="1"/>
  <c r="D1794" i="1"/>
  <c r="C1794" i="1"/>
  <c r="B1794" i="1"/>
  <c r="A1794" i="1"/>
  <c r="J1793" i="1"/>
  <c r="I1793" i="1"/>
  <c r="H1793" i="1"/>
  <c r="G1793" i="1"/>
  <c r="E1793" i="1"/>
  <c r="D1793" i="1"/>
  <c r="C1793" i="1"/>
  <c r="B1793" i="1"/>
  <c r="A1793" i="1"/>
  <c r="J1792" i="1"/>
  <c r="I1792" i="1"/>
  <c r="H1792" i="1"/>
  <c r="G1792" i="1"/>
  <c r="E1792" i="1"/>
  <c r="D1792" i="1"/>
  <c r="C1792" i="1"/>
  <c r="B1792" i="1"/>
  <c r="A1792" i="1"/>
  <c r="J1791" i="1"/>
  <c r="I1791" i="1"/>
  <c r="H1791" i="1"/>
  <c r="G1791" i="1"/>
  <c r="F1791" i="1"/>
  <c r="E1791" i="1"/>
  <c r="D1791" i="1"/>
  <c r="C1791" i="1"/>
  <c r="B1791" i="1"/>
  <c r="A1791" i="1"/>
  <c r="J1790" i="1"/>
  <c r="I1790" i="1"/>
  <c r="H1790" i="1"/>
  <c r="G1790" i="1"/>
  <c r="E1790" i="1"/>
  <c r="D1790" i="1"/>
  <c r="C1790" i="1"/>
  <c r="B1790" i="1"/>
  <c r="A1790" i="1"/>
  <c r="J1789" i="1"/>
  <c r="I1789" i="1"/>
  <c r="H1789" i="1"/>
  <c r="G1789" i="1"/>
  <c r="E1789" i="1"/>
  <c r="D1789" i="1"/>
  <c r="C1789" i="1"/>
  <c r="B1789" i="1"/>
  <c r="A1789" i="1"/>
  <c r="J1788" i="1"/>
  <c r="I1788" i="1"/>
  <c r="H1788" i="1"/>
  <c r="G1788" i="1"/>
  <c r="F1788" i="1"/>
  <c r="E1788" i="1"/>
  <c r="D1788" i="1"/>
  <c r="C1788" i="1"/>
  <c r="B1788" i="1"/>
  <c r="A1788" i="1"/>
  <c r="J1787" i="1"/>
  <c r="I1787" i="1"/>
  <c r="H1787" i="1"/>
  <c r="G1787" i="1"/>
  <c r="E1787" i="1"/>
  <c r="D1787" i="1"/>
  <c r="C1787" i="1"/>
  <c r="B1787" i="1"/>
  <c r="A1787" i="1"/>
  <c r="J1786" i="1"/>
  <c r="I1786" i="1"/>
  <c r="H1786" i="1"/>
  <c r="G1786" i="1"/>
  <c r="E1786" i="1"/>
  <c r="D1786" i="1"/>
  <c r="C1786" i="1"/>
  <c r="B1786" i="1"/>
  <c r="A1786" i="1"/>
  <c r="J1785" i="1"/>
  <c r="I1785" i="1"/>
  <c r="H1785" i="1"/>
  <c r="G1785" i="1"/>
  <c r="E1785" i="1"/>
  <c r="D1785" i="1"/>
  <c r="C1785" i="1"/>
  <c r="B1785" i="1"/>
  <c r="A1785" i="1"/>
  <c r="J1784" i="1"/>
  <c r="I1784" i="1"/>
  <c r="H1784" i="1"/>
  <c r="G1784" i="1"/>
  <c r="F1784" i="1"/>
  <c r="E1784" i="1"/>
  <c r="D1784" i="1"/>
  <c r="C1784" i="1"/>
  <c r="B1784" i="1"/>
  <c r="A1784" i="1"/>
  <c r="J1783" i="1"/>
  <c r="I1783" i="1"/>
  <c r="H1783" i="1"/>
  <c r="G1783" i="1"/>
  <c r="E1783" i="1"/>
  <c r="D1783" i="1"/>
  <c r="C1783" i="1"/>
  <c r="B1783" i="1"/>
  <c r="A1783" i="1"/>
  <c r="J1782" i="1"/>
  <c r="I1782" i="1"/>
  <c r="H1782" i="1"/>
  <c r="G1782" i="1"/>
  <c r="E1782" i="1"/>
  <c r="D1782" i="1"/>
  <c r="C1782" i="1"/>
  <c r="B1782" i="1"/>
  <c r="A1782" i="1"/>
  <c r="J1781" i="1"/>
  <c r="I1781" i="1"/>
  <c r="H1781" i="1"/>
  <c r="G1781" i="1"/>
  <c r="F1781" i="1"/>
  <c r="E1781" i="1"/>
  <c r="D1781" i="1"/>
  <c r="C1781" i="1"/>
  <c r="B1781" i="1"/>
  <c r="A1781" i="1"/>
  <c r="J1780" i="1"/>
  <c r="I1780" i="1"/>
  <c r="H1780" i="1"/>
  <c r="G1780" i="1"/>
  <c r="F1780" i="1"/>
  <c r="E1780" i="1"/>
  <c r="D1780" i="1"/>
  <c r="C1780" i="1"/>
  <c r="B1780" i="1"/>
  <c r="A1780" i="1"/>
  <c r="J1779" i="1"/>
  <c r="I1779" i="1"/>
  <c r="H1779" i="1"/>
  <c r="G1779" i="1"/>
  <c r="F1779" i="1"/>
  <c r="E1779" i="1"/>
  <c r="D1779" i="1"/>
  <c r="C1779" i="1"/>
  <c r="B1779" i="1"/>
  <c r="A1779" i="1"/>
  <c r="J1778" i="1"/>
  <c r="I1778" i="1"/>
  <c r="H1778" i="1"/>
  <c r="G1778" i="1"/>
  <c r="F1778" i="1"/>
  <c r="E1778" i="1"/>
  <c r="D1778" i="1"/>
  <c r="C1778" i="1"/>
  <c r="B1778" i="1"/>
  <c r="A1778" i="1"/>
  <c r="J1777" i="1"/>
  <c r="I1777" i="1"/>
  <c r="H1777" i="1"/>
  <c r="G1777" i="1"/>
  <c r="E1777" i="1"/>
  <c r="D1777" i="1"/>
  <c r="C1777" i="1"/>
  <c r="B1777" i="1"/>
  <c r="A1777" i="1"/>
  <c r="J1776" i="1"/>
  <c r="I1776" i="1"/>
  <c r="H1776" i="1"/>
  <c r="G1776" i="1"/>
  <c r="E1776" i="1"/>
  <c r="D1776" i="1"/>
  <c r="C1776" i="1"/>
  <c r="B1776" i="1"/>
  <c r="A1776" i="1"/>
  <c r="J1775" i="1"/>
  <c r="I1775" i="1"/>
  <c r="H1775" i="1"/>
  <c r="G1775" i="1"/>
  <c r="F1775" i="1"/>
  <c r="E1775" i="1"/>
  <c r="D1775" i="1"/>
  <c r="C1775" i="1"/>
  <c r="B1775" i="1"/>
  <c r="A1775" i="1"/>
  <c r="J1774" i="1"/>
  <c r="I1774" i="1"/>
  <c r="H1774" i="1"/>
  <c r="G1774" i="1"/>
  <c r="E1774" i="1"/>
  <c r="D1774" i="1"/>
  <c r="C1774" i="1"/>
  <c r="B1774" i="1"/>
  <c r="A1774" i="1"/>
  <c r="J1773" i="1"/>
  <c r="I1773" i="1"/>
  <c r="H1773" i="1"/>
  <c r="G1773" i="1"/>
  <c r="E1773" i="1"/>
  <c r="D1773" i="1"/>
  <c r="C1773" i="1"/>
  <c r="B1773" i="1"/>
  <c r="A1773" i="1"/>
  <c r="J1772" i="1"/>
  <c r="I1772" i="1"/>
  <c r="H1772" i="1"/>
  <c r="G1772" i="1"/>
  <c r="E1772" i="1"/>
  <c r="D1772" i="1"/>
  <c r="C1772" i="1"/>
  <c r="B1772" i="1"/>
  <c r="A1772" i="1"/>
  <c r="J1771" i="1"/>
  <c r="I1771" i="1"/>
  <c r="H1771" i="1"/>
  <c r="G1771" i="1"/>
  <c r="E1771" i="1"/>
  <c r="D1771" i="1"/>
  <c r="C1771" i="1"/>
  <c r="B1771" i="1"/>
  <c r="A1771" i="1"/>
  <c r="J1770" i="1"/>
  <c r="I1770" i="1"/>
  <c r="H1770" i="1"/>
  <c r="G1770" i="1"/>
  <c r="E1770" i="1"/>
  <c r="D1770" i="1"/>
  <c r="C1770" i="1"/>
  <c r="B1770" i="1"/>
  <c r="A1770" i="1"/>
  <c r="J1769" i="1"/>
  <c r="I1769" i="1"/>
  <c r="H1769" i="1"/>
  <c r="G1769" i="1"/>
  <c r="F1769" i="1"/>
  <c r="E1769" i="1"/>
  <c r="D1769" i="1"/>
  <c r="C1769" i="1"/>
  <c r="B1769" i="1"/>
  <c r="A1769" i="1"/>
  <c r="J1768" i="1"/>
  <c r="I1768" i="1"/>
  <c r="H1768" i="1"/>
  <c r="G1768" i="1"/>
  <c r="F1768" i="1"/>
  <c r="E1768" i="1"/>
  <c r="D1768" i="1"/>
  <c r="C1768" i="1"/>
  <c r="B1768" i="1"/>
  <c r="A1768" i="1"/>
  <c r="J1767" i="1"/>
  <c r="I1767" i="1"/>
  <c r="H1767" i="1"/>
  <c r="G1767" i="1"/>
  <c r="F1767" i="1"/>
  <c r="E1767" i="1"/>
  <c r="D1767" i="1"/>
  <c r="C1767" i="1"/>
  <c r="B1767" i="1"/>
  <c r="A1767" i="1"/>
  <c r="J1766" i="1"/>
  <c r="I1766" i="1"/>
  <c r="H1766" i="1"/>
  <c r="G1766" i="1"/>
  <c r="E1766" i="1"/>
  <c r="D1766" i="1"/>
  <c r="C1766" i="1"/>
  <c r="B1766" i="1"/>
  <c r="A1766" i="1"/>
  <c r="J1765" i="1"/>
  <c r="I1765" i="1"/>
  <c r="H1765" i="1"/>
  <c r="G1765" i="1"/>
  <c r="E1765" i="1"/>
  <c r="D1765" i="1"/>
  <c r="C1765" i="1"/>
  <c r="B1765" i="1"/>
  <c r="A1765" i="1"/>
  <c r="J1764" i="1"/>
  <c r="I1764" i="1"/>
  <c r="H1764" i="1"/>
  <c r="G1764" i="1"/>
  <c r="E1764" i="1"/>
  <c r="D1764" i="1"/>
  <c r="C1764" i="1"/>
  <c r="B1764" i="1"/>
  <c r="A1764" i="1"/>
  <c r="J1763" i="1"/>
  <c r="I1763" i="1"/>
  <c r="H1763" i="1"/>
  <c r="G1763" i="1"/>
  <c r="E1763" i="1"/>
  <c r="D1763" i="1"/>
  <c r="C1763" i="1"/>
  <c r="B1763" i="1"/>
  <c r="A1763" i="1"/>
  <c r="J1762" i="1"/>
  <c r="I1762" i="1"/>
  <c r="H1762" i="1"/>
  <c r="G1762" i="1"/>
  <c r="E1762" i="1"/>
  <c r="D1762" i="1"/>
  <c r="C1762" i="1"/>
  <c r="B1762" i="1"/>
  <c r="A1762" i="1"/>
  <c r="J1761" i="1"/>
  <c r="I1761" i="1"/>
  <c r="H1761" i="1"/>
  <c r="G1761" i="1"/>
  <c r="E1761" i="1"/>
  <c r="D1761" i="1"/>
  <c r="C1761" i="1"/>
  <c r="B1761" i="1"/>
  <c r="A1761" i="1"/>
  <c r="J1760" i="1"/>
  <c r="I1760" i="1"/>
  <c r="H1760" i="1"/>
  <c r="G1760" i="1"/>
  <c r="E1760" i="1"/>
  <c r="D1760" i="1"/>
  <c r="C1760" i="1"/>
  <c r="B1760" i="1"/>
  <c r="A1760" i="1"/>
  <c r="J1759" i="1"/>
  <c r="I1759" i="1"/>
  <c r="H1759" i="1"/>
  <c r="G1759" i="1"/>
  <c r="E1759" i="1"/>
  <c r="D1759" i="1"/>
  <c r="C1759" i="1"/>
  <c r="B1759" i="1"/>
  <c r="A1759" i="1"/>
  <c r="J1758" i="1"/>
  <c r="I1758" i="1"/>
  <c r="H1758" i="1"/>
  <c r="G1758" i="1"/>
  <c r="E1758" i="1"/>
  <c r="D1758" i="1"/>
  <c r="C1758" i="1"/>
  <c r="B1758" i="1"/>
  <c r="A1758" i="1"/>
  <c r="J1757" i="1"/>
  <c r="I1757" i="1"/>
  <c r="H1757" i="1"/>
  <c r="G1757" i="1"/>
  <c r="E1757" i="1"/>
  <c r="D1757" i="1"/>
  <c r="C1757" i="1"/>
  <c r="B1757" i="1"/>
  <c r="A1757" i="1"/>
  <c r="J1756" i="1"/>
  <c r="I1756" i="1"/>
  <c r="H1756" i="1"/>
  <c r="G1756" i="1"/>
  <c r="E1756" i="1"/>
  <c r="D1756" i="1"/>
  <c r="C1756" i="1"/>
  <c r="B1756" i="1"/>
  <c r="A1756" i="1"/>
  <c r="J1755" i="1"/>
  <c r="I1755" i="1"/>
  <c r="H1755" i="1"/>
  <c r="G1755" i="1"/>
  <c r="E1755" i="1"/>
  <c r="D1755" i="1"/>
  <c r="C1755" i="1"/>
  <c r="B1755" i="1"/>
  <c r="A1755" i="1"/>
  <c r="J1754" i="1"/>
  <c r="I1754" i="1"/>
  <c r="H1754" i="1"/>
  <c r="G1754" i="1"/>
  <c r="F1754" i="1"/>
  <c r="E1754" i="1"/>
  <c r="D1754" i="1"/>
  <c r="C1754" i="1"/>
  <c r="B1754" i="1"/>
  <c r="A1754" i="1"/>
  <c r="J1753" i="1"/>
  <c r="I1753" i="1"/>
  <c r="H1753" i="1"/>
  <c r="G1753" i="1"/>
  <c r="E1753" i="1"/>
  <c r="D1753" i="1"/>
  <c r="C1753" i="1"/>
  <c r="B1753" i="1"/>
  <c r="A1753" i="1"/>
  <c r="J1752" i="1"/>
  <c r="I1752" i="1"/>
  <c r="H1752" i="1"/>
  <c r="G1752" i="1"/>
  <c r="F1752" i="1"/>
  <c r="E1752" i="1"/>
  <c r="D1752" i="1"/>
  <c r="C1752" i="1"/>
  <c r="B1752" i="1"/>
  <c r="A1752" i="1"/>
  <c r="J1751" i="1"/>
  <c r="I1751" i="1"/>
  <c r="H1751" i="1"/>
  <c r="G1751" i="1"/>
  <c r="E1751" i="1"/>
  <c r="D1751" i="1"/>
  <c r="C1751" i="1"/>
  <c r="B1751" i="1"/>
  <c r="A1751" i="1"/>
  <c r="J1750" i="1"/>
  <c r="I1750" i="1"/>
  <c r="H1750" i="1"/>
  <c r="G1750" i="1"/>
  <c r="F1750" i="1"/>
  <c r="E1750" i="1"/>
  <c r="D1750" i="1"/>
  <c r="C1750" i="1"/>
  <c r="B1750" i="1"/>
  <c r="A1750" i="1"/>
  <c r="J1749" i="1"/>
  <c r="I1749" i="1"/>
  <c r="H1749" i="1"/>
  <c r="G1749" i="1"/>
  <c r="F1749" i="1"/>
  <c r="E1749" i="1"/>
  <c r="D1749" i="1"/>
  <c r="C1749" i="1"/>
  <c r="B1749" i="1"/>
  <c r="A1749" i="1"/>
  <c r="J1748" i="1"/>
  <c r="I1748" i="1"/>
  <c r="H1748" i="1"/>
  <c r="G1748" i="1"/>
  <c r="E1748" i="1"/>
  <c r="D1748" i="1"/>
  <c r="C1748" i="1"/>
  <c r="B1748" i="1"/>
  <c r="A1748" i="1"/>
  <c r="J1747" i="1"/>
  <c r="I1747" i="1"/>
  <c r="H1747" i="1"/>
  <c r="G1747" i="1"/>
  <c r="F1747" i="1"/>
  <c r="E1747" i="1"/>
  <c r="D1747" i="1"/>
  <c r="C1747" i="1"/>
  <c r="B1747" i="1"/>
  <c r="A1747" i="1"/>
  <c r="J1746" i="1"/>
  <c r="I1746" i="1"/>
  <c r="H1746" i="1"/>
  <c r="G1746" i="1"/>
  <c r="E1746" i="1"/>
  <c r="D1746" i="1"/>
  <c r="C1746" i="1"/>
  <c r="B1746" i="1"/>
  <c r="A1746" i="1"/>
  <c r="J1745" i="1"/>
  <c r="I1745" i="1"/>
  <c r="H1745" i="1"/>
  <c r="G1745" i="1"/>
  <c r="E1745" i="1"/>
  <c r="D1745" i="1"/>
  <c r="C1745" i="1"/>
  <c r="B1745" i="1"/>
  <c r="A1745" i="1"/>
  <c r="J1744" i="1"/>
  <c r="I1744" i="1"/>
  <c r="H1744" i="1"/>
  <c r="G1744" i="1"/>
  <c r="E1744" i="1"/>
  <c r="D1744" i="1"/>
  <c r="C1744" i="1"/>
  <c r="B1744" i="1"/>
  <c r="A1744" i="1"/>
  <c r="J1743" i="1"/>
  <c r="I1743" i="1"/>
  <c r="H1743" i="1"/>
  <c r="G1743" i="1"/>
  <c r="F1743" i="1"/>
  <c r="E1743" i="1"/>
  <c r="D1743" i="1"/>
  <c r="C1743" i="1"/>
  <c r="B1743" i="1"/>
  <c r="A1743" i="1"/>
  <c r="J1742" i="1"/>
  <c r="I1742" i="1"/>
  <c r="H1742" i="1"/>
  <c r="G1742" i="1"/>
  <c r="F1742" i="1"/>
  <c r="E1742" i="1"/>
  <c r="D1742" i="1"/>
  <c r="C1742" i="1"/>
  <c r="B1742" i="1"/>
  <c r="A1742" i="1"/>
  <c r="J1741" i="1"/>
  <c r="I1741" i="1"/>
  <c r="H1741" i="1"/>
  <c r="G1741" i="1"/>
  <c r="E1741" i="1"/>
  <c r="D1741" i="1"/>
  <c r="C1741" i="1"/>
  <c r="B1741" i="1"/>
  <c r="A1741" i="1"/>
  <c r="J1740" i="1"/>
  <c r="I1740" i="1"/>
  <c r="H1740" i="1"/>
  <c r="G1740" i="1"/>
  <c r="E1740" i="1"/>
  <c r="D1740" i="1"/>
  <c r="C1740" i="1"/>
  <c r="B1740" i="1"/>
  <c r="A1740" i="1"/>
  <c r="J1739" i="1"/>
  <c r="I1739" i="1"/>
  <c r="H1739" i="1"/>
  <c r="G1739" i="1"/>
  <c r="E1739" i="1"/>
  <c r="D1739" i="1"/>
  <c r="C1739" i="1"/>
  <c r="B1739" i="1"/>
  <c r="A1739" i="1"/>
  <c r="J1738" i="1"/>
  <c r="I1738" i="1"/>
  <c r="H1738" i="1"/>
  <c r="G1738" i="1"/>
  <c r="E1738" i="1"/>
  <c r="D1738" i="1"/>
  <c r="C1738" i="1"/>
  <c r="B1738" i="1"/>
  <c r="A1738" i="1"/>
  <c r="J1737" i="1"/>
  <c r="I1737" i="1"/>
  <c r="H1737" i="1"/>
  <c r="G1737" i="1"/>
  <c r="E1737" i="1"/>
  <c r="D1737" i="1"/>
  <c r="C1737" i="1"/>
  <c r="B1737" i="1"/>
  <c r="A1737" i="1"/>
  <c r="J1736" i="1"/>
  <c r="I1736" i="1"/>
  <c r="H1736" i="1"/>
  <c r="G1736" i="1"/>
  <c r="F1736" i="1"/>
  <c r="E1736" i="1"/>
  <c r="D1736" i="1"/>
  <c r="C1736" i="1"/>
  <c r="B1736" i="1"/>
  <c r="A1736" i="1"/>
  <c r="J1735" i="1"/>
  <c r="I1735" i="1"/>
  <c r="H1735" i="1"/>
  <c r="G1735" i="1"/>
  <c r="E1735" i="1"/>
  <c r="D1735" i="1"/>
  <c r="C1735" i="1"/>
  <c r="B1735" i="1"/>
  <c r="A1735" i="1"/>
  <c r="J1734" i="1"/>
  <c r="I1734" i="1"/>
  <c r="H1734" i="1"/>
  <c r="G1734" i="1"/>
  <c r="F1734" i="1"/>
  <c r="E1734" i="1"/>
  <c r="D1734" i="1"/>
  <c r="C1734" i="1"/>
  <c r="B1734" i="1"/>
  <c r="A1734" i="1"/>
  <c r="J1733" i="1"/>
  <c r="I1733" i="1"/>
  <c r="H1733" i="1"/>
  <c r="G1733" i="1"/>
  <c r="E1733" i="1"/>
  <c r="D1733" i="1"/>
  <c r="C1733" i="1"/>
  <c r="B1733" i="1"/>
  <c r="A1733" i="1"/>
  <c r="J1732" i="1"/>
  <c r="I1732" i="1"/>
  <c r="H1732" i="1"/>
  <c r="G1732" i="1"/>
  <c r="E1732" i="1"/>
  <c r="D1732" i="1"/>
  <c r="C1732" i="1"/>
  <c r="B1732" i="1"/>
  <c r="A1732" i="1"/>
  <c r="J1731" i="1"/>
  <c r="I1731" i="1"/>
  <c r="H1731" i="1"/>
  <c r="G1731" i="1"/>
  <c r="E1731" i="1"/>
  <c r="D1731" i="1"/>
  <c r="C1731" i="1"/>
  <c r="B1731" i="1"/>
  <c r="A1731" i="1"/>
  <c r="J1730" i="1"/>
  <c r="I1730" i="1"/>
  <c r="H1730" i="1"/>
  <c r="G1730" i="1"/>
  <c r="E1730" i="1"/>
  <c r="D1730" i="1"/>
  <c r="C1730" i="1"/>
  <c r="B1730" i="1"/>
  <c r="A1730" i="1"/>
  <c r="J1729" i="1"/>
  <c r="I1729" i="1"/>
  <c r="H1729" i="1"/>
  <c r="G1729" i="1"/>
  <c r="E1729" i="1"/>
  <c r="D1729" i="1"/>
  <c r="C1729" i="1"/>
  <c r="B1729" i="1"/>
  <c r="A1729" i="1"/>
  <c r="J1728" i="1"/>
  <c r="I1728" i="1"/>
  <c r="H1728" i="1"/>
  <c r="G1728" i="1"/>
  <c r="E1728" i="1"/>
  <c r="D1728" i="1"/>
  <c r="C1728" i="1"/>
  <c r="B1728" i="1"/>
  <c r="A1728" i="1"/>
  <c r="J1727" i="1"/>
  <c r="I1727" i="1"/>
  <c r="H1727" i="1"/>
  <c r="G1727" i="1"/>
  <c r="F1727" i="1"/>
  <c r="E1727" i="1"/>
  <c r="D1727" i="1"/>
  <c r="C1727" i="1"/>
  <c r="B1727" i="1"/>
  <c r="A1727" i="1"/>
  <c r="J1726" i="1"/>
  <c r="I1726" i="1"/>
  <c r="H1726" i="1"/>
  <c r="G1726" i="1"/>
  <c r="F1726" i="1"/>
  <c r="E1726" i="1"/>
  <c r="D1726" i="1"/>
  <c r="C1726" i="1"/>
  <c r="B1726" i="1"/>
  <c r="A1726" i="1"/>
  <c r="J1725" i="1"/>
  <c r="I1725" i="1"/>
  <c r="H1725" i="1"/>
  <c r="G1725" i="1"/>
  <c r="E1725" i="1"/>
  <c r="D1725" i="1"/>
  <c r="C1725" i="1"/>
  <c r="B1725" i="1"/>
  <c r="A1725" i="1"/>
  <c r="J1724" i="1"/>
  <c r="I1724" i="1"/>
  <c r="H1724" i="1"/>
  <c r="G1724" i="1"/>
  <c r="E1724" i="1"/>
  <c r="D1724" i="1"/>
  <c r="C1724" i="1"/>
  <c r="B1724" i="1"/>
  <c r="A1724" i="1"/>
  <c r="J1723" i="1"/>
  <c r="I1723" i="1"/>
  <c r="H1723" i="1"/>
  <c r="G1723" i="1"/>
  <c r="F1723" i="1"/>
  <c r="E1723" i="1"/>
  <c r="D1723" i="1"/>
  <c r="C1723" i="1"/>
  <c r="B1723" i="1"/>
  <c r="A1723" i="1"/>
  <c r="J1722" i="1"/>
  <c r="I1722" i="1"/>
  <c r="H1722" i="1"/>
  <c r="G1722" i="1"/>
  <c r="E1722" i="1"/>
  <c r="D1722" i="1"/>
  <c r="C1722" i="1"/>
  <c r="B1722" i="1"/>
  <c r="A1722" i="1"/>
  <c r="J1721" i="1"/>
  <c r="I1721" i="1"/>
  <c r="H1721" i="1"/>
  <c r="G1721" i="1"/>
  <c r="F1721" i="1"/>
  <c r="E1721" i="1"/>
  <c r="D1721" i="1"/>
  <c r="C1721" i="1"/>
  <c r="B1721" i="1"/>
  <c r="A1721" i="1"/>
  <c r="J1720" i="1"/>
  <c r="I1720" i="1"/>
  <c r="H1720" i="1"/>
  <c r="G1720" i="1"/>
  <c r="E1720" i="1"/>
  <c r="D1720" i="1"/>
  <c r="C1720" i="1"/>
  <c r="B1720" i="1"/>
  <c r="A1720" i="1"/>
  <c r="J1719" i="1"/>
  <c r="I1719" i="1"/>
  <c r="H1719" i="1"/>
  <c r="G1719" i="1"/>
  <c r="E1719" i="1"/>
  <c r="D1719" i="1"/>
  <c r="C1719" i="1"/>
  <c r="B1719" i="1"/>
  <c r="A1719" i="1"/>
  <c r="J1718" i="1"/>
  <c r="I1718" i="1"/>
  <c r="H1718" i="1"/>
  <c r="G1718" i="1"/>
  <c r="F1718" i="1"/>
  <c r="E1718" i="1"/>
  <c r="D1718" i="1"/>
  <c r="C1718" i="1"/>
  <c r="B1718" i="1"/>
  <c r="A1718" i="1"/>
  <c r="J1717" i="1"/>
  <c r="I1717" i="1"/>
  <c r="H1717" i="1"/>
  <c r="G1717" i="1"/>
  <c r="E1717" i="1"/>
  <c r="D1717" i="1"/>
  <c r="C1717" i="1"/>
  <c r="B1717" i="1"/>
  <c r="A1717" i="1"/>
  <c r="J1716" i="1"/>
  <c r="I1716" i="1"/>
  <c r="H1716" i="1"/>
  <c r="G1716" i="1"/>
  <c r="E1716" i="1"/>
  <c r="D1716" i="1"/>
  <c r="C1716" i="1"/>
  <c r="B1716" i="1"/>
  <c r="A1716" i="1"/>
  <c r="J1715" i="1"/>
  <c r="I1715" i="1"/>
  <c r="H1715" i="1"/>
  <c r="G1715" i="1"/>
  <c r="E1715" i="1"/>
  <c r="D1715" i="1"/>
  <c r="C1715" i="1"/>
  <c r="B1715" i="1"/>
  <c r="A1715" i="1"/>
  <c r="J1714" i="1"/>
  <c r="I1714" i="1"/>
  <c r="H1714" i="1"/>
  <c r="G1714" i="1"/>
  <c r="E1714" i="1"/>
  <c r="D1714" i="1"/>
  <c r="C1714" i="1"/>
  <c r="B1714" i="1"/>
  <c r="A1714" i="1"/>
  <c r="J1713" i="1"/>
  <c r="I1713" i="1"/>
  <c r="H1713" i="1"/>
  <c r="G1713" i="1"/>
  <c r="E1713" i="1"/>
  <c r="D1713" i="1"/>
  <c r="C1713" i="1"/>
  <c r="B1713" i="1"/>
  <c r="A1713" i="1"/>
  <c r="J1712" i="1"/>
  <c r="I1712" i="1"/>
  <c r="H1712" i="1"/>
  <c r="G1712" i="1"/>
  <c r="E1712" i="1"/>
  <c r="D1712" i="1"/>
  <c r="C1712" i="1"/>
  <c r="B1712" i="1"/>
  <c r="A1712" i="1"/>
  <c r="J1711" i="1"/>
  <c r="I1711" i="1"/>
  <c r="H1711" i="1"/>
  <c r="G1711" i="1"/>
  <c r="E1711" i="1"/>
  <c r="D1711" i="1"/>
  <c r="C1711" i="1"/>
  <c r="B1711" i="1"/>
  <c r="A1711" i="1"/>
  <c r="J1710" i="1"/>
  <c r="I1710" i="1"/>
  <c r="H1710" i="1"/>
  <c r="G1710" i="1"/>
  <c r="E1710" i="1"/>
  <c r="D1710" i="1"/>
  <c r="C1710" i="1"/>
  <c r="B1710" i="1"/>
  <c r="A1710" i="1"/>
  <c r="J1709" i="1"/>
  <c r="I1709" i="1"/>
  <c r="H1709" i="1"/>
  <c r="G1709" i="1"/>
  <c r="E1709" i="1"/>
  <c r="D1709" i="1"/>
  <c r="C1709" i="1"/>
  <c r="B1709" i="1"/>
  <c r="A1709" i="1"/>
  <c r="J1708" i="1"/>
  <c r="I1708" i="1"/>
  <c r="H1708" i="1"/>
  <c r="G1708" i="1"/>
  <c r="F1708" i="1"/>
  <c r="E1708" i="1"/>
  <c r="D1708" i="1"/>
  <c r="C1708" i="1"/>
  <c r="B1708" i="1"/>
  <c r="A1708" i="1"/>
  <c r="J1707" i="1"/>
  <c r="I1707" i="1"/>
  <c r="H1707" i="1"/>
  <c r="G1707" i="1"/>
  <c r="F1707" i="1"/>
  <c r="E1707" i="1"/>
  <c r="D1707" i="1"/>
  <c r="C1707" i="1"/>
  <c r="B1707" i="1"/>
  <c r="A1707" i="1"/>
  <c r="J1706" i="1"/>
  <c r="I1706" i="1"/>
  <c r="H1706" i="1"/>
  <c r="G1706" i="1"/>
  <c r="E1706" i="1"/>
  <c r="D1706" i="1"/>
  <c r="C1706" i="1"/>
  <c r="B1706" i="1"/>
  <c r="A1706" i="1"/>
  <c r="J1705" i="1"/>
  <c r="I1705" i="1"/>
  <c r="H1705" i="1"/>
  <c r="G1705" i="1"/>
  <c r="E1705" i="1"/>
  <c r="D1705" i="1"/>
  <c r="C1705" i="1"/>
  <c r="B1705" i="1"/>
  <c r="A1705" i="1"/>
  <c r="J1704" i="1"/>
  <c r="I1704" i="1"/>
  <c r="H1704" i="1"/>
  <c r="G1704" i="1"/>
  <c r="E1704" i="1"/>
  <c r="D1704" i="1"/>
  <c r="C1704" i="1"/>
  <c r="B1704" i="1"/>
  <c r="A1704" i="1"/>
  <c r="J1703" i="1"/>
  <c r="I1703" i="1"/>
  <c r="H1703" i="1"/>
  <c r="G1703" i="1"/>
  <c r="F1703" i="1"/>
  <c r="E1703" i="1"/>
  <c r="D1703" i="1"/>
  <c r="C1703" i="1"/>
  <c r="B1703" i="1"/>
  <c r="A1703" i="1"/>
  <c r="J1702" i="1"/>
  <c r="I1702" i="1"/>
  <c r="H1702" i="1"/>
  <c r="G1702" i="1"/>
  <c r="E1702" i="1"/>
  <c r="D1702" i="1"/>
  <c r="C1702" i="1"/>
  <c r="B1702" i="1"/>
  <c r="A1702" i="1"/>
  <c r="J1701" i="1"/>
  <c r="I1701" i="1"/>
  <c r="H1701" i="1"/>
  <c r="G1701" i="1"/>
  <c r="E1701" i="1"/>
  <c r="D1701" i="1"/>
  <c r="C1701" i="1"/>
  <c r="B1701" i="1"/>
  <c r="A1701" i="1"/>
  <c r="J1700" i="1"/>
  <c r="I1700" i="1"/>
  <c r="H1700" i="1"/>
  <c r="G1700" i="1"/>
  <c r="E1700" i="1"/>
  <c r="D1700" i="1"/>
  <c r="C1700" i="1"/>
  <c r="B1700" i="1"/>
  <c r="A1700" i="1"/>
  <c r="J1699" i="1"/>
  <c r="I1699" i="1"/>
  <c r="H1699" i="1"/>
  <c r="G1699" i="1"/>
  <c r="E1699" i="1"/>
  <c r="D1699" i="1"/>
  <c r="C1699" i="1"/>
  <c r="B1699" i="1"/>
  <c r="A1699" i="1"/>
  <c r="J1698" i="1"/>
  <c r="I1698" i="1"/>
  <c r="H1698" i="1"/>
  <c r="G1698" i="1"/>
  <c r="E1698" i="1"/>
  <c r="D1698" i="1"/>
  <c r="C1698" i="1"/>
  <c r="B1698" i="1"/>
  <c r="A1698" i="1"/>
  <c r="J1697" i="1"/>
  <c r="I1697" i="1"/>
  <c r="H1697" i="1"/>
  <c r="G1697" i="1"/>
  <c r="E1697" i="1"/>
  <c r="D1697" i="1"/>
  <c r="C1697" i="1"/>
  <c r="B1697" i="1"/>
  <c r="A1697" i="1"/>
  <c r="J1696" i="1"/>
  <c r="I1696" i="1"/>
  <c r="H1696" i="1"/>
  <c r="G1696" i="1"/>
  <c r="E1696" i="1"/>
  <c r="D1696" i="1"/>
  <c r="C1696" i="1"/>
  <c r="B1696" i="1"/>
  <c r="A1696" i="1"/>
  <c r="J1695" i="1"/>
  <c r="I1695" i="1"/>
  <c r="H1695" i="1"/>
  <c r="G1695" i="1"/>
  <c r="E1695" i="1"/>
  <c r="D1695" i="1"/>
  <c r="C1695" i="1"/>
  <c r="B1695" i="1"/>
  <c r="A1695" i="1"/>
  <c r="J1694" i="1"/>
  <c r="I1694" i="1"/>
  <c r="H1694" i="1"/>
  <c r="G1694" i="1"/>
  <c r="F1694" i="1"/>
  <c r="E1694" i="1"/>
  <c r="D1694" i="1"/>
  <c r="C1694" i="1"/>
  <c r="B1694" i="1"/>
  <c r="A1694" i="1"/>
  <c r="J1693" i="1"/>
  <c r="I1693" i="1"/>
  <c r="H1693" i="1"/>
  <c r="G1693" i="1"/>
  <c r="E1693" i="1"/>
  <c r="D1693" i="1"/>
  <c r="C1693" i="1"/>
  <c r="B1693" i="1"/>
  <c r="A1693" i="1"/>
  <c r="J1692" i="1"/>
  <c r="I1692" i="1"/>
  <c r="H1692" i="1"/>
  <c r="G1692" i="1"/>
  <c r="F1692" i="1"/>
  <c r="E1692" i="1"/>
  <c r="D1692" i="1"/>
  <c r="C1692" i="1"/>
  <c r="B1692" i="1"/>
  <c r="A1692" i="1"/>
  <c r="J1691" i="1"/>
  <c r="I1691" i="1"/>
  <c r="H1691" i="1"/>
  <c r="G1691" i="1"/>
  <c r="E1691" i="1"/>
  <c r="D1691" i="1"/>
  <c r="C1691" i="1"/>
  <c r="B1691" i="1"/>
  <c r="A1691" i="1"/>
  <c r="J1690" i="1"/>
  <c r="I1690" i="1"/>
  <c r="H1690" i="1"/>
  <c r="G1690" i="1"/>
  <c r="F1690" i="1"/>
  <c r="E1690" i="1"/>
  <c r="D1690" i="1"/>
  <c r="C1690" i="1"/>
  <c r="B1690" i="1"/>
  <c r="A1690" i="1"/>
  <c r="J1689" i="1"/>
  <c r="I1689" i="1"/>
  <c r="H1689" i="1"/>
  <c r="G1689" i="1"/>
  <c r="E1689" i="1"/>
  <c r="D1689" i="1"/>
  <c r="C1689" i="1"/>
  <c r="B1689" i="1"/>
  <c r="A1689" i="1"/>
  <c r="J1688" i="1"/>
  <c r="I1688" i="1"/>
  <c r="H1688" i="1"/>
  <c r="G1688" i="1"/>
  <c r="E1688" i="1"/>
  <c r="D1688" i="1"/>
  <c r="C1688" i="1"/>
  <c r="B1688" i="1"/>
  <c r="A1688" i="1"/>
  <c r="J1687" i="1"/>
  <c r="I1687" i="1"/>
  <c r="H1687" i="1"/>
  <c r="G1687" i="1"/>
  <c r="E1687" i="1"/>
  <c r="D1687" i="1"/>
  <c r="C1687" i="1"/>
  <c r="B1687" i="1"/>
  <c r="A1687" i="1"/>
  <c r="J1686" i="1"/>
  <c r="I1686" i="1"/>
  <c r="H1686" i="1"/>
  <c r="G1686" i="1"/>
  <c r="E1686" i="1"/>
  <c r="D1686" i="1"/>
  <c r="C1686" i="1"/>
  <c r="B1686" i="1"/>
  <c r="A1686" i="1"/>
  <c r="J1685" i="1"/>
  <c r="I1685" i="1"/>
  <c r="H1685" i="1"/>
  <c r="G1685" i="1"/>
  <c r="E1685" i="1"/>
  <c r="D1685" i="1"/>
  <c r="C1685" i="1"/>
  <c r="B1685" i="1"/>
  <c r="A1685" i="1"/>
  <c r="J1684" i="1"/>
  <c r="I1684" i="1"/>
  <c r="H1684" i="1"/>
  <c r="G1684" i="1"/>
  <c r="F1684" i="1"/>
  <c r="E1684" i="1"/>
  <c r="D1684" i="1"/>
  <c r="C1684" i="1"/>
  <c r="B1684" i="1"/>
  <c r="A1684" i="1"/>
  <c r="J1683" i="1"/>
  <c r="I1683" i="1"/>
  <c r="H1683" i="1"/>
  <c r="G1683" i="1"/>
  <c r="F1683" i="1"/>
  <c r="E1683" i="1"/>
  <c r="D1683" i="1"/>
  <c r="C1683" i="1"/>
  <c r="B1683" i="1"/>
  <c r="A1683" i="1"/>
  <c r="J1682" i="1"/>
  <c r="I1682" i="1"/>
  <c r="H1682" i="1"/>
  <c r="G1682" i="1"/>
  <c r="F1682" i="1"/>
  <c r="E1682" i="1"/>
  <c r="D1682" i="1"/>
  <c r="C1682" i="1"/>
  <c r="B1682" i="1"/>
  <c r="A1682" i="1"/>
  <c r="J1681" i="1"/>
  <c r="I1681" i="1"/>
  <c r="H1681" i="1"/>
  <c r="G1681" i="1"/>
  <c r="F1681" i="1"/>
  <c r="E1681" i="1"/>
  <c r="D1681" i="1"/>
  <c r="C1681" i="1"/>
  <c r="B1681" i="1"/>
  <c r="A1681" i="1"/>
  <c r="J1680" i="1"/>
  <c r="I1680" i="1"/>
  <c r="H1680" i="1"/>
  <c r="G1680" i="1"/>
  <c r="E1680" i="1"/>
  <c r="D1680" i="1"/>
  <c r="C1680" i="1"/>
  <c r="B1680" i="1"/>
  <c r="A1680" i="1"/>
  <c r="J1679" i="1"/>
  <c r="I1679" i="1"/>
  <c r="H1679" i="1"/>
  <c r="G1679" i="1"/>
  <c r="F1679" i="1"/>
  <c r="E1679" i="1"/>
  <c r="D1679" i="1"/>
  <c r="C1679" i="1"/>
  <c r="B1679" i="1"/>
  <c r="A1679" i="1"/>
  <c r="J1678" i="1"/>
  <c r="I1678" i="1"/>
  <c r="H1678" i="1"/>
  <c r="G1678" i="1"/>
  <c r="F1678" i="1"/>
  <c r="E1678" i="1"/>
  <c r="D1678" i="1"/>
  <c r="C1678" i="1"/>
  <c r="B1678" i="1"/>
  <c r="A1678" i="1"/>
  <c r="J1677" i="1"/>
  <c r="I1677" i="1"/>
  <c r="H1677" i="1"/>
  <c r="G1677" i="1"/>
  <c r="F1677" i="1"/>
  <c r="E1677" i="1"/>
  <c r="D1677" i="1"/>
  <c r="C1677" i="1"/>
  <c r="B1677" i="1"/>
  <c r="A1677" i="1"/>
  <c r="J1676" i="1"/>
  <c r="I1676" i="1"/>
  <c r="H1676" i="1"/>
  <c r="G1676" i="1"/>
  <c r="F1676" i="1"/>
  <c r="E1676" i="1"/>
  <c r="D1676" i="1"/>
  <c r="C1676" i="1"/>
  <c r="B1676" i="1"/>
  <c r="A1676" i="1"/>
  <c r="J1675" i="1"/>
  <c r="I1675" i="1"/>
  <c r="H1675" i="1"/>
  <c r="G1675" i="1"/>
  <c r="F1675" i="1"/>
  <c r="E1675" i="1"/>
  <c r="D1675" i="1"/>
  <c r="C1675" i="1"/>
  <c r="B1675" i="1"/>
  <c r="A1675" i="1"/>
  <c r="J1674" i="1"/>
  <c r="I1674" i="1"/>
  <c r="H1674" i="1"/>
  <c r="G1674" i="1"/>
  <c r="F1674" i="1"/>
  <c r="E1674" i="1"/>
  <c r="D1674" i="1"/>
  <c r="C1674" i="1"/>
  <c r="B1674" i="1"/>
  <c r="A1674" i="1"/>
  <c r="J1673" i="1"/>
  <c r="I1673" i="1"/>
  <c r="H1673" i="1"/>
  <c r="G1673" i="1"/>
  <c r="E1673" i="1"/>
  <c r="D1673" i="1"/>
  <c r="C1673" i="1"/>
  <c r="B1673" i="1"/>
  <c r="A1673" i="1"/>
  <c r="J1672" i="1"/>
  <c r="I1672" i="1"/>
  <c r="H1672" i="1"/>
  <c r="G1672" i="1"/>
  <c r="E1672" i="1"/>
  <c r="D1672" i="1"/>
  <c r="C1672" i="1"/>
  <c r="B1672" i="1"/>
  <c r="A1672" i="1"/>
  <c r="J1671" i="1"/>
  <c r="I1671" i="1"/>
  <c r="H1671" i="1"/>
  <c r="G1671" i="1"/>
  <c r="F1671" i="1"/>
  <c r="E1671" i="1"/>
  <c r="D1671" i="1"/>
  <c r="C1671" i="1"/>
  <c r="B1671" i="1"/>
  <c r="A1671" i="1"/>
  <c r="J1670" i="1"/>
  <c r="I1670" i="1"/>
  <c r="H1670" i="1"/>
  <c r="G1670" i="1"/>
  <c r="E1670" i="1"/>
  <c r="D1670" i="1"/>
  <c r="C1670" i="1"/>
  <c r="B1670" i="1"/>
  <c r="A1670" i="1"/>
  <c r="J1669" i="1"/>
  <c r="I1669" i="1"/>
  <c r="H1669" i="1"/>
  <c r="G1669" i="1"/>
  <c r="F1669" i="1"/>
  <c r="E1669" i="1"/>
  <c r="D1669" i="1"/>
  <c r="C1669" i="1"/>
  <c r="B1669" i="1"/>
  <c r="A1669" i="1"/>
  <c r="J1668" i="1"/>
  <c r="I1668" i="1"/>
  <c r="H1668" i="1"/>
  <c r="G1668" i="1"/>
  <c r="F1668" i="1"/>
  <c r="E1668" i="1"/>
  <c r="D1668" i="1"/>
  <c r="C1668" i="1"/>
  <c r="B1668" i="1"/>
  <c r="A1668" i="1"/>
  <c r="J1667" i="1"/>
  <c r="I1667" i="1"/>
  <c r="H1667" i="1"/>
  <c r="G1667" i="1"/>
  <c r="F1667" i="1"/>
  <c r="E1667" i="1"/>
  <c r="D1667" i="1"/>
  <c r="C1667" i="1"/>
  <c r="B1667" i="1"/>
  <c r="A1667" i="1"/>
  <c r="J1666" i="1"/>
  <c r="I1666" i="1"/>
  <c r="H1666" i="1"/>
  <c r="G1666" i="1"/>
  <c r="F1666" i="1"/>
  <c r="E1666" i="1"/>
  <c r="D1666" i="1"/>
  <c r="C1666" i="1"/>
  <c r="B1666" i="1"/>
  <c r="A1666" i="1"/>
  <c r="J1665" i="1"/>
  <c r="I1665" i="1"/>
  <c r="H1665" i="1"/>
  <c r="G1665" i="1"/>
  <c r="E1665" i="1"/>
  <c r="D1665" i="1"/>
  <c r="C1665" i="1"/>
  <c r="B1665" i="1"/>
  <c r="A1665" i="1"/>
  <c r="J1664" i="1"/>
  <c r="I1664" i="1"/>
  <c r="H1664" i="1"/>
  <c r="G1664" i="1"/>
  <c r="F1664" i="1"/>
  <c r="E1664" i="1"/>
  <c r="D1664" i="1"/>
  <c r="C1664" i="1"/>
  <c r="B1664" i="1"/>
  <c r="A1664" i="1"/>
  <c r="J1663" i="1"/>
  <c r="I1663" i="1"/>
  <c r="H1663" i="1"/>
  <c r="G1663" i="1"/>
  <c r="F1663" i="1"/>
  <c r="E1663" i="1"/>
  <c r="D1663" i="1"/>
  <c r="C1663" i="1"/>
  <c r="B1663" i="1"/>
  <c r="A1663" i="1"/>
  <c r="J1662" i="1"/>
  <c r="I1662" i="1"/>
  <c r="H1662" i="1"/>
  <c r="G1662" i="1"/>
  <c r="F1662" i="1"/>
  <c r="E1662" i="1"/>
  <c r="D1662" i="1"/>
  <c r="C1662" i="1"/>
  <c r="B1662" i="1"/>
  <c r="A1662" i="1"/>
  <c r="J1661" i="1"/>
  <c r="I1661" i="1"/>
  <c r="H1661" i="1"/>
  <c r="G1661" i="1"/>
  <c r="F1661" i="1"/>
  <c r="E1661" i="1"/>
  <c r="D1661" i="1"/>
  <c r="C1661" i="1"/>
  <c r="B1661" i="1"/>
  <c r="A1661" i="1"/>
  <c r="J1660" i="1"/>
  <c r="I1660" i="1"/>
  <c r="H1660" i="1"/>
  <c r="G1660" i="1"/>
  <c r="F1660" i="1"/>
  <c r="E1660" i="1"/>
  <c r="D1660" i="1"/>
  <c r="C1660" i="1"/>
  <c r="B1660" i="1"/>
  <c r="A1660" i="1"/>
  <c r="J1659" i="1"/>
  <c r="I1659" i="1"/>
  <c r="H1659" i="1"/>
  <c r="G1659" i="1"/>
  <c r="E1659" i="1"/>
  <c r="D1659" i="1"/>
  <c r="C1659" i="1"/>
  <c r="B1659" i="1"/>
  <c r="A1659" i="1"/>
  <c r="J1658" i="1"/>
  <c r="I1658" i="1"/>
  <c r="H1658" i="1"/>
  <c r="G1658" i="1"/>
  <c r="F1658" i="1"/>
  <c r="E1658" i="1"/>
  <c r="D1658" i="1"/>
  <c r="C1658" i="1"/>
  <c r="B1658" i="1"/>
  <c r="A1658" i="1"/>
  <c r="J1657" i="1"/>
  <c r="I1657" i="1"/>
  <c r="H1657" i="1"/>
  <c r="G1657" i="1"/>
  <c r="E1657" i="1"/>
  <c r="D1657" i="1"/>
  <c r="C1657" i="1"/>
  <c r="B1657" i="1"/>
  <c r="A1657" i="1"/>
  <c r="J1656" i="1"/>
  <c r="I1656" i="1"/>
  <c r="H1656" i="1"/>
  <c r="G1656" i="1"/>
  <c r="F1656" i="1"/>
  <c r="E1656" i="1"/>
  <c r="D1656" i="1"/>
  <c r="C1656" i="1"/>
  <c r="B1656" i="1"/>
  <c r="A1656" i="1"/>
  <c r="J1655" i="1"/>
  <c r="I1655" i="1"/>
  <c r="H1655" i="1"/>
  <c r="G1655" i="1"/>
  <c r="F1655" i="1"/>
  <c r="E1655" i="1"/>
  <c r="D1655" i="1"/>
  <c r="C1655" i="1"/>
  <c r="B1655" i="1"/>
  <c r="A1655" i="1"/>
  <c r="J1654" i="1"/>
  <c r="I1654" i="1"/>
  <c r="H1654" i="1"/>
  <c r="G1654" i="1"/>
  <c r="F1654" i="1"/>
  <c r="E1654" i="1"/>
  <c r="D1654" i="1"/>
  <c r="C1654" i="1"/>
  <c r="B1654" i="1"/>
  <c r="A1654" i="1"/>
  <c r="J1653" i="1"/>
  <c r="I1653" i="1"/>
  <c r="H1653" i="1"/>
  <c r="G1653" i="1"/>
  <c r="F1653" i="1"/>
  <c r="E1653" i="1"/>
  <c r="D1653" i="1"/>
  <c r="C1653" i="1"/>
  <c r="B1653" i="1"/>
  <c r="A1653" i="1"/>
  <c r="J1652" i="1"/>
  <c r="I1652" i="1"/>
  <c r="H1652" i="1"/>
  <c r="G1652" i="1"/>
  <c r="F1652" i="1"/>
  <c r="E1652" i="1"/>
  <c r="D1652" i="1"/>
  <c r="C1652" i="1"/>
  <c r="B1652" i="1"/>
  <c r="A1652" i="1"/>
  <c r="J1651" i="1"/>
  <c r="I1651" i="1"/>
  <c r="H1651" i="1"/>
  <c r="G1651" i="1"/>
  <c r="F1651" i="1"/>
  <c r="E1651" i="1"/>
  <c r="D1651" i="1"/>
  <c r="C1651" i="1"/>
  <c r="B1651" i="1"/>
  <c r="A1651" i="1"/>
  <c r="J1650" i="1"/>
  <c r="I1650" i="1"/>
  <c r="H1650" i="1"/>
  <c r="G1650" i="1"/>
  <c r="F1650" i="1"/>
  <c r="E1650" i="1"/>
  <c r="D1650" i="1"/>
  <c r="C1650" i="1"/>
  <c r="B1650" i="1"/>
  <c r="A1650" i="1"/>
  <c r="J1649" i="1"/>
  <c r="I1649" i="1"/>
  <c r="H1649" i="1"/>
  <c r="G1649" i="1"/>
  <c r="E1649" i="1"/>
  <c r="D1649" i="1"/>
  <c r="C1649" i="1"/>
  <c r="B1649" i="1"/>
  <c r="A1649" i="1"/>
  <c r="J1648" i="1"/>
  <c r="I1648" i="1"/>
  <c r="H1648" i="1"/>
  <c r="G1648" i="1"/>
  <c r="E1648" i="1"/>
  <c r="D1648" i="1"/>
  <c r="C1648" i="1"/>
  <c r="B1648" i="1"/>
  <c r="A1648" i="1"/>
  <c r="J1647" i="1"/>
  <c r="I1647" i="1"/>
  <c r="H1647" i="1"/>
  <c r="G1647" i="1"/>
  <c r="E1647" i="1"/>
  <c r="D1647" i="1"/>
  <c r="C1647" i="1"/>
  <c r="B1647" i="1"/>
  <c r="A1647" i="1"/>
  <c r="J1646" i="1"/>
  <c r="I1646" i="1"/>
  <c r="H1646" i="1"/>
  <c r="G1646" i="1"/>
  <c r="E1646" i="1"/>
  <c r="D1646" i="1"/>
  <c r="C1646" i="1"/>
  <c r="B1646" i="1"/>
  <c r="A1646" i="1"/>
  <c r="J1645" i="1"/>
  <c r="I1645" i="1"/>
  <c r="H1645" i="1"/>
  <c r="G1645" i="1"/>
  <c r="E1645" i="1"/>
  <c r="D1645" i="1"/>
  <c r="C1645" i="1"/>
  <c r="B1645" i="1"/>
  <c r="A1645" i="1"/>
  <c r="J1644" i="1"/>
  <c r="I1644" i="1"/>
  <c r="H1644" i="1"/>
  <c r="G1644" i="1"/>
  <c r="F1644" i="1"/>
  <c r="E1644" i="1"/>
  <c r="D1644" i="1"/>
  <c r="C1644" i="1"/>
  <c r="B1644" i="1"/>
  <c r="A1644" i="1"/>
  <c r="J1643" i="1"/>
  <c r="I1643" i="1"/>
  <c r="H1643" i="1"/>
  <c r="G1643" i="1"/>
  <c r="F1643" i="1"/>
  <c r="E1643" i="1"/>
  <c r="D1643" i="1"/>
  <c r="C1643" i="1"/>
  <c r="B1643" i="1"/>
  <c r="A1643" i="1"/>
  <c r="J1642" i="1"/>
  <c r="I1642" i="1"/>
  <c r="H1642" i="1"/>
  <c r="G1642" i="1"/>
  <c r="F1642" i="1"/>
  <c r="E1642" i="1"/>
  <c r="D1642" i="1"/>
  <c r="C1642" i="1"/>
  <c r="B1642" i="1"/>
  <c r="A1642" i="1"/>
  <c r="J1641" i="1"/>
  <c r="I1641" i="1"/>
  <c r="H1641" i="1"/>
  <c r="G1641" i="1"/>
  <c r="E1641" i="1"/>
  <c r="D1641" i="1"/>
  <c r="C1641" i="1"/>
  <c r="B1641" i="1"/>
  <c r="A1641" i="1"/>
  <c r="J1640" i="1"/>
  <c r="I1640" i="1"/>
  <c r="H1640" i="1"/>
  <c r="G1640" i="1"/>
  <c r="E1640" i="1"/>
  <c r="D1640" i="1"/>
  <c r="C1640" i="1"/>
  <c r="B1640" i="1"/>
  <c r="A1640" i="1"/>
  <c r="J1639" i="1"/>
  <c r="I1639" i="1"/>
  <c r="H1639" i="1"/>
  <c r="G1639" i="1"/>
  <c r="F1639" i="1"/>
  <c r="E1639" i="1"/>
  <c r="D1639" i="1"/>
  <c r="C1639" i="1"/>
  <c r="B1639" i="1"/>
  <c r="A1639" i="1"/>
  <c r="J1638" i="1"/>
  <c r="I1638" i="1"/>
  <c r="H1638" i="1"/>
  <c r="G1638" i="1"/>
  <c r="F1638" i="1"/>
  <c r="E1638" i="1"/>
  <c r="D1638" i="1"/>
  <c r="C1638" i="1"/>
  <c r="B1638" i="1"/>
  <c r="A1638" i="1"/>
  <c r="J1637" i="1"/>
  <c r="I1637" i="1"/>
  <c r="H1637" i="1"/>
  <c r="G1637" i="1"/>
  <c r="E1637" i="1"/>
  <c r="D1637" i="1"/>
  <c r="C1637" i="1"/>
  <c r="B1637" i="1"/>
  <c r="A1637" i="1"/>
  <c r="J1636" i="1"/>
  <c r="I1636" i="1"/>
  <c r="H1636" i="1"/>
  <c r="G1636" i="1"/>
  <c r="F1636" i="1"/>
  <c r="E1636" i="1"/>
  <c r="D1636" i="1"/>
  <c r="C1636" i="1"/>
  <c r="B1636" i="1"/>
  <c r="A1636" i="1"/>
  <c r="J1635" i="1"/>
  <c r="I1635" i="1"/>
  <c r="H1635" i="1"/>
  <c r="G1635" i="1"/>
  <c r="E1635" i="1"/>
  <c r="D1635" i="1"/>
  <c r="C1635" i="1"/>
  <c r="B1635" i="1"/>
  <c r="A1635" i="1"/>
  <c r="J1634" i="1"/>
  <c r="I1634" i="1"/>
  <c r="H1634" i="1"/>
  <c r="G1634" i="1"/>
  <c r="F1634" i="1"/>
  <c r="E1634" i="1"/>
  <c r="D1634" i="1"/>
  <c r="C1634" i="1"/>
  <c r="B1634" i="1"/>
  <c r="A1634" i="1"/>
  <c r="J1633" i="1"/>
  <c r="I1633" i="1"/>
  <c r="H1633" i="1"/>
  <c r="G1633" i="1"/>
  <c r="F1633" i="1"/>
  <c r="E1633" i="1"/>
  <c r="D1633" i="1"/>
  <c r="C1633" i="1"/>
  <c r="B1633" i="1"/>
  <c r="A1633" i="1"/>
  <c r="J1632" i="1"/>
  <c r="I1632" i="1"/>
  <c r="H1632" i="1"/>
  <c r="G1632" i="1"/>
  <c r="F1632" i="1"/>
  <c r="E1632" i="1"/>
  <c r="D1632" i="1"/>
  <c r="C1632" i="1"/>
  <c r="B1632" i="1"/>
  <c r="A1632" i="1"/>
  <c r="J1631" i="1"/>
  <c r="I1631" i="1"/>
  <c r="H1631" i="1"/>
  <c r="G1631" i="1"/>
  <c r="E1631" i="1"/>
  <c r="D1631" i="1"/>
  <c r="C1631" i="1"/>
  <c r="B1631" i="1"/>
  <c r="A1631" i="1"/>
  <c r="J1630" i="1"/>
  <c r="I1630" i="1"/>
  <c r="H1630" i="1"/>
  <c r="G1630" i="1"/>
  <c r="E1630" i="1"/>
  <c r="D1630" i="1"/>
  <c r="C1630" i="1"/>
  <c r="B1630" i="1"/>
  <c r="A1630" i="1"/>
  <c r="J1629" i="1"/>
  <c r="I1629" i="1"/>
  <c r="H1629" i="1"/>
  <c r="G1629" i="1"/>
  <c r="E1629" i="1"/>
  <c r="D1629" i="1"/>
  <c r="C1629" i="1"/>
  <c r="B1629" i="1"/>
  <c r="A1629" i="1"/>
  <c r="J1628" i="1"/>
  <c r="I1628" i="1"/>
  <c r="H1628" i="1"/>
  <c r="G1628" i="1"/>
  <c r="F1628" i="1"/>
  <c r="E1628" i="1"/>
  <c r="D1628" i="1"/>
  <c r="C1628" i="1"/>
  <c r="B1628" i="1"/>
  <c r="A1628" i="1"/>
  <c r="J1627" i="1"/>
  <c r="I1627" i="1"/>
  <c r="H1627" i="1"/>
  <c r="G1627" i="1"/>
  <c r="E1627" i="1"/>
  <c r="D1627" i="1"/>
  <c r="C1627" i="1"/>
  <c r="B1627" i="1"/>
  <c r="A1627" i="1"/>
  <c r="J1626" i="1"/>
  <c r="I1626" i="1"/>
  <c r="H1626" i="1"/>
  <c r="G1626" i="1"/>
  <c r="F1626" i="1"/>
  <c r="E1626" i="1"/>
  <c r="D1626" i="1"/>
  <c r="C1626" i="1"/>
  <c r="B1626" i="1"/>
  <c r="A1626" i="1"/>
  <c r="J1625" i="1"/>
  <c r="I1625" i="1"/>
  <c r="H1625" i="1"/>
  <c r="G1625" i="1"/>
  <c r="F1625" i="1"/>
  <c r="E1625" i="1"/>
  <c r="D1625" i="1"/>
  <c r="C1625" i="1"/>
  <c r="B1625" i="1"/>
  <c r="A1625" i="1"/>
  <c r="J1624" i="1"/>
  <c r="I1624" i="1"/>
  <c r="H1624" i="1"/>
  <c r="G1624" i="1"/>
  <c r="F1624" i="1"/>
  <c r="E1624" i="1"/>
  <c r="D1624" i="1"/>
  <c r="C1624" i="1"/>
  <c r="B1624" i="1"/>
  <c r="A1624" i="1"/>
  <c r="J1623" i="1"/>
  <c r="I1623" i="1"/>
  <c r="H1623" i="1"/>
  <c r="G1623" i="1"/>
  <c r="F1623" i="1"/>
  <c r="E1623" i="1"/>
  <c r="D1623" i="1"/>
  <c r="C1623" i="1"/>
  <c r="B1623" i="1"/>
  <c r="A1623" i="1"/>
  <c r="J1622" i="1"/>
  <c r="I1622" i="1"/>
  <c r="H1622" i="1"/>
  <c r="G1622" i="1"/>
  <c r="F1622" i="1"/>
  <c r="E1622" i="1"/>
  <c r="D1622" i="1"/>
  <c r="C1622" i="1"/>
  <c r="B1622" i="1"/>
  <c r="A1622" i="1"/>
  <c r="J1621" i="1"/>
  <c r="I1621" i="1"/>
  <c r="H1621" i="1"/>
  <c r="G1621" i="1"/>
  <c r="F1621" i="1"/>
  <c r="E1621" i="1"/>
  <c r="D1621" i="1"/>
  <c r="C1621" i="1"/>
  <c r="B1621" i="1"/>
  <c r="A1621" i="1"/>
  <c r="J1620" i="1"/>
  <c r="I1620" i="1"/>
  <c r="H1620" i="1"/>
  <c r="G1620" i="1"/>
  <c r="F1620" i="1"/>
  <c r="E1620" i="1"/>
  <c r="D1620" i="1"/>
  <c r="C1620" i="1"/>
  <c r="B1620" i="1"/>
  <c r="A1620" i="1"/>
  <c r="J1619" i="1"/>
  <c r="I1619" i="1"/>
  <c r="H1619" i="1"/>
  <c r="G1619" i="1"/>
  <c r="E1619" i="1"/>
  <c r="D1619" i="1"/>
  <c r="C1619" i="1"/>
  <c r="B1619" i="1"/>
  <c r="A1619" i="1"/>
  <c r="J1618" i="1"/>
  <c r="I1618" i="1"/>
  <c r="H1618" i="1"/>
  <c r="G1618" i="1"/>
  <c r="F1618" i="1"/>
  <c r="E1618" i="1"/>
  <c r="D1618" i="1"/>
  <c r="C1618" i="1"/>
  <c r="B1618" i="1"/>
  <c r="A1618" i="1"/>
  <c r="J1617" i="1"/>
  <c r="I1617" i="1"/>
  <c r="H1617" i="1"/>
  <c r="G1617" i="1"/>
  <c r="F1617" i="1"/>
  <c r="E1617" i="1"/>
  <c r="D1617" i="1"/>
  <c r="C1617" i="1"/>
  <c r="B1617" i="1"/>
  <c r="A1617" i="1"/>
  <c r="J1616" i="1"/>
  <c r="I1616" i="1"/>
  <c r="H1616" i="1"/>
  <c r="G1616" i="1"/>
  <c r="F1616" i="1"/>
  <c r="E1616" i="1"/>
  <c r="D1616" i="1"/>
  <c r="C1616" i="1"/>
  <c r="B1616" i="1"/>
  <c r="A1616" i="1"/>
  <c r="J1615" i="1"/>
  <c r="I1615" i="1"/>
  <c r="H1615" i="1"/>
  <c r="G1615" i="1"/>
  <c r="F1615" i="1"/>
  <c r="E1615" i="1"/>
  <c r="D1615" i="1"/>
  <c r="C1615" i="1"/>
  <c r="B1615" i="1"/>
  <c r="A1615" i="1"/>
  <c r="J1614" i="1"/>
  <c r="I1614" i="1"/>
  <c r="H1614" i="1"/>
  <c r="G1614" i="1"/>
  <c r="F1614" i="1"/>
  <c r="E1614" i="1"/>
  <c r="D1614" i="1"/>
  <c r="C1614" i="1"/>
  <c r="B1614" i="1"/>
  <c r="A1614" i="1"/>
  <c r="J1613" i="1"/>
  <c r="I1613" i="1"/>
  <c r="H1613" i="1"/>
  <c r="G1613" i="1"/>
  <c r="F1613" i="1"/>
  <c r="E1613" i="1"/>
  <c r="D1613" i="1"/>
  <c r="C1613" i="1"/>
  <c r="B1613" i="1"/>
  <c r="A1613" i="1"/>
  <c r="J1612" i="1"/>
  <c r="I1612" i="1"/>
  <c r="H1612" i="1"/>
  <c r="G1612" i="1"/>
  <c r="F1612" i="1"/>
  <c r="E1612" i="1"/>
  <c r="D1612" i="1"/>
  <c r="C1612" i="1"/>
  <c r="B1612" i="1"/>
  <c r="A1612" i="1"/>
  <c r="J1611" i="1"/>
  <c r="I1611" i="1"/>
  <c r="H1611" i="1"/>
  <c r="G1611" i="1"/>
  <c r="F1611" i="1"/>
  <c r="E1611" i="1"/>
  <c r="D1611" i="1"/>
  <c r="C1611" i="1"/>
  <c r="B1611" i="1"/>
  <c r="A1611" i="1"/>
  <c r="J1610" i="1"/>
  <c r="I1610" i="1"/>
  <c r="H1610" i="1"/>
  <c r="G1610" i="1"/>
  <c r="F1610" i="1"/>
  <c r="E1610" i="1"/>
  <c r="D1610" i="1"/>
  <c r="C1610" i="1"/>
  <c r="B1610" i="1"/>
  <c r="A1610" i="1"/>
  <c r="J1609" i="1"/>
  <c r="I1609" i="1"/>
  <c r="H1609" i="1"/>
  <c r="G1609" i="1"/>
  <c r="F1609" i="1"/>
  <c r="E1609" i="1"/>
  <c r="D1609" i="1"/>
  <c r="C1609" i="1"/>
  <c r="B1609" i="1"/>
  <c r="A1609" i="1"/>
  <c r="J1608" i="1"/>
  <c r="I1608" i="1"/>
  <c r="H1608" i="1"/>
  <c r="G1608" i="1"/>
  <c r="F1608" i="1"/>
  <c r="E1608" i="1"/>
  <c r="D1608" i="1"/>
  <c r="C1608" i="1"/>
  <c r="B1608" i="1"/>
  <c r="A1608" i="1"/>
  <c r="J1607" i="1"/>
  <c r="I1607" i="1"/>
  <c r="H1607" i="1"/>
  <c r="G1607" i="1"/>
  <c r="F1607" i="1"/>
  <c r="E1607" i="1"/>
  <c r="D1607" i="1"/>
  <c r="C1607" i="1"/>
  <c r="B1607" i="1"/>
  <c r="A1607" i="1"/>
  <c r="J1606" i="1"/>
  <c r="I1606" i="1"/>
  <c r="H1606" i="1"/>
  <c r="G1606" i="1"/>
  <c r="F1606" i="1"/>
  <c r="E1606" i="1"/>
  <c r="D1606" i="1"/>
  <c r="C1606" i="1"/>
  <c r="B1606" i="1"/>
  <c r="A1606" i="1"/>
  <c r="J1605" i="1"/>
  <c r="I1605" i="1"/>
  <c r="H1605" i="1"/>
  <c r="G1605" i="1"/>
  <c r="F1605" i="1"/>
  <c r="E1605" i="1"/>
  <c r="D1605" i="1"/>
  <c r="C1605" i="1"/>
  <c r="B1605" i="1"/>
  <c r="A1605" i="1"/>
  <c r="J1604" i="1"/>
  <c r="I1604" i="1"/>
  <c r="H1604" i="1"/>
  <c r="G1604" i="1"/>
  <c r="F1604" i="1"/>
  <c r="E1604" i="1"/>
  <c r="D1604" i="1"/>
  <c r="C1604" i="1"/>
  <c r="B1604" i="1"/>
  <c r="A1604" i="1"/>
  <c r="J1603" i="1"/>
  <c r="I1603" i="1"/>
  <c r="H1603" i="1"/>
  <c r="G1603" i="1"/>
  <c r="E1603" i="1"/>
  <c r="D1603" i="1"/>
  <c r="C1603" i="1"/>
  <c r="B1603" i="1"/>
  <c r="A1603" i="1"/>
  <c r="J1602" i="1"/>
  <c r="I1602" i="1"/>
  <c r="H1602" i="1"/>
  <c r="G1602" i="1"/>
  <c r="F1602" i="1"/>
  <c r="E1602" i="1"/>
  <c r="D1602" i="1"/>
  <c r="C1602" i="1"/>
  <c r="B1602" i="1"/>
  <c r="A1602" i="1"/>
  <c r="J1601" i="1"/>
  <c r="I1601" i="1"/>
  <c r="H1601" i="1"/>
  <c r="G1601" i="1"/>
  <c r="F1601" i="1"/>
  <c r="E1601" i="1"/>
  <c r="D1601" i="1"/>
  <c r="C1601" i="1"/>
  <c r="B1601" i="1"/>
  <c r="A1601" i="1"/>
  <c r="J1600" i="1"/>
  <c r="I1600" i="1"/>
  <c r="H1600" i="1"/>
  <c r="G1600" i="1"/>
  <c r="F1600" i="1"/>
  <c r="E1600" i="1"/>
  <c r="D1600" i="1"/>
  <c r="C1600" i="1"/>
  <c r="B1600" i="1"/>
  <c r="A1600" i="1"/>
  <c r="J1599" i="1"/>
  <c r="I1599" i="1"/>
  <c r="H1599" i="1"/>
  <c r="G1599" i="1"/>
  <c r="F1599" i="1"/>
  <c r="E1599" i="1"/>
  <c r="D1599" i="1"/>
  <c r="C1599" i="1"/>
  <c r="B1599" i="1"/>
  <c r="A1599" i="1"/>
  <c r="J1598" i="1"/>
  <c r="I1598" i="1"/>
  <c r="H1598" i="1"/>
  <c r="G1598" i="1"/>
  <c r="F1598" i="1"/>
  <c r="E1598" i="1"/>
  <c r="D1598" i="1"/>
  <c r="C1598" i="1"/>
  <c r="B1598" i="1"/>
  <c r="A1598" i="1"/>
  <c r="J1597" i="1"/>
  <c r="I1597" i="1"/>
  <c r="H1597" i="1"/>
  <c r="G1597" i="1"/>
  <c r="F1597" i="1"/>
  <c r="E1597" i="1"/>
  <c r="D1597" i="1"/>
  <c r="C1597" i="1"/>
  <c r="B1597" i="1"/>
  <c r="A1597" i="1"/>
  <c r="J1596" i="1"/>
  <c r="I1596" i="1"/>
  <c r="H1596" i="1"/>
  <c r="G1596" i="1"/>
  <c r="F1596" i="1"/>
  <c r="E1596" i="1"/>
  <c r="D1596" i="1"/>
  <c r="C1596" i="1"/>
  <c r="B1596" i="1"/>
  <c r="A1596" i="1"/>
  <c r="J1595" i="1"/>
  <c r="I1595" i="1"/>
  <c r="H1595" i="1"/>
  <c r="G1595" i="1"/>
  <c r="F1595" i="1"/>
  <c r="E1595" i="1"/>
  <c r="D1595" i="1"/>
  <c r="C1595" i="1"/>
  <c r="B1595" i="1"/>
  <c r="A1595" i="1"/>
  <c r="J1594" i="1"/>
  <c r="I1594" i="1"/>
  <c r="H1594" i="1"/>
  <c r="G1594" i="1"/>
  <c r="F1594" i="1"/>
  <c r="E1594" i="1"/>
  <c r="D1594" i="1"/>
  <c r="C1594" i="1"/>
  <c r="B1594" i="1"/>
  <c r="A1594" i="1"/>
  <c r="J1593" i="1"/>
  <c r="I1593" i="1"/>
  <c r="H1593" i="1"/>
  <c r="G1593" i="1"/>
  <c r="F1593" i="1"/>
  <c r="E1593" i="1"/>
  <c r="D1593" i="1"/>
  <c r="C1593" i="1"/>
  <c r="B1593" i="1"/>
  <c r="A1593" i="1"/>
  <c r="J1592" i="1"/>
  <c r="I1592" i="1"/>
  <c r="H1592" i="1"/>
  <c r="G1592" i="1"/>
  <c r="F1592" i="1"/>
  <c r="E1592" i="1"/>
  <c r="D1592" i="1"/>
  <c r="C1592" i="1"/>
  <c r="B1592" i="1"/>
  <c r="A1592" i="1"/>
  <c r="J1591" i="1"/>
  <c r="I1591" i="1"/>
  <c r="H1591" i="1"/>
  <c r="G1591" i="1"/>
  <c r="F1591" i="1"/>
  <c r="E1591" i="1"/>
  <c r="D1591" i="1"/>
  <c r="C1591" i="1"/>
  <c r="B1591" i="1"/>
  <c r="A1591" i="1"/>
  <c r="J1590" i="1"/>
  <c r="I1590" i="1"/>
  <c r="H1590" i="1"/>
  <c r="G1590" i="1"/>
  <c r="F1590" i="1"/>
  <c r="E1590" i="1"/>
  <c r="D1590" i="1"/>
  <c r="C1590" i="1"/>
  <c r="B1590" i="1"/>
  <c r="A1590" i="1"/>
  <c r="J1589" i="1"/>
  <c r="I1589" i="1"/>
  <c r="H1589" i="1"/>
  <c r="G1589" i="1"/>
  <c r="F1589" i="1"/>
  <c r="E1589" i="1"/>
  <c r="D1589" i="1"/>
  <c r="C1589" i="1"/>
  <c r="B1589" i="1"/>
  <c r="A1589" i="1"/>
  <c r="J1588" i="1"/>
  <c r="I1588" i="1"/>
  <c r="H1588" i="1"/>
  <c r="G1588" i="1"/>
  <c r="F1588" i="1"/>
  <c r="E1588" i="1"/>
  <c r="D1588" i="1"/>
  <c r="C1588" i="1"/>
  <c r="B1588" i="1"/>
  <c r="A1588" i="1"/>
  <c r="J1587" i="1"/>
  <c r="I1587" i="1"/>
  <c r="H1587" i="1"/>
  <c r="G1587" i="1"/>
  <c r="F1587" i="1"/>
  <c r="E1587" i="1"/>
  <c r="D1587" i="1"/>
  <c r="C1587" i="1"/>
  <c r="B1587" i="1"/>
  <c r="A1587" i="1"/>
  <c r="J1586" i="1"/>
  <c r="I1586" i="1"/>
  <c r="H1586" i="1"/>
  <c r="G1586" i="1"/>
  <c r="F1586" i="1"/>
  <c r="E1586" i="1"/>
  <c r="D1586" i="1"/>
  <c r="C1586" i="1"/>
  <c r="B1586" i="1"/>
  <c r="A1586" i="1"/>
  <c r="J1585" i="1"/>
  <c r="I1585" i="1"/>
  <c r="H1585" i="1"/>
  <c r="G1585" i="1"/>
  <c r="F1585" i="1"/>
  <c r="E1585" i="1"/>
  <c r="D1585" i="1"/>
  <c r="C1585" i="1"/>
  <c r="B1585" i="1"/>
  <c r="A1585" i="1"/>
  <c r="J1584" i="1"/>
  <c r="I1584" i="1"/>
  <c r="H1584" i="1"/>
  <c r="G1584" i="1"/>
  <c r="F1584" i="1"/>
  <c r="E1584" i="1"/>
  <c r="D1584" i="1"/>
  <c r="C1584" i="1"/>
  <c r="B1584" i="1"/>
  <c r="A1584" i="1"/>
  <c r="J1583" i="1"/>
  <c r="I1583" i="1"/>
  <c r="H1583" i="1"/>
  <c r="G1583" i="1"/>
  <c r="F1583" i="1"/>
  <c r="E1583" i="1"/>
  <c r="D1583" i="1"/>
  <c r="C1583" i="1"/>
  <c r="B1583" i="1"/>
  <c r="A1583" i="1"/>
  <c r="J1582" i="1"/>
  <c r="I1582" i="1"/>
  <c r="H1582" i="1"/>
  <c r="G1582" i="1"/>
  <c r="F1582" i="1"/>
  <c r="E1582" i="1"/>
  <c r="D1582" i="1"/>
  <c r="C1582" i="1"/>
  <c r="B1582" i="1"/>
  <c r="A1582" i="1"/>
  <c r="J1581" i="1"/>
  <c r="I1581" i="1"/>
  <c r="H1581" i="1"/>
  <c r="G1581" i="1"/>
  <c r="F1581" i="1"/>
  <c r="E1581" i="1"/>
  <c r="D1581" i="1"/>
  <c r="C1581" i="1"/>
  <c r="B1581" i="1"/>
  <c r="A1581" i="1"/>
  <c r="J1580" i="1"/>
  <c r="I1580" i="1"/>
  <c r="H1580" i="1"/>
  <c r="G1580" i="1"/>
  <c r="F1580" i="1"/>
  <c r="E1580" i="1"/>
  <c r="D1580" i="1"/>
  <c r="C1580" i="1"/>
  <c r="B1580" i="1"/>
  <c r="A1580" i="1"/>
  <c r="J1579" i="1"/>
  <c r="I1579" i="1"/>
  <c r="H1579" i="1"/>
  <c r="G1579" i="1"/>
  <c r="F1579" i="1"/>
  <c r="E1579" i="1"/>
  <c r="D1579" i="1"/>
  <c r="C1579" i="1"/>
  <c r="B1579" i="1"/>
  <c r="A1579" i="1"/>
  <c r="J1578" i="1"/>
  <c r="I1578" i="1"/>
  <c r="H1578" i="1"/>
  <c r="G1578" i="1"/>
  <c r="F1578" i="1"/>
  <c r="E1578" i="1"/>
  <c r="D1578" i="1"/>
  <c r="C1578" i="1"/>
  <c r="B1578" i="1"/>
  <c r="A1578" i="1"/>
  <c r="J1577" i="1"/>
  <c r="I1577" i="1"/>
  <c r="H1577" i="1"/>
  <c r="G1577" i="1"/>
  <c r="E1577" i="1"/>
  <c r="D1577" i="1"/>
  <c r="C1577" i="1"/>
  <c r="B1577" i="1"/>
  <c r="A1577" i="1"/>
  <c r="J1576" i="1"/>
  <c r="I1576" i="1"/>
  <c r="H1576" i="1"/>
  <c r="G1576" i="1"/>
  <c r="E1576" i="1"/>
  <c r="D1576" i="1"/>
  <c r="C1576" i="1"/>
  <c r="B1576" i="1"/>
  <c r="A1576" i="1"/>
  <c r="J1575" i="1"/>
  <c r="I1575" i="1"/>
  <c r="H1575" i="1"/>
  <c r="G1575" i="1"/>
  <c r="E1575" i="1"/>
  <c r="D1575" i="1"/>
  <c r="C1575" i="1"/>
  <c r="B1575" i="1"/>
  <c r="A1575" i="1"/>
  <c r="J1574" i="1"/>
  <c r="I1574" i="1"/>
  <c r="H1574" i="1"/>
  <c r="G1574" i="1"/>
  <c r="E1574" i="1"/>
  <c r="D1574" i="1"/>
  <c r="C1574" i="1"/>
  <c r="B1574" i="1"/>
  <c r="A1574" i="1"/>
  <c r="J1573" i="1"/>
  <c r="I1573" i="1"/>
  <c r="H1573" i="1"/>
  <c r="G1573" i="1"/>
  <c r="E1573" i="1"/>
  <c r="C1573" i="1"/>
  <c r="B1573" i="1"/>
  <c r="A1573" i="1"/>
  <c r="J1572" i="1"/>
  <c r="I1572" i="1"/>
  <c r="H1572" i="1"/>
  <c r="G1572" i="1"/>
  <c r="E1572" i="1"/>
  <c r="D1572" i="1"/>
  <c r="C1572" i="1"/>
  <c r="B1572" i="1"/>
  <c r="A1572" i="1"/>
  <c r="J1571" i="1"/>
  <c r="I1571" i="1"/>
  <c r="H1571" i="1"/>
  <c r="G1571" i="1"/>
  <c r="E1571" i="1"/>
  <c r="D1571" i="1"/>
  <c r="C1571" i="1"/>
  <c r="B1571" i="1"/>
  <c r="A1571" i="1"/>
  <c r="J1570" i="1"/>
  <c r="I1570" i="1"/>
  <c r="H1570" i="1"/>
  <c r="G1570" i="1"/>
  <c r="E1570" i="1"/>
  <c r="D1570" i="1"/>
  <c r="C1570" i="1"/>
  <c r="B1570" i="1"/>
  <c r="A1570" i="1"/>
  <c r="J1569" i="1"/>
  <c r="I1569" i="1"/>
  <c r="H1569" i="1"/>
  <c r="G1569" i="1"/>
  <c r="E1569" i="1"/>
  <c r="D1569" i="1"/>
  <c r="C1569" i="1"/>
  <c r="B1569" i="1"/>
  <c r="A1569" i="1"/>
  <c r="J1568" i="1"/>
  <c r="I1568" i="1"/>
  <c r="H1568" i="1"/>
  <c r="G1568" i="1"/>
  <c r="E1568" i="1"/>
  <c r="D1568" i="1"/>
  <c r="C1568" i="1"/>
  <c r="B1568" i="1"/>
  <c r="A1568" i="1"/>
  <c r="J1567" i="1"/>
  <c r="I1567" i="1"/>
  <c r="H1567" i="1"/>
  <c r="G1567" i="1"/>
  <c r="E1567" i="1"/>
  <c r="D1567" i="1"/>
  <c r="C1567" i="1"/>
  <c r="B1567" i="1"/>
  <c r="A1567" i="1"/>
  <c r="J1566" i="1"/>
  <c r="I1566" i="1"/>
  <c r="H1566" i="1"/>
  <c r="G1566" i="1"/>
  <c r="E1566" i="1"/>
  <c r="D1566" i="1"/>
  <c r="C1566" i="1"/>
  <c r="B1566" i="1"/>
  <c r="A1566" i="1"/>
  <c r="J1565" i="1"/>
  <c r="I1565" i="1"/>
  <c r="H1565" i="1"/>
  <c r="G1565" i="1"/>
  <c r="E1565" i="1"/>
  <c r="D1565" i="1"/>
  <c r="C1565" i="1"/>
  <c r="B1565" i="1"/>
  <c r="A1565" i="1"/>
  <c r="J1564" i="1"/>
  <c r="I1564" i="1"/>
  <c r="H1564" i="1"/>
  <c r="G1564" i="1"/>
  <c r="E1564" i="1"/>
  <c r="D1564" i="1"/>
  <c r="C1564" i="1"/>
  <c r="B1564" i="1"/>
  <c r="A1564" i="1"/>
  <c r="J1563" i="1"/>
  <c r="I1563" i="1"/>
  <c r="H1563" i="1"/>
  <c r="G1563" i="1"/>
  <c r="E1563" i="1"/>
  <c r="D1563" i="1"/>
  <c r="C1563" i="1"/>
  <c r="B1563" i="1"/>
  <c r="A1563" i="1"/>
  <c r="J1562" i="1"/>
  <c r="I1562" i="1"/>
  <c r="H1562" i="1"/>
  <c r="G1562" i="1"/>
  <c r="E1562" i="1"/>
  <c r="D1562" i="1"/>
  <c r="C1562" i="1"/>
  <c r="B1562" i="1"/>
  <c r="A1562" i="1"/>
  <c r="J1561" i="1"/>
  <c r="I1561" i="1"/>
  <c r="H1561" i="1"/>
  <c r="G1561" i="1"/>
  <c r="E1561" i="1"/>
  <c r="D1561" i="1"/>
  <c r="C1561" i="1"/>
  <c r="B1561" i="1"/>
  <c r="A1561" i="1"/>
  <c r="J1560" i="1"/>
  <c r="I1560" i="1"/>
  <c r="H1560" i="1"/>
  <c r="G1560" i="1"/>
  <c r="E1560" i="1"/>
  <c r="D1560" i="1"/>
  <c r="C1560" i="1"/>
  <c r="B1560" i="1"/>
  <c r="A1560" i="1"/>
  <c r="J1559" i="1"/>
  <c r="I1559" i="1"/>
  <c r="H1559" i="1"/>
  <c r="G1559" i="1"/>
  <c r="E1559" i="1"/>
  <c r="D1559" i="1"/>
  <c r="C1559" i="1"/>
  <c r="B1559" i="1"/>
  <c r="A1559" i="1"/>
  <c r="J1558" i="1"/>
  <c r="I1558" i="1"/>
  <c r="H1558" i="1"/>
  <c r="G1558" i="1"/>
  <c r="E1558" i="1"/>
  <c r="D1558" i="1"/>
  <c r="C1558" i="1"/>
  <c r="B1558" i="1"/>
  <c r="A1558" i="1"/>
  <c r="J1557" i="1"/>
  <c r="I1557" i="1"/>
  <c r="H1557" i="1"/>
  <c r="G1557" i="1"/>
  <c r="E1557" i="1"/>
  <c r="D1557" i="1"/>
  <c r="C1557" i="1"/>
  <c r="B1557" i="1"/>
  <c r="A1557" i="1"/>
  <c r="J1556" i="1"/>
  <c r="I1556" i="1"/>
  <c r="H1556" i="1"/>
  <c r="G1556" i="1"/>
  <c r="E1556" i="1"/>
  <c r="D1556" i="1"/>
  <c r="C1556" i="1"/>
  <c r="B1556" i="1"/>
  <c r="A1556" i="1"/>
  <c r="J1555" i="1"/>
  <c r="I1555" i="1"/>
  <c r="H1555" i="1"/>
  <c r="G1555" i="1"/>
  <c r="E1555" i="1"/>
  <c r="D1555" i="1"/>
  <c r="C1555" i="1"/>
  <c r="B1555" i="1"/>
  <c r="A1555" i="1"/>
  <c r="J1554" i="1"/>
  <c r="I1554" i="1"/>
  <c r="H1554" i="1"/>
  <c r="G1554" i="1"/>
  <c r="E1554" i="1"/>
  <c r="D1554" i="1"/>
  <c r="C1554" i="1"/>
  <c r="B1554" i="1"/>
  <c r="A1554" i="1"/>
  <c r="J1553" i="1"/>
  <c r="I1553" i="1"/>
  <c r="H1553" i="1"/>
  <c r="G1553" i="1"/>
  <c r="E1553" i="1"/>
  <c r="D1553" i="1"/>
  <c r="C1553" i="1"/>
  <c r="B1553" i="1"/>
  <c r="A1553" i="1"/>
  <c r="J1552" i="1"/>
  <c r="I1552" i="1"/>
  <c r="H1552" i="1"/>
  <c r="G1552" i="1"/>
  <c r="E1552" i="1"/>
  <c r="D1552" i="1"/>
  <c r="C1552" i="1"/>
  <c r="B1552" i="1"/>
  <c r="A1552" i="1"/>
  <c r="J1551" i="1"/>
  <c r="I1551" i="1"/>
  <c r="H1551" i="1"/>
  <c r="G1551" i="1"/>
  <c r="F1551" i="1"/>
  <c r="E1551" i="1"/>
  <c r="D1551" i="1"/>
  <c r="C1551" i="1"/>
  <c r="B1551" i="1"/>
  <c r="A1551" i="1"/>
  <c r="J1550" i="1"/>
  <c r="I1550" i="1"/>
  <c r="H1550" i="1"/>
  <c r="G1550" i="1"/>
  <c r="E1550" i="1"/>
  <c r="D1550" i="1"/>
  <c r="C1550" i="1"/>
  <c r="B1550" i="1"/>
  <c r="A1550" i="1"/>
  <c r="J1549" i="1"/>
  <c r="I1549" i="1"/>
  <c r="H1549" i="1"/>
  <c r="G1549" i="1"/>
  <c r="F1549" i="1"/>
  <c r="E1549" i="1"/>
  <c r="D1549" i="1"/>
  <c r="C1549" i="1"/>
  <c r="B1549" i="1"/>
  <c r="A1549" i="1"/>
  <c r="J1548" i="1"/>
  <c r="I1548" i="1"/>
  <c r="H1548" i="1"/>
  <c r="G1548" i="1"/>
  <c r="E1548" i="1"/>
  <c r="D1548" i="1"/>
  <c r="C1548" i="1"/>
  <c r="B1548" i="1"/>
  <c r="A1548" i="1"/>
  <c r="J1547" i="1"/>
  <c r="I1547" i="1"/>
  <c r="H1547" i="1"/>
  <c r="G1547" i="1"/>
  <c r="E1547" i="1"/>
  <c r="D1547" i="1"/>
  <c r="C1547" i="1"/>
  <c r="B1547" i="1"/>
  <c r="A1547" i="1"/>
  <c r="J1546" i="1"/>
  <c r="I1546" i="1"/>
  <c r="H1546" i="1"/>
  <c r="G1546" i="1"/>
  <c r="E1546" i="1"/>
  <c r="D1546" i="1"/>
  <c r="C1546" i="1"/>
  <c r="B1546" i="1"/>
  <c r="A1546" i="1"/>
  <c r="J1545" i="1"/>
  <c r="I1545" i="1"/>
  <c r="H1545" i="1"/>
  <c r="G1545" i="1"/>
  <c r="E1545" i="1"/>
  <c r="D1545" i="1"/>
  <c r="C1545" i="1"/>
  <c r="B1545" i="1"/>
  <c r="A1545" i="1"/>
  <c r="J1544" i="1"/>
  <c r="I1544" i="1"/>
  <c r="H1544" i="1"/>
  <c r="G1544" i="1"/>
  <c r="E1544" i="1"/>
  <c r="D1544" i="1"/>
  <c r="C1544" i="1"/>
  <c r="B1544" i="1"/>
  <c r="A1544" i="1"/>
  <c r="J1543" i="1"/>
  <c r="I1543" i="1"/>
  <c r="H1543" i="1"/>
  <c r="G1543" i="1"/>
  <c r="E1543" i="1"/>
  <c r="D1543" i="1"/>
  <c r="C1543" i="1"/>
  <c r="B1543" i="1"/>
  <c r="A1543" i="1"/>
  <c r="J1542" i="1"/>
  <c r="I1542" i="1"/>
  <c r="H1542" i="1"/>
  <c r="G1542" i="1"/>
  <c r="E1542" i="1"/>
  <c r="D1542" i="1"/>
  <c r="C1542" i="1"/>
  <c r="B1542" i="1"/>
  <c r="A1542" i="1"/>
  <c r="J1541" i="1"/>
  <c r="I1541" i="1"/>
  <c r="H1541" i="1"/>
  <c r="G1541" i="1"/>
  <c r="E1541" i="1"/>
  <c r="D1541" i="1"/>
  <c r="C1541" i="1"/>
  <c r="B1541" i="1"/>
  <c r="A1541" i="1"/>
  <c r="J1540" i="1"/>
  <c r="I1540" i="1"/>
  <c r="H1540" i="1"/>
  <c r="G1540" i="1"/>
  <c r="E1540" i="1"/>
  <c r="D1540" i="1"/>
  <c r="C1540" i="1"/>
  <c r="B1540" i="1"/>
  <c r="A1540" i="1"/>
  <c r="J1539" i="1"/>
  <c r="I1539" i="1"/>
  <c r="H1539" i="1"/>
  <c r="G1539" i="1"/>
  <c r="E1539" i="1"/>
  <c r="D1539" i="1"/>
  <c r="C1539" i="1"/>
  <c r="B1539" i="1"/>
  <c r="A1539" i="1"/>
  <c r="J1538" i="1"/>
  <c r="I1538" i="1"/>
  <c r="H1538" i="1"/>
  <c r="G1538" i="1"/>
  <c r="E1538" i="1"/>
  <c r="D1538" i="1"/>
  <c r="C1538" i="1"/>
  <c r="B1538" i="1"/>
  <c r="A1538" i="1"/>
  <c r="J1537" i="1"/>
  <c r="I1537" i="1"/>
  <c r="H1537" i="1"/>
  <c r="G1537" i="1"/>
  <c r="E1537" i="1"/>
  <c r="D1537" i="1"/>
  <c r="C1537" i="1"/>
  <c r="B1537" i="1"/>
  <c r="A1537" i="1"/>
  <c r="J1536" i="1"/>
  <c r="I1536" i="1"/>
  <c r="H1536" i="1"/>
  <c r="G1536" i="1"/>
  <c r="E1536" i="1"/>
  <c r="D1536" i="1"/>
  <c r="C1536" i="1"/>
  <c r="B1536" i="1"/>
  <c r="A1536" i="1"/>
  <c r="J1535" i="1"/>
  <c r="I1535" i="1"/>
  <c r="H1535" i="1"/>
  <c r="G1535" i="1"/>
  <c r="E1535" i="1"/>
  <c r="D1535" i="1"/>
  <c r="C1535" i="1"/>
  <c r="B1535" i="1"/>
  <c r="A1535" i="1"/>
  <c r="J1534" i="1"/>
  <c r="I1534" i="1"/>
  <c r="H1534" i="1"/>
  <c r="G1534" i="1"/>
  <c r="E1534" i="1"/>
  <c r="D1534" i="1"/>
  <c r="C1534" i="1"/>
  <c r="B1534" i="1"/>
  <c r="A1534" i="1"/>
  <c r="J1533" i="1"/>
  <c r="I1533" i="1"/>
  <c r="H1533" i="1"/>
  <c r="G1533" i="1"/>
  <c r="E1533" i="1"/>
  <c r="D1533" i="1"/>
  <c r="C1533" i="1"/>
  <c r="B1533" i="1"/>
  <c r="A1533" i="1"/>
  <c r="J1532" i="1"/>
  <c r="I1532" i="1"/>
  <c r="H1532" i="1"/>
  <c r="G1532" i="1"/>
  <c r="E1532" i="1"/>
  <c r="D1532" i="1"/>
  <c r="C1532" i="1"/>
  <c r="B1532" i="1"/>
  <c r="A1532" i="1"/>
  <c r="J1531" i="1"/>
  <c r="I1531" i="1"/>
  <c r="H1531" i="1"/>
  <c r="G1531" i="1"/>
  <c r="E1531" i="1"/>
  <c r="D1531" i="1"/>
  <c r="C1531" i="1"/>
  <c r="B1531" i="1"/>
  <c r="A1531" i="1"/>
  <c r="J1530" i="1"/>
  <c r="I1530" i="1"/>
  <c r="H1530" i="1"/>
  <c r="G1530" i="1"/>
  <c r="E1530" i="1"/>
  <c r="D1530" i="1"/>
  <c r="C1530" i="1"/>
  <c r="B1530" i="1"/>
  <c r="A1530" i="1"/>
  <c r="J1529" i="1"/>
  <c r="I1529" i="1"/>
  <c r="H1529" i="1"/>
  <c r="G1529" i="1"/>
  <c r="E1529" i="1"/>
  <c r="D1529" i="1"/>
  <c r="C1529" i="1"/>
  <c r="B1529" i="1"/>
  <c r="A1529" i="1"/>
  <c r="J1528" i="1"/>
  <c r="I1528" i="1"/>
  <c r="H1528" i="1"/>
  <c r="G1528" i="1"/>
  <c r="E1528" i="1"/>
  <c r="D1528" i="1"/>
  <c r="C1528" i="1"/>
  <c r="B1528" i="1"/>
  <c r="A1528" i="1"/>
  <c r="J1527" i="1"/>
  <c r="I1527" i="1"/>
  <c r="H1527" i="1"/>
  <c r="G1527" i="1"/>
  <c r="E1527" i="1"/>
  <c r="D1527" i="1"/>
  <c r="C1527" i="1"/>
  <c r="B1527" i="1"/>
  <c r="A1527" i="1"/>
  <c r="J1526" i="1"/>
  <c r="I1526" i="1"/>
  <c r="H1526" i="1"/>
  <c r="G1526" i="1"/>
  <c r="E1526" i="1"/>
  <c r="D1526" i="1"/>
  <c r="C1526" i="1"/>
  <c r="B1526" i="1"/>
  <c r="A1526" i="1"/>
  <c r="J1525" i="1"/>
  <c r="I1525" i="1"/>
  <c r="H1525" i="1"/>
  <c r="G1525" i="1"/>
  <c r="E1525" i="1"/>
  <c r="D1525" i="1"/>
  <c r="C1525" i="1"/>
  <c r="B1525" i="1"/>
  <c r="A1525" i="1"/>
  <c r="J1524" i="1"/>
  <c r="I1524" i="1"/>
  <c r="H1524" i="1"/>
  <c r="G1524" i="1"/>
  <c r="E1524" i="1"/>
  <c r="D1524" i="1"/>
  <c r="C1524" i="1"/>
  <c r="B1524" i="1"/>
  <c r="A1524" i="1"/>
  <c r="J1523" i="1"/>
  <c r="I1523" i="1"/>
  <c r="H1523" i="1"/>
  <c r="G1523" i="1"/>
  <c r="E1523" i="1"/>
  <c r="D1523" i="1"/>
  <c r="C1523" i="1"/>
  <c r="B1523" i="1"/>
  <c r="A1523" i="1"/>
  <c r="J1522" i="1"/>
  <c r="I1522" i="1"/>
  <c r="H1522" i="1"/>
  <c r="G1522" i="1"/>
  <c r="E1522" i="1"/>
  <c r="D1522" i="1"/>
  <c r="C1522" i="1"/>
  <c r="B1522" i="1"/>
  <c r="A1522" i="1"/>
  <c r="J1521" i="1"/>
  <c r="I1521" i="1"/>
  <c r="H1521" i="1"/>
  <c r="G1521" i="1"/>
  <c r="E1521" i="1"/>
  <c r="D1521" i="1"/>
  <c r="C1521" i="1"/>
  <c r="B1521" i="1"/>
  <c r="A1521" i="1"/>
  <c r="J1520" i="1"/>
  <c r="I1520" i="1"/>
  <c r="H1520" i="1"/>
  <c r="G1520" i="1"/>
  <c r="E1520" i="1"/>
  <c r="D1520" i="1"/>
  <c r="C1520" i="1"/>
  <c r="B1520" i="1"/>
  <c r="A1520" i="1"/>
  <c r="J1519" i="1"/>
  <c r="I1519" i="1"/>
  <c r="H1519" i="1"/>
  <c r="G1519" i="1"/>
  <c r="E1519" i="1"/>
  <c r="D1519" i="1"/>
  <c r="C1519" i="1"/>
  <c r="B1519" i="1"/>
  <c r="A1519" i="1"/>
  <c r="J1518" i="1"/>
  <c r="I1518" i="1"/>
  <c r="H1518" i="1"/>
  <c r="G1518" i="1"/>
  <c r="E1518" i="1"/>
  <c r="D1518" i="1"/>
  <c r="C1518" i="1"/>
  <c r="B1518" i="1"/>
  <c r="A1518" i="1"/>
  <c r="J1517" i="1"/>
  <c r="I1517" i="1"/>
  <c r="H1517" i="1"/>
  <c r="G1517" i="1"/>
  <c r="E1517" i="1"/>
  <c r="D1517" i="1"/>
  <c r="C1517" i="1"/>
  <c r="B1517" i="1"/>
  <c r="A1517" i="1"/>
  <c r="J1516" i="1"/>
  <c r="I1516" i="1"/>
  <c r="H1516" i="1"/>
  <c r="G1516" i="1"/>
  <c r="E1516" i="1"/>
  <c r="D1516" i="1"/>
  <c r="C1516" i="1"/>
  <c r="B1516" i="1"/>
  <c r="A1516" i="1"/>
  <c r="J1515" i="1"/>
  <c r="I1515" i="1"/>
  <c r="H1515" i="1"/>
  <c r="G1515" i="1"/>
  <c r="E1515" i="1"/>
  <c r="D1515" i="1"/>
  <c r="C1515" i="1"/>
  <c r="B1515" i="1"/>
  <c r="A1515" i="1"/>
  <c r="J1514" i="1"/>
  <c r="I1514" i="1"/>
  <c r="H1514" i="1"/>
  <c r="G1514" i="1"/>
  <c r="E1514" i="1"/>
  <c r="D1514" i="1"/>
  <c r="C1514" i="1"/>
  <c r="B1514" i="1"/>
  <c r="A1514" i="1"/>
  <c r="J1513" i="1"/>
  <c r="I1513" i="1"/>
  <c r="H1513" i="1"/>
  <c r="G1513" i="1"/>
  <c r="E1513" i="1"/>
  <c r="D1513" i="1"/>
  <c r="C1513" i="1"/>
  <c r="B1513" i="1"/>
  <c r="A1513" i="1"/>
  <c r="J1512" i="1"/>
  <c r="I1512" i="1"/>
  <c r="H1512" i="1"/>
  <c r="G1512" i="1"/>
  <c r="E1512" i="1"/>
  <c r="D1512" i="1"/>
  <c r="C1512" i="1"/>
  <c r="B1512" i="1"/>
  <c r="A1512" i="1"/>
  <c r="J1511" i="1"/>
  <c r="I1511" i="1"/>
  <c r="H1511" i="1"/>
  <c r="G1511" i="1"/>
  <c r="E1511" i="1"/>
  <c r="D1511" i="1"/>
  <c r="C1511" i="1"/>
  <c r="B1511" i="1"/>
  <c r="A1511" i="1"/>
  <c r="J1510" i="1"/>
  <c r="I1510" i="1"/>
  <c r="H1510" i="1"/>
  <c r="G1510" i="1"/>
  <c r="F1510" i="1"/>
  <c r="E1510" i="1"/>
  <c r="D1510" i="1"/>
  <c r="C1510" i="1"/>
  <c r="B1510" i="1"/>
  <c r="A1510" i="1"/>
  <c r="J1509" i="1"/>
  <c r="I1509" i="1"/>
  <c r="H1509" i="1"/>
  <c r="G1509" i="1"/>
  <c r="E1509" i="1"/>
  <c r="D1509" i="1"/>
  <c r="C1509" i="1"/>
  <c r="B1509" i="1"/>
  <c r="A1509" i="1"/>
  <c r="J1508" i="1"/>
  <c r="I1508" i="1"/>
  <c r="H1508" i="1"/>
  <c r="G1508" i="1"/>
  <c r="E1508" i="1"/>
  <c r="D1508" i="1"/>
  <c r="C1508" i="1"/>
  <c r="B1508" i="1"/>
  <c r="A1508" i="1"/>
  <c r="J1507" i="1"/>
  <c r="I1507" i="1"/>
  <c r="H1507" i="1"/>
  <c r="G1507" i="1"/>
  <c r="F1507" i="1"/>
  <c r="E1507" i="1"/>
  <c r="D1507" i="1"/>
  <c r="C1507" i="1"/>
  <c r="B1507" i="1"/>
  <c r="A1507" i="1"/>
  <c r="J1506" i="1"/>
  <c r="I1506" i="1"/>
  <c r="H1506" i="1"/>
  <c r="G1506" i="1"/>
  <c r="F1506" i="1"/>
  <c r="E1506" i="1"/>
  <c r="D1506" i="1"/>
  <c r="C1506" i="1"/>
  <c r="B1506" i="1"/>
  <c r="A1506" i="1"/>
  <c r="J1505" i="1"/>
  <c r="I1505" i="1"/>
  <c r="H1505" i="1"/>
  <c r="G1505" i="1"/>
  <c r="F1505" i="1"/>
  <c r="E1505" i="1"/>
  <c r="D1505" i="1"/>
  <c r="C1505" i="1"/>
  <c r="B1505" i="1"/>
  <c r="A1505" i="1"/>
  <c r="J1504" i="1"/>
  <c r="I1504" i="1"/>
  <c r="H1504" i="1"/>
  <c r="G1504" i="1"/>
  <c r="F1504" i="1"/>
  <c r="E1504" i="1"/>
  <c r="D1504" i="1"/>
  <c r="C1504" i="1"/>
  <c r="B1504" i="1"/>
  <c r="A1504" i="1"/>
  <c r="J1503" i="1"/>
  <c r="I1503" i="1"/>
  <c r="H1503" i="1"/>
  <c r="G1503" i="1"/>
  <c r="E1503" i="1"/>
  <c r="D1503" i="1"/>
  <c r="C1503" i="1"/>
  <c r="B1503" i="1"/>
  <c r="A1503" i="1"/>
  <c r="J1502" i="1"/>
  <c r="I1502" i="1"/>
  <c r="H1502" i="1"/>
  <c r="G1502" i="1"/>
  <c r="F1502" i="1"/>
  <c r="E1502" i="1"/>
  <c r="D1502" i="1"/>
  <c r="C1502" i="1"/>
  <c r="B1502" i="1"/>
  <c r="A1502" i="1"/>
  <c r="J1501" i="1"/>
  <c r="I1501" i="1"/>
  <c r="H1501" i="1"/>
  <c r="G1501" i="1"/>
  <c r="F1501" i="1"/>
  <c r="E1501" i="1"/>
  <c r="D1501" i="1"/>
  <c r="C1501" i="1"/>
  <c r="B1501" i="1"/>
  <c r="A1501" i="1"/>
  <c r="J1500" i="1"/>
  <c r="I1500" i="1"/>
  <c r="H1500" i="1"/>
  <c r="G1500" i="1"/>
  <c r="F1500" i="1"/>
  <c r="E1500" i="1"/>
  <c r="D1500" i="1"/>
  <c r="C1500" i="1"/>
  <c r="B1500" i="1"/>
  <c r="A1500" i="1"/>
  <c r="J1499" i="1"/>
  <c r="I1499" i="1"/>
  <c r="H1499" i="1"/>
  <c r="G1499" i="1"/>
  <c r="F1499" i="1"/>
  <c r="E1499" i="1"/>
  <c r="D1499" i="1"/>
  <c r="C1499" i="1"/>
  <c r="B1499" i="1"/>
  <c r="A1499" i="1"/>
  <c r="J1498" i="1"/>
  <c r="I1498" i="1"/>
  <c r="H1498" i="1"/>
  <c r="G1498" i="1"/>
  <c r="E1498" i="1"/>
  <c r="D1498" i="1"/>
  <c r="C1498" i="1"/>
  <c r="B1498" i="1"/>
  <c r="A1498" i="1"/>
  <c r="J1497" i="1"/>
  <c r="I1497" i="1"/>
  <c r="H1497" i="1"/>
  <c r="G1497" i="1"/>
  <c r="F1497" i="1"/>
  <c r="E1497" i="1"/>
  <c r="D1497" i="1"/>
  <c r="C1497" i="1"/>
  <c r="B1497" i="1"/>
  <c r="A1497" i="1"/>
  <c r="J1496" i="1"/>
  <c r="I1496" i="1"/>
  <c r="H1496" i="1"/>
  <c r="G1496" i="1"/>
  <c r="F1496" i="1"/>
  <c r="E1496" i="1"/>
  <c r="D1496" i="1"/>
  <c r="C1496" i="1"/>
  <c r="B1496" i="1"/>
  <c r="A1496" i="1"/>
  <c r="J1495" i="1"/>
  <c r="I1495" i="1"/>
  <c r="H1495" i="1"/>
  <c r="G1495" i="1"/>
  <c r="F1495" i="1"/>
  <c r="E1495" i="1"/>
  <c r="D1495" i="1"/>
  <c r="C1495" i="1"/>
  <c r="B1495" i="1"/>
  <c r="A1495" i="1"/>
  <c r="J1494" i="1"/>
  <c r="I1494" i="1"/>
  <c r="H1494" i="1"/>
  <c r="G1494" i="1"/>
  <c r="F1494" i="1"/>
  <c r="E1494" i="1"/>
  <c r="D1494" i="1"/>
  <c r="C1494" i="1"/>
  <c r="B1494" i="1"/>
  <c r="A1494" i="1"/>
  <c r="J1493" i="1"/>
  <c r="I1493" i="1"/>
  <c r="H1493" i="1"/>
  <c r="G1493" i="1"/>
  <c r="E1493" i="1"/>
  <c r="D1493" i="1"/>
  <c r="C1493" i="1"/>
  <c r="B1493" i="1"/>
  <c r="A1493" i="1"/>
  <c r="J1492" i="1"/>
  <c r="I1492" i="1"/>
  <c r="H1492" i="1"/>
  <c r="G1492" i="1"/>
  <c r="F1492" i="1"/>
  <c r="E1492" i="1"/>
  <c r="D1492" i="1"/>
  <c r="C1492" i="1"/>
  <c r="B1492" i="1"/>
  <c r="A1492" i="1"/>
  <c r="J1491" i="1"/>
  <c r="I1491" i="1"/>
  <c r="H1491" i="1"/>
  <c r="G1491" i="1"/>
  <c r="F1491" i="1"/>
  <c r="E1491" i="1"/>
  <c r="D1491" i="1"/>
  <c r="C1491" i="1"/>
  <c r="B1491" i="1"/>
  <c r="A1491" i="1"/>
  <c r="J1490" i="1"/>
  <c r="I1490" i="1"/>
  <c r="H1490" i="1"/>
  <c r="G1490" i="1"/>
  <c r="F1490" i="1"/>
  <c r="E1490" i="1"/>
  <c r="D1490" i="1"/>
  <c r="C1490" i="1"/>
  <c r="B1490" i="1"/>
  <c r="A1490" i="1"/>
  <c r="J1489" i="1"/>
  <c r="I1489" i="1"/>
  <c r="H1489" i="1"/>
  <c r="G1489" i="1"/>
  <c r="F1489" i="1"/>
  <c r="E1489" i="1"/>
  <c r="D1489" i="1"/>
  <c r="C1489" i="1"/>
  <c r="B1489" i="1"/>
  <c r="A1489" i="1"/>
  <c r="J1488" i="1"/>
  <c r="I1488" i="1"/>
  <c r="H1488" i="1"/>
  <c r="G1488" i="1"/>
  <c r="F1488" i="1"/>
  <c r="E1488" i="1"/>
  <c r="D1488" i="1"/>
  <c r="C1488" i="1"/>
  <c r="B1488" i="1"/>
  <c r="A1488" i="1"/>
  <c r="J1487" i="1"/>
  <c r="I1487" i="1"/>
  <c r="H1487" i="1"/>
  <c r="G1487" i="1"/>
  <c r="F1487" i="1"/>
  <c r="E1487" i="1"/>
  <c r="D1487" i="1"/>
  <c r="C1487" i="1"/>
  <c r="B1487" i="1"/>
  <c r="A1487" i="1"/>
  <c r="J1486" i="1"/>
  <c r="I1486" i="1"/>
  <c r="H1486" i="1"/>
  <c r="G1486" i="1"/>
  <c r="F1486" i="1"/>
  <c r="E1486" i="1"/>
  <c r="D1486" i="1"/>
  <c r="C1486" i="1"/>
  <c r="B1486" i="1"/>
  <c r="A1486" i="1"/>
  <c r="J1485" i="1"/>
  <c r="I1485" i="1"/>
  <c r="H1485" i="1"/>
  <c r="G1485" i="1"/>
  <c r="E1485" i="1"/>
  <c r="D1485" i="1"/>
  <c r="C1485" i="1"/>
  <c r="B1485" i="1"/>
  <c r="A1485" i="1"/>
  <c r="J1484" i="1"/>
  <c r="I1484" i="1"/>
  <c r="H1484" i="1"/>
  <c r="G1484" i="1"/>
  <c r="F1484" i="1"/>
  <c r="E1484" i="1"/>
  <c r="D1484" i="1"/>
  <c r="C1484" i="1"/>
  <c r="B1484" i="1"/>
  <c r="A1484" i="1"/>
  <c r="J1483" i="1"/>
  <c r="I1483" i="1"/>
  <c r="H1483" i="1"/>
  <c r="G1483" i="1"/>
  <c r="F1483" i="1"/>
  <c r="E1483" i="1"/>
  <c r="D1483" i="1"/>
  <c r="C1483" i="1"/>
  <c r="B1483" i="1"/>
  <c r="A1483" i="1"/>
  <c r="J1482" i="1"/>
  <c r="I1482" i="1"/>
  <c r="H1482" i="1"/>
  <c r="G1482" i="1"/>
  <c r="F1482" i="1"/>
  <c r="E1482" i="1"/>
  <c r="D1482" i="1"/>
  <c r="C1482" i="1"/>
  <c r="B1482" i="1"/>
  <c r="A1482" i="1"/>
  <c r="J1481" i="1"/>
  <c r="I1481" i="1"/>
  <c r="H1481" i="1"/>
  <c r="G1481" i="1"/>
  <c r="E1481" i="1"/>
  <c r="D1481" i="1"/>
  <c r="C1481" i="1"/>
  <c r="B1481" i="1"/>
  <c r="A1481" i="1"/>
  <c r="J1480" i="1"/>
  <c r="I1480" i="1"/>
  <c r="H1480" i="1"/>
  <c r="G1480" i="1"/>
  <c r="F1480" i="1"/>
  <c r="E1480" i="1"/>
  <c r="D1480" i="1"/>
  <c r="C1480" i="1"/>
  <c r="B1480" i="1"/>
  <c r="A1480" i="1"/>
  <c r="J1479" i="1"/>
  <c r="I1479" i="1"/>
  <c r="H1479" i="1"/>
  <c r="G1479" i="1"/>
  <c r="F1479" i="1"/>
  <c r="E1479" i="1"/>
  <c r="D1479" i="1"/>
  <c r="C1479" i="1"/>
  <c r="B1479" i="1"/>
  <c r="A1479" i="1"/>
  <c r="J1478" i="1"/>
  <c r="I1478" i="1"/>
  <c r="H1478" i="1"/>
  <c r="G1478" i="1"/>
  <c r="E1478" i="1"/>
  <c r="D1478" i="1"/>
  <c r="C1478" i="1"/>
  <c r="B1478" i="1"/>
  <c r="A1478" i="1"/>
  <c r="J1477" i="1"/>
  <c r="I1477" i="1"/>
  <c r="H1477" i="1"/>
  <c r="G1477" i="1"/>
  <c r="E1477" i="1"/>
  <c r="D1477" i="1"/>
  <c r="C1477" i="1"/>
  <c r="B1477" i="1"/>
  <c r="A1477" i="1"/>
  <c r="J1476" i="1"/>
  <c r="I1476" i="1"/>
  <c r="H1476" i="1"/>
  <c r="G1476" i="1"/>
  <c r="E1476" i="1"/>
  <c r="D1476" i="1"/>
  <c r="C1476" i="1"/>
  <c r="B1476" i="1"/>
  <c r="A1476" i="1"/>
  <c r="J1475" i="1"/>
  <c r="I1475" i="1"/>
  <c r="H1475" i="1"/>
  <c r="G1475" i="1"/>
  <c r="E1475" i="1"/>
  <c r="D1475" i="1"/>
  <c r="C1475" i="1"/>
  <c r="B1475" i="1"/>
  <c r="A1475" i="1"/>
  <c r="J1474" i="1"/>
  <c r="I1474" i="1"/>
  <c r="H1474" i="1"/>
  <c r="G1474" i="1"/>
  <c r="F1474" i="1"/>
  <c r="E1474" i="1"/>
  <c r="D1474" i="1"/>
  <c r="C1474" i="1"/>
  <c r="B1474" i="1"/>
  <c r="A1474" i="1"/>
  <c r="J1473" i="1"/>
  <c r="I1473" i="1"/>
  <c r="H1473" i="1"/>
  <c r="G1473" i="1"/>
  <c r="F1473" i="1"/>
  <c r="E1473" i="1"/>
  <c r="D1473" i="1"/>
  <c r="C1473" i="1"/>
  <c r="B1473" i="1"/>
  <c r="A1473" i="1"/>
  <c r="J1472" i="1"/>
  <c r="I1472" i="1"/>
  <c r="H1472" i="1"/>
  <c r="G1472" i="1"/>
  <c r="E1472" i="1"/>
  <c r="D1472" i="1"/>
  <c r="C1472" i="1"/>
  <c r="B1472" i="1"/>
  <c r="A1472" i="1"/>
  <c r="J1471" i="1"/>
  <c r="I1471" i="1"/>
  <c r="H1471" i="1"/>
  <c r="G1471" i="1"/>
  <c r="E1471" i="1"/>
  <c r="D1471" i="1"/>
  <c r="C1471" i="1"/>
  <c r="B1471" i="1"/>
  <c r="A1471" i="1"/>
  <c r="J1470" i="1"/>
  <c r="I1470" i="1"/>
  <c r="H1470" i="1"/>
  <c r="G1470" i="1"/>
  <c r="F1470" i="1"/>
  <c r="E1470" i="1"/>
  <c r="D1470" i="1"/>
  <c r="C1470" i="1"/>
  <c r="B1470" i="1"/>
  <c r="A1470" i="1"/>
  <c r="J1469" i="1"/>
  <c r="I1469" i="1"/>
  <c r="H1469" i="1"/>
  <c r="G1469" i="1"/>
  <c r="F1469" i="1"/>
  <c r="E1469" i="1"/>
  <c r="D1469" i="1"/>
  <c r="C1469" i="1"/>
  <c r="B1469" i="1"/>
  <c r="A1469" i="1"/>
  <c r="J1468" i="1"/>
  <c r="I1468" i="1"/>
  <c r="H1468" i="1"/>
  <c r="G1468" i="1"/>
  <c r="E1468" i="1"/>
  <c r="D1468" i="1"/>
  <c r="C1468" i="1"/>
  <c r="B1468" i="1"/>
  <c r="A1468" i="1"/>
  <c r="J1467" i="1"/>
  <c r="I1467" i="1"/>
  <c r="H1467" i="1"/>
  <c r="G1467" i="1"/>
  <c r="F1467" i="1"/>
  <c r="E1467" i="1"/>
  <c r="D1467" i="1"/>
  <c r="C1467" i="1"/>
  <c r="B1467" i="1"/>
  <c r="A1467" i="1"/>
  <c r="J1466" i="1"/>
  <c r="I1466" i="1"/>
  <c r="H1466" i="1"/>
  <c r="G1466" i="1"/>
  <c r="F1466" i="1"/>
  <c r="E1466" i="1"/>
  <c r="D1466" i="1"/>
  <c r="C1466" i="1"/>
  <c r="B1466" i="1"/>
  <c r="A1466" i="1"/>
  <c r="J1465" i="1"/>
  <c r="I1465" i="1"/>
  <c r="H1465" i="1"/>
  <c r="G1465" i="1"/>
  <c r="E1465" i="1"/>
  <c r="D1465" i="1"/>
  <c r="C1465" i="1"/>
  <c r="B1465" i="1"/>
  <c r="A1465" i="1"/>
  <c r="J1464" i="1"/>
  <c r="I1464" i="1"/>
  <c r="H1464" i="1"/>
  <c r="G1464" i="1"/>
  <c r="E1464" i="1"/>
  <c r="D1464" i="1"/>
  <c r="C1464" i="1"/>
  <c r="B1464" i="1"/>
  <c r="A1464" i="1"/>
  <c r="J1463" i="1"/>
  <c r="I1463" i="1"/>
  <c r="H1463" i="1"/>
  <c r="G1463" i="1"/>
  <c r="E1463" i="1"/>
  <c r="D1463" i="1"/>
  <c r="C1463" i="1"/>
  <c r="B1463" i="1"/>
  <c r="A1463" i="1"/>
  <c r="J1462" i="1"/>
  <c r="I1462" i="1"/>
  <c r="H1462" i="1"/>
  <c r="G1462" i="1"/>
  <c r="F1462" i="1"/>
  <c r="E1462" i="1"/>
  <c r="D1462" i="1"/>
  <c r="C1462" i="1"/>
  <c r="B1462" i="1"/>
  <c r="A1462" i="1"/>
  <c r="J1461" i="1"/>
  <c r="I1461" i="1"/>
  <c r="H1461" i="1"/>
  <c r="G1461" i="1"/>
  <c r="F1461" i="1"/>
  <c r="E1461" i="1"/>
  <c r="D1461" i="1"/>
  <c r="C1461" i="1"/>
  <c r="B1461" i="1"/>
  <c r="A1461" i="1"/>
  <c r="J1460" i="1"/>
  <c r="I1460" i="1"/>
  <c r="H1460" i="1"/>
  <c r="G1460" i="1"/>
  <c r="F1460" i="1"/>
  <c r="E1460" i="1"/>
  <c r="D1460" i="1"/>
  <c r="C1460" i="1"/>
  <c r="B1460" i="1"/>
  <c r="A1460" i="1"/>
  <c r="J1459" i="1"/>
  <c r="I1459" i="1"/>
  <c r="H1459" i="1"/>
  <c r="G1459" i="1"/>
  <c r="F1459" i="1"/>
  <c r="E1459" i="1"/>
  <c r="D1459" i="1"/>
  <c r="C1459" i="1"/>
  <c r="B1459" i="1"/>
  <c r="A1459" i="1"/>
  <c r="J1458" i="1"/>
  <c r="I1458" i="1"/>
  <c r="H1458" i="1"/>
  <c r="G1458" i="1"/>
  <c r="E1458" i="1"/>
  <c r="D1458" i="1"/>
  <c r="C1458" i="1"/>
  <c r="B1458" i="1"/>
  <c r="A1458" i="1"/>
  <c r="J1457" i="1"/>
  <c r="I1457" i="1"/>
  <c r="H1457" i="1"/>
  <c r="G1457" i="1"/>
  <c r="E1457" i="1"/>
  <c r="D1457" i="1"/>
  <c r="C1457" i="1"/>
  <c r="B1457" i="1"/>
  <c r="A1457" i="1"/>
  <c r="J1456" i="1"/>
  <c r="I1456" i="1"/>
  <c r="H1456" i="1"/>
  <c r="G1456" i="1"/>
  <c r="E1456" i="1"/>
  <c r="D1456" i="1"/>
  <c r="C1456" i="1"/>
  <c r="B1456" i="1"/>
  <c r="A1456" i="1"/>
  <c r="J1455" i="1"/>
  <c r="I1455" i="1"/>
  <c r="H1455" i="1"/>
  <c r="G1455" i="1"/>
  <c r="E1455" i="1"/>
  <c r="D1455" i="1"/>
  <c r="C1455" i="1"/>
  <c r="B1455" i="1"/>
  <c r="A1455" i="1"/>
  <c r="J1454" i="1"/>
  <c r="I1454" i="1"/>
  <c r="H1454" i="1"/>
  <c r="G1454" i="1"/>
  <c r="E1454" i="1"/>
  <c r="D1454" i="1"/>
  <c r="C1454" i="1"/>
  <c r="B1454" i="1"/>
  <c r="A1454" i="1"/>
  <c r="J1453" i="1"/>
  <c r="I1453" i="1"/>
  <c r="H1453" i="1"/>
  <c r="G1453" i="1"/>
  <c r="E1453" i="1"/>
  <c r="D1453" i="1"/>
  <c r="C1453" i="1"/>
  <c r="B1453" i="1"/>
  <c r="A1453" i="1"/>
  <c r="J1452" i="1"/>
  <c r="I1452" i="1"/>
  <c r="H1452" i="1"/>
  <c r="G1452" i="1"/>
  <c r="E1452" i="1"/>
  <c r="D1452" i="1"/>
  <c r="C1452" i="1"/>
  <c r="B1452" i="1"/>
  <c r="A1452" i="1"/>
  <c r="J1451" i="1"/>
  <c r="I1451" i="1"/>
  <c r="H1451" i="1"/>
  <c r="G1451" i="1"/>
  <c r="E1451" i="1"/>
  <c r="D1451" i="1"/>
  <c r="C1451" i="1"/>
  <c r="B1451" i="1"/>
  <c r="A1451" i="1"/>
  <c r="J1450" i="1"/>
  <c r="I1450" i="1"/>
  <c r="H1450" i="1"/>
  <c r="G1450" i="1"/>
  <c r="F1450" i="1"/>
  <c r="E1450" i="1"/>
  <c r="D1450" i="1"/>
  <c r="C1450" i="1"/>
  <c r="B1450" i="1"/>
  <c r="A1450" i="1"/>
  <c r="J1449" i="1"/>
  <c r="I1449" i="1"/>
  <c r="H1449" i="1"/>
  <c r="G1449" i="1"/>
  <c r="F1449" i="1"/>
  <c r="E1449" i="1"/>
  <c r="D1449" i="1"/>
  <c r="C1449" i="1"/>
  <c r="B1449" i="1"/>
  <c r="A1449" i="1"/>
  <c r="J1448" i="1"/>
  <c r="I1448" i="1"/>
  <c r="H1448" i="1"/>
  <c r="G1448" i="1"/>
  <c r="E1448" i="1"/>
  <c r="D1448" i="1"/>
  <c r="C1448" i="1"/>
  <c r="B1448" i="1"/>
  <c r="A1448" i="1"/>
  <c r="J1447" i="1"/>
  <c r="I1447" i="1"/>
  <c r="H1447" i="1"/>
  <c r="G1447" i="1"/>
  <c r="F1447" i="1"/>
  <c r="E1447" i="1"/>
  <c r="D1447" i="1"/>
  <c r="C1447" i="1"/>
  <c r="B1447" i="1"/>
  <c r="A1447" i="1"/>
  <c r="J1446" i="1"/>
  <c r="I1446" i="1"/>
  <c r="H1446" i="1"/>
  <c r="G1446" i="1"/>
  <c r="F1446" i="1"/>
  <c r="E1446" i="1"/>
  <c r="D1446" i="1"/>
  <c r="C1446" i="1"/>
  <c r="B1446" i="1"/>
  <c r="A1446" i="1"/>
  <c r="J1445" i="1"/>
  <c r="I1445" i="1"/>
  <c r="H1445" i="1"/>
  <c r="G1445" i="1"/>
  <c r="E1445" i="1"/>
  <c r="D1445" i="1"/>
  <c r="C1445" i="1"/>
  <c r="B1445" i="1"/>
  <c r="A1445" i="1"/>
  <c r="J1444" i="1"/>
  <c r="I1444" i="1"/>
  <c r="H1444" i="1"/>
  <c r="G1444" i="1"/>
  <c r="E1444" i="1"/>
  <c r="D1444" i="1"/>
  <c r="C1444" i="1"/>
  <c r="B1444" i="1"/>
  <c r="A1444" i="1"/>
  <c r="J1443" i="1"/>
  <c r="I1443" i="1"/>
  <c r="H1443" i="1"/>
  <c r="G1443" i="1"/>
  <c r="F1443" i="1"/>
  <c r="E1443" i="1"/>
  <c r="D1443" i="1"/>
  <c r="C1443" i="1"/>
  <c r="B1443" i="1"/>
  <c r="A1443" i="1"/>
  <c r="J1442" i="1"/>
  <c r="I1442" i="1"/>
  <c r="H1442" i="1"/>
  <c r="G1442" i="1"/>
  <c r="E1442" i="1"/>
  <c r="D1442" i="1"/>
  <c r="C1442" i="1"/>
  <c r="B1442" i="1"/>
  <c r="A1442" i="1"/>
  <c r="J1441" i="1"/>
  <c r="I1441" i="1"/>
  <c r="H1441" i="1"/>
  <c r="G1441" i="1"/>
  <c r="F1441" i="1"/>
  <c r="E1441" i="1"/>
  <c r="D1441" i="1"/>
  <c r="C1441" i="1"/>
  <c r="B1441" i="1"/>
  <c r="A1441" i="1"/>
  <c r="J1440" i="1"/>
  <c r="I1440" i="1"/>
  <c r="H1440" i="1"/>
  <c r="G1440" i="1"/>
  <c r="F1440" i="1"/>
  <c r="E1440" i="1"/>
  <c r="D1440" i="1"/>
  <c r="C1440" i="1"/>
  <c r="B1440" i="1"/>
  <c r="A1440" i="1"/>
  <c r="J1439" i="1"/>
  <c r="I1439" i="1"/>
  <c r="H1439" i="1"/>
  <c r="G1439" i="1"/>
  <c r="F1439" i="1"/>
  <c r="E1439" i="1"/>
  <c r="D1439" i="1"/>
  <c r="C1439" i="1"/>
  <c r="B1439" i="1"/>
  <c r="A1439" i="1"/>
  <c r="J1438" i="1"/>
  <c r="I1438" i="1"/>
  <c r="H1438" i="1"/>
  <c r="G1438" i="1"/>
  <c r="F1438" i="1"/>
  <c r="E1438" i="1"/>
  <c r="D1438" i="1"/>
  <c r="C1438" i="1"/>
  <c r="B1438" i="1"/>
  <c r="A1438" i="1"/>
  <c r="J1437" i="1"/>
  <c r="I1437" i="1"/>
  <c r="H1437" i="1"/>
  <c r="G1437" i="1"/>
  <c r="F1437" i="1"/>
  <c r="E1437" i="1"/>
  <c r="D1437" i="1"/>
  <c r="C1437" i="1"/>
  <c r="B1437" i="1"/>
  <c r="A1437" i="1"/>
  <c r="J1436" i="1"/>
  <c r="I1436" i="1"/>
  <c r="H1436" i="1"/>
  <c r="G1436" i="1"/>
  <c r="E1436" i="1"/>
  <c r="D1436" i="1"/>
  <c r="C1436" i="1"/>
  <c r="B1436" i="1"/>
  <c r="A1436" i="1"/>
  <c r="J1435" i="1"/>
  <c r="I1435" i="1"/>
  <c r="H1435" i="1"/>
  <c r="G1435" i="1"/>
  <c r="F1435" i="1"/>
  <c r="E1435" i="1"/>
  <c r="D1435" i="1"/>
  <c r="C1435" i="1"/>
  <c r="B1435" i="1"/>
  <c r="A1435" i="1"/>
  <c r="J1434" i="1"/>
  <c r="I1434" i="1"/>
  <c r="H1434" i="1"/>
  <c r="G1434" i="1"/>
  <c r="E1434" i="1"/>
  <c r="D1434" i="1"/>
  <c r="C1434" i="1"/>
  <c r="B1434" i="1"/>
  <c r="A1434" i="1"/>
  <c r="J1433" i="1"/>
  <c r="I1433" i="1"/>
  <c r="H1433" i="1"/>
  <c r="G1433" i="1"/>
  <c r="F1433" i="1"/>
  <c r="E1433" i="1"/>
  <c r="D1433" i="1"/>
  <c r="C1433" i="1"/>
  <c r="B1433" i="1"/>
  <c r="A1433" i="1"/>
  <c r="J1432" i="1"/>
  <c r="I1432" i="1"/>
  <c r="H1432" i="1"/>
  <c r="G1432" i="1"/>
  <c r="F1432" i="1"/>
  <c r="E1432" i="1"/>
  <c r="D1432" i="1"/>
  <c r="C1432" i="1"/>
  <c r="B1432" i="1"/>
  <c r="A1432" i="1"/>
  <c r="J1431" i="1"/>
  <c r="I1431" i="1"/>
  <c r="H1431" i="1"/>
  <c r="G1431" i="1"/>
  <c r="F1431" i="1"/>
  <c r="E1431" i="1"/>
  <c r="D1431" i="1"/>
  <c r="C1431" i="1"/>
  <c r="B1431" i="1"/>
  <c r="A1431" i="1"/>
  <c r="J1430" i="1"/>
  <c r="I1430" i="1"/>
  <c r="H1430" i="1"/>
  <c r="G1430" i="1"/>
  <c r="E1430" i="1"/>
  <c r="D1430" i="1"/>
  <c r="C1430" i="1"/>
  <c r="B1430" i="1"/>
  <c r="A1430" i="1"/>
  <c r="J1429" i="1"/>
  <c r="I1429" i="1"/>
  <c r="H1429" i="1"/>
  <c r="G1429" i="1"/>
  <c r="F1429" i="1"/>
  <c r="E1429" i="1"/>
  <c r="D1429" i="1"/>
  <c r="C1429" i="1"/>
  <c r="B1429" i="1"/>
  <c r="A1429" i="1"/>
  <c r="J1428" i="1"/>
  <c r="I1428" i="1"/>
  <c r="H1428" i="1"/>
  <c r="G1428" i="1"/>
  <c r="F1428" i="1"/>
  <c r="E1428" i="1"/>
  <c r="D1428" i="1"/>
  <c r="C1428" i="1"/>
  <c r="B1428" i="1"/>
  <c r="A1428" i="1"/>
  <c r="J1427" i="1"/>
  <c r="I1427" i="1"/>
  <c r="H1427" i="1"/>
  <c r="G1427" i="1"/>
  <c r="E1427" i="1"/>
  <c r="D1427" i="1"/>
  <c r="C1427" i="1"/>
  <c r="B1427" i="1"/>
  <c r="A1427" i="1"/>
  <c r="J1426" i="1"/>
  <c r="I1426" i="1"/>
  <c r="H1426" i="1"/>
  <c r="G1426" i="1"/>
  <c r="F1426" i="1"/>
  <c r="E1426" i="1"/>
  <c r="D1426" i="1"/>
  <c r="C1426" i="1"/>
  <c r="B1426" i="1"/>
  <c r="A1426" i="1"/>
  <c r="J1425" i="1"/>
  <c r="I1425" i="1"/>
  <c r="H1425" i="1"/>
  <c r="G1425" i="1"/>
  <c r="F1425" i="1"/>
  <c r="E1425" i="1"/>
  <c r="D1425" i="1"/>
  <c r="C1425" i="1"/>
  <c r="B1425" i="1"/>
  <c r="A1425" i="1"/>
  <c r="J1424" i="1"/>
  <c r="I1424" i="1"/>
  <c r="H1424" i="1"/>
  <c r="G1424" i="1"/>
  <c r="E1424" i="1"/>
  <c r="D1424" i="1"/>
  <c r="C1424" i="1"/>
  <c r="B1424" i="1"/>
  <c r="A1424" i="1"/>
  <c r="J1423" i="1"/>
  <c r="I1423" i="1"/>
  <c r="H1423" i="1"/>
  <c r="G1423" i="1"/>
  <c r="E1423" i="1"/>
  <c r="D1423" i="1"/>
  <c r="C1423" i="1"/>
  <c r="B1423" i="1"/>
  <c r="A1423" i="1"/>
  <c r="J1422" i="1"/>
  <c r="I1422" i="1"/>
  <c r="H1422" i="1"/>
  <c r="G1422" i="1"/>
  <c r="F1422" i="1"/>
  <c r="E1422" i="1"/>
  <c r="D1422" i="1"/>
  <c r="C1422" i="1"/>
  <c r="B1422" i="1"/>
  <c r="A1422" i="1"/>
  <c r="J1421" i="1"/>
  <c r="I1421" i="1"/>
  <c r="H1421" i="1"/>
  <c r="G1421" i="1"/>
  <c r="F1421" i="1"/>
  <c r="E1421" i="1"/>
  <c r="D1421" i="1"/>
  <c r="C1421" i="1"/>
  <c r="B1421" i="1"/>
  <c r="A1421" i="1"/>
  <c r="J1420" i="1"/>
  <c r="I1420" i="1"/>
  <c r="H1420" i="1"/>
  <c r="G1420" i="1"/>
  <c r="F1420" i="1"/>
  <c r="E1420" i="1"/>
  <c r="D1420" i="1"/>
  <c r="C1420" i="1"/>
  <c r="B1420" i="1"/>
  <c r="A1420" i="1"/>
  <c r="J1419" i="1"/>
  <c r="I1419" i="1"/>
  <c r="H1419" i="1"/>
  <c r="G1419" i="1"/>
  <c r="F1419" i="1"/>
  <c r="E1419" i="1"/>
  <c r="D1419" i="1"/>
  <c r="C1419" i="1"/>
  <c r="B1419" i="1"/>
  <c r="A1419" i="1"/>
  <c r="J1418" i="1"/>
  <c r="I1418" i="1"/>
  <c r="H1418" i="1"/>
  <c r="G1418" i="1"/>
  <c r="E1418" i="1"/>
  <c r="D1418" i="1"/>
  <c r="C1418" i="1"/>
  <c r="B1418" i="1"/>
  <c r="A1418" i="1"/>
  <c r="J1417" i="1"/>
  <c r="I1417" i="1"/>
  <c r="H1417" i="1"/>
  <c r="G1417" i="1"/>
  <c r="F1417" i="1"/>
  <c r="E1417" i="1"/>
  <c r="D1417" i="1"/>
  <c r="C1417" i="1"/>
  <c r="B1417" i="1"/>
  <c r="A1417" i="1"/>
  <c r="J1416" i="1"/>
  <c r="I1416" i="1"/>
  <c r="H1416" i="1"/>
  <c r="G1416" i="1"/>
  <c r="F1416" i="1"/>
  <c r="E1416" i="1"/>
  <c r="D1416" i="1"/>
  <c r="C1416" i="1"/>
  <c r="B1416" i="1"/>
  <c r="A1416" i="1"/>
  <c r="J1415" i="1"/>
  <c r="I1415" i="1"/>
  <c r="H1415" i="1"/>
  <c r="G1415" i="1"/>
  <c r="E1415" i="1"/>
  <c r="D1415" i="1"/>
  <c r="C1415" i="1"/>
  <c r="B1415" i="1"/>
  <c r="A1415" i="1"/>
  <c r="J1414" i="1"/>
  <c r="I1414" i="1"/>
  <c r="H1414" i="1"/>
  <c r="G1414" i="1"/>
  <c r="E1414" i="1"/>
  <c r="D1414" i="1"/>
  <c r="C1414" i="1"/>
  <c r="B1414" i="1"/>
  <c r="A1414" i="1"/>
  <c r="J1413" i="1"/>
  <c r="I1413" i="1"/>
  <c r="H1413" i="1"/>
  <c r="G1413" i="1"/>
  <c r="F1413" i="1"/>
  <c r="E1413" i="1"/>
  <c r="D1413" i="1"/>
  <c r="C1413" i="1"/>
  <c r="B1413" i="1"/>
  <c r="A1413" i="1"/>
  <c r="J1412" i="1"/>
  <c r="I1412" i="1"/>
  <c r="H1412" i="1"/>
  <c r="G1412" i="1"/>
  <c r="F1412" i="1"/>
  <c r="E1412" i="1"/>
  <c r="D1412" i="1"/>
  <c r="C1412" i="1"/>
  <c r="B1412" i="1"/>
  <c r="A1412" i="1"/>
  <c r="J1411" i="1"/>
  <c r="I1411" i="1"/>
  <c r="H1411" i="1"/>
  <c r="G1411" i="1"/>
  <c r="F1411" i="1"/>
  <c r="E1411" i="1"/>
  <c r="D1411" i="1"/>
  <c r="C1411" i="1"/>
  <c r="B1411" i="1"/>
  <c r="A1411" i="1"/>
  <c r="J1410" i="1"/>
  <c r="I1410" i="1"/>
  <c r="H1410" i="1"/>
  <c r="G1410" i="1"/>
  <c r="F1410" i="1"/>
  <c r="E1410" i="1"/>
  <c r="D1410" i="1"/>
  <c r="C1410" i="1"/>
  <c r="B1410" i="1"/>
  <c r="A1410" i="1"/>
  <c r="J1409" i="1"/>
  <c r="I1409" i="1"/>
  <c r="H1409" i="1"/>
  <c r="G1409" i="1"/>
  <c r="F1409" i="1"/>
  <c r="E1409" i="1"/>
  <c r="D1409" i="1"/>
  <c r="C1409" i="1"/>
  <c r="B1409" i="1"/>
  <c r="A1409" i="1"/>
  <c r="J1408" i="1"/>
  <c r="I1408" i="1"/>
  <c r="H1408" i="1"/>
  <c r="G1408" i="1"/>
  <c r="F1408" i="1"/>
  <c r="E1408" i="1"/>
  <c r="D1408" i="1"/>
  <c r="C1408" i="1"/>
  <c r="B1408" i="1"/>
  <c r="A1408" i="1"/>
  <c r="J1407" i="1"/>
  <c r="I1407" i="1"/>
  <c r="H1407" i="1"/>
  <c r="G1407" i="1"/>
  <c r="F1407" i="1"/>
  <c r="E1407" i="1"/>
  <c r="D1407" i="1"/>
  <c r="C1407" i="1"/>
  <c r="B1407" i="1"/>
  <c r="A1407" i="1"/>
  <c r="J1406" i="1"/>
  <c r="I1406" i="1"/>
  <c r="H1406" i="1"/>
  <c r="G1406" i="1"/>
  <c r="E1406" i="1"/>
  <c r="D1406" i="1"/>
  <c r="C1406" i="1"/>
  <c r="B1406" i="1"/>
  <c r="A1406" i="1"/>
  <c r="J1405" i="1"/>
  <c r="I1405" i="1"/>
  <c r="H1405" i="1"/>
  <c r="G1405" i="1"/>
  <c r="F1405" i="1"/>
  <c r="E1405" i="1"/>
  <c r="D1405" i="1"/>
  <c r="C1405" i="1"/>
  <c r="B1405" i="1"/>
  <c r="A1405" i="1"/>
  <c r="J1404" i="1"/>
  <c r="I1404" i="1"/>
  <c r="H1404" i="1"/>
  <c r="G1404" i="1"/>
  <c r="E1404" i="1"/>
  <c r="D1404" i="1"/>
  <c r="C1404" i="1"/>
  <c r="B1404" i="1"/>
  <c r="A1404" i="1"/>
  <c r="J1403" i="1"/>
  <c r="I1403" i="1"/>
  <c r="H1403" i="1"/>
  <c r="G1403" i="1"/>
  <c r="F1403" i="1"/>
  <c r="E1403" i="1"/>
  <c r="D1403" i="1"/>
  <c r="C1403" i="1"/>
  <c r="B1403" i="1"/>
  <c r="A1403" i="1"/>
  <c r="J1402" i="1"/>
  <c r="I1402" i="1"/>
  <c r="H1402" i="1"/>
  <c r="G1402" i="1"/>
  <c r="F1402" i="1"/>
  <c r="E1402" i="1"/>
  <c r="D1402" i="1"/>
  <c r="C1402" i="1"/>
  <c r="B1402" i="1"/>
  <c r="A1402" i="1"/>
  <c r="J1401" i="1"/>
  <c r="I1401" i="1"/>
  <c r="H1401" i="1"/>
  <c r="G1401" i="1"/>
  <c r="E1401" i="1"/>
  <c r="D1401" i="1"/>
  <c r="C1401" i="1"/>
  <c r="B1401" i="1"/>
  <c r="A1401" i="1"/>
  <c r="J1400" i="1"/>
  <c r="I1400" i="1"/>
  <c r="H1400" i="1"/>
  <c r="G1400" i="1"/>
  <c r="E1400" i="1"/>
  <c r="D1400" i="1"/>
  <c r="C1400" i="1"/>
  <c r="B1400" i="1"/>
  <c r="A1400" i="1"/>
  <c r="J1399" i="1"/>
  <c r="I1399" i="1"/>
  <c r="H1399" i="1"/>
  <c r="G1399" i="1"/>
  <c r="F1399" i="1"/>
  <c r="E1399" i="1"/>
  <c r="D1399" i="1"/>
  <c r="C1399" i="1"/>
  <c r="B1399" i="1"/>
  <c r="A1399" i="1"/>
  <c r="J1398" i="1"/>
  <c r="I1398" i="1"/>
  <c r="H1398" i="1"/>
  <c r="G1398" i="1"/>
  <c r="F1398" i="1"/>
  <c r="E1398" i="1"/>
  <c r="D1398" i="1"/>
  <c r="C1398" i="1"/>
  <c r="B1398" i="1"/>
  <c r="A1398" i="1"/>
  <c r="J1397" i="1"/>
  <c r="I1397" i="1"/>
  <c r="H1397" i="1"/>
  <c r="G1397" i="1"/>
  <c r="F1397" i="1"/>
  <c r="E1397" i="1"/>
  <c r="D1397" i="1"/>
  <c r="C1397" i="1"/>
  <c r="B1397" i="1"/>
  <c r="A1397" i="1"/>
  <c r="J1396" i="1"/>
  <c r="I1396" i="1"/>
  <c r="H1396" i="1"/>
  <c r="G1396" i="1"/>
  <c r="E1396" i="1"/>
  <c r="D1396" i="1"/>
  <c r="C1396" i="1"/>
  <c r="B1396" i="1"/>
  <c r="A1396" i="1"/>
  <c r="J1395" i="1"/>
  <c r="I1395" i="1"/>
  <c r="H1395" i="1"/>
  <c r="G1395" i="1"/>
  <c r="F1395" i="1"/>
  <c r="E1395" i="1"/>
  <c r="D1395" i="1"/>
  <c r="C1395" i="1"/>
  <c r="B1395" i="1"/>
  <c r="A1395" i="1"/>
  <c r="J1394" i="1"/>
  <c r="I1394" i="1"/>
  <c r="H1394" i="1"/>
  <c r="G1394" i="1"/>
  <c r="E1394" i="1"/>
  <c r="D1394" i="1"/>
  <c r="C1394" i="1"/>
  <c r="B1394" i="1"/>
  <c r="A1394" i="1"/>
  <c r="J1393" i="1"/>
  <c r="I1393" i="1"/>
  <c r="H1393" i="1"/>
  <c r="G1393" i="1"/>
  <c r="F1393" i="1"/>
  <c r="E1393" i="1"/>
  <c r="D1393" i="1"/>
  <c r="C1393" i="1"/>
  <c r="B1393" i="1"/>
  <c r="A1393" i="1"/>
  <c r="J1392" i="1"/>
  <c r="I1392" i="1"/>
  <c r="H1392" i="1"/>
  <c r="G1392" i="1"/>
  <c r="F1392" i="1"/>
  <c r="E1392" i="1"/>
  <c r="D1392" i="1"/>
  <c r="C1392" i="1"/>
  <c r="B1392" i="1"/>
  <c r="A1392" i="1"/>
  <c r="J1391" i="1"/>
  <c r="I1391" i="1"/>
  <c r="H1391" i="1"/>
  <c r="G1391" i="1"/>
  <c r="E1391" i="1"/>
  <c r="D1391" i="1"/>
  <c r="C1391" i="1"/>
  <c r="B1391" i="1"/>
  <c r="A1391" i="1"/>
  <c r="J1390" i="1"/>
  <c r="I1390" i="1"/>
  <c r="H1390" i="1"/>
  <c r="G1390" i="1"/>
  <c r="E1390" i="1"/>
  <c r="D1390" i="1"/>
  <c r="C1390" i="1"/>
  <c r="B1390" i="1"/>
  <c r="A1390" i="1"/>
  <c r="J1389" i="1"/>
  <c r="I1389" i="1"/>
  <c r="H1389" i="1"/>
  <c r="G1389" i="1"/>
  <c r="F1389" i="1"/>
  <c r="E1389" i="1"/>
  <c r="D1389" i="1"/>
  <c r="C1389" i="1"/>
  <c r="B1389" i="1"/>
  <c r="A1389" i="1"/>
  <c r="J1388" i="1"/>
  <c r="I1388" i="1"/>
  <c r="H1388" i="1"/>
  <c r="G1388" i="1"/>
  <c r="F1388" i="1"/>
  <c r="E1388" i="1"/>
  <c r="D1388" i="1"/>
  <c r="C1388" i="1"/>
  <c r="B1388" i="1"/>
  <c r="A1388" i="1"/>
  <c r="J1387" i="1"/>
  <c r="I1387" i="1"/>
  <c r="H1387" i="1"/>
  <c r="G1387" i="1"/>
  <c r="E1387" i="1"/>
  <c r="D1387" i="1"/>
  <c r="C1387" i="1"/>
  <c r="B1387" i="1"/>
  <c r="A1387" i="1"/>
  <c r="J1386" i="1"/>
  <c r="I1386" i="1"/>
  <c r="H1386" i="1"/>
  <c r="G1386" i="1"/>
  <c r="F1386" i="1"/>
  <c r="E1386" i="1"/>
  <c r="D1386" i="1"/>
  <c r="C1386" i="1"/>
  <c r="B1386" i="1"/>
  <c r="A1386" i="1"/>
  <c r="J1385" i="1"/>
  <c r="I1385" i="1"/>
  <c r="H1385" i="1"/>
  <c r="G1385" i="1"/>
  <c r="F1385" i="1"/>
  <c r="E1385" i="1"/>
  <c r="D1385" i="1"/>
  <c r="C1385" i="1"/>
  <c r="B1385" i="1"/>
  <c r="A1385" i="1"/>
  <c r="J1384" i="1"/>
  <c r="I1384" i="1"/>
  <c r="H1384" i="1"/>
  <c r="G1384" i="1"/>
  <c r="E1384" i="1"/>
  <c r="D1384" i="1"/>
  <c r="C1384" i="1"/>
  <c r="B1384" i="1"/>
  <c r="A1384" i="1"/>
  <c r="J1383" i="1"/>
  <c r="I1383" i="1"/>
  <c r="H1383" i="1"/>
  <c r="G1383" i="1"/>
  <c r="F1383" i="1"/>
  <c r="E1383" i="1"/>
  <c r="D1383" i="1"/>
  <c r="C1383" i="1"/>
  <c r="B1383" i="1"/>
  <c r="A1383" i="1"/>
  <c r="J1382" i="1"/>
  <c r="I1382" i="1"/>
  <c r="H1382" i="1"/>
  <c r="G1382" i="1"/>
  <c r="E1382" i="1"/>
  <c r="D1382" i="1"/>
  <c r="C1382" i="1"/>
  <c r="B1382" i="1"/>
  <c r="A1382" i="1"/>
  <c r="J1381" i="1"/>
  <c r="I1381" i="1"/>
  <c r="H1381" i="1"/>
  <c r="G1381" i="1"/>
  <c r="E1381" i="1"/>
  <c r="D1381" i="1"/>
  <c r="C1381" i="1"/>
  <c r="B1381" i="1"/>
  <c r="A1381" i="1"/>
  <c r="J1380" i="1"/>
  <c r="I1380" i="1"/>
  <c r="H1380" i="1"/>
  <c r="G1380" i="1"/>
  <c r="E1380" i="1"/>
  <c r="D1380" i="1"/>
  <c r="C1380" i="1"/>
  <c r="B1380" i="1"/>
  <c r="A1380" i="1"/>
  <c r="J1379" i="1"/>
  <c r="I1379" i="1"/>
  <c r="H1379" i="1"/>
  <c r="G1379" i="1"/>
  <c r="E1379" i="1"/>
  <c r="D1379" i="1"/>
  <c r="C1379" i="1"/>
  <c r="B1379" i="1"/>
  <c r="A1379" i="1"/>
  <c r="J1378" i="1"/>
  <c r="I1378" i="1"/>
  <c r="H1378" i="1"/>
  <c r="G1378" i="1"/>
  <c r="F1378" i="1"/>
  <c r="E1378" i="1"/>
  <c r="D1378" i="1"/>
  <c r="C1378" i="1"/>
  <c r="B1378" i="1"/>
  <c r="A1378" i="1"/>
  <c r="J1377" i="1"/>
  <c r="I1377" i="1"/>
  <c r="H1377" i="1"/>
  <c r="G1377" i="1"/>
  <c r="F1377" i="1"/>
  <c r="E1377" i="1"/>
  <c r="D1377" i="1"/>
  <c r="C1377" i="1"/>
  <c r="B1377" i="1"/>
  <c r="A1377" i="1"/>
  <c r="J1376" i="1"/>
  <c r="I1376" i="1"/>
  <c r="H1376" i="1"/>
  <c r="G1376" i="1"/>
  <c r="E1376" i="1"/>
  <c r="D1376" i="1"/>
  <c r="C1376" i="1"/>
  <c r="B1376" i="1"/>
  <c r="A1376" i="1"/>
  <c r="J1375" i="1"/>
  <c r="I1375" i="1"/>
  <c r="H1375" i="1"/>
  <c r="G1375" i="1"/>
  <c r="E1375" i="1"/>
  <c r="D1375" i="1"/>
  <c r="C1375" i="1"/>
  <c r="B1375" i="1"/>
  <c r="A1375" i="1"/>
  <c r="J1374" i="1"/>
  <c r="I1374" i="1"/>
  <c r="H1374" i="1"/>
  <c r="G1374" i="1"/>
  <c r="E1374" i="1"/>
  <c r="D1374" i="1"/>
  <c r="C1374" i="1"/>
  <c r="B1374" i="1"/>
  <c r="A1374" i="1"/>
  <c r="J1373" i="1"/>
  <c r="I1373" i="1"/>
  <c r="H1373" i="1"/>
  <c r="G1373" i="1"/>
  <c r="E1373" i="1"/>
  <c r="D1373" i="1"/>
  <c r="C1373" i="1"/>
  <c r="B1373" i="1"/>
  <c r="A1373" i="1"/>
  <c r="J1372" i="1"/>
  <c r="I1372" i="1"/>
  <c r="H1372" i="1"/>
  <c r="G1372" i="1"/>
  <c r="E1372" i="1"/>
  <c r="D1372" i="1"/>
  <c r="C1372" i="1"/>
  <c r="B1372" i="1"/>
  <c r="A1372" i="1"/>
  <c r="J1371" i="1"/>
  <c r="I1371" i="1"/>
  <c r="H1371" i="1"/>
  <c r="G1371" i="1"/>
  <c r="E1371" i="1"/>
  <c r="D1371" i="1"/>
  <c r="C1371" i="1"/>
  <c r="B1371" i="1"/>
  <c r="A1371" i="1"/>
  <c r="J1370" i="1"/>
  <c r="I1370" i="1"/>
  <c r="H1370" i="1"/>
  <c r="G1370" i="1"/>
  <c r="E1370" i="1"/>
  <c r="D1370" i="1"/>
  <c r="C1370" i="1"/>
  <c r="B1370" i="1"/>
  <c r="A1370" i="1"/>
  <c r="J1369" i="1"/>
  <c r="I1369" i="1"/>
  <c r="H1369" i="1"/>
  <c r="G1369" i="1"/>
  <c r="E1369" i="1"/>
  <c r="D1369" i="1"/>
  <c r="C1369" i="1"/>
  <c r="B1369" i="1"/>
  <c r="A1369" i="1"/>
  <c r="J1368" i="1"/>
  <c r="I1368" i="1"/>
  <c r="H1368" i="1"/>
  <c r="G1368" i="1"/>
  <c r="E1368" i="1"/>
  <c r="D1368" i="1"/>
  <c r="C1368" i="1"/>
  <c r="B1368" i="1"/>
  <c r="A1368" i="1"/>
  <c r="J1367" i="1"/>
  <c r="I1367" i="1"/>
  <c r="H1367" i="1"/>
  <c r="G1367" i="1"/>
  <c r="F1367" i="1"/>
  <c r="E1367" i="1"/>
  <c r="D1367" i="1"/>
  <c r="C1367" i="1"/>
  <c r="B1367" i="1"/>
  <c r="A1367" i="1"/>
  <c r="J1366" i="1"/>
  <c r="I1366" i="1"/>
  <c r="H1366" i="1"/>
  <c r="G1366" i="1"/>
  <c r="E1366" i="1"/>
  <c r="D1366" i="1"/>
  <c r="C1366" i="1"/>
  <c r="B1366" i="1"/>
  <c r="A1366" i="1"/>
  <c r="J1365" i="1"/>
  <c r="I1365" i="1"/>
  <c r="H1365" i="1"/>
  <c r="G1365" i="1"/>
  <c r="E1365" i="1"/>
  <c r="D1365" i="1"/>
  <c r="C1365" i="1"/>
  <c r="B1365" i="1"/>
  <c r="A1365" i="1"/>
  <c r="J1364" i="1"/>
  <c r="I1364" i="1"/>
  <c r="H1364" i="1"/>
  <c r="G1364" i="1"/>
  <c r="F1364" i="1"/>
  <c r="E1364" i="1"/>
  <c r="D1364" i="1"/>
  <c r="C1364" i="1"/>
  <c r="B1364" i="1"/>
  <c r="A1364" i="1"/>
  <c r="J1363" i="1"/>
  <c r="I1363" i="1"/>
  <c r="H1363" i="1"/>
  <c r="G1363" i="1"/>
  <c r="E1363" i="1"/>
  <c r="D1363" i="1"/>
  <c r="C1363" i="1"/>
  <c r="B1363" i="1"/>
  <c r="A1363" i="1"/>
  <c r="J1362" i="1"/>
  <c r="I1362" i="1"/>
  <c r="H1362" i="1"/>
  <c r="G1362" i="1"/>
  <c r="E1362" i="1"/>
  <c r="D1362" i="1"/>
  <c r="C1362" i="1"/>
  <c r="B1362" i="1"/>
  <c r="A1362" i="1"/>
  <c r="J1361" i="1"/>
  <c r="I1361" i="1"/>
  <c r="H1361" i="1"/>
  <c r="G1361" i="1"/>
  <c r="E1361" i="1"/>
  <c r="D1361" i="1"/>
  <c r="C1361" i="1"/>
  <c r="B1361" i="1"/>
  <c r="A1361" i="1"/>
  <c r="J1360" i="1"/>
  <c r="I1360" i="1"/>
  <c r="H1360" i="1"/>
  <c r="G1360" i="1"/>
  <c r="E1360" i="1"/>
  <c r="D1360" i="1"/>
  <c r="C1360" i="1"/>
  <c r="B1360" i="1"/>
  <c r="A1360" i="1"/>
  <c r="J1359" i="1"/>
  <c r="I1359" i="1"/>
  <c r="H1359" i="1"/>
  <c r="G1359" i="1"/>
  <c r="E1359" i="1"/>
  <c r="D1359" i="1"/>
  <c r="C1359" i="1"/>
  <c r="B1359" i="1"/>
  <c r="A1359" i="1"/>
  <c r="J1358" i="1"/>
  <c r="I1358" i="1"/>
  <c r="H1358" i="1"/>
  <c r="G1358" i="1"/>
  <c r="E1358" i="1"/>
  <c r="D1358" i="1"/>
  <c r="C1358" i="1"/>
  <c r="B1358" i="1"/>
  <c r="A1358" i="1"/>
  <c r="J1357" i="1"/>
  <c r="I1357" i="1"/>
  <c r="H1357" i="1"/>
  <c r="G1357" i="1"/>
  <c r="E1357" i="1"/>
  <c r="D1357" i="1"/>
  <c r="C1357" i="1"/>
  <c r="B1357" i="1"/>
  <c r="A1357" i="1"/>
  <c r="J1356" i="1"/>
  <c r="I1356" i="1"/>
  <c r="H1356" i="1"/>
  <c r="G1356" i="1"/>
  <c r="E1356" i="1"/>
  <c r="D1356" i="1"/>
  <c r="C1356" i="1"/>
  <c r="B1356" i="1"/>
  <c r="A1356" i="1"/>
  <c r="J1355" i="1"/>
  <c r="I1355" i="1"/>
  <c r="H1355" i="1"/>
  <c r="G1355" i="1"/>
  <c r="E1355" i="1"/>
  <c r="D1355" i="1"/>
  <c r="C1355" i="1"/>
  <c r="B1355" i="1"/>
  <c r="A1355" i="1"/>
  <c r="J1354" i="1"/>
  <c r="I1354" i="1"/>
  <c r="H1354" i="1"/>
  <c r="G1354" i="1"/>
  <c r="E1354" i="1"/>
  <c r="D1354" i="1"/>
  <c r="C1354" i="1"/>
  <c r="B1354" i="1"/>
  <c r="A1354" i="1"/>
  <c r="J1353" i="1"/>
  <c r="I1353" i="1"/>
  <c r="H1353" i="1"/>
  <c r="G1353" i="1"/>
  <c r="E1353" i="1"/>
  <c r="D1353" i="1"/>
  <c r="C1353" i="1"/>
  <c r="B1353" i="1"/>
  <c r="A1353" i="1"/>
  <c r="J1352" i="1"/>
  <c r="I1352" i="1"/>
  <c r="H1352" i="1"/>
  <c r="G1352" i="1"/>
  <c r="E1352" i="1"/>
  <c r="D1352" i="1"/>
  <c r="C1352" i="1"/>
  <c r="B1352" i="1"/>
  <c r="A1352" i="1"/>
  <c r="J1351" i="1"/>
  <c r="I1351" i="1"/>
  <c r="H1351" i="1"/>
  <c r="G1351" i="1"/>
  <c r="E1351" i="1"/>
  <c r="D1351" i="1"/>
  <c r="C1351" i="1"/>
  <c r="B1351" i="1"/>
  <c r="A1351" i="1"/>
  <c r="J1350" i="1"/>
  <c r="I1350" i="1"/>
  <c r="H1350" i="1"/>
  <c r="G1350" i="1"/>
  <c r="E1350" i="1"/>
  <c r="D1350" i="1"/>
  <c r="C1350" i="1"/>
  <c r="B1350" i="1"/>
  <c r="A1350" i="1"/>
  <c r="J1349" i="1"/>
  <c r="I1349" i="1"/>
  <c r="H1349" i="1"/>
  <c r="G1349" i="1"/>
  <c r="F1349" i="1"/>
  <c r="E1349" i="1"/>
  <c r="D1349" i="1"/>
  <c r="C1349" i="1"/>
  <c r="B1349" i="1"/>
  <c r="A1349" i="1"/>
  <c r="J1348" i="1"/>
  <c r="I1348" i="1"/>
  <c r="H1348" i="1"/>
  <c r="G1348" i="1"/>
  <c r="E1348" i="1"/>
  <c r="D1348" i="1"/>
  <c r="C1348" i="1"/>
  <c r="B1348" i="1"/>
  <c r="A1348" i="1"/>
  <c r="J1347" i="1"/>
  <c r="I1347" i="1"/>
  <c r="H1347" i="1"/>
  <c r="G1347" i="1"/>
  <c r="E1347" i="1"/>
  <c r="D1347" i="1"/>
  <c r="C1347" i="1"/>
  <c r="B1347" i="1"/>
  <c r="A1347" i="1"/>
  <c r="J1346" i="1"/>
  <c r="I1346" i="1"/>
  <c r="H1346" i="1"/>
  <c r="G1346" i="1"/>
  <c r="E1346" i="1"/>
  <c r="D1346" i="1"/>
  <c r="C1346" i="1"/>
  <c r="B1346" i="1"/>
  <c r="A1346" i="1"/>
  <c r="J1345" i="1"/>
  <c r="I1345" i="1"/>
  <c r="H1345" i="1"/>
  <c r="G1345" i="1"/>
  <c r="E1345" i="1"/>
  <c r="D1345" i="1"/>
  <c r="C1345" i="1"/>
  <c r="B1345" i="1"/>
  <c r="A1345" i="1"/>
  <c r="J1344" i="1"/>
  <c r="I1344" i="1"/>
  <c r="H1344" i="1"/>
  <c r="G1344" i="1"/>
  <c r="E1344" i="1"/>
  <c r="D1344" i="1"/>
  <c r="C1344" i="1"/>
  <c r="B1344" i="1"/>
  <c r="A1344" i="1"/>
  <c r="J1343" i="1"/>
  <c r="I1343" i="1"/>
  <c r="H1343" i="1"/>
  <c r="G1343" i="1"/>
  <c r="F1343" i="1"/>
  <c r="E1343" i="1"/>
  <c r="D1343" i="1"/>
  <c r="C1343" i="1"/>
  <c r="B1343" i="1"/>
  <c r="A1343" i="1"/>
  <c r="J1342" i="1"/>
  <c r="I1342" i="1"/>
  <c r="H1342" i="1"/>
  <c r="G1342" i="1"/>
  <c r="E1342" i="1"/>
  <c r="D1342" i="1"/>
  <c r="C1342" i="1"/>
  <c r="B1342" i="1"/>
  <c r="A1342" i="1"/>
  <c r="J1341" i="1"/>
  <c r="I1341" i="1"/>
  <c r="H1341" i="1"/>
  <c r="G1341" i="1"/>
  <c r="E1341" i="1"/>
  <c r="D1341" i="1"/>
  <c r="C1341" i="1"/>
  <c r="B1341" i="1"/>
  <c r="A1341" i="1"/>
  <c r="J1340" i="1"/>
  <c r="I1340" i="1"/>
  <c r="H1340" i="1"/>
  <c r="G1340" i="1"/>
  <c r="E1340" i="1"/>
  <c r="D1340" i="1"/>
  <c r="C1340" i="1"/>
  <c r="B1340" i="1"/>
  <c r="A1340" i="1"/>
  <c r="J1339" i="1"/>
  <c r="I1339" i="1"/>
  <c r="H1339" i="1"/>
  <c r="G1339" i="1"/>
  <c r="E1339" i="1"/>
  <c r="D1339" i="1"/>
  <c r="C1339" i="1"/>
  <c r="B1339" i="1"/>
  <c r="A1339" i="1"/>
  <c r="J1338" i="1"/>
  <c r="I1338" i="1"/>
  <c r="H1338" i="1"/>
  <c r="G1338" i="1"/>
  <c r="E1338" i="1"/>
  <c r="D1338" i="1"/>
  <c r="C1338" i="1"/>
  <c r="B1338" i="1"/>
  <c r="A1338" i="1"/>
  <c r="J1337" i="1"/>
  <c r="I1337" i="1"/>
  <c r="H1337" i="1"/>
  <c r="G1337" i="1"/>
  <c r="E1337" i="1"/>
  <c r="D1337" i="1"/>
  <c r="C1337" i="1"/>
  <c r="B1337" i="1"/>
  <c r="A1337" i="1"/>
  <c r="J1336" i="1"/>
  <c r="I1336" i="1"/>
  <c r="H1336" i="1"/>
  <c r="G1336" i="1"/>
  <c r="E1336" i="1"/>
  <c r="D1336" i="1"/>
  <c r="C1336" i="1"/>
  <c r="B1336" i="1"/>
  <c r="A1336" i="1"/>
  <c r="J1335" i="1"/>
  <c r="I1335" i="1"/>
  <c r="H1335" i="1"/>
  <c r="G1335" i="1"/>
  <c r="E1335" i="1"/>
  <c r="D1335" i="1"/>
  <c r="C1335" i="1"/>
  <c r="B1335" i="1"/>
  <c r="A1335" i="1"/>
  <c r="J1334" i="1"/>
  <c r="I1334" i="1"/>
  <c r="H1334" i="1"/>
  <c r="G1334" i="1"/>
  <c r="E1334" i="1"/>
  <c r="D1334" i="1"/>
  <c r="C1334" i="1"/>
  <c r="B1334" i="1"/>
  <c r="A1334" i="1"/>
  <c r="J1333" i="1"/>
  <c r="I1333" i="1"/>
  <c r="H1333" i="1"/>
  <c r="G1333" i="1"/>
  <c r="E1333" i="1"/>
  <c r="D1333" i="1"/>
  <c r="C1333" i="1"/>
  <c r="B1333" i="1"/>
  <c r="A1333" i="1"/>
  <c r="J1332" i="1"/>
  <c r="I1332" i="1"/>
  <c r="H1332" i="1"/>
  <c r="G1332" i="1"/>
  <c r="E1332" i="1"/>
  <c r="D1332" i="1"/>
  <c r="C1332" i="1"/>
  <c r="B1332" i="1"/>
  <c r="A1332" i="1"/>
  <c r="J1331" i="1"/>
  <c r="I1331" i="1"/>
  <c r="H1331" i="1"/>
  <c r="G1331" i="1"/>
  <c r="E1331" i="1"/>
  <c r="D1331" i="1"/>
  <c r="C1331" i="1"/>
  <c r="B1331" i="1"/>
  <c r="A1331" i="1"/>
  <c r="J1330" i="1"/>
  <c r="I1330" i="1"/>
  <c r="H1330" i="1"/>
  <c r="G1330" i="1"/>
  <c r="E1330" i="1"/>
  <c r="D1330" i="1"/>
  <c r="C1330" i="1"/>
  <c r="B1330" i="1"/>
  <c r="A1330" i="1"/>
  <c r="J1329" i="1"/>
  <c r="I1329" i="1"/>
  <c r="H1329" i="1"/>
  <c r="G1329" i="1"/>
  <c r="F1329" i="1"/>
  <c r="E1329" i="1"/>
  <c r="D1329" i="1"/>
  <c r="C1329" i="1"/>
  <c r="B1329" i="1"/>
  <c r="A1329" i="1"/>
  <c r="J1328" i="1"/>
  <c r="I1328" i="1"/>
  <c r="H1328" i="1"/>
  <c r="G1328" i="1"/>
  <c r="F1328" i="1"/>
  <c r="E1328" i="1"/>
  <c r="D1328" i="1"/>
  <c r="C1328" i="1"/>
  <c r="B1328" i="1"/>
  <c r="A1328" i="1"/>
  <c r="J1327" i="1"/>
  <c r="I1327" i="1"/>
  <c r="H1327" i="1"/>
  <c r="G1327" i="1"/>
  <c r="E1327" i="1"/>
  <c r="D1327" i="1"/>
  <c r="C1327" i="1"/>
  <c r="B1327" i="1"/>
  <c r="A1327" i="1"/>
  <c r="J1326" i="1"/>
  <c r="I1326" i="1"/>
  <c r="H1326" i="1"/>
  <c r="G1326" i="1"/>
  <c r="F1326" i="1"/>
  <c r="E1326" i="1"/>
  <c r="D1326" i="1"/>
  <c r="C1326" i="1"/>
  <c r="B1326" i="1"/>
  <c r="A1326" i="1"/>
  <c r="J1325" i="1"/>
  <c r="I1325" i="1"/>
  <c r="H1325" i="1"/>
  <c r="G1325" i="1"/>
  <c r="E1325" i="1"/>
  <c r="D1325" i="1"/>
  <c r="C1325" i="1"/>
  <c r="B1325" i="1"/>
  <c r="A1325" i="1"/>
  <c r="J1324" i="1"/>
  <c r="I1324" i="1"/>
  <c r="H1324" i="1"/>
  <c r="G1324" i="1"/>
  <c r="E1324" i="1"/>
  <c r="D1324" i="1"/>
  <c r="C1324" i="1"/>
  <c r="B1324" i="1"/>
  <c r="A1324" i="1"/>
  <c r="J1323" i="1"/>
  <c r="I1323" i="1"/>
  <c r="H1323" i="1"/>
  <c r="G1323" i="1"/>
  <c r="E1323" i="1"/>
  <c r="D1323" i="1"/>
  <c r="C1323" i="1"/>
  <c r="B1323" i="1"/>
  <c r="A1323" i="1"/>
  <c r="J1322" i="1"/>
  <c r="I1322" i="1"/>
  <c r="H1322" i="1"/>
  <c r="G1322" i="1"/>
  <c r="E1322" i="1"/>
  <c r="D1322" i="1"/>
  <c r="C1322" i="1"/>
  <c r="B1322" i="1"/>
  <c r="A1322" i="1"/>
  <c r="J1321" i="1"/>
  <c r="I1321" i="1"/>
  <c r="H1321" i="1"/>
  <c r="G1321" i="1"/>
  <c r="E1321" i="1"/>
  <c r="D1321" i="1"/>
  <c r="C1321" i="1"/>
  <c r="B1321" i="1"/>
  <c r="A1321" i="1"/>
  <c r="J1320" i="1"/>
  <c r="I1320" i="1"/>
  <c r="H1320" i="1"/>
  <c r="G1320" i="1"/>
  <c r="E1320" i="1"/>
  <c r="D1320" i="1"/>
  <c r="C1320" i="1"/>
  <c r="B1320" i="1"/>
  <c r="A1320" i="1"/>
  <c r="J1319" i="1"/>
  <c r="I1319" i="1"/>
  <c r="H1319" i="1"/>
  <c r="G1319" i="1"/>
  <c r="F1319" i="1"/>
  <c r="E1319" i="1"/>
  <c r="D1319" i="1"/>
  <c r="C1319" i="1"/>
  <c r="B1319" i="1"/>
  <c r="A1319" i="1"/>
  <c r="J1318" i="1"/>
  <c r="I1318" i="1"/>
  <c r="H1318" i="1"/>
  <c r="G1318" i="1"/>
  <c r="F1318" i="1"/>
  <c r="E1318" i="1"/>
  <c r="D1318" i="1"/>
  <c r="C1318" i="1"/>
  <c r="B1318" i="1"/>
  <c r="A1318" i="1"/>
  <c r="J1317" i="1"/>
  <c r="I1317" i="1"/>
  <c r="H1317" i="1"/>
  <c r="G1317" i="1"/>
  <c r="F1317" i="1"/>
  <c r="E1317" i="1"/>
  <c r="D1317" i="1"/>
  <c r="C1317" i="1"/>
  <c r="B1317" i="1"/>
  <c r="A1317" i="1"/>
  <c r="J1316" i="1"/>
  <c r="I1316" i="1"/>
  <c r="H1316" i="1"/>
  <c r="G1316" i="1"/>
  <c r="F1316" i="1"/>
  <c r="E1316" i="1"/>
  <c r="D1316" i="1"/>
  <c r="C1316" i="1"/>
  <c r="B1316" i="1"/>
  <c r="A1316" i="1"/>
  <c r="J1315" i="1"/>
  <c r="I1315" i="1"/>
  <c r="H1315" i="1"/>
  <c r="G1315" i="1"/>
  <c r="F1315" i="1"/>
  <c r="E1315" i="1"/>
  <c r="D1315" i="1"/>
  <c r="C1315" i="1"/>
  <c r="B1315" i="1"/>
  <c r="A1315" i="1"/>
  <c r="J1314" i="1"/>
  <c r="I1314" i="1"/>
  <c r="H1314" i="1"/>
  <c r="G1314" i="1"/>
  <c r="F1314" i="1"/>
  <c r="E1314" i="1"/>
  <c r="D1314" i="1"/>
  <c r="C1314" i="1"/>
  <c r="B1314" i="1"/>
  <c r="A1314" i="1"/>
  <c r="J1313" i="1"/>
  <c r="I1313" i="1"/>
  <c r="H1313" i="1"/>
  <c r="G1313" i="1"/>
  <c r="E1313" i="1"/>
  <c r="D1313" i="1"/>
  <c r="C1313" i="1"/>
  <c r="B1313" i="1"/>
  <c r="A1313" i="1"/>
  <c r="J1312" i="1"/>
  <c r="I1312" i="1"/>
  <c r="H1312" i="1"/>
  <c r="G1312" i="1"/>
  <c r="E1312" i="1"/>
  <c r="D1312" i="1"/>
  <c r="C1312" i="1"/>
  <c r="B1312" i="1"/>
  <c r="A1312" i="1"/>
  <c r="J1311" i="1"/>
  <c r="I1311" i="1"/>
  <c r="H1311" i="1"/>
  <c r="G1311" i="1"/>
  <c r="E1311" i="1"/>
  <c r="D1311" i="1"/>
  <c r="C1311" i="1"/>
  <c r="B1311" i="1"/>
  <c r="A1311" i="1"/>
  <c r="J1310" i="1"/>
  <c r="I1310" i="1"/>
  <c r="H1310" i="1"/>
  <c r="G1310" i="1"/>
  <c r="E1310" i="1"/>
  <c r="D1310" i="1"/>
  <c r="C1310" i="1"/>
  <c r="B1310" i="1"/>
  <c r="A1310" i="1"/>
  <c r="J1309" i="1"/>
  <c r="I1309" i="1"/>
  <c r="H1309" i="1"/>
  <c r="G1309" i="1"/>
  <c r="E1309" i="1"/>
  <c r="D1309" i="1"/>
  <c r="C1309" i="1"/>
  <c r="B1309" i="1"/>
  <c r="A1309" i="1"/>
  <c r="J1308" i="1"/>
  <c r="I1308" i="1"/>
  <c r="H1308" i="1"/>
  <c r="G1308" i="1"/>
  <c r="F1308" i="1"/>
  <c r="E1308" i="1"/>
  <c r="D1308" i="1"/>
  <c r="C1308" i="1"/>
  <c r="B1308" i="1"/>
  <c r="A1308" i="1"/>
  <c r="J1307" i="1"/>
  <c r="I1307" i="1"/>
  <c r="H1307" i="1"/>
  <c r="G1307" i="1"/>
  <c r="F1307" i="1"/>
  <c r="E1307" i="1"/>
  <c r="D1307" i="1"/>
  <c r="C1307" i="1"/>
  <c r="B1307" i="1"/>
  <c r="A1307" i="1"/>
  <c r="J1306" i="1"/>
  <c r="I1306" i="1"/>
  <c r="H1306" i="1"/>
  <c r="G1306" i="1"/>
  <c r="F1306" i="1"/>
  <c r="E1306" i="1"/>
  <c r="D1306" i="1"/>
  <c r="C1306" i="1"/>
  <c r="B1306" i="1"/>
  <c r="A1306" i="1"/>
  <c r="J1305" i="1"/>
  <c r="I1305" i="1"/>
  <c r="H1305" i="1"/>
  <c r="G1305" i="1"/>
  <c r="F1305" i="1"/>
  <c r="E1305" i="1"/>
  <c r="D1305" i="1"/>
  <c r="C1305" i="1"/>
  <c r="B1305" i="1"/>
  <c r="A1305" i="1"/>
  <c r="J1304" i="1"/>
  <c r="I1304" i="1"/>
  <c r="H1304" i="1"/>
  <c r="G1304" i="1"/>
  <c r="F1304" i="1"/>
  <c r="E1304" i="1"/>
  <c r="D1304" i="1"/>
  <c r="C1304" i="1"/>
  <c r="B1304" i="1"/>
  <c r="A1304" i="1"/>
  <c r="J1303" i="1"/>
  <c r="I1303" i="1"/>
  <c r="H1303" i="1"/>
  <c r="G1303" i="1"/>
  <c r="F1303" i="1"/>
  <c r="E1303" i="1"/>
  <c r="D1303" i="1"/>
  <c r="C1303" i="1"/>
  <c r="B1303" i="1"/>
  <c r="A1303" i="1"/>
  <c r="J1302" i="1"/>
  <c r="I1302" i="1"/>
  <c r="H1302" i="1"/>
  <c r="G1302" i="1"/>
  <c r="F1302" i="1"/>
  <c r="E1302" i="1"/>
  <c r="D1302" i="1"/>
  <c r="C1302" i="1"/>
  <c r="B1302" i="1"/>
  <c r="A1302" i="1"/>
  <c r="J1301" i="1"/>
  <c r="I1301" i="1"/>
  <c r="H1301" i="1"/>
  <c r="G1301" i="1"/>
  <c r="F1301" i="1"/>
  <c r="E1301" i="1"/>
  <c r="D1301" i="1"/>
  <c r="C1301" i="1"/>
  <c r="B1301" i="1"/>
  <c r="A1301" i="1"/>
  <c r="J1300" i="1"/>
  <c r="I1300" i="1"/>
  <c r="H1300" i="1"/>
  <c r="G1300" i="1"/>
  <c r="F1300" i="1"/>
  <c r="E1300" i="1"/>
  <c r="D1300" i="1"/>
  <c r="C1300" i="1"/>
  <c r="B1300" i="1"/>
  <c r="A1300" i="1"/>
  <c r="J1299" i="1"/>
  <c r="I1299" i="1"/>
  <c r="H1299" i="1"/>
  <c r="G1299" i="1"/>
  <c r="E1299" i="1"/>
  <c r="D1299" i="1"/>
  <c r="C1299" i="1"/>
  <c r="B1299" i="1"/>
  <c r="A1299" i="1"/>
  <c r="J1298" i="1"/>
  <c r="I1298" i="1"/>
  <c r="H1298" i="1"/>
  <c r="G1298" i="1"/>
  <c r="F1298" i="1"/>
  <c r="E1298" i="1"/>
  <c r="D1298" i="1"/>
  <c r="C1298" i="1"/>
  <c r="B1298" i="1"/>
  <c r="A1298" i="1"/>
  <c r="J1297" i="1"/>
  <c r="I1297" i="1"/>
  <c r="H1297" i="1"/>
  <c r="G1297" i="1"/>
  <c r="E1297" i="1"/>
  <c r="D1297" i="1"/>
  <c r="C1297" i="1"/>
  <c r="B1297" i="1"/>
  <c r="A1297" i="1"/>
  <c r="J1296" i="1"/>
  <c r="I1296" i="1"/>
  <c r="H1296" i="1"/>
  <c r="G1296" i="1"/>
  <c r="F1296" i="1"/>
  <c r="E1296" i="1"/>
  <c r="D1296" i="1"/>
  <c r="C1296" i="1"/>
  <c r="B1296" i="1"/>
  <c r="A1296" i="1"/>
  <c r="J1295" i="1"/>
  <c r="I1295" i="1"/>
  <c r="H1295" i="1"/>
  <c r="G1295" i="1"/>
  <c r="F1295" i="1"/>
  <c r="E1295" i="1"/>
  <c r="D1295" i="1"/>
  <c r="C1295" i="1"/>
  <c r="B1295" i="1"/>
  <c r="A1295" i="1"/>
  <c r="J1294" i="1"/>
  <c r="I1294" i="1"/>
  <c r="H1294" i="1"/>
  <c r="G1294" i="1"/>
  <c r="E1294" i="1"/>
  <c r="D1294" i="1"/>
  <c r="C1294" i="1"/>
  <c r="B1294" i="1"/>
  <c r="A1294" i="1"/>
  <c r="J1293" i="1"/>
  <c r="I1293" i="1"/>
  <c r="H1293" i="1"/>
  <c r="G1293" i="1"/>
  <c r="F1293" i="1"/>
  <c r="E1293" i="1"/>
  <c r="D1293" i="1"/>
  <c r="C1293" i="1"/>
  <c r="B1293" i="1"/>
  <c r="A1293" i="1"/>
  <c r="J1292" i="1"/>
  <c r="I1292" i="1"/>
  <c r="H1292" i="1"/>
  <c r="G1292" i="1"/>
  <c r="E1292" i="1"/>
  <c r="D1292" i="1"/>
  <c r="C1292" i="1"/>
  <c r="B1292" i="1"/>
  <c r="A1292" i="1"/>
  <c r="J1291" i="1"/>
  <c r="I1291" i="1"/>
  <c r="H1291" i="1"/>
  <c r="G1291" i="1"/>
  <c r="F1291" i="1"/>
  <c r="E1291" i="1"/>
  <c r="D1291" i="1"/>
  <c r="C1291" i="1"/>
  <c r="B1291" i="1"/>
  <c r="A1291" i="1"/>
  <c r="J1290" i="1"/>
  <c r="I1290" i="1"/>
  <c r="H1290" i="1"/>
  <c r="G1290" i="1"/>
  <c r="E1290" i="1"/>
  <c r="D1290" i="1"/>
  <c r="C1290" i="1"/>
  <c r="B1290" i="1"/>
  <c r="A1290" i="1"/>
  <c r="J1289" i="1"/>
  <c r="I1289" i="1"/>
  <c r="H1289" i="1"/>
  <c r="G1289" i="1"/>
  <c r="F1289" i="1"/>
  <c r="E1289" i="1"/>
  <c r="D1289" i="1"/>
  <c r="C1289" i="1"/>
  <c r="B1289" i="1"/>
  <c r="A1289" i="1"/>
  <c r="J1288" i="1"/>
  <c r="I1288" i="1"/>
  <c r="H1288" i="1"/>
  <c r="G1288" i="1"/>
  <c r="E1288" i="1"/>
  <c r="D1288" i="1"/>
  <c r="C1288" i="1"/>
  <c r="B1288" i="1"/>
  <c r="A1288" i="1"/>
  <c r="J1287" i="1"/>
  <c r="I1287" i="1"/>
  <c r="H1287" i="1"/>
  <c r="G1287" i="1"/>
  <c r="F1287" i="1"/>
  <c r="E1287" i="1"/>
  <c r="D1287" i="1"/>
  <c r="C1287" i="1"/>
  <c r="B1287" i="1"/>
  <c r="A1287" i="1"/>
  <c r="J1286" i="1"/>
  <c r="I1286" i="1"/>
  <c r="H1286" i="1"/>
  <c r="G1286" i="1"/>
  <c r="F1286" i="1"/>
  <c r="E1286" i="1"/>
  <c r="D1286" i="1"/>
  <c r="C1286" i="1"/>
  <c r="B1286" i="1"/>
  <c r="A1286" i="1"/>
  <c r="J1285" i="1"/>
  <c r="I1285" i="1"/>
  <c r="H1285" i="1"/>
  <c r="G1285" i="1"/>
  <c r="F1285" i="1"/>
  <c r="E1285" i="1"/>
  <c r="D1285" i="1"/>
  <c r="C1285" i="1"/>
  <c r="B1285" i="1"/>
  <c r="A1285" i="1"/>
  <c r="J1284" i="1"/>
  <c r="I1284" i="1"/>
  <c r="H1284" i="1"/>
  <c r="G1284" i="1"/>
  <c r="F1284" i="1"/>
  <c r="E1284" i="1"/>
  <c r="D1284" i="1"/>
  <c r="C1284" i="1"/>
  <c r="B1284" i="1"/>
  <c r="A1284" i="1"/>
  <c r="J1283" i="1"/>
  <c r="I1283" i="1"/>
  <c r="H1283" i="1"/>
  <c r="G1283" i="1"/>
  <c r="E1283" i="1"/>
  <c r="D1283" i="1"/>
  <c r="C1283" i="1"/>
  <c r="B1283" i="1"/>
  <c r="A1283" i="1"/>
  <c r="J1282" i="1"/>
  <c r="I1282" i="1"/>
  <c r="H1282" i="1"/>
  <c r="G1282" i="1"/>
  <c r="E1282" i="1"/>
  <c r="D1282" i="1"/>
  <c r="C1282" i="1"/>
  <c r="B1282" i="1"/>
  <c r="A1282" i="1"/>
  <c r="J1281" i="1"/>
  <c r="I1281" i="1"/>
  <c r="H1281" i="1"/>
  <c r="G1281" i="1"/>
  <c r="F1281" i="1"/>
  <c r="E1281" i="1"/>
  <c r="D1281" i="1"/>
  <c r="C1281" i="1"/>
  <c r="B1281" i="1"/>
  <c r="A1281" i="1"/>
  <c r="J1280" i="1"/>
  <c r="I1280" i="1"/>
  <c r="H1280" i="1"/>
  <c r="G1280" i="1"/>
  <c r="F1280" i="1"/>
  <c r="E1280" i="1"/>
  <c r="D1280" i="1"/>
  <c r="C1280" i="1"/>
  <c r="B1280" i="1"/>
  <c r="A1280" i="1"/>
  <c r="J1279" i="1"/>
  <c r="I1279" i="1"/>
  <c r="H1279" i="1"/>
  <c r="G1279" i="1"/>
  <c r="F1279" i="1"/>
  <c r="E1279" i="1"/>
  <c r="D1279" i="1"/>
  <c r="C1279" i="1"/>
  <c r="B1279" i="1"/>
  <c r="A1279" i="1"/>
  <c r="J1278" i="1"/>
  <c r="I1278" i="1"/>
  <c r="H1278" i="1"/>
  <c r="G1278" i="1"/>
  <c r="F1278" i="1"/>
  <c r="E1278" i="1"/>
  <c r="D1278" i="1"/>
  <c r="C1278" i="1"/>
  <c r="B1278" i="1"/>
  <c r="A1278" i="1"/>
  <c r="J1277" i="1"/>
  <c r="I1277" i="1"/>
  <c r="H1277" i="1"/>
  <c r="G1277" i="1"/>
  <c r="F1277" i="1"/>
  <c r="E1277" i="1"/>
  <c r="D1277" i="1"/>
  <c r="C1277" i="1"/>
  <c r="B1277" i="1"/>
  <c r="A1277" i="1"/>
  <c r="J1276" i="1"/>
  <c r="I1276" i="1"/>
  <c r="H1276" i="1"/>
  <c r="G1276" i="1"/>
  <c r="F1276" i="1"/>
  <c r="E1276" i="1"/>
  <c r="D1276" i="1"/>
  <c r="C1276" i="1"/>
  <c r="B1276" i="1"/>
  <c r="A1276" i="1"/>
  <c r="J1275" i="1"/>
  <c r="I1275" i="1"/>
  <c r="H1275" i="1"/>
  <c r="G1275" i="1"/>
  <c r="F1275" i="1"/>
  <c r="E1275" i="1"/>
  <c r="D1275" i="1"/>
  <c r="C1275" i="1"/>
  <c r="B1275" i="1"/>
  <c r="A1275" i="1"/>
  <c r="J1274" i="1"/>
  <c r="I1274" i="1"/>
  <c r="H1274" i="1"/>
  <c r="G1274" i="1"/>
  <c r="F1274" i="1"/>
  <c r="E1274" i="1"/>
  <c r="D1274" i="1"/>
  <c r="C1274" i="1"/>
  <c r="B1274" i="1"/>
  <c r="A1274" i="1"/>
  <c r="J1273" i="1"/>
  <c r="I1273" i="1"/>
  <c r="H1273" i="1"/>
  <c r="G1273" i="1"/>
  <c r="F1273" i="1"/>
  <c r="E1273" i="1"/>
  <c r="D1273" i="1"/>
  <c r="C1273" i="1"/>
  <c r="B1273" i="1"/>
  <c r="A1273" i="1"/>
  <c r="J1272" i="1"/>
  <c r="I1272" i="1"/>
  <c r="H1272" i="1"/>
  <c r="G1272" i="1"/>
  <c r="F1272" i="1"/>
  <c r="E1272" i="1"/>
  <c r="D1272" i="1"/>
  <c r="C1272" i="1"/>
  <c r="B1272" i="1"/>
  <c r="A1272" i="1"/>
  <c r="J1271" i="1"/>
  <c r="I1271" i="1"/>
  <c r="H1271" i="1"/>
  <c r="G1271" i="1"/>
  <c r="E1271" i="1"/>
  <c r="D1271" i="1"/>
  <c r="C1271" i="1"/>
  <c r="B1271" i="1"/>
  <c r="A1271" i="1"/>
  <c r="J1270" i="1"/>
  <c r="I1270" i="1"/>
  <c r="H1270" i="1"/>
  <c r="G1270" i="1"/>
  <c r="F1270" i="1"/>
  <c r="E1270" i="1"/>
  <c r="D1270" i="1"/>
  <c r="C1270" i="1"/>
  <c r="B1270" i="1"/>
  <c r="A1270" i="1"/>
  <c r="J1269" i="1"/>
  <c r="I1269" i="1"/>
  <c r="H1269" i="1"/>
  <c r="G1269" i="1"/>
  <c r="F1269" i="1"/>
  <c r="E1269" i="1"/>
  <c r="D1269" i="1"/>
  <c r="C1269" i="1"/>
  <c r="B1269" i="1"/>
  <c r="A1269" i="1"/>
  <c r="J1268" i="1"/>
  <c r="I1268" i="1"/>
  <c r="H1268" i="1"/>
  <c r="G1268" i="1"/>
  <c r="F1268" i="1"/>
  <c r="E1268" i="1"/>
  <c r="D1268" i="1"/>
  <c r="C1268" i="1"/>
  <c r="B1268" i="1"/>
  <c r="A1268" i="1"/>
  <c r="J1267" i="1"/>
  <c r="I1267" i="1"/>
  <c r="H1267" i="1"/>
  <c r="G1267" i="1"/>
  <c r="E1267" i="1"/>
  <c r="D1267" i="1"/>
  <c r="C1267" i="1"/>
  <c r="B1267" i="1"/>
  <c r="A1267" i="1"/>
  <c r="J1266" i="1"/>
  <c r="I1266" i="1"/>
  <c r="H1266" i="1"/>
  <c r="G1266" i="1"/>
  <c r="E1266" i="1"/>
  <c r="D1266" i="1"/>
  <c r="C1266" i="1"/>
  <c r="B1266" i="1"/>
  <c r="A1266" i="1"/>
  <c r="J1265" i="1"/>
  <c r="I1265" i="1"/>
  <c r="H1265" i="1"/>
  <c r="G1265" i="1"/>
  <c r="E1265" i="1"/>
  <c r="D1265" i="1"/>
  <c r="C1265" i="1"/>
  <c r="B1265" i="1"/>
  <c r="A1265" i="1"/>
  <c r="J1264" i="1"/>
  <c r="I1264" i="1"/>
  <c r="H1264" i="1"/>
  <c r="G1264" i="1"/>
  <c r="E1264" i="1"/>
  <c r="D1264" i="1"/>
  <c r="C1264" i="1"/>
  <c r="B1264" i="1"/>
  <c r="A1264" i="1"/>
  <c r="J1263" i="1"/>
  <c r="I1263" i="1"/>
  <c r="H1263" i="1"/>
  <c r="G1263" i="1"/>
  <c r="E1263" i="1"/>
  <c r="D1263" i="1"/>
  <c r="C1263" i="1"/>
  <c r="B1263" i="1"/>
  <c r="A1263" i="1"/>
  <c r="J1262" i="1"/>
  <c r="I1262" i="1"/>
  <c r="H1262" i="1"/>
  <c r="G1262" i="1"/>
  <c r="E1262" i="1"/>
  <c r="D1262" i="1"/>
  <c r="C1262" i="1"/>
  <c r="B1262" i="1"/>
  <c r="A1262" i="1"/>
  <c r="J1261" i="1"/>
  <c r="I1261" i="1"/>
  <c r="H1261" i="1"/>
  <c r="G1261" i="1"/>
  <c r="E1261" i="1"/>
  <c r="D1261" i="1"/>
  <c r="C1261" i="1"/>
  <c r="B1261" i="1"/>
  <c r="A1261" i="1"/>
  <c r="J1260" i="1"/>
  <c r="I1260" i="1"/>
  <c r="H1260" i="1"/>
  <c r="G1260" i="1"/>
  <c r="E1260" i="1"/>
  <c r="D1260" i="1"/>
  <c r="C1260" i="1"/>
  <c r="B1260" i="1"/>
  <c r="A1260" i="1"/>
  <c r="J1259" i="1"/>
  <c r="I1259" i="1"/>
  <c r="H1259" i="1"/>
  <c r="G1259" i="1"/>
  <c r="F1259" i="1"/>
  <c r="E1259" i="1"/>
  <c r="D1259" i="1"/>
  <c r="C1259" i="1"/>
  <c r="B1259" i="1"/>
  <c r="A1259" i="1"/>
  <c r="J1258" i="1"/>
  <c r="I1258" i="1"/>
  <c r="H1258" i="1"/>
  <c r="G1258" i="1"/>
  <c r="E1258" i="1"/>
  <c r="D1258" i="1"/>
  <c r="C1258" i="1"/>
  <c r="B1258" i="1"/>
  <c r="A1258" i="1"/>
  <c r="J1257" i="1"/>
  <c r="I1257" i="1"/>
  <c r="H1257" i="1"/>
  <c r="G1257" i="1"/>
  <c r="E1257" i="1"/>
  <c r="D1257" i="1"/>
  <c r="C1257" i="1"/>
  <c r="B1257" i="1"/>
  <c r="A1257" i="1"/>
  <c r="J1256" i="1"/>
  <c r="I1256" i="1"/>
  <c r="H1256" i="1"/>
  <c r="G1256" i="1"/>
  <c r="E1256" i="1"/>
  <c r="D1256" i="1"/>
  <c r="C1256" i="1"/>
  <c r="B1256" i="1"/>
  <c r="A1256" i="1"/>
  <c r="J1255" i="1"/>
  <c r="I1255" i="1"/>
  <c r="H1255" i="1"/>
  <c r="G1255" i="1"/>
  <c r="E1255" i="1"/>
  <c r="D1255" i="1"/>
  <c r="C1255" i="1"/>
  <c r="B1255" i="1"/>
  <c r="A1255" i="1"/>
  <c r="J1254" i="1"/>
  <c r="I1254" i="1"/>
  <c r="H1254" i="1"/>
  <c r="G1254" i="1"/>
  <c r="F1254" i="1"/>
  <c r="E1254" i="1"/>
  <c r="D1254" i="1"/>
  <c r="C1254" i="1"/>
  <c r="B1254" i="1"/>
  <c r="A1254" i="1"/>
  <c r="J1253" i="1"/>
  <c r="I1253" i="1"/>
  <c r="H1253" i="1"/>
  <c r="G1253" i="1"/>
  <c r="E1253" i="1"/>
  <c r="D1253" i="1"/>
  <c r="C1253" i="1"/>
  <c r="B1253" i="1"/>
  <c r="A1253" i="1"/>
  <c r="J1252" i="1"/>
  <c r="I1252" i="1"/>
  <c r="H1252" i="1"/>
  <c r="G1252" i="1"/>
  <c r="E1252" i="1"/>
  <c r="D1252" i="1"/>
  <c r="C1252" i="1"/>
  <c r="B1252" i="1"/>
  <c r="A1252" i="1"/>
  <c r="J1251" i="1"/>
  <c r="I1251" i="1"/>
  <c r="H1251" i="1"/>
  <c r="G1251" i="1"/>
  <c r="E1251" i="1"/>
  <c r="D1251" i="1"/>
  <c r="C1251" i="1"/>
  <c r="B1251" i="1"/>
  <c r="A1251" i="1"/>
  <c r="J1250" i="1"/>
  <c r="I1250" i="1"/>
  <c r="H1250" i="1"/>
  <c r="G1250" i="1"/>
  <c r="E1250" i="1"/>
  <c r="D1250" i="1"/>
  <c r="C1250" i="1"/>
  <c r="B1250" i="1"/>
  <c r="A1250" i="1"/>
  <c r="J1249" i="1"/>
  <c r="I1249" i="1"/>
  <c r="H1249" i="1"/>
  <c r="G1249" i="1"/>
  <c r="F1249" i="1"/>
  <c r="E1249" i="1"/>
  <c r="D1249" i="1"/>
  <c r="C1249" i="1"/>
  <c r="B1249" i="1"/>
  <c r="A1249" i="1"/>
  <c r="J1248" i="1"/>
  <c r="I1248" i="1"/>
  <c r="H1248" i="1"/>
  <c r="G1248" i="1"/>
  <c r="E1248" i="1"/>
  <c r="D1248" i="1"/>
  <c r="C1248" i="1"/>
  <c r="B1248" i="1"/>
  <c r="A1248" i="1"/>
  <c r="J1247" i="1"/>
  <c r="I1247" i="1"/>
  <c r="H1247" i="1"/>
  <c r="G1247" i="1"/>
  <c r="E1247" i="1"/>
  <c r="D1247" i="1"/>
  <c r="C1247" i="1"/>
  <c r="B1247" i="1"/>
  <c r="A1247" i="1"/>
  <c r="J1246" i="1"/>
  <c r="I1246" i="1"/>
  <c r="H1246" i="1"/>
  <c r="G1246" i="1"/>
  <c r="E1246" i="1"/>
  <c r="D1246" i="1"/>
  <c r="C1246" i="1"/>
  <c r="B1246" i="1"/>
  <c r="A1246" i="1"/>
  <c r="J1245" i="1"/>
  <c r="I1245" i="1"/>
  <c r="H1245" i="1"/>
  <c r="G1245" i="1"/>
  <c r="E1245" i="1"/>
  <c r="D1245" i="1"/>
  <c r="C1245" i="1"/>
  <c r="B1245" i="1"/>
  <c r="A1245" i="1"/>
  <c r="J1244" i="1"/>
  <c r="I1244" i="1"/>
  <c r="H1244" i="1"/>
  <c r="G1244" i="1"/>
  <c r="E1244" i="1"/>
  <c r="D1244" i="1"/>
  <c r="C1244" i="1"/>
  <c r="B1244" i="1"/>
  <c r="A1244" i="1"/>
  <c r="J1243" i="1"/>
  <c r="I1243" i="1"/>
  <c r="H1243" i="1"/>
  <c r="G1243" i="1"/>
  <c r="E1243" i="1"/>
  <c r="D1243" i="1"/>
  <c r="C1243" i="1"/>
  <c r="B1243" i="1"/>
  <c r="A1243" i="1"/>
  <c r="J1242" i="1"/>
  <c r="I1242" i="1"/>
  <c r="H1242" i="1"/>
  <c r="G1242" i="1"/>
  <c r="F1242" i="1"/>
  <c r="E1242" i="1"/>
  <c r="D1242" i="1"/>
  <c r="C1242" i="1"/>
  <c r="B1242" i="1"/>
  <c r="A1242" i="1"/>
  <c r="J1241" i="1"/>
  <c r="I1241" i="1"/>
  <c r="H1241" i="1"/>
  <c r="G1241" i="1"/>
  <c r="E1241" i="1"/>
  <c r="D1241" i="1"/>
  <c r="C1241" i="1"/>
  <c r="B1241" i="1"/>
  <c r="A1241" i="1"/>
  <c r="J1240" i="1"/>
  <c r="I1240" i="1"/>
  <c r="H1240" i="1"/>
  <c r="G1240" i="1"/>
  <c r="F1240" i="1"/>
  <c r="E1240" i="1"/>
  <c r="D1240" i="1"/>
  <c r="C1240" i="1"/>
  <c r="B1240" i="1"/>
  <c r="A1240" i="1"/>
  <c r="J1239" i="1"/>
  <c r="I1239" i="1"/>
  <c r="H1239" i="1"/>
  <c r="G1239" i="1"/>
  <c r="E1239" i="1"/>
  <c r="D1239" i="1"/>
  <c r="C1239" i="1"/>
  <c r="B1239" i="1"/>
  <c r="A1239" i="1"/>
  <c r="J1238" i="1"/>
  <c r="I1238" i="1"/>
  <c r="H1238" i="1"/>
  <c r="G1238" i="1"/>
  <c r="F1238" i="1"/>
  <c r="E1238" i="1"/>
  <c r="D1238" i="1"/>
  <c r="C1238" i="1"/>
  <c r="B1238" i="1"/>
  <c r="A1238" i="1"/>
  <c r="J1237" i="1"/>
  <c r="I1237" i="1"/>
  <c r="H1237" i="1"/>
  <c r="G1237" i="1"/>
  <c r="E1237" i="1"/>
  <c r="C1237" i="1"/>
  <c r="B1237" i="1"/>
  <c r="A1237" i="1"/>
  <c r="J1236" i="1"/>
  <c r="I1236" i="1"/>
  <c r="H1236" i="1"/>
  <c r="G1236" i="1"/>
  <c r="E1236" i="1"/>
  <c r="D1236" i="1"/>
  <c r="C1236" i="1"/>
  <c r="B1236" i="1"/>
  <c r="A1236" i="1"/>
  <c r="J1235" i="1"/>
  <c r="I1235" i="1"/>
  <c r="H1235" i="1"/>
  <c r="G1235" i="1"/>
  <c r="E1235" i="1"/>
  <c r="D1235" i="1"/>
  <c r="C1235" i="1"/>
  <c r="B1235" i="1"/>
  <c r="A1235" i="1"/>
  <c r="J1234" i="1"/>
  <c r="I1234" i="1"/>
  <c r="H1234" i="1"/>
  <c r="G1234" i="1"/>
  <c r="F1234" i="1"/>
  <c r="E1234" i="1"/>
  <c r="D1234" i="1"/>
  <c r="C1234" i="1"/>
  <c r="B1234" i="1"/>
  <c r="A1234" i="1"/>
  <c r="J1233" i="1"/>
  <c r="I1233" i="1"/>
  <c r="H1233" i="1"/>
  <c r="G1233" i="1"/>
  <c r="E1233" i="1"/>
  <c r="D1233" i="1"/>
  <c r="C1233" i="1"/>
  <c r="B1233" i="1"/>
  <c r="A1233" i="1"/>
  <c r="J1232" i="1"/>
  <c r="I1232" i="1"/>
  <c r="H1232" i="1"/>
  <c r="G1232" i="1"/>
  <c r="E1232" i="1"/>
  <c r="D1232" i="1"/>
  <c r="C1232" i="1"/>
  <c r="B1232" i="1"/>
  <c r="A1232" i="1"/>
  <c r="J1231" i="1"/>
  <c r="I1231" i="1"/>
  <c r="H1231" i="1"/>
  <c r="G1231" i="1"/>
  <c r="E1231" i="1"/>
  <c r="D1231" i="1"/>
  <c r="C1231" i="1"/>
  <c r="B1231" i="1"/>
  <c r="A1231" i="1"/>
  <c r="J1230" i="1"/>
  <c r="I1230" i="1"/>
  <c r="H1230" i="1"/>
  <c r="G1230" i="1"/>
  <c r="E1230" i="1"/>
  <c r="D1230" i="1"/>
  <c r="C1230" i="1"/>
  <c r="B1230" i="1"/>
  <c r="A1230" i="1"/>
  <c r="J1229" i="1"/>
  <c r="I1229" i="1"/>
  <c r="H1229" i="1"/>
  <c r="G1229" i="1"/>
  <c r="F1229" i="1"/>
  <c r="E1229" i="1"/>
  <c r="D1229" i="1"/>
  <c r="C1229" i="1"/>
  <c r="B1229" i="1"/>
  <c r="A1229" i="1"/>
  <c r="J1228" i="1"/>
  <c r="I1228" i="1"/>
  <c r="H1228" i="1"/>
  <c r="G1228" i="1"/>
  <c r="F1228" i="1"/>
  <c r="E1228" i="1"/>
  <c r="D1228" i="1"/>
  <c r="C1228" i="1"/>
  <c r="B1228" i="1"/>
  <c r="A1228" i="1"/>
  <c r="J1227" i="1"/>
  <c r="I1227" i="1"/>
  <c r="H1227" i="1"/>
  <c r="G1227" i="1"/>
  <c r="E1227" i="1"/>
  <c r="D1227" i="1"/>
  <c r="C1227" i="1"/>
  <c r="B1227" i="1"/>
  <c r="A1227" i="1"/>
  <c r="J1226" i="1"/>
  <c r="I1226" i="1"/>
  <c r="H1226" i="1"/>
  <c r="G1226" i="1"/>
  <c r="E1226" i="1"/>
  <c r="D1226" i="1"/>
  <c r="C1226" i="1"/>
  <c r="B1226" i="1"/>
  <c r="A1226" i="1"/>
  <c r="J1225" i="1"/>
  <c r="I1225" i="1"/>
  <c r="H1225" i="1"/>
  <c r="G1225" i="1"/>
  <c r="E1225" i="1"/>
  <c r="D1225" i="1"/>
  <c r="C1225" i="1"/>
  <c r="B1225" i="1"/>
  <c r="A1225" i="1"/>
  <c r="J1224" i="1"/>
  <c r="I1224" i="1"/>
  <c r="H1224" i="1"/>
  <c r="G1224" i="1"/>
  <c r="E1224" i="1"/>
  <c r="D1224" i="1"/>
  <c r="C1224" i="1"/>
  <c r="B1224" i="1"/>
  <c r="A1224" i="1"/>
  <c r="J1223" i="1"/>
  <c r="I1223" i="1"/>
  <c r="H1223" i="1"/>
  <c r="G1223" i="1"/>
  <c r="E1223" i="1"/>
  <c r="D1223" i="1"/>
  <c r="C1223" i="1"/>
  <c r="B1223" i="1"/>
  <c r="A1223" i="1"/>
  <c r="J1222" i="1"/>
  <c r="I1222" i="1"/>
  <c r="H1222" i="1"/>
  <c r="G1222" i="1"/>
  <c r="E1222" i="1"/>
  <c r="D1222" i="1"/>
  <c r="C1222" i="1"/>
  <c r="B1222" i="1"/>
  <c r="A1222" i="1"/>
  <c r="J1221" i="1"/>
  <c r="I1221" i="1"/>
  <c r="H1221" i="1"/>
  <c r="G1221" i="1"/>
  <c r="E1221" i="1"/>
  <c r="D1221" i="1"/>
  <c r="C1221" i="1"/>
  <c r="B1221" i="1"/>
  <c r="A1221" i="1"/>
  <c r="J1220" i="1"/>
  <c r="I1220" i="1"/>
  <c r="H1220" i="1"/>
  <c r="G1220" i="1"/>
  <c r="F1220" i="1"/>
  <c r="E1220" i="1"/>
  <c r="D1220" i="1"/>
  <c r="C1220" i="1"/>
  <c r="B1220" i="1"/>
  <c r="A1220" i="1"/>
  <c r="J1219" i="1"/>
  <c r="I1219" i="1"/>
  <c r="H1219" i="1"/>
  <c r="G1219" i="1"/>
  <c r="E1219" i="1"/>
  <c r="D1219" i="1"/>
  <c r="C1219" i="1"/>
  <c r="B1219" i="1"/>
  <c r="A1219" i="1"/>
  <c r="J1218" i="1"/>
  <c r="I1218" i="1"/>
  <c r="H1218" i="1"/>
  <c r="G1218" i="1"/>
  <c r="E1218" i="1"/>
  <c r="D1218" i="1"/>
  <c r="C1218" i="1"/>
  <c r="B1218" i="1"/>
  <c r="A1218" i="1"/>
  <c r="J1217" i="1"/>
  <c r="I1217" i="1"/>
  <c r="H1217" i="1"/>
  <c r="G1217" i="1"/>
  <c r="E1217" i="1"/>
  <c r="D1217" i="1"/>
  <c r="C1217" i="1"/>
  <c r="B1217" i="1"/>
  <c r="A1217" i="1"/>
  <c r="J1216" i="1"/>
  <c r="I1216" i="1"/>
  <c r="H1216" i="1"/>
  <c r="G1216" i="1"/>
  <c r="E1216" i="1"/>
  <c r="D1216" i="1"/>
  <c r="C1216" i="1"/>
  <c r="B1216" i="1"/>
  <c r="A1216" i="1"/>
  <c r="J1215" i="1"/>
  <c r="I1215" i="1"/>
  <c r="H1215" i="1"/>
  <c r="G1215" i="1"/>
  <c r="E1215" i="1"/>
  <c r="D1215" i="1"/>
  <c r="C1215" i="1"/>
  <c r="B1215" i="1"/>
  <c r="A1215" i="1"/>
  <c r="J1214" i="1"/>
  <c r="I1214" i="1"/>
  <c r="H1214" i="1"/>
  <c r="G1214" i="1"/>
  <c r="F1214" i="1"/>
  <c r="E1214" i="1"/>
  <c r="D1214" i="1"/>
  <c r="C1214" i="1"/>
  <c r="B1214" i="1"/>
  <c r="A1214" i="1"/>
  <c r="J1213" i="1"/>
  <c r="I1213" i="1"/>
  <c r="H1213" i="1"/>
  <c r="G1213" i="1"/>
  <c r="F1213" i="1"/>
  <c r="E1213" i="1"/>
  <c r="D1213" i="1"/>
  <c r="C1213" i="1"/>
  <c r="B1213" i="1"/>
  <c r="A1213" i="1"/>
  <c r="J1212" i="1"/>
  <c r="I1212" i="1"/>
  <c r="H1212" i="1"/>
  <c r="G1212" i="1"/>
  <c r="E1212" i="1"/>
  <c r="D1212" i="1"/>
  <c r="C1212" i="1"/>
  <c r="B1212" i="1"/>
  <c r="A1212" i="1"/>
  <c r="J1211" i="1"/>
  <c r="I1211" i="1"/>
  <c r="H1211" i="1"/>
  <c r="G1211" i="1"/>
  <c r="E1211" i="1"/>
  <c r="D1211" i="1"/>
  <c r="C1211" i="1"/>
  <c r="B1211" i="1"/>
  <c r="A1211" i="1"/>
  <c r="J1210" i="1"/>
  <c r="I1210" i="1"/>
  <c r="H1210" i="1"/>
  <c r="G1210" i="1"/>
  <c r="E1210" i="1"/>
  <c r="D1210" i="1"/>
  <c r="C1210" i="1"/>
  <c r="B1210" i="1"/>
  <c r="A1210" i="1"/>
  <c r="J1209" i="1"/>
  <c r="I1209" i="1"/>
  <c r="H1209" i="1"/>
  <c r="G1209" i="1"/>
  <c r="F1209" i="1"/>
  <c r="E1209" i="1"/>
  <c r="D1209" i="1"/>
  <c r="C1209" i="1"/>
  <c r="B1209" i="1"/>
  <c r="A1209" i="1"/>
  <c r="J1208" i="1"/>
  <c r="I1208" i="1"/>
  <c r="H1208" i="1"/>
  <c r="G1208" i="1"/>
  <c r="E1208" i="1"/>
  <c r="D1208" i="1"/>
  <c r="C1208" i="1"/>
  <c r="B1208" i="1"/>
  <c r="A1208" i="1"/>
  <c r="J1207" i="1"/>
  <c r="I1207" i="1"/>
  <c r="H1207" i="1"/>
  <c r="G1207" i="1"/>
  <c r="E1207" i="1"/>
  <c r="D1207" i="1"/>
  <c r="C1207" i="1"/>
  <c r="B1207" i="1"/>
  <c r="A1207" i="1"/>
  <c r="J1206" i="1"/>
  <c r="I1206" i="1"/>
  <c r="H1206" i="1"/>
  <c r="G1206" i="1"/>
  <c r="F1206" i="1"/>
  <c r="E1206" i="1"/>
  <c r="D1206" i="1"/>
  <c r="C1206" i="1"/>
  <c r="B1206" i="1"/>
  <c r="A1206" i="1"/>
  <c r="J1205" i="1"/>
  <c r="I1205" i="1"/>
  <c r="H1205" i="1"/>
  <c r="G1205" i="1"/>
  <c r="F1205" i="1"/>
  <c r="E1205" i="1"/>
  <c r="D1205" i="1"/>
  <c r="C1205" i="1"/>
  <c r="B1205" i="1"/>
  <c r="A1205" i="1"/>
  <c r="J1204" i="1"/>
  <c r="I1204" i="1"/>
  <c r="H1204" i="1"/>
  <c r="G1204" i="1"/>
  <c r="F1204" i="1"/>
  <c r="E1204" i="1"/>
  <c r="D1204" i="1"/>
  <c r="C1204" i="1"/>
  <c r="B1204" i="1"/>
  <c r="A1204" i="1"/>
  <c r="J1203" i="1"/>
  <c r="I1203" i="1"/>
  <c r="H1203" i="1"/>
  <c r="G1203" i="1"/>
  <c r="E1203" i="1"/>
  <c r="D1203" i="1"/>
  <c r="C1203" i="1"/>
  <c r="B1203" i="1"/>
  <c r="A1203" i="1"/>
  <c r="J1202" i="1"/>
  <c r="I1202" i="1"/>
  <c r="H1202" i="1"/>
  <c r="G1202" i="1"/>
  <c r="F1202" i="1"/>
  <c r="E1202" i="1"/>
  <c r="D1202" i="1"/>
  <c r="C1202" i="1"/>
  <c r="B1202" i="1"/>
  <c r="A1202" i="1"/>
  <c r="J1201" i="1"/>
  <c r="I1201" i="1"/>
  <c r="H1201" i="1"/>
  <c r="G1201" i="1"/>
  <c r="F1201" i="1"/>
  <c r="E1201" i="1"/>
  <c r="D1201" i="1"/>
  <c r="C1201" i="1"/>
  <c r="B1201" i="1"/>
  <c r="A1201" i="1"/>
  <c r="J1200" i="1"/>
  <c r="I1200" i="1"/>
  <c r="H1200" i="1"/>
  <c r="G1200" i="1"/>
  <c r="F1200" i="1"/>
  <c r="E1200" i="1"/>
  <c r="D1200" i="1"/>
  <c r="C1200" i="1"/>
  <c r="B1200" i="1"/>
  <c r="A1200" i="1"/>
  <c r="J1199" i="1"/>
  <c r="I1199" i="1"/>
  <c r="H1199" i="1"/>
  <c r="G1199" i="1"/>
  <c r="F1199" i="1"/>
  <c r="E1199" i="1"/>
  <c r="D1199" i="1"/>
  <c r="C1199" i="1"/>
  <c r="B1199" i="1"/>
  <c r="A1199" i="1"/>
  <c r="J1198" i="1"/>
  <c r="I1198" i="1"/>
  <c r="H1198" i="1"/>
  <c r="G1198" i="1"/>
  <c r="F1198" i="1"/>
  <c r="E1198" i="1"/>
  <c r="D1198" i="1"/>
  <c r="C1198" i="1"/>
  <c r="B1198" i="1"/>
  <c r="A1198" i="1"/>
  <c r="J1197" i="1"/>
  <c r="I1197" i="1"/>
  <c r="H1197" i="1"/>
  <c r="G1197" i="1"/>
  <c r="F1197" i="1"/>
  <c r="E1197" i="1"/>
  <c r="D1197" i="1"/>
  <c r="C1197" i="1"/>
  <c r="B1197" i="1"/>
  <c r="A1197" i="1"/>
  <c r="J1196" i="1"/>
  <c r="I1196" i="1"/>
  <c r="H1196" i="1"/>
  <c r="G1196" i="1"/>
  <c r="E1196" i="1"/>
  <c r="D1196" i="1"/>
  <c r="C1196" i="1"/>
  <c r="B1196" i="1"/>
  <c r="A1196" i="1"/>
  <c r="J1195" i="1"/>
  <c r="I1195" i="1"/>
  <c r="H1195" i="1"/>
  <c r="G1195" i="1"/>
  <c r="E1195" i="1"/>
  <c r="D1195" i="1"/>
  <c r="C1195" i="1"/>
  <c r="B1195" i="1"/>
  <c r="A1195" i="1"/>
  <c r="J1194" i="1"/>
  <c r="I1194" i="1"/>
  <c r="H1194" i="1"/>
  <c r="G1194" i="1"/>
  <c r="F1194" i="1"/>
  <c r="E1194" i="1"/>
  <c r="D1194" i="1"/>
  <c r="C1194" i="1"/>
  <c r="B1194" i="1"/>
  <c r="A1194" i="1"/>
  <c r="J1193" i="1"/>
  <c r="I1193" i="1"/>
  <c r="H1193" i="1"/>
  <c r="G1193" i="1"/>
  <c r="F1193" i="1"/>
  <c r="E1193" i="1"/>
  <c r="D1193" i="1"/>
  <c r="C1193" i="1"/>
  <c r="B1193" i="1"/>
  <c r="A1193" i="1"/>
  <c r="J1192" i="1"/>
  <c r="I1192" i="1"/>
  <c r="H1192" i="1"/>
  <c r="G1192" i="1"/>
  <c r="F1192" i="1"/>
  <c r="E1192" i="1"/>
  <c r="D1192" i="1"/>
  <c r="C1192" i="1"/>
  <c r="B1192" i="1"/>
  <c r="A1192" i="1"/>
  <c r="J1191" i="1"/>
  <c r="I1191" i="1"/>
  <c r="H1191" i="1"/>
  <c r="G1191" i="1"/>
  <c r="F1191" i="1"/>
  <c r="E1191" i="1"/>
  <c r="D1191" i="1"/>
  <c r="C1191" i="1"/>
  <c r="B1191" i="1"/>
  <c r="A1191" i="1"/>
  <c r="J1190" i="1"/>
  <c r="I1190" i="1"/>
  <c r="H1190" i="1"/>
  <c r="G1190" i="1"/>
  <c r="F1190" i="1"/>
  <c r="E1190" i="1"/>
  <c r="D1190" i="1"/>
  <c r="C1190" i="1"/>
  <c r="B1190" i="1"/>
  <c r="A1190" i="1"/>
  <c r="J1189" i="1"/>
  <c r="I1189" i="1"/>
  <c r="H1189" i="1"/>
  <c r="G1189" i="1"/>
  <c r="F1189" i="1"/>
  <c r="E1189" i="1"/>
  <c r="D1189" i="1"/>
  <c r="C1189" i="1"/>
  <c r="B1189" i="1"/>
  <c r="A1189" i="1"/>
  <c r="J1188" i="1"/>
  <c r="I1188" i="1"/>
  <c r="H1188" i="1"/>
  <c r="G1188" i="1"/>
  <c r="F1188" i="1"/>
  <c r="E1188" i="1"/>
  <c r="D1188" i="1"/>
  <c r="C1188" i="1"/>
  <c r="B1188" i="1"/>
  <c r="A1188" i="1"/>
  <c r="J1187" i="1"/>
  <c r="I1187" i="1"/>
  <c r="H1187" i="1"/>
  <c r="G1187" i="1"/>
  <c r="F1187" i="1"/>
  <c r="E1187" i="1"/>
  <c r="D1187" i="1"/>
  <c r="C1187" i="1"/>
  <c r="B1187" i="1"/>
  <c r="A1187" i="1"/>
  <c r="J1186" i="1"/>
  <c r="I1186" i="1"/>
  <c r="H1186" i="1"/>
  <c r="G1186" i="1"/>
  <c r="F1186" i="1"/>
  <c r="E1186" i="1"/>
  <c r="D1186" i="1"/>
  <c r="C1186" i="1"/>
  <c r="B1186" i="1"/>
  <c r="A1186" i="1"/>
  <c r="J1185" i="1"/>
  <c r="I1185" i="1"/>
  <c r="H1185" i="1"/>
  <c r="G1185" i="1"/>
  <c r="F1185" i="1"/>
  <c r="E1185" i="1"/>
  <c r="D1185" i="1"/>
  <c r="C1185" i="1"/>
  <c r="B1185" i="1"/>
  <c r="A1185" i="1"/>
  <c r="J1184" i="1"/>
  <c r="I1184" i="1"/>
  <c r="H1184" i="1"/>
  <c r="G1184" i="1"/>
  <c r="F1184" i="1"/>
  <c r="E1184" i="1"/>
  <c r="D1184" i="1"/>
  <c r="C1184" i="1"/>
  <c r="B1184" i="1"/>
  <c r="A1184" i="1"/>
  <c r="J1183" i="1"/>
  <c r="I1183" i="1"/>
  <c r="H1183" i="1"/>
  <c r="G1183" i="1"/>
  <c r="F1183" i="1"/>
  <c r="E1183" i="1"/>
  <c r="D1183" i="1"/>
  <c r="C1183" i="1"/>
  <c r="B1183" i="1"/>
  <c r="A1183" i="1"/>
  <c r="J1182" i="1"/>
  <c r="I1182" i="1"/>
  <c r="H1182" i="1"/>
  <c r="G1182" i="1"/>
  <c r="F1182" i="1"/>
  <c r="E1182" i="1"/>
  <c r="D1182" i="1"/>
  <c r="C1182" i="1"/>
  <c r="B1182" i="1"/>
  <c r="A1182" i="1"/>
  <c r="J1181" i="1"/>
  <c r="I1181" i="1"/>
  <c r="H1181" i="1"/>
  <c r="G1181" i="1"/>
  <c r="F1181" i="1"/>
  <c r="E1181" i="1"/>
  <c r="D1181" i="1"/>
  <c r="C1181" i="1"/>
  <c r="B1181" i="1"/>
  <c r="A1181" i="1"/>
  <c r="J1180" i="1"/>
  <c r="I1180" i="1"/>
  <c r="H1180" i="1"/>
  <c r="G1180" i="1"/>
  <c r="F1180" i="1"/>
  <c r="E1180" i="1"/>
  <c r="D1180" i="1"/>
  <c r="C1180" i="1"/>
  <c r="B1180" i="1"/>
  <c r="A1180" i="1"/>
  <c r="J1179" i="1"/>
  <c r="I1179" i="1"/>
  <c r="H1179" i="1"/>
  <c r="G1179" i="1"/>
  <c r="E1179" i="1"/>
  <c r="D1179" i="1"/>
  <c r="C1179" i="1"/>
  <c r="B1179" i="1"/>
  <c r="A1179" i="1"/>
  <c r="J1178" i="1"/>
  <c r="I1178" i="1"/>
  <c r="H1178" i="1"/>
  <c r="G1178" i="1"/>
  <c r="F1178" i="1"/>
  <c r="E1178" i="1"/>
  <c r="D1178" i="1"/>
  <c r="C1178" i="1"/>
  <c r="B1178" i="1"/>
  <c r="A1178" i="1"/>
  <c r="J1177" i="1"/>
  <c r="I1177" i="1"/>
  <c r="H1177" i="1"/>
  <c r="G1177" i="1"/>
  <c r="E1177" i="1"/>
  <c r="D1177" i="1"/>
  <c r="C1177" i="1"/>
  <c r="B1177" i="1"/>
  <c r="A1177" i="1"/>
  <c r="J1176" i="1"/>
  <c r="I1176" i="1"/>
  <c r="H1176" i="1"/>
  <c r="G1176" i="1"/>
  <c r="F1176" i="1"/>
  <c r="E1176" i="1"/>
  <c r="C1176" i="1"/>
  <c r="B1176" i="1"/>
  <c r="A1176" i="1"/>
  <c r="J1175" i="1"/>
  <c r="I1175" i="1"/>
  <c r="H1175" i="1"/>
  <c r="G1175" i="1"/>
  <c r="F1175" i="1"/>
  <c r="E1175" i="1"/>
  <c r="D1175" i="1"/>
  <c r="C1175" i="1"/>
  <c r="B1175" i="1"/>
  <c r="A1175" i="1"/>
  <c r="J1174" i="1"/>
  <c r="I1174" i="1"/>
  <c r="H1174" i="1"/>
  <c r="G1174" i="1"/>
  <c r="F1174" i="1"/>
  <c r="E1174" i="1"/>
  <c r="D1174" i="1"/>
  <c r="C1174" i="1"/>
  <c r="B1174" i="1"/>
  <c r="A1174" i="1"/>
  <c r="J1173" i="1"/>
  <c r="I1173" i="1"/>
  <c r="H1173" i="1"/>
  <c r="G1173" i="1"/>
  <c r="E1173" i="1"/>
  <c r="D1173" i="1"/>
  <c r="C1173" i="1"/>
  <c r="B1173" i="1"/>
  <c r="A1173" i="1"/>
  <c r="J1172" i="1"/>
  <c r="I1172" i="1"/>
  <c r="H1172" i="1"/>
  <c r="G1172" i="1"/>
  <c r="F1172" i="1"/>
  <c r="E1172" i="1"/>
  <c r="D1172" i="1"/>
  <c r="C1172" i="1"/>
  <c r="B1172" i="1"/>
  <c r="A1172" i="1"/>
  <c r="J1171" i="1"/>
  <c r="I1171" i="1"/>
  <c r="H1171" i="1"/>
  <c r="G1171" i="1"/>
  <c r="F1171" i="1"/>
  <c r="E1171" i="1"/>
  <c r="D1171" i="1"/>
  <c r="C1171" i="1"/>
  <c r="B1171" i="1"/>
  <c r="A1171" i="1"/>
  <c r="J1170" i="1"/>
  <c r="I1170" i="1"/>
  <c r="H1170" i="1"/>
  <c r="G1170" i="1"/>
  <c r="F1170" i="1"/>
  <c r="E1170" i="1"/>
  <c r="D1170" i="1"/>
  <c r="C1170" i="1"/>
  <c r="B1170" i="1"/>
  <c r="A1170" i="1"/>
  <c r="J1169" i="1"/>
  <c r="I1169" i="1"/>
  <c r="H1169" i="1"/>
  <c r="G1169" i="1"/>
  <c r="F1169" i="1"/>
  <c r="E1169" i="1"/>
  <c r="D1169" i="1"/>
  <c r="C1169" i="1"/>
  <c r="B1169" i="1"/>
  <c r="A1169" i="1"/>
  <c r="J1168" i="1"/>
  <c r="I1168" i="1"/>
  <c r="H1168" i="1"/>
  <c r="G1168" i="1"/>
  <c r="F1168" i="1"/>
  <c r="E1168" i="1"/>
  <c r="D1168" i="1"/>
  <c r="C1168" i="1"/>
  <c r="B1168" i="1"/>
  <c r="A1168" i="1"/>
  <c r="J1167" i="1"/>
  <c r="I1167" i="1"/>
  <c r="H1167" i="1"/>
  <c r="G1167" i="1"/>
  <c r="F1167" i="1"/>
  <c r="E1167" i="1"/>
  <c r="D1167" i="1"/>
  <c r="C1167" i="1"/>
  <c r="B1167" i="1"/>
  <c r="A1167" i="1"/>
  <c r="J1166" i="1"/>
  <c r="I1166" i="1"/>
  <c r="H1166" i="1"/>
  <c r="G1166" i="1"/>
  <c r="F1166" i="1"/>
  <c r="E1166" i="1"/>
  <c r="D1166" i="1"/>
  <c r="C1166" i="1"/>
  <c r="B1166" i="1"/>
  <c r="A1166" i="1"/>
  <c r="J1165" i="1"/>
  <c r="I1165" i="1"/>
  <c r="H1165" i="1"/>
  <c r="G1165" i="1"/>
  <c r="F1165" i="1"/>
  <c r="E1165" i="1"/>
  <c r="D1165" i="1"/>
  <c r="C1165" i="1"/>
  <c r="B1165" i="1"/>
  <c r="A1165" i="1"/>
  <c r="J1164" i="1"/>
  <c r="I1164" i="1"/>
  <c r="H1164" i="1"/>
  <c r="G1164" i="1"/>
  <c r="F1164" i="1"/>
  <c r="E1164" i="1"/>
  <c r="D1164" i="1"/>
  <c r="C1164" i="1"/>
  <c r="B1164" i="1"/>
  <c r="A1164" i="1"/>
  <c r="J1163" i="1"/>
  <c r="I1163" i="1"/>
  <c r="H1163" i="1"/>
  <c r="G1163" i="1"/>
  <c r="F1163" i="1"/>
  <c r="E1163" i="1"/>
  <c r="D1163" i="1"/>
  <c r="C1163" i="1"/>
  <c r="B1163" i="1"/>
  <c r="A1163" i="1"/>
  <c r="J1162" i="1"/>
  <c r="I1162" i="1"/>
  <c r="H1162" i="1"/>
  <c r="G1162" i="1"/>
  <c r="F1162" i="1"/>
  <c r="E1162" i="1"/>
  <c r="D1162" i="1"/>
  <c r="C1162" i="1"/>
  <c r="B1162" i="1"/>
  <c r="A1162" i="1"/>
  <c r="J1161" i="1"/>
  <c r="I1161" i="1"/>
  <c r="H1161" i="1"/>
  <c r="G1161" i="1"/>
  <c r="F1161" i="1"/>
  <c r="E1161" i="1"/>
  <c r="D1161" i="1"/>
  <c r="C1161" i="1"/>
  <c r="B1161" i="1"/>
  <c r="A1161" i="1"/>
  <c r="J1160" i="1"/>
  <c r="I1160" i="1"/>
  <c r="H1160" i="1"/>
  <c r="G1160" i="1"/>
  <c r="F1160" i="1"/>
  <c r="E1160" i="1"/>
  <c r="D1160" i="1"/>
  <c r="C1160" i="1"/>
  <c r="B1160" i="1"/>
  <c r="A1160" i="1"/>
  <c r="J1159" i="1"/>
  <c r="I1159" i="1"/>
  <c r="H1159" i="1"/>
  <c r="G1159" i="1"/>
  <c r="F1159" i="1"/>
  <c r="E1159" i="1"/>
  <c r="D1159" i="1"/>
  <c r="C1159" i="1"/>
  <c r="B1159" i="1"/>
  <c r="A1159" i="1"/>
  <c r="J1158" i="1"/>
  <c r="I1158" i="1"/>
  <c r="H1158" i="1"/>
  <c r="G1158" i="1"/>
  <c r="F1158" i="1"/>
  <c r="E1158" i="1"/>
  <c r="D1158" i="1"/>
  <c r="C1158" i="1"/>
  <c r="B1158" i="1"/>
  <c r="A1158" i="1"/>
  <c r="J1157" i="1"/>
  <c r="I1157" i="1"/>
  <c r="H1157" i="1"/>
  <c r="G1157" i="1"/>
  <c r="F1157" i="1"/>
  <c r="E1157" i="1"/>
  <c r="D1157" i="1"/>
  <c r="C1157" i="1"/>
  <c r="B1157" i="1"/>
  <c r="A1157" i="1"/>
  <c r="J1156" i="1"/>
  <c r="I1156" i="1"/>
  <c r="H1156" i="1"/>
  <c r="G1156" i="1"/>
  <c r="F1156" i="1"/>
  <c r="E1156" i="1"/>
  <c r="D1156" i="1"/>
  <c r="C1156" i="1"/>
  <c r="B1156" i="1"/>
  <c r="A1156" i="1"/>
  <c r="J1155" i="1"/>
  <c r="I1155" i="1"/>
  <c r="H1155" i="1"/>
  <c r="G1155" i="1"/>
  <c r="F1155" i="1"/>
  <c r="E1155" i="1"/>
  <c r="D1155" i="1"/>
  <c r="C1155" i="1"/>
  <c r="B1155" i="1"/>
  <c r="A1155" i="1"/>
  <c r="J1154" i="1"/>
  <c r="I1154" i="1"/>
  <c r="H1154" i="1"/>
  <c r="G1154" i="1"/>
  <c r="F1154" i="1"/>
  <c r="E1154" i="1"/>
  <c r="D1154" i="1"/>
  <c r="C1154" i="1"/>
  <c r="B1154" i="1"/>
  <c r="A1154" i="1"/>
  <c r="J1153" i="1"/>
  <c r="I1153" i="1"/>
  <c r="H1153" i="1"/>
  <c r="G1153" i="1"/>
  <c r="F1153" i="1"/>
  <c r="E1153" i="1"/>
  <c r="D1153" i="1"/>
  <c r="C1153" i="1"/>
  <c r="B1153" i="1"/>
  <c r="A1153" i="1"/>
  <c r="J1152" i="1"/>
  <c r="I1152" i="1"/>
  <c r="H1152" i="1"/>
  <c r="G1152" i="1"/>
  <c r="E1152" i="1"/>
  <c r="D1152" i="1"/>
  <c r="C1152" i="1"/>
  <c r="B1152" i="1"/>
  <c r="A1152" i="1"/>
  <c r="J1151" i="1"/>
  <c r="I1151" i="1"/>
  <c r="H1151" i="1"/>
  <c r="G1151" i="1"/>
  <c r="E1151" i="1"/>
  <c r="D1151" i="1"/>
  <c r="C1151" i="1"/>
  <c r="B1151" i="1"/>
  <c r="A1151" i="1"/>
  <c r="J1150" i="1"/>
  <c r="I1150" i="1"/>
  <c r="H1150" i="1"/>
  <c r="G1150" i="1"/>
  <c r="E1150" i="1"/>
  <c r="D1150" i="1"/>
  <c r="C1150" i="1"/>
  <c r="B1150" i="1"/>
  <c r="A1150" i="1"/>
  <c r="J1149" i="1"/>
  <c r="I1149" i="1"/>
  <c r="H1149" i="1"/>
  <c r="G1149" i="1"/>
  <c r="E1149" i="1"/>
  <c r="D1149" i="1"/>
  <c r="C1149" i="1"/>
  <c r="B1149" i="1"/>
  <c r="A1149" i="1"/>
  <c r="J1148" i="1"/>
  <c r="I1148" i="1"/>
  <c r="H1148" i="1"/>
  <c r="G1148" i="1"/>
  <c r="E1148" i="1"/>
  <c r="D1148" i="1"/>
  <c r="C1148" i="1"/>
  <c r="B1148" i="1"/>
  <c r="A1148" i="1"/>
  <c r="J1147" i="1"/>
  <c r="I1147" i="1"/>
  <c r="H1147" i="1"/>
  <c r="G1147" i="1"/>
  <c r="E1147" i="1"/>
  <c r="D1147" i="1"/>
  <c r="C1147" i="1"/>
  <c r="B1147" i="1"/>
  <c r="A1147" i="1"/>
  <c r="J1146" i="1"/>
  <c r="I1146" i="1"/>
  <c r="H1146" i="1"/>
  <c r="G1146" i="1"/>
  <c r="E1146" i="1"/>
  <c r="D1146" i="1"/>
  <c r="C1146" i="1"/>
  <c r="B1146" i="1"/>
  <c r="A1146" i="1"/>
  <c r="J1145" i="1"/>
  <c r="I1145" i="1"/>
  <c r="H1145" i="1"/>
  <c r="G1145" i="1"/>
  <c r="F1145" i="1"/>
  <c r="E1145" i="1"/>
  <c r="D1145" i="1"/>
  <c r="C1145" i="1"/>
  <c r="B1145" i="1"/>
  <c r="A1145" i="1"/>
  <c r="J1144" i="1"/>
  <c r="I1144" i="1"/>
  <c r="H1144" i="1"/>
  <c r="G1144" i="1"/>
  <c r="F1144" i="1"/>
  <c r="E1144" i="1"/>
  <c r="D1144" i="1"/>
  <c r="C1144" i="1"/>
  <c r="B1144" i="1"/>
  <c r="A1144" i="1"/>
  <c r="J1143" i="1"/>
  <c r="I1143" i="1"/>
  <c r="H1143" i="1"/>
  <c r="G1143" i="1"/>
  <c r="F1143" i="1"/>
  <c r="E1143" i="1"/>
  <c r="D1143" i="1"/>
  <c r="C1143" i="1"/>
  <c r="B1143" i="1"/>
  <c r="A1143" i="1"/>
  <c r="J1142" i="1"/>
  <c r="I1142" i="1"/>
  <c r="H1142" i="1"/>
  <c r="G1142" i="1"/>
  <c r="E1142" i="1"/>
  <c r="D1142" i="1"/>
  <c r="C1142" i="1"/>
  <c r="B1142" i="1"/>
  <c r="A1142" i="1"/>
  <c r="J1141" i="1"/>
  <c r="I1141" i="1"/>
  <c r="H1141" i="1"/>
  <c r="G1141" i="1"/>
  <c r="E1141" i="1"/>
  <c r="D1141" i="1"/>
  <c r="C1141" i="1"/>
  <c r="B1141" i="1"/>
  <c r="A1141" i="1"/>
  <c r="J1140" i="1"/>
  <c r="I1140" i="1"/>
  <c r="H1140" i="1"/>
  <c r="G1140" i="1"/>
  <c r="E1140" i="1"/>
  <c r="D1140" i="1"/>
  <c r="C1140" i="1"/>
  <c r="B1140" i="1"/>
  <c r="A1140" i="1"/>
  <c r="J1139" i="1"/>
  <c r="I1139" i="1"/>
  <c r="H1139" i="1"/>
  <c r="G1139" i="1"/>
  <c r="E1139" i="1"/>
  <c r="D1139" i="1"/>
  <c r="C1139" i="1"/>
  <c r="B1139" i="1"/>
  <c r="A1139" i="1"/>
  <c r="J1138" i="1"/>
  <c r="I1138" i="1"/>
  <c r="H1138" i="1"/>
  <c r="G1138" i="1"/>
  <c r="F1138" i="1"/>
  <c r="E1138" i="1"/>
  <c r="D1138" i="1"/>
  <c r="C1138" i="1"/>
  <c r="B1138" i="1"/>
  <c r="A1138" i="1"/>
  <c r="J1137" i="1"/>
  <c r="I1137" i="1"/>
  <c r="H1137" i="1"/>
  <c r="G1137" i="1"/>
  <c r="E1137" i="1"/>
  <c r="D1137" i="1"/>
  <c r="C1137" i="1"/>
  <c r="B1137" i="1"/>
  <c r="A1137" i="1"/>
  <c r="J1136" i="1"/>
  <c r="I1136" i="1"/>
  <c r="H1136" i="1"/>
  <c r="G1136" i="1"/>
  <c r="F1136" i="1"/>
  <c r="E1136" i="1"/>
  <c r="D1136" i="1"/>
  <c r="C1136" i="1"/>
  <c r="B1136" i="1"/>
  <c r="A1136" i="1"/>
  <c r="J1135" i="1"/>
  <c r="I1135" i="1"/>
  <c r="H1135" i="1"/>
  <c r="G1135" i="1"/>
  <c r="F1135" i="1"/>
  <c r="E1135" i="1"/>
  <c r="D1135" i="1"/>
  <c r="C1135" i="1"/>
  <c r="B1135" i="1"/>
  <c r="A1135" i="1"/>
  <c r="J1134" i="1"/>
  <c r="I1134" i="1"/>
  <c r="H1134" i="1"/>
  <c r="G1134" i="1"/>
  <c r="E1134" i="1"/>
  <c r="D1134" i="1"/>
  <c r="C1134" i="1"/>
  <c r="B1134" i="1"/>
  <c r="A1134" i="1"/>
  <c r="J1133" i="1"/>
  <c r="I1133" i="1"/>
  <c r="H1133" i="1"/>
  <c r="G1133" i="1"/>
  <c r="E1133" i="1"/>
  <c r="D1133" i="1"/>
  <c r="C1133" i="1"/>
  <c r="B1133" i="1"/>
  <c r="A1133" i="1"/>
  <c r="J1132" i="1"/>
  <c r="I1132" i="1"/>
  <c r="H1132" i="1"/>
  <c r="G1132" i="1"/>
  <c r="E1132" i="1"/>
  <c r="D1132" i="1"/>
  <c r="C1132" i="1"/>
  <c r="B1132" i="1"/>
  <c r="A1132" i="1"/>
  <c r="J1131" i="1"/>
  <c r="I1131" i="1"/>
  <c r="H1131" i="1"/>
  <c r="G1131" i="1"/>
  <c r="F1131" i="1"/>
  <c r="E1131" i="1"/>
  <c r="C1131" i="1"/>
  <c r="B1131" i="1"/>
  <c r="A1131" i="1"/>
  <c r="J1130" i="1"/>
  <c r="I1130" i="1"/>
  <c r="H1130" i="1"/>
  <c r="G1130" i="1"/>
  <c r="E1130" i="1"/>
  <c r="D1130" i="1"/>
  <c r="C1130" i="1"/>
  <c r="B1130" i="1"/>
  <c r="A1130" i="1"/>
  <c r="J1129" i="1"/>
  <c r="I1129" i="1"/>
  <c r="H1129" i="1"/>
  <c r="G1129" i="1"/>
  <c r="F1129" i="1"/>
  <c r="E1129" i="1"/>
  <c r="D1129" i="1"/>
  <c r="C1129" i="1"/>
  <c r="B1129" i="1"/>
  <c r="A1129" i="1"/>
  <c r="J1128" i="1"/>
  <c r="I1128" i="1"/>
  <c r="H1128" i="1"/>
  <c r="G1128" i="1"/>
  <c r="E1128" i="1"/>
  <c r="D1128" i="1"/>
  <c r="C1128" i="1"/>
  <c r="B1128" i="1"/>
  <c r="A1128" i="1"/>
  <c r="J1127" i="1"/>
  <c r="I1127" i="1"/>
  <c r="H1127" i="1"/>
  <c r="G1127" i="1"/>
  <c r="E1127" i="1"/>
  <c r="D1127" i="1"/>
  <c r="C1127" i="1"/>
  <c r="B1127" i="1"/>
  <c r="A1127" i="1"/>
  <c r="J1126" i="1"/>
  <c r="I1126" i="1"/>
  <c r="H1126" i="1"/>
  <c r="G1126" i="1"/>
  <c r="E1126" i="1"/>
  <c r="D1126" i="1"/>
  <c r="C1126" i="1"/>
  <c r="B1126" i="1"/>
  <c r="A1126" i="1"/>
  <c r="J1125" i="1"/>
  <c r="I1125" i="1"/>
  <c r="H1125" i="1"/>
  <c r="G1125" i="1"/>
  <c r="F1125" i="1"/>
  <c r="E1125" i="1"/>
  <c r="D1125" i="1"/>
  <c r="C1125" i="1"/>
  <c r="B1125" i="1"/>
  <c r="A1125" i="1"/>
  <c r="J1124" i="1"/>
  <c r="I1124" i="1"/>
  <c r="H1124" i="1"/>
  <c r="G1124" i="1"/>
  <c r="E1124" i="1"/>
  <c r="D1124" i="1"/>
  <c r="C1124" i="1"/>
  <c r="B1124" i="1"/>
  <c r="A1124" i="1"/>
  <c r="J1123" i="1"/>
  <c r="I1123" i="1"/>
  <c r="H1123" i="1"/>
  <c r="G1123" i="1"/>
  <c r="F1123" i="1"/>
  <c r="E1123" i="1"/>
  <c r="D1123" i="1"/>
  <c r="C1123" i="1"/>
  <c r="B1123" i="1"/>
  <c r="A1123" i="1"/>
  <c r="J1122" i="1"/>
  <c r="I1122" i="1"/>
  <c r="H1122" i="1"/>
  <c r="G1122" i="1"/>
  <c r="F1122" i="1"/>
  <c r="E1122" i="1"/>
  <c r="D1122" i="1"/>
  <c r="C1122" i="1"/>
  <c r="B1122" i="1"/>
  <c r="A1122" i="1"/>
  <c r="J1121" i="1"/>
  <c r="I1121" i="1"/>
  <c r="H1121" i="1"/>
  <c r="G1121" i="1"/>
  <c r="F1121" i="1"/>
  <c r="E1121" i="1"/>
  <c r="D1121" i="1"/>
  <c r="C1121" i="1"/>
  <c r="B1121" i="1"/>
  <c r="A1121" i="1"/>
  <c r="J1120" i="1"/>
  <c r="I1120" i="1"/>
  <c r="H1120" i="1"/>
  <c r="G1120" i="1"/>
  <c r="F1120" i="1"/>
  <c r="E1120" i="1"/>
  <c r="D1120" i="1"/>
  <c r="C1120" i="1"/>
  <c r="B1120" i="1"/>
  <c r="A1120" i="1"/>
  <c r="J1119" i="1"/>
  <c r="I1119" i="1"/>
  <c r="H1119" i="1"/>
  <c r="G1119" i="1"/>
  <c r="F1119" i="1"/>
  <c r="E1119" i="1"/>
  <c r="D1119" i="1"/>
  <c r="C1119" i="1"/>
  <c r="B1119" i="1"/>
  <c r="A1119" i="1"/>
  <c r="J1118" i="1"/>
  <c r="I1118" i="1"/>
  <c r="H1118" i="1"/>
  <c r="G1118" i="1"/>
  <c r="E1118" i="1"/>
  <c r="C1118" i="1"/>
  <c r="B1118" i="1"/>
  <c r="A1118" i="1"/>
  <c r="J1117" i="1"/>
  <c r="I1117" i="1"/>
  <c r="H1117" i="1"/>
  <c r="G1117" i="1"/>
  <c r="E1117" i="1"/>
  <c r="D1117" i="1"/>
  <c r="C1117" i="1"/>
  <c r="B1117" i="1"/>
  <c r="A1117" i="1"/>
  <c r="J1116" i="1"/>
  <c r="I1116" i="1"/>
  <c r="H1116" i="1"/>
  <c r="G1116" i="1"/>
  <c r="E1116" i="1"/>
  <c r="D1116" i="1"/>
  <c r="C1116" i="1"/>
  <c r="B1116" i="1"/>
  <c r="A1116" i="1"/>
  <c r="J1115" i="1"/>
  <c r="I1115" i="1"/>
  <c r="H1115" i="1"/>
  <c r="G1115" i="1"/>
  <c r="F1115" i="1"/>
  <c r="E1115" i="1"/>
  <c r="D1115" i="1"/>
  <c r="C1115" i="1"/>
  <c r="B1115" i="1"/>
  <c r="A1115" i="1"/>
  <c r="J1114" i="1"/>
  <c r="I1114" i="1"/>
  <c r="H1114" i="1"/>
  <c r="G1114" i="1"/>
  <c r="F1114" i="1"/>
  <c r="E1114" i="1"/>
  <c r="D1114" i="1"/>
  <c r="C1114" i="1"/>
  <c r="B1114" i="1"/>
  <c r="A1114" i="1"/>
  <c r="J1113" i="1"/>
  <c r="I1113" i="1"/>
  <c r="H1113" i="1"/>
  <c r="G1113" i="1"/>
  <c r="E1113" i="1"/>
  <c r="D1113" i="1"/>
  <c r="C1113" i="1"/>
  <c r="B1113" i="1"/>
  <c r="A1113" i="1"/>
  <c r="J1112" i="1"/>
  <c r="I1112" i="1"/>
  <c r="H1112" i="1"/>
  <c r="G1112" i="1"/>
  <c r="E1112" i="1"/>
  <c r="D1112" i="1"/>
  <c r="C1112" i="1"/>
  <c r="B1112" i="1"/>
  <c r="A1112" i="1"/>
  <c r="J1111" i="1"/>
  <c r="I1111" i="1"/>
  <c r="H1111" i="1"/>
  <c r="G1111" i="1"/>
  <c r="E1111" i="1"/>
  <c r="D1111" i="1"/>
  <c r="C1111" i="1"/>
  <c r="B1111" i="1"/>
  <c r="A1111" i="1"/>
  <c r="J1110" i="1"/>
  <c r="I1110" i="1"/>
  <c r="H1110" i="1"/>
  <c r="G1110" i="1"/>
  <c r="E1110" i="1"/>
  <c r="D1110" i="1"/>
  <c r="C1110" i="1"/>
  <c r="B1110" i="1"/>
  <c r="A1110" i="1"/>
  <c r="J1109" i="1"/>
  <c r="I1109" i="1"/>
  <c r="H1109" i="1"/>
  <c r="G1109" i="1"/>
  <c r="E1109" i="1"/>
  <c r="D1109" i="1"/>
  <c r="C1109" i="1"/>
  <c r="B1109" i="1"/>
  <c r="A1109" i="1"/>
  <c r="J1108" i="1"/>
  <c r="I1108" i="1"/>
  <c r="H1108" i="1"/>
  <c r="G1108" i="1"/>
  <c r="E1108" i="1"/>
  <c r="D1108" i="1"/>
  <c r="C1108" i="1"/>
  <c r="B1108" i="1"/>
  <c r="A1108" i="1"/>
  <c r="J1107" i="1"/>
  <c r="I1107" i="1"/>
  <c r="H1107" i="1"/>
  <c r="G1107" i="1"/>
  <c r="F1107" i="1"/>
  <c r="E1107" i="1"/>
  <c r="D1107" i="1"/>
  <c r="C1107" i="1"/>
  <c r="B1107" i="1"/>
  <c r="A1107" i="1"/>
  <c r="J1106" i="1"/>
  <c r="I1106" i="1"/>
  <c r="H1106" i="1"/>
  <c r="G1106" i="1"/>
  <c r="E1106" i="1"/>
  <c r="D1106" i="1"/>
  <c r="C1106" i="1"/>
  <c r="B1106" i="1"/>
  <c r="A1106" i="1"/>
  <c r="J1105" i="1"/>
  <c r="I1105" i="1"/>
  <c r="H1105" i="1"/>
  <c r="G1105" i="1"/>
  <c r="E1105" i="1"/>
  <c r="D1105" i="1"/>
  <c r="C1105" i="1"/>
  <c r="B1105" i="1"/>
  <c r="A1105" i="1"/>
  <c r="J1104" i="1"/>
  <c r="I1104" i="1"/>
  <c r="H1104" i="1"/>
  <c r="G1104" i="1"/>
  <c r="F1104" i="1"/>
  <c r="E1104" i="1"/>
  <c r="D1104" i="1"/>
  <c r="C1104" i="1"/>
  <c r="B1104" i="1"/>
  <c r="A1104" i="1"/>
  <c r="J1103" i="1"/>
  <c r="I1103" i="1"/>
  <c r="H1103" i="1"/>
  <c r="G1103" i="1"/>
  <c r="E1103" i="1"/>
  <c r="D1103" i="1"/>
  <c r="C1103" i="1"/>
  <c r="B1103" i="1"/>
  <c r="A1103" i="1"/>
  <c r="J1102" i="1"/>
  <c r="I1102" i="1"/>
  <c r="H1102" i="1"/>
  <c r="G1102" i="1"/>
  <c r="E1102" i="1"/>
  <c r="D1102" i="1"/>
  <c r="C1102" i="1"/>
  <c r="B1102" i="1"/>
  <c r="A1102" i="1"/>
  <c r="J1101" i="1"/>
  <c r="I1101" i="1"/>
  <c r="H1101" i="1"/>
  <c r="G1101" i="1"/>
  <c r="E1101" i="1"/>
  <c r="D1101" i="1"/>
  <c r="C1101" i="1"/>
  <c r="B1101" i="1"/>
  <c r="A1101" i="1"/>
  <c r="J1100" i="1"/>
  <c r="I1100" i="1"/>
  <c r="H1100" i="1"/>
  <c r="G1100" i="1"/>
  <c r="E1100" i="1"/>
  <c r="D1100" i="1"/>
  <c r="C1100" i="1"/>
  <c r="B1100" i="1"/>
  <c r="A1100" i="1"/>
  <c r="J1099" i="1"/>
  <c r="I1099" i="1"/>
  <c r="H1099" i="1"/>
  <c r="G1099" i="1"/>
  <c r="E1099" i="1"/>
  <c r="D1099" i="1"/>
  <c r="C1099" i="1"/>
  <c r="B1099" i="1"/>
  <c r="A1099" i="1"/>
  <c r="J1098" i="1"/>
  <c r="I1098" i="1"/>
  <c r="H1098" i="1"/>
  <c r="G1098" i="1"/>
  <c r="F1098" i="1"/>
  <c r="E1098" i="1"/>
  <c r="D1098" i="1"/>
  <c r="C1098" i="1"/>
  <c r="B1098" i="1"/>
  <c r="A1098" i="1"/>
  <c r="J1097" i="1"/>
  <c r="I1097" i="1"/>
  <c r="H1097" i="1"/>
  <c r="G1097" i="1"/>
  <c r="E1097" i="1"/>
  <c r="D1097" i="1"/>
  <c r="C1097" i="1"/>
  <c r="B1097" i="1"/>
  <c r="A1097" i="1"/>
  <c r="J1096" i="1"/>
  <c r="I1096" i="1"/>
  <c r="H1096" i="1"/>
  <c r="G1096" i="1"/>
  <c r="E1096" i="1"/>
  <c r="D1096" i="1"/>
  <c r="C1096" i="1"/>
  <c r="B1096" i="1"/>
  <c r="A1096" i="1"/>
  <c r="J1095" i="1"/>
  <c r="I1095" i="1"/>
  <c r="H1095" i="1"/>
  <c r="G1095" i="1"/>
  <c r="E1095" i="1"/>
  <c r="D1095" i="1"/>
  <c r="C1095" i="1"/>
  <c r="B1095" i="1"/>
  <c r="A1095" i="1"/>
  <c r="J1094" i="1"/>
  <c r="I1094" i="1"/>
  <c r="H1094" i="1"/>
  <c r="G1094" i="1"/>
  <c r="F1094" i="1"/>
  <c r="E1094" i="1"/>
  <c r="D1094" i="1"/>
  <c r="C1094" i="1"/>
  <c r="B1094" i="1"/>
  <c r="A1094" i="1"/>
  <c r="J1093" i="1"/>
  <c r="I1093" i="1"/>
  <c r="H1093" i="1"/>
  <c r="G1093" i="1"/>
  <c r="F1093" i="1"/>
  <c r="E1093" i="1"/>
  <c r="D1093" i="1"/>
  <c r="C1093" i="1"/>
  <c r="B1093" i="1"/>
  <c r="A1093" i="1"/>
  <c r="J1092" i="1"/>
  <c r="I1092" i="1"/>
  <c r="H1092" i="1"/>
  <c r="G1092" i="1"/>
  <c r="F1092" i="1"/>
  <c r="E1092" i="1"/>
  <c r="D1092" i="1"/>
  <c r="C1092" i="1"/>
  <c r="B1092" i="1"/>
  <c r="A1092" i="1"/>
  <c r="J1091" i="1"/>
  <c r="I1091" i="1"/>
  <c r="H1091" i="1"/>
  <c r="G1091" i="1"/>
  <c r="E1091" i="1"/>
  <c r="D1091" i="1"/>
  <c r="C1091" i="1"/>
  <c r="B1091" i="1"/>
  <c r="A1091" i="1"/>
  <c r="J1090" i="1"/>
  <c r="I1090" i="1"/>
  <c r="H1090" i="1"/>
  <c r="G1090" i="1"/>
  <c r="F1090" i="1"/>
  <c r="E1090" i="1"/>
  <c r="D1090" i="1"/>
  <c r="C1090" i="1"/>
  <c r="B1090" i="1"/>
  <c r="A1090" i="1"/>
  <c r="J1089" i="1"/>
  <c r="I1089" i="1"/>
  <c r="H1089" i="1"/>
  <c r="G1089" i="1"/>
  <c r="F1089" i="1"/>
  <c r="E1089" i="1"/>
  <c r="D1089" i="1"/>
  <c r="C1089" i="1"/>
  <c r="B1089" i="1"/>
  <c r="A1089" i="1"/>
  <c r="J1088" i="1"/>
  <c r="I1088" i="1"/>
  <c r="H1088" i="1"/>
  <c r="G1088" i="1"/>
  <c r="E1088" i="1"/>
  <c r="D1088" i="1"/>
  <c r="C1088" i="1"/>
  <c r="B1088" i="1"/>
  <c r="A1088" i="1"/>
  <c r="J1087" i="1"/>
  <c r="I1087" i="1"/>
  <c r="H1087" i="1"/>
  <c r="G1087" i="1"/>
  <c r="E1087" i="1"/>
  <c r="D1087" i="1"/>
  <c r="C1087" i="1"/>
  <c r="B1087" i="1"/>
  <c r="A1087" i="1"/>
  <c r="J1086" i="1"/>
  <c r="I1086" i="1"/>
  <c r="H1086" i="1"/>
  <c r="G1086" i="1"/>
  <c r="E1086" i="1"/>
  <c r="D1086" i="1"/>
  <c r="C1086" i="1"/>
  <c r="B1086" i="1"/>
  <c r="A1086" i="1"/>
  <c r="J1085" i="1"/>
  <c r="I1085" i="1"/>
  <c r="H1085" i="1"/>
  <c r="G1085" i="1"/>
  <c r="F1085" i="1"/>
  <c r="E1085" i="1"/>
  <c r="D1085" i="1"/>
  <c r="C1085" i="1"/>
  <c r="B1085" i="1"/>
  <c r="A1085" i="1"/>
  <c r="J1084" i="1"/>
  <c r="I1084" i="1"/>
  <c r="H1084" i="1"/>
  <c r="G1084" i="1"/>
  <c r="E1084" i="1"/>
  <c r="D1084" i="1"/>
  <c r="C1084" i="1"/>
  <c r="B1084" i="1"/>
  <c r="A1084" i="1"/>
  <c r="J1083" i="1"/>
  <c r="I1083" i="1"/>
  <c r="H1083" i="1"/>
  <c r="G1083" i="1"/>
  <c r="F1083" i="1"/>
  <c r="E1083" i="1"/>
  <c r="D1083" i="1"/>
  <c r="C1083" i="1"/>
  <c r="B1083" i="1"/>
  <c r="A1083" i="1"/>
  <c r="J1082" i="1"/>
  <c r="I1082" i="1"/>
  <c r="H1082" i="1"/>
  <c r="G1082" i="1"/>
  <c r="E1082" i="1"/>
  <c r="D1082" i="1"/>
  <c r="C1082" i="1"/>
  <c r="B1082" i="1"/>
  <c r="A1082" i="1"/>
  <c r="J1081" i="1"/>
  <c r="I1081" i="1"/>
  <c r="H1081" i="1"/>
  <c r="G1081" i="1"/>
  <c r="F1081" i="1"/>
  <c r="E1081" i="1"/>
  <c r="D1081" i="1"/>
  <c r="C1081" i="1"/>
  <c r="B1081" i="1"/>
  <c r="A1081" i="1"/>
  <c r="J1080" i="1"/>
  <c r="I1080" i="1"/>
  <c r="H1080" i="1"/>
  <c r="G1080" i="1"/>
  <c r="F1080" i="1"/>
  <c r="E1080" i="1"/>
  <c r="D1080" i="1"/>
  <c r="C1080" i="1"/>
  <c r="B1080" i="1"/>
  <c r="A1080" i="1"/>
  <c r="J1079" i="1"/>
  <c r="I1079" i="1"/>
  <c r="H1079" i="1"/>
  <c r="G1079" i="1"/>
  <c r="E1079" i="1"/>
  <c r="D1079" i="1"/>
  <c r="C1079" i="1"/>
  <c r="B1079" i="1"/>
  <c r="A1079" i="1"/>
  <c r="J1078" i="1"/>
  <c r="I1078" i="1"/>
  <c r="H1078" i="1"/>
  <c r="G1078" i="1"/>
  <c r="E1078" i="1"/>
  <c r="D1078" i="1"/>
  <c r="C1078" i="1"/>
  <c r="B1078" i="1"/>
  <c r="A1078" i="1"/>
  <c r="J1077" i="1"/>
  <c r="I1077" i="1"/>
  <c r="H1077" i="1"/>
  <c r="G1077" i="1"/>
  <c r="F1077" i="1"/>
  <c r="E1077" i="1"/>
  <c r="D1077" i="1"/>
  <c r="C1077" i="1"/>
  <c r="B1077" i="1"/>
  <c r="A1077" i="1"/>
  <c r="J1076" i="1"/>
  <c r="I1076" i="1"/>
  <c r="H1076" i="1"/>
  <c r="G1076" i="1"/>
  <c r="E1076" i="1"/>
  <c r="D1076" i="1"/>
  <c r="C1076" i="1"/>
  <c r="B1076" i="1"/>
  <c r="A1076" i="1"/>
  <c r="J1075" i="1"/>
  <c r="I1075" i="1"/>
  <c r="H1075" i="1"/>
  <c r="G1075" i="1"/>
  <c r="E1075" i="1"/>
  <c r="D1075" i="1"/>
  <c r="C1075" i="1"/>
  <c r="B1075" i="1"/>
  <c r="A1075" i="1"/>
  <c r="J1074" i="1"/>
  <c r="I1074" i="1"/>
  <c r="H1074" i="1"/>
  <c r="G1074" i="1"/>
  <c r="E1074" i="1"/>
  <c r="D1074" i="1"/>
  <c r="C1074" i="1"/>
  <c r="B1074" i="1"/>
  <c r="A1074" i="1"/>
  <c r="J1073" i="1"/>
  <c r="I1073" i="1"/>
  <c r="H1073" i="1"/>
  <c r="G1073" i="1"/>
  <c r="F1073" i="1"/>
  <c r="E1073" i="1"/>
  <c r="D1073" i="1"/>
  <c r="C1073" i="1"/>
  <c r="B1073" i="1"/>
  <c r="A1073" i="1"/>
  <c r="J1072" i="1"/>
  <c r="I1072" i="1"/>
  <c r="H1072" i="1"/>
  <c r="G1072" i="1"/>
  <c r="E1072" i="1"/>
  <c r="D1072" i="1"/>
  <c r="C1072" i="1"/>
  <c r="B1072" i="1"/>
  <c r="A1072" i="1"/>
  <c r="J1071" i="1"/>
  <c r="I1071" i="1"/>
  <c r="H1071" i="1"/>
  <c r="G1071" i="1"/>
  <c r="F1071" i="1"/>
  <c r="E1071" i="1"/>
  <c r="D1071" i="1"/>
  <c r="C1071" i="1"/>
  <c r="B1071" i="1"/>
  <c r="A1071" i="1"/>
  <c r="J1070" i="1"/>
  <c r="I1070" i="1"/>
  <c r="H1070" i="1"/>
  <c r="G1070" i="1"/>
  <c r="F1070" i="1"/>
  <c r="E1070" i="1"/>
  <c r="D1070" i="1"/>
  <c r="C1070" i="1"/>
  <c r="B1070" i="1"/>
  <c r="A1070" i="1"/>
  <c r="J1069" i="1"/>
  <c r="I1069" i="1"/>
  <c r="H1069" i="1"/>
  <c r="G1069" i="1"/>
  <c r="F1069" i="1"/>
  <c r="E1069" i="1"/>
  <c r="D1069" i="1"/>
  <c r="C1069" i="1"/>
  <c r="B1069" i="1"/>
  <c r="A1069" i="1"/>
  <c r="J1068" i="1"/>
  <c r="I1068" i="1"/>
  <c r="H1068" i="1"/>
  <c r="G1068" i="1"/>
  <c r="F1068" i="1"/>
  <c r="E1068" i="1"/>
  <c r="D1068" i="1"/>
  <c r="C1068" i="1"/>
  <c r="B1068" i="1"/>
  <c r="A1068" i="1"/>
  <c r="J1067" i="1"/>
  <c r="I1067" i="1"/>
  <c r="H1067" i="1"/>
  <c r="G1067" i="1"/>
  <c r="F1067" i="1"/>
  <c r="E1067" i="1"/>
  <c r="D1067" i="1"/>
  <c r="C1067" i="1"/>
  <c r="B1067" i="1"/>
  <c r="A1067" i="1"/>
  <c r="J1066" i="1"/>
  <c r="I1066" i="1"/>
  <c r="H1066" i="1"/>
  <c r="G1066" i="1"/>
  <c r="E1066" i="1"/>
  <c r="D1066" i="1"/>
  <c r="C1066" i="1"/>
  <c r="B1066" i="1"/>
  <c r="A1066" i="1"/>
  <c r="J1065" i="1"/>
  <c r="I1065" i="1"/>
  <c r="H1065" i="1"/>
  <c r="G1065" i="1"/>
  <c r="F1065" i="1"/>
  <c r="E1065" i="1"/>
  <c r="D1065" i="1"/>
  <c r="C1065" i="1"/>
  <c r="B1065" i="1"/>
  <c r="A1065" i="1"/>
  <c r="J1064" i="1"/>
  <c r="I1064" i="1"/>
  <c r="H1064" i="1"/>
  <c r="G1064" i="1"/>
  <c r="E1064" i="1"/>
  <c r="D1064" i="1"/>
  <c r="C1064" i="1"/>
  <c r="B1064" i="1"/>
  <c r="A1064" i="1"/>
  <c r="J1063" i="1"/>
  <c r="I1063" i="1"/>
  <c r="H1063" i="1"/>
  <c r="G1063" i="1"/>
  <c r="F1063" i="1"/>
  <c r="E1063" i="1"/>
  <c r="D1063" i="1"/>
  <c r="C1063" i="1"/>
  <c r="B1063" i="1"/>
  <c r="A1063" i="1"/>
  <c r="J1062" i="1"/>
  <c r="I1062" i="1"/>
  <c r="H1062" i="1"/>
  <c r="G1062" i="1"/>
  <c r="F1062" i="1"/>
  <c r="E1062" i="1"/>
  <c r="C1062" i="1"/>
  <c r="B1062" i="1"/>
  <c r="A1062" i="1"/>
  <c r="J1061" i="1"/>
  <c r="I1061" i="1"/>
  <c r="H1061" i="1"/>
  <c r="G1061" i="1"/>
  <c r="E1061" i="1"/>
  <c r="D1061" i="1"/>
  <c r="C1061" i="1"/>
  <c r="B1061" i="1"/>
  <c r="A1061" i="1"/>
  <c r="J1060" i="1"/>
  <c r="I1060" i="1"/>
  <c r="H1060" i="1"/>
  <c r="G1060" i="1"/>
  <c r="E1060" i="1"/>
  <c r="D1060" i="1"/>
  <c r="C1060" i="1"/>
  <c r="B1060" i="1"/>
  <c r="A1060" i="1"/>
  <c r="J1059" i="1"/>
  <c r="I1059" i="1"/>
  <c r="H1059" i="1"/>
  <c r="G1059" i="1"/>
  <c r="F1059" i="1"/>
  <c r="E1059" i="1"/>
  <c r="D1059" i="1"/>
  <c r="C1059" i="1"/>
  <c r="B1059" i="1"/>
  <c r="A1059" i="1"/>
  <c r="J1058" i="1"/>
  <c r="I1058" i="1"/>
  <c r="H1058" i="1"/>
  <c r="G1058" i="1"/>
  <c r="E1058" i="1"/>
  <c r="D1058" i="1"/>
  <c r="C1058" i="1"/>
  <c r="B1058" i="1"/>
  <c r="A1058" i="1"/>
  <c r="J1057" i="1"/>
  <c r="I1057" i="1"/>
  <c r="H1057" i="1"/>
  <c r="G1057" i="1"/>
  <c r="E1057" i="1"/>
  <c r="D1057" i="1"/>
  <c r="C1057" i="1"/>
  <c r="B1057" i="1"/>
  <c r="A1057" i="1"/>
  <c r="J1056" i="1"/>
  <c r="I1056" i="1"/>
  <c r="H1056" i="1"/>
  <c r="G1056" i="1"/>
  <c r="E1056" i="1"/>
  <c r="D1056" i="1"/>
  <c r="C1056" i="1"/>
  <c r="B1056" i="1"/>
  <c r="A1056" i="1"/>
  <c r="J1055" i="1"/>
  <c r="I1055" i="1"/>
  <c r="H1055" i="1"/>
  <c r="G1055" i="1"/>
  <c r="F1055" i="1"/>
  <c r="E1055" i="1"/>
  <c r="D1055" i="1"/>
  <c r="C1055" i="1"/>
  <c r="B1055" i="1"/>
  <c r="A1055" i="1"/>
  <c r="J1054" i="1"/>
  <c r="I1054" i="1"/>
  <c r="H1054" i="1"/>
  <c r="G1054" i="1"/>
  <c r="F1054" i="1"/>
  <c r="E1054" i="1"/>
  <c r="D1054" i="1"/>
  <c r="C1054" i="1"/>
  <c r="B1054" i="1"/>
  <c r="A1054" i="1"/>
  <c r="J1053" i="1"/>
  <c r="I1053" i="1"/>
  <c r="H1053" i="1"/>
  <c r="G1053" i="1"/>
  <c r="F1053" i="1"/>
  <c r="E1053" i="1"/>
  <c r="D1053" i="1"/>
  <c r="C1053" i="1"/>
  <c r="B1053" i="1"/>
  <c r="A1053" i="1"/>
  <c r="J1052" i="1"/>
  <c r="I1052" i="1"/>
  <c r="H1052" i="1"/>
  <c r="G1052" i="1"/>
  <c r="F1052" i="1"/>
  <c r="E1052" i="1"/>
  <c r="D1052" i="1"/>
  <c r="C1052" i="1"/>
  <c r="B1052" i="1"/>
  <c r="A1052" i="1"/>
  <c r="J1051" i="1"/>
  <c r="I1051" i="1"/>
  <c r="H1051" i="1"/>
  <c r="G1051" i="1"/>
  <c r="F1051" i="1"/>
  <c r="E1051" i="1"/>
  <c r="D1051" i="1"/>
  <c r="C1051" i="1"/>
  <c r="B1051" i="1"/>
  <c r="A1051" i="1"/>
  <c r="J1050" i="1"/>
  <c r="I1050" i="1"/>
  <c r="H1050" i="1"/>
  <c r="G1050" i="1"/>
  <c r="F1050" i="1"/>
  <c r="E1050" i="1"/>
  <c r="D1050" i="1"/>
  <c r="C1050" i="1"/>
  <c r="B1050" i="1"/>
  <c r="A1050" i="1"/>
  <c r="J1049" i="1"/>
  <c r="I1049" i="1"/>
  <c r="H1049" i="1"/>
  <c r="G1049" i="1"/>
  <c r="E1049" i="1"/>
  <c r="D1049" i="1"/>
  <c r="C1049" i="1"/>
  <c r="B1049" i="1"/>
  <c r="A1049" i="1"/>
  <c r="J1048" i="1"/>
  <c r="I1048" i="1"/>
  <c r="H1048" i="1"/>
  <c r="G1048" i="1"/>
  <c r="F1048" i="1"/>
  <c r="E1048" i="1"/>
  <c r="D1048" i="1"/>
  <c r="C1048" i="1"/>
  <c r="B1048" i="1"/>
  <c r="A1048" i="1"/>
  <c r="J1047" i="1"/>
  <c r="I1047" i="1"/>
  <c r="H1047" i="1"/>
  <c r="G1047" i="1"/>
  <c r="F1047" i="1"/>
  <c r="E1047" i="1"/>
  <c r="D1047" i="1"/>
  <c r="C1047" i="1"/>
  <c r="B1047" i="1"/>
  <c r="A1047" i="1"/>
  <c r="J1046" i="1"/>
  <c r="I1046" i="1"/>
  <c r="H1046" i="1"/>
  <c r="G1046" i="1"/>
  <c r="F1046" i="1"/>
  <c r="E1046" i="1"/>
  <c r="D1046" i="1"/>
  <c r="C1046" i="1"/>
  <c r="B1046" i="1"/>
  <c r="A1046" i="1"/>
  <c r="J1045" i="1"/>
  <c r="I1045" i="1"/>
  <c r="H1045" i="1"/>
  <c r="G1045" i="1"/>
  <c r="F1045" i="1"/>
  <c r="E1045" i="1"/>
  <c r="D1045" i="1"/>
  <c r="C1045" i="1"/>
  <c r="B1045" i="1"/>
  <c r="A1045" i="1"/>
  <c r="J1044" i="1"/>
  <c r="I1044" i="1"/>
  <c r="H1044" i="1"/>
  <c r="G1044" i="1"/>
  <c r="F1044" i="1"/>
  <c r="E1044" i="1"/>
  <c r="D1044" i="1"/>
  <c r="C1044" i="1"/>
  <c r="B1044" i="1"/>
  <c r="A1044" i="1"/>
  <c r="J1043" i="1"/>
  <c r="I1043" i="1"/>
  <c r="H1043" i="1"/>
  <c r="G1043" i="1"/>
  <c r="F1043" i="1"/>
  <c r="E1043" i="1"/>
  <c r="D1043" i="1"/>
  <c r="C1043" i="1"/>
  <c r="B1043" i="1"/>
  <c r="A1043" i="1"/>
  <c r="J1042" i="1"/>
  <c r="I1042" i="1"/>
  <c r="H1042" i="1"/>
  <c r="G1042" i="1"/>
  <c r="F1042" i="1"/>
  <c r="E1042" i="1"/>
  <c r="D1042" i="1"/>
  <c r="C1042" i="1"/>
  <c r="B1042" i="1"/>
  <c r="A1042" i="1"/>
  <c r="J1041" i="1"/>
  <c r="I1041" i="1"/>
  <c r="H1041" i="1"/>
  <c r="G1041" i="1"/>
  <c r="F1041" i="1"/>
  <c r="E1041" i="1"/>
  <c r="D1041" i="1"/>
  <c r="C1041" i="1"/>
  <c r="B1041" i="1"/>
  <c r="A1041" i="1"/>
  <c r="J1040" i="1"/>
  <c r="I1040" i="1"/>
  <c r="H1040" i="1"/>
  <c r="G1040" i="1"/>
  <c r="F1040" i="1"/>
  <c r="E1040" i="1"/>
  <c r="D1040" i="1"/>
  <c r="C1040" i="1"/>
  <c r="B1040" i="1"/>
  <c r="A1040" i="1"/>
  <c r="J1039" i="1"/>
  <c r="I1039" i="1"/>
  <c r="H1039" i="1"/>
  <c r="G1039" i="1"/>
  <c r="F1039" i="1"/>
  <c r="E1039" i="1"/>
  <c r="D1039" i="1"/>
  <c r="C1039" i="1"/>
  <c r="B1039" i="1"/>
  <c r="A1039" i="1"/>
  <c r="J1038" i="1"/>
  <c r="I1038" i="1"/>
  <c r="H1038" i="1"/>
  <c r="G1038" i="1"/>
  <c r="F1038" i="1"/>
  <c r="E1038" i="1"/>
  <c r="D1038" i="1"/>
  <c r="C1038" i="1"/>
  <c r="B1038" i="1"/>
  <c r="A1038" i="1"/>
  <c r="J1037" i="1"/>
  <c r="I1037" i="1"/>
  <c r="H1037" i="1"/>
  <c r="G1037" i="1"/>
  <c r="F1037" i="1"/>
  <c r="E1037" i="1"/>
  <c r="D1037" i="1"/>
  <c r="C1037" i="1"/>
  <c r="B1037" i="1"/>
  <c r="A1037" i="1"/>
  <c r="J1036" i="1"/>
  <c r="I1036" i="1"/>
  <c r="H1036" i="1"/>
  <c r="G1036" i="1"/>
  <c r="F1036" i="1"/>
  <c r="E1036" i="1"/>
  <c r="D1036" i="1"/>
  <c r="C1036" i="1"/>
  <c r="B1036" i="1"/>
  <c r="A1036" i="1"/>
  <c r="J1035" i="1"/>
  <c r="I1035" i="1"/>
  <c r="H1035" i="1"/>
  <c r="G1035" i="1"/>
  <c r="F1035" i="1"/>
  <c r="E1035" i="1"/>
  <c r="D1035" i="1"/>
  <c r="C1035" i="1"/>
  <c r="B1035" i="1"/>
  <c r="A1035" i="1"/>
  <c r="J1034" i="1"/>
  <c r="I1034" i="1"/>
  <c r="H1034" i="1"/>
  <c r="G1034" i="1"/>
  <c r="E1034" i="1"/>
  <c r="D1034" i="1"/>
  <c r="C1034" i="1"/>
  <c r="B1034" i="1"/>
  <c r="A1034" i="1"/>
  <c r="J1033" i="1"/>
  <c r="I1033" i="1"/>
  <c r="H1033" i="1"/>
  <c r="G1033" i="1"/>
  <c r="E1033" i="1"/>
  <c r="D1033" i="1"/>
  <c r="C1033" i="1"/>
  <c r="B1033" i="1"/>
  <c r="A1033" i="1"/>
  <c r="J1032" i="1"/>
  <c r="I1032" i="1"/>
  <c r="H1032" i="1"/>
  <c r="G1032" i="1"/>
  <c r="F1032" i="1"/>
  <c r="E1032" i="1"/>
  <c r="D1032" i="1"/>
  <c r="C1032" i="1"/>
  <c r="B1032" i="1"/>
  <c r="A1032" i="1"/>
  <c r="J1031" i="1"/>
  <c r="I1031" i="1"/>
  <c r="H1031" i="1"/>
  <c r="G1031" i="1"/>
  <c r="F1031" i="1"/>
  <c r="E1031" i="1"/>
  <c r="D1031" i="1"/>
  <c r="C1031" i="1"/>
  <c r="B1031" i="1"/>
  <c r="A1031" i="1"/>
  <c r="J1030" i="1"/>
  <c r="I1030" i="1"/>
  <c r="H1030" i="1"/>
  <c r="G1030" i="1"/>
  <c r="F1030" i="1"/>
  <c r="E1030" i="1"/>
  <c r="D1030" i="1"/>
  <c r="C1030" i="1"/>
  <c r="B1030" i="1"/>
  <c r="A1030" i="1"/>
  <c r="J1029" i="1"/>
  <c r="I1029" i="1"/>
  <c r="H1029" i="1"/>
  <c r="G1029" i="1"/>
  <c r="F1029" i="1"/>
  <c r="E1029" i="1"/>
  <c r="D1029" i="1"/>
  <c r="C1029" i="1"/>
  <c r="B1029" i="1"/>
  <c r="A1029" i="1"/>
  <c r="J1028" i="1"/>
  <c r="I1028" i="1"/>
  <c r="H1028" i="1"/>
  <c r="G1028" i="1"/>
  <c r="F1028" i="1"/>
  <c r="E1028" i="1"/>
  <c r="D1028" i="1"/>
  <c r="C1028" i="1"/>
  <c r="B1028" i="1"/>
  <c r="A1028" i="1"/>
  <c r="J1027" i="1"/>
  <c r="I1027" i="1"/>
  <c r="H1027" i="1"/>
  <c r="G1027" i="1"/>
  <c r="E1027" i="1"/>
  <c r="D1027" i="1"/>
  <c r="C1027" i="1"/>
  <c r="B1027" i="1"/>
  <c r="A1027" i="1"/>
  <c r="J1026" i="1"/>
  <c r="I1026" i="1"/>
  <c r="H1026" i="1"/>
  <c r="G1026" i="1"/>
  <c r="E1026" i="1"/>
  <c r="D1026" i="1"/>
  <c r="C1026" i="1"/>
  <c r="B1026" i="1"/>
  <c r="A1026" i="1"/>
  <c r="J1025" i="1"/>
  <c r="I1025" i="1"/>
  <c r="H1025" i="1"/>
  <c r="G1025" i="1"/>
  <c r="F1025" i="1"/>
  <c r="E1025" i="1"/>
  <c r="D1025" i="1"/>
  <c r="C1025" i="1"/>
  <c r="B1025" i="1"/>
  <c r="A1025" i="1"/>
  <c r="J1024" i="1"/>
  <c r="I1024" i="1"/>
  <c r="H1024" i="1"/>
  <c r="G1024" i="1"/>
  <c r="F1024" i="1"/>
  <c r="E1024" i="1"/>
  <c r="D1024" i="1"/>
  <c r="C1024" i="1"/>
  <c r="B1024" i="1"/>
  <c r="A1024" i="1"/>
  <c r="J1023" i="1"/>
  <c r="I1023" i="1"/>
  <c r="H1023" i="1"/>
  <c r="G1023" i="1"/>
  <c r="E1023" i="1"/>
  <c r="D1023" i="1"/>
  <c r="C1023" i="1"/>
  <c r="B1023" i="1"/>
  <c r="A1023" i="1"/>
  <c r="J1022" i="1"/>
  <c r="I1022" i="1"/>
  <c r="H1022" i="1"/>
  <c r="G1022" i="1"/>
  <c r="E1022" i="1"/>
  <c r="D1022" i="1"/>
  <c r="C1022" i="1"/>
  <c r="B1022" i="1"/>
  <c r="A1022" i="1"/>
  <c r="J1021" i="1"/>
  <c r="I1021" i="1"/>
  <c r="H1021" i="1"/>
  <c r="G1021" i="1"/>
  <c r="E1021" i="1"/>
  <c r="D1021" i="1"/>
  <c r="C1021" i="1"/>
  <c r="B1021" i="1"/>
  <c r="A1021" i="1"/>
  <c r="J1020" i="1"/>
  <c r="I1020" i="1"/>
  <c r="H1020" i="1"/>
  <c r="G1020" i="1"/>
  <c r="F1020" i="1"/>
  <c r="E1020" i="1"/>
  <c r="D1020" i="1"/>
  <c r="C1020" i="1"/>
  <c r="B1020" i="1"/>
  <c r="A1020" i="1"/>
  <c r="J1019" i="1"/>
  <c r="I1019" i="1"/>
  <c r="H1019" i="1"/>
  <c r="G1019" i="1"/>
  <c r="F1019" i="1"/>
  <c r="E1019" i="1"/>
  <c r="D1019" i="1"/>
  <c r="C1019" i="1"/>
  <c r="B1019" i="1"/>
  <c r="A1019" i="1"/>
  <c r="J1018" i="1"/>
  <c r="I1018" i="1"/>
  <c r="H1018" i="1"/>
  <c r="G1018" i="1"/>
  <c r="E1018" i="1"/>
  <c r="D1018" i="1"/>
  <c r="C1018" i="1"/>
  <c r="B1018" i="1"/>
  <c r="A1018" i="1"/>
  <c r="J1017" i="1"/>
  <c r="I1017" i="1"/>
  <c r="H1017" i="1"/>
  <c r="G1017" i="1"/>
  <c r="E1017" i="1"/>
  <c r="D1017" i="1"/>
  <c r="C1017" i="1"/>
  <c r="B1017" i="1"/>
  <c r="A1017" i="1"/>
  <c r="J1016" i="1"/>
  <c r="I1016" i="1"/>
  <c r="H1016" i="1"/>
  <c r="G1016" i="1"/>
  <c r="E1016" i="1"/>
  <c r="D1016" i="1"/>
  <c r="C1016" i="1"/>
  <c r="B1016" i="1"/>
  <c r="A1016" i="1"/>
  <c r="J1015" i="1"/>
  <c r="I1015" i="1"/>
  <c r="H1015" i="1"/>
  <c r="G1015" i="1"/>
  <c r="E1015" i="1"/>
  <c r="D1015" i="1"/>
  <c r="C1015" i="1"/>
  <c r="B1015" i="1"/>
  <c r="A1015" i="1"/>
  <c r="J1014" i="1"/>
  <c r="I1014" i="1"/>
  <c r="H1014" i="1"/>
  <c r="G1014" i="1"/>
  <c r="F1014" i="1"/>
  <c r="E1014" i="1"/>
  <c r="D1014" i="1"/>
  <c r="C1014" i="1"/>
  <c r="B1014" i="1"/>
  <c r="A1014" i="1"/>
  <c r="J1013" i="1"/>
  <c r="I1013" i="1"/>
  <c r="H1013" i="1"/>
  <c r="G1013" i="1"/>
  <c r="F1013" i="1"/>
  <c r="E1013" i="1"/>
  <c r="D1013" i="1"/>
  <c r="C1013" i="1"/>
  <c r="B1013" i="1"/>
  <c r="A1013" i="1"/>
  <c r="J1012" i="1"/>
  <c r="I1012" i="1"/>
  <c r="H1012" i="1"/>
  <c r="G1012" i="1"/>
  <c r="E1012" i="1"/>
  <c r="D1012" i="1"/>
  <c r="C1012" i="1"/>
  <c r="B1012" i="1"/>
  <c r="A1012" i="1"/>
  <c r="J1011" i="1"/>
  <c r="I1011" i="1"/>
  <c r="H1011" i="1"/>
  <c r="G1011" i="1"/>
  <c r="E1011" i="1"/>
  <c r="D1011" i="1"/>
  <c r="C1011" i="1"/>
  <c r="B1011" i="1"/>
  <c r="A1011" i="1"/>
  <c r="J1010" i="1"/>
  <c r="I1010" i="1"/>
  <c r="H1010" i="1"/>
  <c r="G1010" i="1"/>
  <c r="E1010" i="1"/>
  <c r="D1010" i="1"/>
  <c r="C1010" i="1"/>
  <c r="B1010" i="1"/>
  <c r="A1010" i="1"/>
  <c r="J1009" i="1"/>
  <c r="I1009" i="1"/>
  <c r="H1009" i="1"/>
  <c r="G1009" i="1"/>
  <c r="F1009" i="1"/>
  <c r="E1009" i="1"/>
  <c r="D1009" i="1"/>
  <c r="C1009" i="1"/>
  <c r="B1009" i="1"/>
  <c r="A1009" i="1"/>
  <c r="J1008" i="1"/>
  <c r="I1008" i="1"/>
  <c r="H1008" i="1"/>
  <c r="G1008" i="1"/>
  <c r="E1008" i="1"/>
  <c r="D1008" i="1"/>
  <c r="C1008" i="1"/>
  <c r="B1008" i="1"/>
  <c r="A1008" i="1"/>
  <c r="J1007" i="1"/>
  <c r="I1007" i="1"/>
  <c r="H1007" i="1"/>
  <c r="G1007" i="1"/>
  <c r="F1007" i="1"/>
  <c r="E1007" i="1"/>
  <c r="D1007" i="1"/>
  <c r="C1007" i="1"/>
  <c r="B1007" i="1"/>
  <c r="A1007" i="1"/>
  <c r="J1006" i="1"/>
  <c r="I1006" i="1"/>
  <c r="H1006" i="1"/>
  <c r="G1006" i="1"/>
  <c r="F1006" i="1"/>
  <c r="E1006" i="1"/>
  <c r="D1006" i="1"/>
  <c r="C1006" i="1"/>
  <c r="B1006" i="1"/>
  <c r="A1006" i="1"/>
  <c r="J1005" i="1"/>
  <c r="I1005" i="1"/>
  <c r="H1005" i="1"/>
  <c r="G1005" i="1"/>
  <c r="F1005" i="1"/>
  <c r="E1005" i="1"/>
  <c r="D1005" i="1"/>
  <c r="C1005" i="1"/>
  <c r="B1005" i="1"/>
  <c r="A1005" i="1"/>
  <c r="J1004" i="1"/>
  <c r="I1004" i="1"/>
  <c r="H1004" i="1"/>
  <c r="G1004" i="1"/>
  <c r="E1004" i="1"/>
  <c r="D1004" i="1"/>
  <c r="C1004" i="1"/>
  <c r="B1004" i="1"/>
  <c r="A1004" i="1"/>
  <c r="J1003" i="1"/>
  <c r="I1003" i="1"/>
  <c r="H1003" i="1"/>
  <c r="G1003" i="1"/>
  <c r="E1003" i="1"/>
  <c r="D1003" i="1"/>
  <c r="C1003" i="1"/>
  <c r="B1003" i="1"/>
  <c r="A1003" i="1"/>
  <c r="J1002" i="1"/>
  <c r="I1002" i="1"/>
  <c r="H1002" i="1"/>
  <c r="G1002" i="1"/>
  <c r="E1002" i="1"/>
  <c r="D1002" i="1"/>
  <c r="C1002" i="1"/>
  <c r="B1002" i="1"/>
  <c r="A1002" i="1"/>
  <c r="J1001" i="1"/>
  <c r="I1001" i="1"/>
  <c r="H1001" i="1"/>
  <c r="G1001" i="1"/>
  <c r="F1001" i="1"/>
  <c r="E1001" i="1"/>
  <c r="D1001" i="1"/>
  <c r="C1001" i="1"/>
  <c r="B1001" i="1"/>
  <c r="A1001" i="1"/>
  <c r="J1000" i="1"/>
  <c r="I1000" i="1"/>
  <c r="H1000" i="1"/>
  <c r="G1000" i="1"/>
  <c r="F1000" i="1"/>
  <c r="E1000" i="1"/>
  <c r="D1000" i="1"/>
  <c r="C1000" i="1"/>
  <c r="B1000" i="1"/>
  <c r="A1000" i="1"/>
  <c r="J999" i="1"/>
  <c r="I999" i="1"/>
  <c r="H999" i="1"/>
  <c r="G999" i="1"/>
  <c r="F999" i="1"/>
  <c r="E999" i="1"/>
  <c r="D999" i="1"/>
  <c r="C999" i="1"/>
  <c r="B999" i="1"/>
  <c r="A999" i="1"/>
  <c r="J998" i="1"/>
  <c r="I998" i="1"/>
  <c r="H998" i="1"/>
  <c r="G998" i="1"/>
  <c r="F998" i="1"/>
  <c r="E998" i="1"/>
  <c r="D998" i="1"/>
  <c r="C998" i="1"/>
  <c r="B998" i="1"/>
  <c r="A998" i="1"/>
  <c r="J997" i="1"/>
  <c r="I997" i="1"/>
  <c r="H997" i="1"/>
  <c r="G997" i="1"/>
  <c r="F997" i="1"/>
  <c r="E997" i="1"/>
  <c r="D997" i="1"/>
  <c r="C997" i="1"/>
  <c r="B997" i="1"/>
  <c r="A997" i="1"/>
  <c r="J996" i="1"/>
  <c r="I996" i="1"/>
  <c r="H996" i="1"/>
  <c r="G996" i="1"/>
  <c r="F996" i="1"/>
  <c r="E996" i="1"/>
  <c r="D996" i="1"/>
  <c r="C996" i="1"/>
  <c r="B996" i="1"/>
  <c r="A996" i="1"/>
  <c r="J995" i="1"/>
  <c r="I995" i="1"/>
  <c r="H995" i="1"/>
  <c r="G995" i="1"/>
  <c r="E995" i="1"/>
  <c r="D995" i="1"/>
  <c r="C995" i="1"/>
  <c r="B995" i="1"/>
  <c r="A995" i="1"/>
  <c r="J994" i="1"/>
  <c r="I994" i="1"/>
  <c r="H994" i="1"/>
  <c r="G994" i="1"/>
  <c r="E994" i="1"/>
  <c r="D994" i="1"/>
  <c r="C994" i="1"/>
  <c r="B994" i="1"/>
  <c r="A994" i="1"/>
  <c r="J993" i="1"/>
  <c r="I993" i="1"/>
  <c r="H993" i="1"/>
  <c r="G993" i="1"/>
  <c r="E993" i="1"/>
  <c r="D993" i="1"/>
  <c r="C993" i="1"/>
  <c r="B993" i="1"/>
  <c r="A993" i="1"/>
  <c r="J992" i="1"/>
  <c r="I992" i="1"/>
  <c r="H992" i="1"/>
  <c r="G992" i="1"/>
  <c r="E992" i="1"/>
  <c r="D992" i="1"/>
  <c r="C992" i="1"/>
  <c r="B992" i="1"/>
  <c r="A992" i="1"/>
  <c r="J991" i="1"/>
  <c r="I991" i="1"/>
  <c r="H991" i="1"/>
  <c r="G991" i="1"/>
  <c r="E991" i="1"/>
  <c r="D991" i="1"/>
  <c r="C991" i="1"/>
  <c r="B991" i="1"/>
  <c r="A991" i="1"/>
  <c r="J990" i="1"/>
  <c r="I990" i="1"/>
  <c r="H990" i="1"/>
  <c r="G990" i="1"/>
  <c r="E990" i="1"/>
  <c r="D990" i="1"/>
  <c r="C990" i="1"/>
  <c r="B990" i="1"/>
  <c r="A990" i="1"/>
  <c r="J989" i="1"/>
  <c r="I989" i="1"/>
  <c r="H989" i="1"/>
  <c r="G989" i="1"/>
  <c r="F989" i="1"/>
  <c r="E989" i="1"/>
  <c r="D989" i="1"/>
  <c r="C989" i="1"/>
  <c r="B989" i="1"/>
  <c r="A989" i="1"/>
  <c r="J988" i="1"/>
  <c r="I988" i="1"/>
  <c r="H988" i="1"/>
  <c r="G988" i="1"/>
  <c r="E988" i="1"/>
  <c r="D988" i="1"/>
  <c r="C988" i="1"/>
  <c r="B988" i="1"/>
  <c r="A988" i="1"/>
  <c r="J987" i="1"/>
  <c r="I987" i="1"/>
  <c r="H987" i="1"/>
  <c r="G987" i="1"/>
  <c r="E987" i="1"/>
  <c r="D987" i="1"/>
  <c r="C987" i="1"/>
  <c r="B987" i="1"/>
  <c r="A987" i="1"/>
  <c r="J986" i="1"/>
  <c r="I986" i="1"/>
  <c r="H986" i="1"/>
  <c r="G986" i="1"/>
  <c r="E986" i="1"/>
  <c r="D986" i="1"/>
  <c r="C986" i="1"/>
  <c r="B986" i="1"/>
  <c r="A986" i="1"/>
  <c r="J985" i="1"/>
  <c r="I985" i="1"/>
  <c r="H985" i="1"/>
  <c r="G985" i="1"/>
  <c r="E985" i="1"/>
  <c r="D985" i="1"/>
  <c r="C985" i="1"/>
  <c r="B985" i="1"/>
  <c r="A985" i="1"/>
  <c r="J984" i="1"/>
  <c r="I984" i="1"/>
  <c r="H984" i="1"/>
  <c r="G984" i="1"/>
  <c r="E984" i="1"/>
  <c r="D984" i="1"/>
  <c r="C984" i="1"/>
  <c r="B984" i="1"/>
  <c r="A984" i="1"/>
  <c r="J983" i="1"/>
  <c r="I983" i="1"/>
  <c r="H983" i="1"/>
  <c r="G983" i="1"/>
  <c r="E983" i="1"/>
  <c r="D983" i="1"/>
  <c r="C983" i="1"/>
  <c r="B983" i="1"/>
  <c r="A983" i="1"/>
  <c r="J982" i="1"/>
  <c r="I982" i="1"/>
  <c r="H982" i="1"/>
  <c r="G982" i="1"/>
  <c r="E982" i="1"/>
  <c r="D982" i="1"/>
  <c r="C982" i="1"/>
  <c r="B982" i="1"/>
  <c r="A982" i="1"/>
  <c r="J981" i="1"/>
  <c r="I981" i="1"/>
  <c r="H981" i="1"/>
  <c r="G981" i="1"/>
  <c r="E981" i="1"/>
  <c r="D981" i="1"/>
  <c r="C981" i="1"/>
  <c r="B981" i="1"/>
  <c r="A981" i="1"/>
  <c r="J980" i="1"/>
  <c r="I980" i="1"/>
  <c r="H980" i="1"/>
  <c r="G980" i="1"/>
  <c r="E980" i="1"/>
  <c r="D980" i="1"/>
  <c r="C980" i="1"/>
  <c r="B980" i="1"/>
  <c r="A980" i="1"/>
  <c r="J979" i="1"/>
  <c r="I979" i="1"/>
  <c r="H979" i="1"/>
  <c r="G979" i="1"/>
  <c r="F979" i="1"/>
  <c r="E979" i="1"/>
  <c r="D979" i="1"/>
  <c r="C979" i="1"/>
  <c r="B979" i="1"/>
  <c r="A979" i="1"/>
  <c r="J978" i="1"/>
  <c r="I978" i="1"/>
  <c r="H978" i="1"/>
  <c r="G978" i="1"/>
  <c r="E978" i="1"/>
  <c r="D978" i="1"/>
  <c r="C978" i="1"/>
  <c r="B978" i="1"/>
  <c r="A978" i="1"/>
  <c r="J977" i="1"/>
  <c r="I977" i="1"/>
  <c r="H977" i="1"/>
  <c r="G977" i="1"/>
  <c r="E977" i="1"/>
  <c r="D977" i="1"/>
  <c r="C977" i="1"/>
  <c r="B977" i="1"/>
  <c r="A977" i="1"/>
  <c r="J976" i="1"/>
  <c r="I976" i="1"/>
  <c r="H976" i="1"/>
  <c r="G976" i="1"/>
  <c r="E976" i="1"/>
  <c r="D976" i="1"/>
  <c r="C976" i="1"/>
  <c r="B976" i="1"/>
  <c r="A976" i="1"/>
  <c r="J975" i="1"/>
  <c r="I975" i="1"/>
  <c r="H975" i="1"/>
  <c r="G975" i="1"/>
  <c r="E975" i="1"/>
  <c r="D975" i="1"/>
  <c r="C975" i="1"/>
  <c r="B975" i="1"/>
  <c r="A975" i="1"/>
  <c r="J974" i="1"/>
  <c r="I974" i="1"/>
  <c r="H974" i="1"/>
  <c r="G974" i="1"/>
  <c r="E974" i="1"/>
  <c r="D974" i="1"/>
  <c r="C974" i="1"/>
  <c r="B974" i="1"/>
  <c r="A974" i="1"/>
  <c r="J973" i="1"/>
  <c r="I973" i="1"/>
  <c r="H973" i="1"/>
  <c r="G973" i="1"/>
  <c r="E973" i="1"/>
  <c r="D973" i="1"/>
  <c r="C973" i="1"/>
  <c r="B973" i="1"/>
  <c r="A973" i="1"/>
  <c r="J972" i="1"/>
  <c r="I972" i="1"/>
  <c r="H972" i="1"/>
  <c r="G972" i="1"/>
  <c r="F972" i="1"/>
  <c r="E972" i="1"/>
  <c r="D972" i="1"/>
  <c r="C972" i="1"/>
  <c r="B972" i="1"/>
  <c r="A972" i="1"/>
  <c r="J971" i="1"/>
  <c r="I971" i="1"/>
  <c r="H971" i="1"/>
  <c r="G971" i="1"/>
  <c r="F971" i="1"/>
  <c r="E971" i="1"/>
  <c r="D971" i="1"/>
  <c r="C971" i="1"/>
  <c r="B971" i="1"/>
  <c r="A971" i="1"/>
  <c r="J970" i="1"/>
  <c r="I970" i="1"/>
  <c r="H970" i="1"/>
  <c r="G970" i="1"/>
  <c r="E970" i="1"/>
  <c r="D970" i="1"/>
  <c r="C970" i="1"/>
  <c r="B970" i="1"/>
  <c r="A970" i="1"/>
  <c r="J969" i="1"/>
  <c r="I969" i="1"/>
  <c r="H969" i="1"/>
  <c r="G969" i="1"/>
  <c r="E969" i="1"/>
  <c r="D969" i="1"/>
  <c r="C969" i="1"/>
  <c r="B969" i="1"/>
  <c r="A969" i="1"/>
  <c r="J968" i="1"/>
  <c r="I968" i="1"/>
  <c r="H968" i="1"/>
  <c r="G968" i="1"/>
  <c r="E968" i="1"/>
  <c r="D968" i="1"/>
  <c r="C968" i="1"/>
  <c r="B968" i="1"/>
  <c r="A968" i="1"/>
  <c r="J967" i="1"/>
  <c r="I967" i="1"/>
  <c r="H967" i="1"/>
  <c r="G967" i="1"/>
  <c r="F967" i="1"/>
  <c r="E967" i="1"/>
  <c r="D967" i="1"/>
  <c r="C967" i="1"/>
  <c r="B967" i="1"/>
  <c r="A967" i="1"/>
  <c r="J966" i="1"/>
  <c r="I966" i="1"/>
  <c r="H966" i="1"/>
  <c r="G966" i="1"/>
  <c r="E966" i="1"/>
  <c r="D966" i="1"/>
  <c r="C966" i="1"/>
  <c r="B966" i="1"/>
  <c r="A966" i="1"/>
  <c r="J965" i="1"/>
  <c r="I965" i="1"/>
  <c r="H965" i="1"/>
  <c r="G965" i="1"/>
  <c r="F965" i="1"/>
  <c r="E965" i="1"/>
  <c r="D965" i="1"/>
  <c r="C965" i="1"/>
  <c r="B965" i="1"/>
  <c r="A965" i="1"/>
  <c r="J964" i="1"/>
  <c r="I964" i="1"/>
  <c r="H964" i="1"/>
  <c r="G964" i="1"/>
  <c r="F964" i="1"/>
  <c r="E964" i="1"/>
  <c r="D964" i="1"/>
  <c r="C964" i="1"/>
  <c r="B964" i="1"/>
  <c r="A964" i="1"/>
  <c r="J963" i="1"/>
  <c r="I963" i="1"/>
  <c r="H963" i="1"/>
  <c r="G963" i="1"/>
  <c r="E963" i="1"/>
  <c r="D963" i="1"/>
  <c r="C963" i="1"/>
  <c r="B963" i="1"/>
  <c r="A963" i="1"/>
  <c r="J962" i="1"/>
  <c r="I962" i="1"/>
  <c r="H962" i="1"/>
  <c r="G962" i="1"/>
  <c r="E962" i="1"/>
  <c r="D962" i="1"/>
  <c r="C962" i="1"/>
  <c r="B962" i="1"/>
  <c r="A962" i="1"/>
  <c r="J961" i="1"/>
  <c r="I961" i="1"/>
  <c r="H961" i="1"/>
  <c r="G961" i="1"/>
  <c r="E961" i="1"/>
  <c r="D961" i="1"/>
  <c r="C961" i="1"/>
  <c r="B961" i="1"/>
  <c r="A961" i="1"/>
  <c r="J960" i="1"/>
  <c r="I960" i="1"/>
  <c r="H960" i="1"/>
  <c r="G960" i="1"/>
  <c r="E960" i="1"/>
  <c r="D960" i="1"/>
  <c r="C960" i="1"/>
  <c r="B960" i="1"/>
  <c r="A960" i="1"/>
  <c r="J959" i="1"/>
  <c r="I959" i="1"/>
  <c r="H959" i="1"/>
  <c r="G959" i="1"/>
  <c r="E959" i="1"/>
  <c r="D959" i="1"/>
  <c r="C959" i="1"/>
  <c r="B959" i="1"/>
  <c r="A959" i="1"/>
  <c r="J958" i="1"/>
  <c r="I958" i="1"/>
  <c r="H958" i="1"/>
  <c r="G958" i="1"/>
  <c r="E958" i="1"/>
  <c r="D958" i="1"/>
  <c r="C958" i="1"/>
  <c r="B958" i="1"/>
  <c r="A958" i="1"/>
  <c r="J957" i="1"/>
  <c r="I957" i="1"/>
  <c r="H957" i="1"/>
  <c r="G957" i="1"/>
  <c r="E957" i="1"/>
  <c r="D957" i="1"/>
  <c r="C957" i="1"/>
  <c r="B957" i="1"/>
  <c r="A957" i="1"/>
  <c r="J956" i="1"/>
  <c r="I956" i="1"/>
  <c r="H956" i="1"/>
  <c r="G956" i="1"/>
  <c r="F956" i="1"/>
  <c r="E956" i="1"/>
  <c r="D956" i="1"/>
  <c r="C956" i="1"/>
  <c r="B956" i="1"/>
  <c r="A956" i="1"/>
  <c r="J955" i="1"/>
  <c r="I955" i="1"/>
  <c r="H955" i="1"/>
  <c r="G955" i="1"/>
  <c r="F955" i="1"/>
  <c r="E955" i="1"/>
  <c r="D955" i="1"/>
  <c r="C955" i="1"/>
  <c r="B955" i="1"/>
  <c r="A955" i="1"/>
  <c r="J954" i="1"/>
  <c r="I954" i="1"/>
  <c r="H954" i="1"/>
  <c r="G954" i="1"/>
  <c r="E954" i="1"/>
  <c r="D954" i="1"/>
  <c r="C954" i="1"/>
  <c r="B954" i="1"/>
  <c r="A954" i="1"/>
  <c r="J953" i="1"/>
  <c r="I953" i="1"/>
  <c r="H953" i="1"/>
  <c r="G953" i="1"/>
  <c r="F953" i="1"/>
  <c r="E953" i="1"/>
  <c r="D953" i="1"/>
  <c r="C953" i="1"/>
  <c r="B953" i="1"/>
  <c r="A953" i="1"/>
  <c r="J952" i="1"/>
  <c r="I952" i="1"/>
  <c r="H952" i="1"/>
  <c r="G952" i="1"/>
  <c r="F952" i="1"/>
  <c r="E952" i="1"/>
  <c r="D952" i="1"/>
  <c r="C952" i="1"/>
  <c r="B952" i="1"/>
  <c r="A952" i="1"/>
  <c r="J951" i="1"/>
  <c r="I951" i="1"/>
  <c r="H951" i="1"/>
  <c r="G951" i="1"/>
  <c r="F951" i="1"/>
  <c r="E951" i="1"/>
  <c r="D951" i="1"/>
  <c r="C951" i="1"/>
  <c r="B951" i="1"/>
  <c r="A951" i="1"/>
  <c r="J950" i="1"/>
  <c r="I950" i="1"/>
  <c r="H950" i="1"/>
  <c r="G950" i="1"/>
  <c r="E950" i="1"/>
  <c r="D950" i="1"/>
  <c r="C950" i="1"/>
  <c r="B950" i="1"/>
  <c r="A950" i="1"/>
  <c r="J949" i="1"/>
  <c r="I949" i="1"/>
  <c r="H949" i="1"/>
  <c r="G949" i="1"/>
  <c r="E949" i="1"/>
  <c r="D949" i="1"/>
  <c r="C949" i="1"/>
  <c r="B949" i="1"/>
  <c r="A949" i="1"/>
  <c r="J948" i="1"/>
  <c r="I948" i="1"/>
  <c r="H948" i="1"/>
  <c r="G948" i="1"/>
  <c r="F948" i="1"/>
  <c r="E948" i="1"/>
  <c r="D948" i="1"/>
  <c r="C948" i="1"/>
  <c r="B948" i="1"/>
  <c r="A948" i="1"/>
  <c r="J947" i="1"/>
  <c r="I947" i="1"/>
  <c r="H947" i="1"/>
  <c r="G947" i="1"/>
  <c r="F947" i="1"/>
  <c r="E947" i="1"/>
  <c r="D947" i="1"/>
  <c r="C947" i="1"/>
  <c r="B947" i="1"/>
  <c r="A947" i="1"/>
  <c r="J946" i="1"/>
  <c r="I946" i="1"/>
  <c r="H946" i="1"/>
  <c r="G946" i="1"/>
  <c r="E946" i="1"/>
  <c r="D946" i="1"/>
  <c r="C946" i="1"/>
  <c r="B946" i="1"/>
  <c r="A946" i="1"/>
  <c r="J945" i="1"/>
  <c r="I945" i="1"/>
  <c r="H945" i="1"/>
  <c r="G945" i="1"/>
  <c r="F945" i="1"/>
  <c r="E945" i="1"/>
  <c r="D945" i="1"/>
  <c r="C945" i="1"/>
  <c r="B945" i="1"/>
  <c r="A945" i="1"/>
  <c r="J944" i="1"/>
  <c r="I944" i="1"/>
  <c r="H944" i="1"/>
  <c r="G944" i="1"/>
  <c r="E944" i="1"/>
  <c r="D944" i="1"/>
  <c r="C944" i="1"/>
  <c r="B944" i="1"/>
  <c r="A944" i="1"/>
  <c r="J943" i="1"/>
  <c r="I943" i="1"/>
  <c r="H943" i="1"/>
  <c r="G943" i="1"/>
  <c r="E943" i="1"/>
  <c r="D943" i="1"/>
  <c r="C943" i="1"/>
  <c r="B943" i="1"/>
  <c r="A943" i="1"/>
  <c r="J942" i="1"/>
  <c r="I942" i="1"/>
  <c r="H942" i="1"/>
  <c r="G942" i="1"/>
  <c r="F942" i="1"/>
  <c r="E942" i="1"/>
  <c r="D942" i="1"/>
  <c r="C942" i="1"/>
  <c r="B942" i="1"/>
  <c r="A942" i="1"/>
  <c r="J941" i="1"/>
  <c r="I941" i="1"/>
  <c r="H941" i="1"/>
  <c r="G941" i="1"/>
  <c r="E941" i="1"/>
  <c r="D941" i="1"/>
  <c r="C941" i="1"/>
  <c r="B941" i="1"/>
  <c r="A941" i="1"/>
  <c r="J940" i="1"/>
  <c r="I940" i="1"/>
  <c r="H940" i="1"/>
  <c r="G940" i="1"/>
  <c r="E940" i="1"/>
  <c r="D940" i="1"/>
  <c r="C940" i="1"/>
  <c r="B940" i="1"/>
  <c r="A940" i="1"/>
  <c r="J939" i="1"/>
  <c r="I939" i="1"/>
  <c r="H939" i="1"/>
  <c r="G939" i="1"/>
  <c r="F939" i="1"/>
  <c r="E939" i="1"/>
  <c r="D939" i="1"/>
  <c r="C939" i="1"/>
  <c r="B939" i="1"/>
  <c r="A939" i="1"/>
  <c r="J938" i="1"/>
  <c r="I938" i="1"/>
  <c r="H938" i="1"/>
  <c r="G938" i="1"/>
  <c r="E938" i="1"/>
  <c r="D938" i="1"/>
  <c r="C938" i="1"/>
  <c r="B938" i="1"/>
  <c r="A938" i="1"/>
  <c r="J937" i="1"/>
  <c r="I937" i="1"/>
  <c r="H937" i="1"/>
  <c r="G937" i="1"/>
  <c r="E937" i="1"/>
  <c r="D937" i="1"/>
  <c r="C937" i="1"/>
  <c r="B937" i="1"/>
  <c r="A937" i="1"/>
  <c r="J936" i="1"/>
  <c r="I936" i="1"/>
  <c r="H936" i="1"/>
  <c r="G936" i="1"/>
  <c r="E936" i="1"/>
  <c r="D936" i="1"/>
  <c r="C936" i="1"/>
  <c r="B936" i="1"/>
  <c r="A936" i="1"/>
  <c r="J935" i="1"/>
  <c r="I935" i="1"/>
  <c r="H935" i="1"/>
  <c r="G935" i="1"/>
  <c r="F935" i="1"/>
  <c r="E935" i="1"/>
  <c r="D935" i="1"/>
  <c r="C935" i="1"/>
  <c r="B935" i="1"/>
  <c r="A935" i="1"/>
  <c r="J934" i="1"/>
  <c r="I934" i="1"/>
  <c r="H934" i="1"/>
  <c r="G934" i="1"/>
  <c r="E934" i="1"/>
  <c r="D934" i="1"/>
  <c r="C934" i="1"/>
  <c r="B934" i="1"/>
  <c r="A934" i="1"/>
  <c r="J933" i="1"/>
  <c r="I933" i="1"/>
  <c r="H933" i="1"/>
  <c r="G933" i="1"/>
  <c r="F933" i="1"/>
  <c r="E933" i="1"/>
  <c r="D933" i="1"/>
  <c r="C933" i="1"/>
  <c r="B933" i="1"/>
  <c r="A933" i="1"/>
  <c r="J932" i="1"/>
  <c r="I932" i="1"/>
  <c r="H932" i="1"/>
  <c r="G932" i="1"/>
  <c r="F932" i="1"/>
  <c r="E932" i="1"/>
  <c r="D932" i="1"/>
  <c r="C932" i="1"/>
  <c r="B932" i="1"/>
  <c r="A932" i="1"/>
  <c r="J931" i="1"/>
  <c r="I931" i="1"/>
  <c r="H931" i="1"/>
  <c r="G931" i="1"/>
  <c r="E931" i="1"/>
  <c r="D931" i="1"/>
  <c r="C931" i="1"/>
  <c r="B931" i="1"/>
  <c r="A931" i="1"/>
  <c r="J930" i="1"/>
  <c r="I930" i="1"/>
  <c r="H930" i="1"/>
  <c r="G930" i="1"/>
  <c r="F930" i="1"/>
  <c r="E930" i="1"/>
  <c r="D930" i="1"/>
  <c r="C930" i="1"/>
  <c r="B930" i="1"/>
  <c r="A930" i="1"/>
  <c r="J929" i="1"/>
  <c r="I929" i="1"/>
  <c r="H929" i="1"/>
  <c r="G929" i="1"/>
  <c r="E929" i="1"/>
  <c r="D929" i="1"/>
  <c r="C929" i="1"/>
  <c r="B929" i="1"/>
  <c r="A929" i="1"/>
  <c r="J928" i="1"/>
  <c r="I928" i="1"/>
  <c r="H928" i="1"/>
  <c r="G928" i="1"/>
  <c r="E928" i="1"/>
  <c r="D928" i="1"/>
  <c r="C928" i="1"/>
  <c r="B928" i="1"/>
  <c r="A928" i="1"/>
  <c r="J927" i="1"/>
  <c r="I927" i="1"/>
  <c r="H927" i="1"/>
  <c r="G927" i="1"/>
  <c r="F927" i="1"/>
  <c r="E927" i="1"/>
  <c r="D927" i="1"/>
  <c r="C927" i="1"/>
  <c r="B927" i="1"/>
  <c r="A927" i="1"/>
  <c r="J926" i="1"/>
  <c r="I926" i="1"/>
  <c r="H926" i="1"/>
  <c r="G926" i="1"/>
  <c r="E926" i="1"/>
  <c r="D926" i="1"/>
  <c r="C926" i="1"/>
  <c r="B926" i="1"/>
  <c r="A926" i="1"/>
  <c r="J925" i="1"/>
  <c r="I925" i="1"/>
  <c r="H925" i="1"/>
  <c r="G925" i="1"/>
  <c r="E925" i="1"/>
  <c r="D925" i="1"/>
  <c r="C925" i="1"/>
  <c r="B925" i="1"/>
  <c r="A925" i="1"/>
  <c r="J924" i="1"/>
  <c r="I924" i="1"/>
  <c r="H924" i="1"/>
  <c r="G924" i="1"/>
  <c r="E924" i="1"/>
  <c r="D924" i="1"/>
  <c r="C924" i="1"/>
  <c r="B924" i="1"/>
  <c r="A924" i="1"/>
  <c r="J923" i="1"/>
  <c r="I923" i="1"/>
  <c r="H923" i="1"/>
  <c r="G923" i="1"/>
  <c r="E923" i="1"/>
  <c r="D923" i="1"/>
  <c r="C923" i="1"/>
  <c r="B923" i="1"/>
  <c r="A923" i="1"/>
  <c r="J922" i="1"/>
  <c r="I922" i="1"/>
  <c r="H922" i="1"/>
  <c r="G922" i="1"/>
  <c r="F922" i="1"/>
  <c r="E922" i="1"/>
  <c r="D922" i="1"/>
  <c r="C922" i="1"/>
  <c r="B922" i="1"/>
  <c r="A922" i="1"/>
  <c r="J921" i="1"/>
  <c r="I921" i="1"/>
  <c r="H921" i="1"/>
  <c r="G921" i="1"/>
  <c r="E921" i="1"/>
  <c r="D921" i="1"/>
  <c r="C921" i="1"/>
  <c r="B921" i="1"/>
  <c r="A921" i="1"/>
  <c r="J920" i="1"/>
  <c r="I920" i="1"/>
  <c r="H920" i="1"/>
  <c r="G920" i="1"/>
  <c r="E920" i="1"/>
  <c r="D920" i="1"/>
  <c r="C920" i="1"/>
  <c r="B920" i="1"/>
  <c r="A920" i="1"/>
  <c r="J919" i="1"/>
  <c r="I919" i="1"/>
  <c r="H919" i="1"/>
  <c r="G919" i="1"/>
  <c r="F919" i="1"/>
  <c r="E919" i="1"/>
  <c r="D919" i="1"/>
  <c r="C919" i="1"/>
  <c r="B919" i="1"/>
  <c r="A919" i="1"/>
  <c r="J918" i="1"/>
  <c r="I918" i="1"/>
  <c r="H918" i="1"/>
  <c r="G918" i="1"/>
  <c r="E918" i="1"/>
  <c r="D918" i="1"/>
  <c r="C918" i="1"/>
  <c r="B918" i="1"/>
  <c r="A918" i="1"/>
  <c r="J917" i="1"/>
  <c r="I917" i="1"/>
  <c r="H917" i="1"/>
  <c r="G917" i="1"/>
  <c r="E917" i="1"/>
  <c r="D917" i="1"/>
  <c r="C917" i="1"/>
  <c r="B917" i="1"/>
  <c r="A917" i="1"/>
  <c r="J916" i="1"/>
  <c r="I916" i="1"/>
  <c r="H916" i="1"/>
  <c r="G916" i="1"/>
  <c r="E916" i="1"/>
  <c r="D916" i="1"/>
  <c r="C916" i="1"/>
  <c r="B916" i="1"/>
  <c r="A916" i="1"/>
  <c r="J915" i="1"/>
  <c r="I915" i="1"/>
  <c r="H915" i="1"/>
  <c r="G915" i="1"/>
  <c r="F915" i="1"/>
  <c r="E915" i="1"/>
  <c r="D915" i="1"/>
  <c r="C915" i="1"/>
  <c r="B915" i="1"/>
  <c r="A915" i="1"/>
  <c r="J914" i="1"/>
  <c r="I914" i="1"/>
  <c r="H914" i="1"/>
  <c r="G914" i="1"/>
  <c r="F914" i="1"/>
  <c r="E914" i="1"/>
  <c r="D914" i="1"/>
  <c r="C914" i="1"/>
  <c r="B914" i="1"/>
  <c r="A914" i="1"/>
  <c r="J913" i="1"/>
  <c r="I913" i="1"/>
  <c r="H913" i="1"/>
  <c r="G913" i="1"/>
  <c r="F913" i="1"/>
  <c r="E913" i="1"/>
  <c r="D913" i="1"/>
  <c r="C913" i="1"/>
  <c r="B913" i="1"/>
  <c r="A913" i="1"/>
  <c r="J912" i="1"/>
  <c r="I912" i="1"/>
  <c r="H912" i="1"/>
  <c r="G912" i="1"/>
  <c r="E912" i="1"/>
  <c r="D912" i="1"/>
  <c r="C912" i="1"/>
  <c r="B912" i="1"/>
  <c r="A912" i="1"/>
  <c r="J911" i="1"/>
  <c r="I911" i="1"/>
  <c r="H911" i="1"/>
  <c r="G911" i="1"/>
  <c r="F911" i="1"/>
  <c r="E911" i="1"/>
  <c r="D911" i="1"/>
  <c r="C911" i="1"/>
  <c r="B911" i="1"/>
  <c r="A911" i="1"/>
  <c r="J910" i="1"/>
  <c r="I910" i="1"/>
  <c r="H910" i="1"/>
  <c r="G910" i="1"/>
  <c r="F910" i="1"/>
  <c r="E910" i="1"/>
  <c r="D910" i="1"/>
  <c r="C910" i="1"/>
  <c r="B910" i="1"/>
  <c r="A910" i="1"/>
  <c r="J909" i="1"/>
  <c r="I909" i="1"/>
  <c r="H909" i="1"/>
  <c r="G909" i="1"/>
  <c r="F909" i="1"/>
  <c r="E909" i="1"/>
  <c r="D909" i="1"/>
  <c r="C909" i="1"/>
  <c r="B909" i="1"/>
  <c r="A909" i="1"/>
  <c r="J908" i="1"/>
  <c r="I908" i="1"/>
  <c r="H908" i="1"/>
  <c r="G908" i="1"/>
  <c r="E908" i="1"/>
  <c r="D908" i="1"/>
  <c r="C908" i="1"/>
  <c r="B908" i="1"/>
  <c r="A908" i="1"/>
  <c r="J907" i="1"/>
  <c r="I907" i="1"/>
  <c r="H907" i="1"/>
  <c r="G907" i="1"/>
  <c r="F907" i="1"/>
  <c r="E907" i="1"/>
  <c r="D907" i="1"/>
  <c r="C907" i="1"/>
  <c r="B907" i="1"/>
  <c r="A907" i="1"/>
  <c r="J906" i="1"/>
  <c r="I906" i="1"/>
  <c r="H906" i="1"/>
  <c r="G906" i="1"/>
  <c r="E906" i="1"/>
  <c r="D906" i="1"/>
  <c r="C906" i="1"/>
  <c r="B906" i="1"/>
  <c r="A906" i="1"/>
  <c r="J905" i="1"/>
  <c r="I905" i="1"/>
  <c r="H905" i="1"/>
  <c r="G905" i="1"/>
  <c r="E905" i="1"/>
  <c r="D905" i="1"/>
  <c r="C905" i="1"/>
  <c r="B905" i="1"/>
  <c r="A905" i="1"/>
  <c r="J904" i="1"/>
  <c r="I904" i="1"/>
  <c r="H904" i="1"/>
  <c r="G904" i="1"/>
  <c r="E904" i="1"/>
  <c r="D904" i="1"/>
  <c r="C904" i="1"/>
  <c r="B904" i="1"/>
  <c r="A904" i="1"/>
  <c r="J903" i="1"/>
  <c r="I903" i="1"/>
  <c r="H903" i="1"/>
  <c r="G903" i="1"/>
  <c r="F903" i="1"/>
  <c r="E903" i="1"/>
  <c r="D903" i="1"/>
  <c r="C903" i="1"/>
  <c r="B903" i="1"/>
  <c r="A903" i="1"/>
  <c r="J902" i="1"/>
  <c r="I902" i="1"/>
  <c r="H902" i="1"/>
  <c r="G902" i="1"/>
  <c r="F902" i="1"/>
  <c r="E902" i="1"/>
  <c r="D902" i="1"/>
  <c r="C902" i="1"/>
  <c r="B902" i="1"/>
  <c r="A902" i="1"/>
  <c r="J901" i="1"/>
  <c r="I901" i="1"/>
  <c r="H901" i="1"/>
  <c r="G901" i="1"/>
  <c r="E901" i="1"/>
  <c r="D901" i="1"/>
  <c r="C901" i="1"/>
  <c r="B901" i="1"/>
  <c r="A901" i="1"/>
  <c r="J900" i="1"/>
  <c r="I900" i="1"/>
  <c r="H900" i="1"/>
  <c r="G900" i="1"/>
  <c r="F900" i="1"/>
  <c r="E900" i="1"/>
  <c r="D900" i="1"/>
  <c r="C900" i="1"/>
  <c r="B900" i="1"/>
  <c r="A900" i="1"/>
  <c r="J899" i="1"/>
  <c r="I899" i="1"/>
  <c r="H899" i="1"/>
  <c r="G899" i="1"/>
  <c r="F899" i="1"/>
  <c r="E899" i="1"/>
  <c r="D899" i="1"/>
  <c r="C899" i="1"/>
  <c r="B899" i="1"/>
  <c r="A899" i="1"/>
  <c r="J898" i="1"/>
  <c r="I898" i="1"/>
  <c r="H898" i="1"/>
  <c r="G898" i="1"/>
  <c r="F898" i="1"/>
  <c r="E898" i="1"/>
  <c r="D898" i="1"/>
  <c r="C898" i="1"/>
  <c r="B898" i="1"/>
  <c r="A898" i="1"/>
  <c r="J897" i="1"/>
  <c r="I897" i="1"/>
  <c r="H897" i="1"/>
  <c r="G897" i="1"/>
  <c r="E897" i="1"/>
  <c r="D897" i="1"/>
  <c r="C897" i="1"/>
  <c r="B897" i="1"/>
  <c r="A897" i="1"/>
  <c r="J896" i="1"/>
  <c r="I896" i="1"/>
  <c r="H896" i="1"/>
  <c r="G896" i="1"/>
  <c r="F896" i="1"/>
  <c r="E896" i="1"/>
  <c r="D896" i="1"/>
  <c r="C896" i="1"/>
  <c r="B896" i="1"/>
  <c r="A896" i="1"/>
  <c r="J895" i="1"/>
  <c r="I895" i="1"/>
  <c r="H895" i="1"/>
  <c r="G895" i="1"/>
  <c r="F895" i="1"/>
  <c r="E895" i="1"/>
  <c r="D895" i="1"/>
  <c r="C895" i="1"/>
  <c r="B895" i="1"/>
  <c r="A895" i="1"/>
  <c r="J894" i="1"/>
  <c r="I894" i="1"/>
  <c r="H894" i="1"/>
  <c r="G894" i="1"/>
  <c r="F894" i="1"/>
  <c r="E894" i="1"/>
  <c r="D894" i="1"/>
  <c r="C894" i="1"/>
  <c r="B894" i="1"/>
  <c r="A894" i="1"/>
  <c r="J893" i="1"/>
  <c r="I893" i="1"/>
  <c r="H893" i="1"/>
  <c r="G893" i="1"/>
  <c r="E893" i="1"/>
  <c r="D893" i="1"/>
  <c r="C893" i="1"/>
  <c r="B893" i="1"/>
  <c r="A893" i="1"/>
  <c r="J892" i="1"/>
  <c r="I892" i="1"/>
  <c r="H892" i="1"/>
  <c r="G892" i="1"/>
  <c r="E892" i="1"/>
  <c r="D892" i="1"/>
  <c r="C892" i="1"/>
  <c r="B892" i="1"/>
  <c r="A892" i="1"/>
  <c r="J891" i="1"/>
  <c r="I891" i="1"/>
  <c r="H891" i="1"/>
  <c r="G891" i="1"/>
  <c r="E891" i="1"/>
  <c r="D891" i="1"/>
  <c r="C891" i="1"/>
  <c r="B891" i="1"/>
  <c r="A891" i="1"/>
  <c r="J890" i="1"/>
  <c r="I890" i="1"/>
  <c r="H890" i="1"/>
  <c r="G890" i="1"/>
  <c r="E890" i="1"/>
  <c r="D890" i="1"/>
  <c r="C890" i="1"/>
  <c r="B890" i="1"/>
  <c r="A890" i="1"/>
  <c r="J889" i="1"/>
  <c r="I889" i="1"/>
  <c r="H889" i="1"/>
  <c r="G889" i="1"/>
  <c r="E889" i="1"/>
  <c r="D889" i="1"/>
  <c r="C889" i="1"/>
  <c r="B889" i="1"/>
  <c r="A889" i="1"/>
  <c r="J888" i="1"/>
  <c r="I888" i="1"/>
  <c r="H888" i="1"/>
  <c r="G888" i="1"/>
  <c r="E888" i="1"/>
  <c r="D888" i="1"/>
  <c r="C888" i="1"/>
  <c r="B888" i="1"/>
  <c r="A888" i="1"/>
  <c r="J887" i="1"/>
  <c r="I887" i="1"/>
  <c r="H887" i="1"/>
  <c r="G887" i="1"/>
  <c r="E887" i="1"/>
  <c r="D887" i="1"/>
  <c r="C887" i="1"/>
  <c r="B887" i="1"/>
  <c r="A887" i="1"/>
  <c r="J886" i="1"/>
  <c r="I886" i="1"/>
  <c r="H886" i="1"/>
  <c r="G886" i="1"/>
  <c r="E886" i="1"/>
  <c r="D886" i="1"/>
  <c r="C886" i="1"/>
  <c r="B886" i="1"/>
  <c r="A886" i="1"/>
  <c r="J885" i="1"/>
  <c r="I885" i="1"/>
  <c r="H885" i="1"/>
  <c r="G885" i="1"/>
  <c r="E885" i="1"/>
  <c r="D885" i="1"/>
  <c r="C885" i="1"/>
  <c r="B885" i="1"/>
  <c r="A885" i="1"/>
  <c r="J884" i="1"/>
  <c r="I884" i="1"/>
  <c r="H884" i="1"/>
  <c r="G884" i="1"/>
  <c r="F884" i="1"/>
  <c r="E884" i="1"/>
  <c r="D884" i="1"/>
  <c r="C884" i="1"/>
  <c r="B884" i="1"/>
  <c r="A884" i="1"/>
  <c r="J883" i="1"/>
  <c r="I883" i="1"/>
  <c r="H883" i="1"/>
  <c r="G883" i="1"/>
  <c r="F883" i="1"/>
  <c r="E883" i="1"/>
  <c r="D883" i="1"/>
  <c r="C883" i="1"/>
  <c r="B883" i="1"/>
  <c r="A883" i="1"/>
  <c r="J882" i="1"/>
  <c r="I882" i="1"/>
  <c r="H882" i="1"/>
  <c r="G882" i="1"/>
  <c r="F882" i="1"/>
  <c r="E882" i="1"/>
  <c r="D882" i="1"/>
  <c r="C882" i="1"/>
  <c r="B882" i="1"/>
  <c r="A882" i="1"/>
  <c r="J881" i="1"/>
  <c r="I881" i="1"/>
  <c r="H881" i="1"/>
  <c r="G881" i="1"/>
  <c r="E881" i="1"/>
  <c r="D881" i="1"/>
  <c r="C881" i="1"/>
  <c r="B881" i="1"/>
  <c r="A881" i="1"/>
  <c r="J880" i="1"/>
  <c r="I880" i="1"/>
  <c r="H880" i="1"/>
  <c r="G880" i="1"/>
  <c r="E880" i="1"/>
  <c r="D880" i="1"/>
  <c r="C880" i="1"/>
  <c r="B880" i="1"/>
  <c r="A880" i="1"/>
  <c r="J879" i="1"/>
  <c r="I879" i="1"/>
  <c r="H879" i="1"/>
  <c r="G879" i="1"/>
  <c r="F879" i="1"/>
  <c r="E879" i="1"/>
  <c r="D879" i="1"/>
  <c r="C879" i="1"/>
  <c r="B879" i="1"/>
  <c r="A879" i="1"/>
  <c r="J878" i="1"/>
  <c r="I878" i="1"/>
  <c r="H878" i="1"/>
  <c r="G878" i="1"/>
  <c r="E878" i="1"/>
  <c r="D878" i="1"/>
  <c r="C878" i="1"/>
  <c r="B878" i="1"/>
  <c r="A878" i="1"/>
  <c r="J877" i="1"/>
  <c r="I877" i="1"/>
  <c r="H877" i="1"/>
  <c r="G877" i="1"/>
  <c r="E877" i="1"/>
  <c r="D877" i="1"/>
  <c r="C877" i="1"/>
  <c r="B877" i="1"/>
  <c r="A877" i="1"/>
  <c r="J876" i="1"/>
  <c r="I876" i="1"/>
  <c r="H876" i="1"/>
  <c r="G876" i="1"/>
  <c r="E876" i="1"/>
  <c r="D876" i="1"/>
  <c r="C876" i="1"/>
  <c r="B876" i="1"/>
  <c r="A876" i="1"/>
  <c r="J875" i="1"/>
  <c r="I875" i="1"/>
  <c r="H875" i="1"/>
  <c r="G875" i="1"/>
  <c r="E875" i="1"/>
  <c r="D875" i="1"/>
  <c r="C875" i="1"/>
  <c r="B875" i="1"/>
  <c r="A875" i="1"/>
  <c r="J874" i="1"/>
  <c r="I874" i="1"/>
  <c r="H874" i="1"/>
  <c r="G874" i="1"/>
  <c r="E874" i="1"/>
  <c r="D874" i="1"/>
  <c r="C874" i="1"/>
  <c r="B874" i="1"/>
  <c r="A874" i="1"/>
  <c r="J873" i="1"/>
  <c r="I873" i="1"/>
  <c r="H873" i="1"/>
  <c r="G873" i="1"/>
  <c r="E873" i="1"/>
  <c r="D873" i="1"/>
  <c r="C873" i="1"/>
  <c r="B873" i="1"/>
  <c r="A873" i="1"/>
  <c r="J872" i="1"/>
  <c r="I872" i="1"/>
  <c r="H872" i="1"/>
  <c r="G872" i="1"/>
  <c r="E872" i="1"/>
  <c r="D872" i="1"/>
  <c r="C872" i="1"/>
  <c r="B872" i="1"/>
  <c r="A872" i="1"/>
  <c r="J871" i="1"/>
  <c r="I871" i="1"/>
  <c r="H871" i="1"/>
  <c r="G871" i="1"/>
  <c r="F871" i="1"/>
  <c r="E871" i="1"/>
  <c r="D871" i="1"/>
  <c r="C871" i="1"/>
  <c r="B871" i="1"/>
  <c r="A871" i="1"/>
  <c r="J870" i="1"/>
  <c r="I870" i="1"/>
  <c r="H870" i="1"/>
  <c r="G870" i="1"/>
  <c r="F870" i="1"/>
  <c r="E870" i="1"/>
  <c r="D870" i="1"/>
  <c r="C870" i="1"/>
  <c r="B870" i="1"/>
  <c r="A870" i="1"/>
  <c r="J869" i="1"/>
  <c r="I869" i="1"/>
  <c r="H869" i="1"/>
  <c r="G869" i="1"/>
  <c r="F869" i="1"/>
  <c r="E869" i="1"/>
  <c r="D869" i="1"/>
  <c r="C869" i="1"/>
  <c r="B869" i="1"/>
  <c r="A869" i="1"/>
  <c r="J868" i="1"/>
  <c r="I868" i="1"/>
  <c r="H868" i="1"/>
  <c r="G868" i="1"/>
  <c r="F868" i="1"/>
  <c r="E868" i="1"/>
  <c r="D868" i="1"/>
  <c r="C868" i="1"/>
  <c r="B868" i="1"/>
  <c r="A868" i="1"/>
  <c r="J867" i="1"/>
  <c r="I867" i="1"/>
  <c r="H867" i="1"/>
  <c r="G867" i="1"/>
  <c r="F867" i="1"/>
  <c r="E867" i="1"/>
  <c r="D867" i="1"/>
  <c r="C867" i="1"/>
  <c r="B867" i="1"/>
  <c r="A867" i="1"/>
  <c r="J866" i="1"/>
  <c r="I866" i="1"/>
  <c r="H866" i="1"/>
  <c r="G866" i="1"/>
  <c r="F866" i="1"/>
  <c r="E866" i="1"/>
  <c r="D866" i="1"/>
  <c r="C866" i="1"/>
  <c r="B866" i="1"/>
  <c r="A866" i="1"/>
  <c r="J865" i="1"/>
  <c r="I865" i="1"/>
  <c r="H865" i="1"/>
  <c r="G865" i="1"/>
  <c r="F865" i="1"/>
  <c r="E865" i="1"/>
  <c r="D865" i="1"/>
  <c r="C865" i="1"/>
  <c r="B865" i="1"/>
  <c r="A865" i="1"/>
  <c r="J864" i="1"/>
  <c r="I864" i="1"/>
  <c r="H864" i="1"/>
  <c r="G864" i="1"/>
  <c r="E864" i="1"/>
  <c r="D864" i="1"/>
  <c r="C864" i="1"/>
  <c r="B864" i="1"/>
  <c r="A864" i="1"/>
  <c r="J863" i="1"/>
  <c r="I863" i="1"/>
  <c r="H863" i="1"/>
  <c r="G863" i="1"/>
  <c r="F863" i="1"/>
  <c r="E863" i="1"/>
  <c r="D863" i="1"/>
  <c r="C863" i="1"/>
  <c r="B863" i="1"/>
  <c r="A863" i="1"/>
  <c r="J862" i="1"/>
  <c r="I862" i="1"/>
  <c r="H862" i="1"/>
  <c r="G862" i="1"/>
  <c r="F862" i="1"/>
  <c r="E862" i="1"/>
  <c r="D862" i="1"/>
  <c r="C862" i="1"/>
  <c r="B862" i="1"/>
  <c r="A862" i="1"/>
  <c r="J861" i="1"/>
  <c r="I861" i="1"/>
  <c r="H861" i="1"/>
  <c r="G861" i="1"/>
  <c r="F861" i="1"/>
  <c r="E861" i="1"/>
  <c r="D861" i="1"/>
  <c r="C861" i="1"/>
  <c r="B861" i="1"/>
  <c r="A861" i="1"/>
  <c r="J860" i="1"/>
  <c r="I860" i="1"/>
  <c r="H860" i="1"/>
  <c r="G860" i="1"/>
  <c r="F860" i="1"/>
  <c r="E860" i="1"/>
  <c r="D860" i="1"/>
  <c r="C860" i="1"/>
  <c r="B860" i="1"/>
  <c r="A860" i="1"/>
  <c r="J859" i="1"/>
  <c r="I859" i="1"/>
  <c r="H859" i="1"/>
  <c r="G859" i="1"/>
  <c r="F859" i="1"/>
  <c r="E859" i="1"/>
  <c r="D859" i="1"/>
  <c r="C859" i="1"/>
  <c r="B859" i="1"/>
  <c r="A859" i="1"/>
  <c r="J858" i="1"/>
  <c r="I858" i="1"/>
  <c r="H858" i="1"/>
  <c r="G858" i="1"/>
  <c r="F858" i="1"/>
  <c r="E858" i="1"/>
  <c r="D858" i="1"/>
  <c r="C858" i="1"/>
  <c r="B858" i="1"/>
  <c r="A858" i="1"/>
  <c r="J857" i="1"/>
  <c r="I857" i="1"/>
  <c r="H857" i="1"/>
  <c r="G857" i="1"/>
  <c r="F857" i="1"/>
  <c r="E857" i="1"/>
  <c r="D857" i="1"/>
  <c r="C857" i="1"/>
  <c r="B857" i="1"/>
  <c r="A857" i="1"/>
  <c r="J856" i="1"/>
  <c r="I856" i="1"/>
  <c r="H856" i="1"/>
  <c r="G856" i="1"/>
  <c r="F856" i="1"/>
  <c r="E856" i="1"/>
  <c r="D856" i="1"/>
  <c r="C856" i="1"/>
  <c r="B856" i="1"/>
  <c r="A856" i="1"/>
  <c r="J855" i="1"/>
  <c r="I855" i="1"/>
  <c r="H855" i="1"/>
  <c r="G855" i="1"/>
  <c r="F855" i="1"/>
  <c r="E855" i="1"/>
  <c r="D855" i="1"/>
  <c r="C855" i="1"/>
  <c r="B855" i="1"/>
  <c r="A855" i="1"/>
  <c r="J854" i="1"/>
  <c r="I854" i="1"/>
  <c r="H854" i="1"/>
  <c r="G854" i="1"/>
  <c r="F854" i="1"/>
  <c r="E854" i="1"/>
  <c r="D854" i="1"/>
  <c r="C854" i="1"/>
  <c r="B854" i="1"/>
  <c r="A854" i="1"/>
  <c r="J853" i="1"/>
  <c r="I853" i="1"/>
  <c r="H853" i="1"/>
  <c r="G853" i="1"/>
  <c r="E853" i="1"/>
  <c r="D853" i="1"/>
  <c r="C853" i="1"/>
  <c r="B853" i="1"/>
  <c r="A853" i="1"/>
  <c r="J852" i="1"/>
  <c r="I852" i="1"/>
  <c r="H852" i="1"/>
  <c r="G852" i="1"/>
  <c r="F852" i="1"/>
  <c r="E852" i="1"/>
  <c r="D852" i="1"/>
  <c r="C852" i="1"/>
  <c r="B852" i="1"/>
  <c r="A852" i="1"/>
  <c r="J851" i="1"/>
  <c r="I851" i="1"/>
  <c r="H851" i="1"/>
  <c r="G851" i="1"/>
  <c r="F851" i="1"/>
  <c r="E851" i="1"/>
  <c r="D851" i="1"/>
  <c r="C851" i="1"/>
  <c r="B851" i="1"/>
  <c r="A851" i="1"/>
  <c r="J850" i="1"/>
  <c r="I850" i="1"/>
  <c r="H850" i="1"/>
  <c r="G850" i="1"/>
  <c r="F850" i="1"/>
  <c r="E850" i="1"/>
  <c r="D850" i="1"/>
  <c r="C850" i="1"/>
  <c r="B850" i="1"/>
  <c r="A850" i="1"/>
  <c r="J849" i="1"/>
  <c r="I849" i="1"/>
  <c r="H849" i="1"/>
  <c r="G849" i="1"/>
  <c r="F849" i="1"/>
  <c r="E849" i="1"/>
  <c r="D849" i="1"/>
  <c r="C849" i="1"/>
  <c r="B849" i="1"/>
  <c r="A849" i="1"/>
  <c r="J848" i="1"/>
  <c r="I848" i="1"/>
  <c r="H848" i="1"/>
  <c r="G848" i="1"/>
  <c r="E848" i="1"/>
  <c r="D848" i="1"/>
  <c r="C848" i="1"/>
  <c r="B848" i="1"/>
  <c r="A848" i="1"/>
  <c r="J847" i="1"/>
  <c r="I847" i="1"/>
  <c r="H847" i="1"/>
  <c r="G847" i="1"/>
  <c r="F847" i="1"/>
  <c r="E847" i="1"/>
  <c r="D847" i="1"/>
  <c r="C847" i="1"/>
  <c r="B847" i="1"/>
  <c r="A847" i="1"/>
  <c r="J846" i="1"/>
  <c r="I846" i="1"/>
  <c r="H846" i="1"/>
  <c r="G846" i="1"/>
  <c r="E846" i="1"/>
  <c r="D846" i="1"/>
  <c r="C846" i="1"/>
  <c r="B846" i="1"/>
  <c r="A846" i="1"/>
  <c r="J845" i="1"/>
  <c r="I845" i="1"/>
  <c r="H845" i="1"/>
  <c r="G845" i="1"/>
  <c r="F845" i="1"/>
  <c r="E845" i="1"/>
  <c r="D845" i="1"/>
  <c r="C845" i="1"/>
  <c r="B845" i="1"/>
  <c r="A845" i="1"/>
  <c r="J844" i="1"/>
  <c r="I844" i="1"/>
  <c r="H844" i="1"/>
  <c r="G844" i="1"/>
  <c r="E844" i="1"/>
  <c r="D844" i="1"/>
  <c r="C844" i="1"/>
  <c r="B844" i="1"/>
  <c r="A844" i="1"/>
  <c r="J843" i="1"/>
  <c r="I843" i="1"/>
  <c r="H843" i="1"/>
  <c r="G843" i="1"/>
  <c r="E843" i="1"/>
  <c r="D843" i="1"/>
  <c r="C843" i="1"/>
  <c r="B843" i="1"/>
  <c r="A843" i="1"/>
  <c r="J842" i="1"/>
  <c r="I842" i="1"/>
  <c r="H842" i="1"/>
  <c r="G842" i="1"/>
  <c r="E842" i="1"/>
  <c r="D842" i="1"/>
  <c r="C842" i="1"/>
  <c r="B842" i="1"/>
  <c r="A842" i="1"/>
  <c r="J841" i="1"/>
  <c r="I841" i="1"/>
  <c r="H841" i="1"/>
  <c r="G841" i="1"/>
  <c r="F841" i="1"/>
  <c r="E841" i="1"/>
  <c r="D841" i="1"/>
  <c r="C841" i="1"/>
  <c r="B841" i="1"/>
  <c r="A841" i="1"/>
  <c r="J840" i="1"/>
  <c r="I840" i="1"/>
  <c r="H840" i="1"/>
  <c r="G840" i="1"/>
  <c r="E840" i="1"/>
  <c r="D840" i="1"/>
  <c r="C840" i="1"/>
  <c r="B840" i="1"/>
  <c r="A840" i="1"/>
  <c r="J839" i="1"/>
  <c r="I839" i="1"/>
  <c r="H839" i="1"/>
  <c r="G839" i="1"/>
  <c r="F839" i="1"/>
  <c r="E839" i="1"/>
  <c r="D839" i="1"/>
  <c r="C839" i="1"/>
  <c r="B839" i="1"/>
  <c r="A839" i="1"/>
  <c r="J838" i="1"/>
  <c r="I838" i="1"/>
  <c r="H838" i="1"/>
  <c r="G838" i="1"/>
  <c r="F838" i="1"/>
  <c r="E838" i="1"/>
  <c r="D838" i="1"/>
  <c r="C838" i="1"/>
  <c r="B838" i="1"/>
  <c r="A838" i="1"/>
  <c r="J837" i="1"/>
  <c r="I837" i="1"/>
  <c r="H837" i="1"/>
  <c r="G837" i="1"/>
  <c r="F837" i="1"/>
  <c r="E837" i="1"/>
  <c r="D837" i="1"/>
  <c r="C837" i="1"/>
  <c r="B837" i="1"/>
  <c r="A837" i="1"/>
  <c r="J836" i="1"/>
  <c r="I836" i="1"/>
  <c r="H836" i="1"/>
  <c r="G836" i="1"/>
  <c r="F836" i="1"/>
  <c r="E836" i="1"/>
  <c r="D836" i="1"/>
  <c r="C836" i="1"/>
  <c r="B836" i="1"/>
  <c r="A836" i="1"/>
  <c r="J835" i="1"/>
  <c r="I835" i="1"/>
  <c r="H835" i="1"/>
  <c r="G835" i="1"/>
  <c r="E835" i="1"/>
  <c r="D835" i="1"/>
  <c r="C835" i="1"/>
  <c r="B835" i="1"/>
  <c r="A835" i="1"/>
  <c r="J834" i="1"/>
  <c r="I834" i="1"/>
  <c r="H834" i="1"/>
  <c r="G834" i="1"/>
  <c r="F834" i="1"/>
  <c r="E834" i="1"/>
  <c r="D834" i="1"/>
  <c r="C834" i="1"/>
  <c r="B834" i="1"/>
  <c r="A834" i="1"/>
  <c r="J833" i="1"/>
  <c r="I833" i="1"/>
  <c r="H833" i="1"/>
  <c r="G833" i="1"/>
  <c r="F833" i="1"/>
  <c r="E833" i="1"/>
  <c r="D833" i="1"/>
  <c r="C833" i="1"/>
  <c r="B833" i="1"/>
  <c r="A833" i="1"/>
  <c r="J832" i="1"/>
  <c r="I832" i="1"/>
  <c r="H832" i="1"/>
  <c r="G832" i="1"/>
  <c r="F832" i="1"/>
  <c r="E832" i="1"/>
  <c r="D832" i="1"/>
  <c r="C832" i="1"/>
  <c r="B832" i="1"/>
  <c r="A832" i="1"/>
  <c r="J831" i="1"/>
  <c r="I831" i="1"/>
  <c r="H831" i="1"/>
  <c r="G831" i="1"/>
  <c r="F831" i="1"/>
  <c r="E831" i="1"/>
  <c r="D831" i="1"/>
  <c r="C831" i="1"/>
  <c r="B831" i="1"/>
  <c r="A831" i="1"/>
  <c r="J830" i="1"/>
  <c r="I830" i="1"/>
  <c r="H830" i="1"/>
  <c r="G830" i="1"/>
  <c r="F830" i="1"/>
  <c r="E830" i="1"/>
  <c r="D830" i="1"/>
  <c r="C830" i="1"/>
  <c r="B830" i="1"/>
  <c r="A830" i="1"/>
  <c r="J829" i="1"/>
  <c r="I829" i="1"/>
  <c r="H829" i="1"/>
  <c r="G829" i="1"/>
  <c r="E829" i="1"/>
  <c r="D829" i="1"/>
  <c r="C829" i="1"/>
  <c r="B829" i="1"/>
  <c r="A829" i="1"/>
  <c r="J828" i="1"/>
  <c r="I828" i="1"/>
  <c r="H828" i="1"/>
  <c r="G828" i="1"/>
  <c r="F828" i="1"/>
  <c r="E828" i="1"/>
  <c r="D828" i="1"/>
  <c r="C828" i="1"/>
  <c r="B828" i="1"/>
  <c r="A828" i="1"/>
  <c r="J827" i="1"/>
  <c r="I827" i="1"/>
  <c r="H827" i="1"/>
  <c r="G827" i="1"/>
  <c r="E827" i="1"/>
  <c r="D827" i="1"/>
  <c r="C827" i="1"/>
  <c r="B827" i="1"/>
  <c r="A827" i="1"/>
  <c r="J826" i="1"/>
  <c r="I826" i="1"/>
  <c r="H826" i="1"/>
  <c r="G826" i="1"/>
  <c r="E826" i="1"/>
  <c r="D826" i="1"/>
  <c r="C826" i="1"/>
  <c r="B826" i="1"/>
  <c r="A826" i="1"/>
  <c r="J825" i="1"/>
  <c r="I825" i="1"/>
  <c r="H825" i="1"/>
  <c r="G825" i="1"/>
  <c r="E825" i="1"/>
  <c r="D825" i="1"/>
  <c r="C825" i="1"/>
  <c r="B825" i="1"/>
  <c r="A825" i="1"/>
  <c r="J824" i="1"/>
  <c r="I824" i="1"/>
  <c r="H824" i="1"/>
  <c r="G824" i="1"/>
  <c r="F824" i="1"/>
  <c r="E824" i="1"/>
  <c r="D824" i="1"/>
  <c r="C824" i="1"/>
  <c r="B824" i="1"/>
  <c r="A824" i="1"/>
  <c r="J823" i="1"/>
  <c r="I823" i="1"/>
  <c r="H823" i="1"/>
  <c r="G823" i="1"/>
  <c r="E823" i="1"/>
  <c r="D823" i="1"/>
  <c r="C823" i="1"/>
  <c r="B823" i="1"/>
  <c r="A823" i="1"/>
  <c r="J822" i="1"/>
  <c r="I822" i="1"/>
  <c r="H822" i="1"/>
  <c r="G822" i="1"/>
  <c r="F822" i="1"/>
  <c r="E822" i="1"/>
  <c r="D822" i="1"/>
  <c r="C822" i="1"/>
  <c r="B822" i="1"/>
  <c r="A822" i="1"/>
  <c r="J821" i="1"/>
  <c r="I821" i="1"/>
  <c r="H821" i="1"/>
  <c r="G821" i="1"/>
  <c r="F821" i="1"/>
  <c r="E821" i="1"/>
  <c r="D821" i="1"/>
  <c r="C821" i="1"/>
  <c r="B821" i="1"/>
  <c r="A821" i="1"/>
  <c r="J820" i="1"/>
  <c r="I820" i="1"/>
  <c r="H820" i="1"/>
  <c r="G820" i="1"/>
  <c r="E820" i="1"/>
  <c r="D820" i="1"/>
  <c r="C820" i="1"/>
  <c r="B820" i="1"/>
  <c r="A820" i="1"/>
  <c r="J819" i="1"/>
  <c r="I819" i="1"/>
  <c r="H819" i="1"/>
  <c r="G819" i="1"/>
  <c r="F819" i="1"/>
  <c r="E819" i="1"/>
  <c r="D819" i="1"/>
  <c r="C819" i="1"/>
  <c r="B819" i="1"/>
  <c r="A819" i="1"/>
  <c r="J818" i="1"/>
  <c r="I818" i="1"/>
  <c r="H818" i="1"/>
  <c r="G818" i="1"/>
  <c r="F818" i="1"/>
  <c r="E818" i="1"/>
  <c r="D818" i="1"/>
  <c r="C818" i="1"/>
  <c r="B818" i="1"/>
  <c r="A818" i="1"/>
  <c r="J817" i="1"/>
  <c r="I817" i="1"/>
  <c r="H817" i="1"/>
  <c r="G817" i="1"/>
  <c r="F817" i="1"/>
  <c r="E817" i="1"/>
  <c r="D817" i="1"/>
  <c r="C817" i="1"/>
  <c r="B817" i="1"/>
  <c r="A817" i="1"/>
  <c r="J816" i="1"/>
  <c r="I816" i="1"/>
  <c r="H816" i="1"/>
  <c r="G816" i="1"/>
  <c r="F816" i="1"/>
  <c r="E816" i="1"/>
  <c r="D816" i="1"/>
  <c r="C816" i="1"/>
  <c r="B816" i="1"/>
  <c r="A816" i="1"/>
  <c r="J815" i="1"/>
  <c r="I815" i="1"/>
  <c r="H815" i="1"/>
  <c r="G815" i="1"/>
  <c r="F815" i="1"/>
  <c r="E815" i="1"/>
  <c r="D815" i="1"/>
  <c r="C815" i="1"/>
  <c r="B815" i="1"/>
  <c r="A815" i="1"/>
  <c r="J814" i="1"/>
  <c r="I814" i="1"/>
  <c r="H814" i="1"/>
  <c r="G814" i="1"/>
  <c r="F814" i="1"/>
  <c r="E814" i="1"/>
  <c r="D814" i="1"/>
  <c r="C814" i="1"/>
  <c r="B814" i="1"/>
  <c r="A814" i="1"/>
  <c r="J813" i="1"/>
  <c r="I813" i="1"/>
  <c r="H813" i="1"/>
  <c r="G813" i="1"/>
  <c r="F813" i="1"/>
  <c r="E813" i="1"/>
  <c r="D813" i="1"/>
  <c r="C813" i="1"/>
  <c r="B813" i="1"/>
  <c r="A813" i="1"/>
  <c r="J812" i="1"/>
  <c r="I812" i="1"/>
  <c r="H812" i="1"/>
  <c r="G812" i="1"/>
  <c r="F812" i="1"/>
  <c r="E812" i="1"/>
  <c r="D812" i="1"/>
  <c r="C812" i="1"/>
  <c r="B812" i="1"/>
  <c r="A812" i="1"/>
  <c r="J811" i="1"/>
  <c r="I811" i="1"/>
  <c r="H811" i="1"/>
  <c r="G811" i="1"/>
  <c r="F811" i="1"/>
  <c r="E811" i="1"/>
  <c r="D811" i="1"/>
  <c r="C811" i="1"/>
  <c r="B811" i="1"/>
  <c r="A811" i="1"/>
  <c r="J810" i="1"/>
  <c r="I810" i="1"/>
  <c r="H810" i="1"/>
  <c r="G810" i="1"/>
  <c r="F810" i="1"/>
  <c r="E810" i="1"/>
  <c r="D810" i="1"/>
  <c r="C810" i="1"/>
  <c r="B810" i="1"/>
  <c r="A810" i="1"/>
  <c r="J809" i="1"/>
  <c r="I809" i="1"/>
  <c r="H809" i="1"/>
  <c r="G809" i="1"/>
  <c r="E809" i="1"/>
  <c r="D809" i="1"/>
  <c r="C809" i="1"/>
  <c r="B809" i="1"/>
  <c r="A809" i="1"/>
  <c r="J808" i="1"/>
  <c r="I808" i="1"/>
  <c r="H808" i="1"/>
  <c r="G808" i="1"/>
  <c r="F808" i="1"/>
  <c r="E808" i="1"/>
  <c r="D808" i="1"/>
  <c r="C808" i="1"/>
  <c r="B808" i="1"/>
  <c r="A808" i="1"/>
  <c r="J807" i="1"/>
  <c r="I807" i="1"/>
  <c r="H807" i="1"/>
  <c r="G807" i="1"/>
  <c r="F807" i="1"/>
  <c r="E807" i="1"/>
  <c r="D807" i="1"/>
  <c r="C807" i="1"/>
  <c r="B807" i="1"/>
  <c r="A807" i="1"/>
  <c r="J806" i="1"/>
  <c r="I806" i="1"/>
  <c r="H806" i="1"/>
  <c r="G806" i="1"/>
  <c r="F806" i="1"/>
  <c r="E806" i="1"/>
  <c r="D806" i="1"/>
  <c r="C806" i="1"/>
  <c r="B806" i="1"/>
  <c r="A806" i="1"/>
  <c r="J805" i="1"/>
  <c r="I805" i="1"/>
  <c r="H805" i="1"/>
  <c r="G805" i="1"/>
  <c r="F805" i="1"/>
  <c r="E805" i="1"/>
  <c r="D805" i="1"/>
  <c r="C805" i="1"/>
  <c r="B805" i="1"/>
  <c r="A805" i="1"/>
  <c r="J804" i="1"/>
  <c r="I804" i="1"/>
  <c r="H804" i="1"/>
  <c r="G804" i="1"/>
  <c r="F804" i="1"/>
  <c r="E804" i="1"/>
  <c r="D804" i="1"/>
  <c r="C804" i="1"/>
  <c r="B804" i="1"/>
  <c r="A804" i="1"/>
  <c r="J803" i="1"/>
  <c r="I803" i="1"/>
  <c r="H803" i="1"/>
  <c r="G803" i="1"/>
  <c r="E803" i="1"/>
  <c r="D803" i="1"/>
  <c r="C803" i="1"/>
  <c r="B803" i="1"/>
  <c r="A803" i="1"/>
  <c r="J802" i="1"/>
  <c r="I802" i="1"/>
  <c r="H802" i="1"/>
  <c r="G802" i="1"/>
  <c r="F802" i="1"/>
  <c r="E802" i="1"/>
  <c r="D802" i="1"/>
  <c r="C802" i="1"/>
  <c r="B802" i="1"/>
  <c r="A802" i="1"/>
  <c r="J801" i="1"/>
  <c r="I801" i="1"/>
  <c r="H801" i="1"/>
  <c r="G801" i="1"/>
  <c r="F801" i="1"/>
  <c r="E801" i="1"/>
  <c r="D801" i="1"/>
  <c r="C801" i="1"/>
  <c r="B801" i="1"/>
  <c r="A801" i="1"/>
  <c r="J800" i="1"/>
  <c r="I800" i="1"/>
  <c r="H800" i="1"/>
  <c r="G800" i="1"/>
  <c r="E800" i="1"/>
  <c r="D800" i="1"/>
  <c r="C800" i="1"/>
  <c r="B800" i="1"/>
  <c r="A800" i="1"/>
  <c r="J799" i="1"/>
  <c r="I799" i="1"/>
  <c r="H799" i="1"/>
  <c r="G799" i="1"/>
  <c r="E799" i="1"/>
  <c r="D799" i="1"/>
  <c r="C799" i="1"/>
  <c r="B799" i="1"/>
  <c r="A799" i="1"/>
  <c r="J798" i="1"/>
  <c r="I798" i="1"/>
  <c r="H798" i="1"/>
  <c r="G798" i="1"/>
  <c r="E798" i="1"/>
  <c r="D798" i="1"/>
  <c r="C798" i="1"/>
  <c r="B798" i="1"/>
  <c r="A798" i="1"/>
  <c r="J797" i="1"/>
  <c r="I797" i="1"/>
  <c r="H797" i="1"/>
  <c r="G797" i="1"/>
  <c r="E797" i="1"/>
  <c r="D797" i="1"/>
  <c r="C797" i="1"/>
  <c r="B797" i="1"/>
  <c r="A797" i="1"/>
  <c r="J796" i="1"/>
  <c r="I796" i="1"/>
  <c r="H796" i="1"/>
  <c r="G796" i="1"/>
  <c r="F796" i="1"/>
  <c r="E796" i="1"/>
  <c r="D796" i="1"/>
  <c r="C796" i="1"/>
  <c r="B796" i="1"/>
  <c r="A796" i="1"/>
  <c r="J795" i="1"/>
  <c r="I795" i="1"/>
  <c r="H795" i="1"/>
  <c r="G795" i="1"/>
  <c r="F795" i="1"/>
  <c r="E795" i="1"/>
  <c r="D795" i="1"/>
  <c r="C795" i="1"/>
  <c r="B795" i="1"/>
  <c r="A795" i="1"/>
  <c r="J794" i="1"/>
  <c r="I794" i="1"/>
  <c r="H794" i="1"/>
  <c r="G794" i="1"/>
  <c r="F794" i="1"/>
  <c r="E794" i="1"/>
  <c r="D794" i="1"/>
  <c r="C794" i="1"/>
  <c r="B794" i="1"/>
  <c r="A794" i="1"/>
  <c r="J793" i="1"/>
  <c r="I793" i="1"/>
  <c r="H793" i="1"/>
  <c r="G793" i="1"/>
  <c r="E793" i="1"/>
  <c r="D793" i="1"/>
  <c r="C793" i="1"/>
  <c r="B793" i="1"/>
  <c r="A793" i="1"/>
  <c r="J792" i="1"/>
  <c r="I792" i="1"/>
  <c r="H792" i="1"/>
  <c r="G792" i="1"/>
  <c r="E792" i="1"/>
  <c r="D792" i="1"/>
  <c r="C792" i="1"/>
  <c r="B792" i="1"/>
  <c r="A792" i="1"/>
  <c r="J791" i="1"/>
  <c r="I791" i="1"/>
  <c r="H791" i="1"/>
  <c r="G791" i="1"/>
  <c r="E791" i="1"/>
  <c r="D791" i="1"/>
  <c r="C791" i="1"/>
  <c r="B791" i="1"/>
  <c r="A791" i="1"/>
  <c r="J790" i="1"/>
  <c r="I790" i="1"/>
  <c r="H790" i="1"/>
  <c r="G790" i="1"/>
  <c r="E790" i="1"/>
  <c r="D790" i="1"/>
  <c r="C790" i="1"/>
  <c r="B790" i="1"/>
  <c r="A790" i="1"/>
  <c r="J789" i="1"/>
  <c r="I789" i="1"/>
  <c r="H789" i="1"/>
  <c r="G789" i="1"/>
  <c r="E789" i="1"/>
  <c r="D789" i="1"/>
  <c r="C789" i="1"/>
  <c r="B789" i="1"/>
  <c r="A789" i="1"/>
  <c r="J788" i="1"/>
  <c r="I788" i="1"/>
  <c r="H788" i="1"/>
  <c r="G788" i="1"/>
  <c r="E788" i="1"/>
  <c r="D788" i="1"/>
  <c r="C788" i="1"/>
  <c r="B788" i="1"/>
  <c r="A788" i="1"/>
  <c r="J787" i="1"/>
  <c r="I787" i="1"/>
  <c r="H787" i="1"/>
  <c r="G787" i="1"/>
  <c r="E787" i="1"/>
  <c r="D787" i="1"/>
  <c r="C787" i="1"/>
  <c r="B787" i="1"/>
  <c r="A787" i="1"/>
  <c r="J786" i="1"/>
  <c r="I786" i="1"/>
  <c r="H786" i="1"/>
  <c r="G786" i="1"/>
  <c r="E786" i="1"/>
  <c r="D786" i="1"/>
  <c r="C786" i="1"/>
  <c r="B786" i="1"/>
  <c r="A786" i="1"/>
  <c r="J785" i="1"/>
  <c r="I785" i="1"/>
  <c r="H785" i="1"/>
  <c r="G785" i="1"/>
  <c r="E785" i="1"/>
  <c r="D785" i="1"/>
  <c r="C785" i="1"/>
  <c r="B785" i="1"/>
  <c r="A785" i="1"/>
  <c r="J784" i="1"/>
  <c r="I784" i="1"/>
  <c r="H784" i="1"/>
  <c r="G784" i="1"/>
  <c r="E784" i="1"/>
  <c r="D784" i="1"/>
  <c r="C784" i="1"/>
  <c r="B784" i="1"/>
  <c r="A784" i="1"/>
  <c r="J783" i="1"/>
  <c r="I783" i="1"/>
  <c r="H783" i="1"/>
  <c r="G783" i="1"/>
  <c r="E783" i="1"/>
  <c r="D783" i="1"/>
  <c r="C783" i="1"/>
  <c r="B783" i="1"/>
  <c r="A783" i="1"/>
  <c r="J782" i="1"/>
  <c r="I782" i="1"/>
  <c r="H782" i="1"/>
  <c r="G782" i="1"/>
  <c r="E782" i="1"/>
  <c r="D782" i="1"/>
  <c r="C782" i="1"/>
  <c r="B782" i="1"/>
  <c r="A782" i="1"/>
  <c r="J781" i="1"/>
  <c r="I781" i="1"/>
  <c r="H781" i="1"/>
  <c r="G781" i="1"/>
  <c r="E781" i="1"/>
  <c r="D781" i="1"/>
  <c r="C781" i="1"/>
  <c r="B781" i="1"/>
  <c r="A781" i="1"/>
  <c r="J780" i="1"/>
  <c r="I780" i="1"/>
  <c r="H780" i="1"/>
  <c r="G780" i="1"/>
  <c r="E780" i="1"/>
  <c r="D780" i="1"/>
  <c r="C780" i="1"/>
  <c r="B780" i="1"/>
  <c r="A780" i="1"/>
  <c r="J779" i="1"/>
  <c r="I779" i="1"/>
  <c r="H779" i="1"/>
  <c r="G779" i="1"/>
  <c r="E779" i="1"/>
  <c r="D779" i="1"/>
  <c r="C779" i="1"/>
  <c r="B779" i="1"/>
  <c r="A779" i="1"/>
  <c r="J778" i="1"/>
  <c r="I778" i="1"/>
  <c r="H778" i="1"/>
  <c r="G778" i="1"/>
  <c r="E778" i="1"/>
  <c r="D778" i="1"/>
  <c r="C778" i="1"/>
  <c r="B778" i="1"/>
  <c r="A778" i="1"/>
  <c r="J777" i="1"/>
  <c r="I777" i="1"/>
  <c r="H777" i="1"/>
  <c r="G777" i="1"/>
  <c r="F777" i="1"/>
  <c r="E777" i="1"/>
  <c r="D777" i="1"/>
  <c r="C777" i="1"/>
  <c r="B777" i="1"/>
  <c r="A777" i="1"/>
  <c r="J776" i="1"/>
  <c r="I776" i="1"/>
  <c r="H776" i="1"/>
  <c r="G776" i="1"/>
  <c r="E776" i="1"/>
  <c r="D776" i="1"/>
  <c r="C776" i="1"/>
  <c r="B776" i="1"/>
  <c r="A776" i="1"/>
  <c r="J775" i="1"/>
  <c r="I775" i="1"/>
  <c r="H775" i="1"/>
  <c r="G775" i="1"/>
  <c r="E775" i="1"/>
  <c r="D775" i="1"/>
  <c r="C775" i="1"/>
  <c r="B775" i="1"/>
  <c r="A775" i="1"/>
  <c r="J774" i="1"/>
  <c r="I774" i="1"/>
  <c r="H774" i="1"/>
  <c r="G774" i="1"/>
  <c r="F774" i="1"/>
  <c r="E774" i="1"/>
  <c r="D774" i="1"/>
  <c r="C774" i="1"/>
  <c r="B774" i="1"/>
  <c r="A774" i="1"/>
  <c r="J773" i="1"/>
  <c r="I773" i="1"/>
  <c r="H773" i="1"/>
  <c r="G773" i="1"/>
  <c r="E773" i="1"/>
  <c r="D773" i="1"/>
  <c r="C773" i="1"/>
  <c r="B773" i="1"/>
  <c r="A773" i="1"/>
  <c r="J772" i="1"/>
  <c r="I772" i="1"/>
  <c r="H772" i="1"/>
  <c r="G772" i="1"/>
  <c r="E772" i="1"/>
  <c r="D772" i="1"/>
  <c r="C772" i="1"/>
  <c r="B772" i="1"/>
  <c r="A772" i="1"/>
  <c r="J771" i="1"/>
  <c r="I771" i="1"/>
  <c r="H771" i="1"/>
  <c r="G771" i="1"/>
  <c r="E771" i="1"/>
  <c r="D771" i="1"/>
  <c r="C771" i="1"/>
  <c r="B771" i="1"/>
  <c r="A771" i="1"/>
  <c r="J770" i="1"/>
  <c r="I770" i="1"/>
  <c r="H770" i="1"/>
  <c r="G770" i="1"/>
  <c r="F770" i="1"/>
  <c r="E770" i="1"/>
  <c r="D770" i="1"/>
  <c r="C770" i="1"/>
  <c r="B770" i="1"/>
  <c r="A770" i="1"/>
  <c r="J769" i="1"/>
  <c r="I769" i="1"/>
  <c r="H769" i="1"/>
  <c r="G769" i="1"/>
  <c r="E769" i="1"/>
  <c r="D769" i="1"/>
  <c r="C769" i="1"/>
  <c r="B769" i="1"/>
  <c r="A769" i="1"/>
  <c r="J768" i="1"/>
  <c r="I768" i="1"/>
  <c r="H768" i="1"/>
  <c r="G768" i="1"/>
  <c r="E768" i="1"/>
  <c r="D768" i="1"/>
  <c r="C768" i="1"/>
  <c r="B768" i="1"/>
  <c r="A768" i="1"/>
  <c r="J767" i="1"/>
  <c r="I767" i="1"/>
  <c r="H767" i="1"/>
  <c r="G767" i="1"/>
  <c r="F767" i="1"/>
  <c r="E767" i="1"/>
  <c r="D767" i="1"/>
  <c r="C767" i="1"/>
  <c r="B767" i="1"/>
  <c r="A767" i="1"/>
  <c r="J766" i="1"/>
  <c r="I766" i="1"/>
  <c r="H766" i="1"/>
  <c r="G766" i="1"/>
  <c r="E766" i="1"/>
  <c r="D766" i="1"/>
  <c r="C766" i="1"/>
  <c r="B766" i="1"/>
  <c r="A766" i="1"/>
  <c r="J765" i="1"/>
  <c r="I765" i="1"/>
  <c r="H765" i="1"/>
  <c r="G765" i="1"/>
  <c r="F765" i="1"/>
  <c r="E765" i="1"/>
  <c r="D765" i="1"/>
  <c r="C765" i="1"/>
  <c r="B765" i="1"/>
  <c r="A765" i="1"/>
  <c r="J764" i="1"/>
  <c r="I764" i="1"/>
  <c r="H764" i="1"/>
  <c r="G764" i="1"/>
  <c r="E764" i="1"/>
  <c r="D764" i="1"/>
  <c r="C764" i="1"/>
  <c r="B764" i="1"/>
  <c r="A764" i="1"/>
  <c r="J763" i="1"/>
  <c r="I763" i="1"/>
  <c r="H763" i="1"/>
  <c r="G763" i="1"/>
  <c r="E763" i="1"/>
  <c r="D763" i="1"/>
  <c r="C763" i="1"/>
  <c r="B763" i="1"/>
  <c r="A763" i="1"/>
  <c r="J762" i="1"/>
  <c r="I762" i="1"/>
  <c r="H762" i="1"/>
  <c r="G762" i="1"/>
  <c r="F762" i="1"/>
  <c r="E762" i="1"/>
  <c r="D762" i="1"/>
  <c r="C762" i="1"/>
  <c r="B762" i="1"/>
  <c r="A762" i="1"/>
  <c r="J761" i="1"/>
  <c r="I761" i="1"/>
  <c r="H761" i="1"/>
  <c r="G761" i="1"/>
  <c r="F761" i="1"/>
  <c r="E761" i="1"/>
  <c r="D761" i="1"/>
  <c r="C761" i="1"/>
  <c r="B761" i="1"/>
  <c r="A761" i="1"/>
  <c r="J760" i="1"/>
  <c r="I760" i="1"/>
  <c r="H760" i="1"/>
  <c r="G760" i="1"/>
  <c r="F760" i="1"/>
  <c r="E760" i="1"/>
  <c r="D760" i="1"/>
  <c r="C760" i="1"/>
  <c r="B760" i="1"/>
  <c r="A760" i="1"/>
  <c r="J759" i="1"/>
  <c r="I759" i="1"/>
  <c r="H759" i="1"/>
  <c r="G759" i="1"/>
  <c r="F759" i="1"/>
  <c r="E759" i="1"/>
  <c r="D759" i="1"/>
  <c r="C759" i="1"/>
  <c r="B759" i="1"/>
  <c r="A759" i="1"/>
  <c r="J758" i="1"/>
  <c r="I758" i="1"/>
  <c r="H758" i="1"/>
  <c r="G758" i="1"/>
  <c r="F758" i="1"/>
  <c r="E758" i="1"/>
  <c r="D758" i="1"/>
  <c r="C758" i="1"/>
  <c r="B758" i="1"/>
  <c r="A758" i="1"/>
  <c r="J757" i="1"/>
  <c r="I757" i="1"/>
  <c r="H757" i="1"/>
  <c r="G757" i="1"/>
  <c r="E757" i="1"/>
  <c r="D757" i="1"/>
  <c r="C757" i="1"/>
  <c r="B757" i="1"/>
  <c r="A757" i="1"/>
  <c r="J756" i="1"/>
  <c r="I756" i="1"/>
  <c r="H756" i="1"/>
  <c r="G756" i="1"/>
  <c r="E756" i="1"/>
  <c r="D756" i="1"/>
  <c r="C756" i="1"/>
  <c r="B756" i="1"/>
  <c r="A756" i="1"/>
  <c r="J755" i="1"/>
  <c r="I755" i="1"/>
  <c r="H755" i="1"/>
  <c r="G755" i="1"/>
  <c r="F755" i="1"/>
  <c r="E755" i="1"/>
  <c r="D755" i="1"/>
  <c r="C755" i="1"/>
  <c r="B755" i="1"/>
  <c r="A755" i="1"/>
  <c r="J754" i="1"/>
  <c r="I754" i="1"/>
  <c r="H754" i="1"/>
  <c r="G754" i="1"/>
  <c r="E754" i="1"/>
  <c r="D754" i="1"/>
  <c r="C754" i="1"/>
  <c r="B754" i="1"/>
  <c r="A754" i="1"/>
  <c r="J753" i="1"/>
  <c r="I753" i="1"/>
  <c r="H753" i="1"/>
  <c r="G753" i="1"/>
  <c r="E753" i="1"/>
  <c r="D753" i="1"/>
  <c r="C753" i="1"/>
  <c r="B753" i="1"/>
  <c r="A753" i="1"/>
  <c r="J752" i="1"/>
  <c r="I752" i="1"/>
  <c r="H752" i="1"/>
  <c r="G752" i="1"/>
  <c r="F752" i="1"/>
  <c r="E752" i="1"/>
  <c r="D752" i="1"/>
  <c r="C752" i="1"/>
  <c r="B752" i="1"/>
  <c r="A752" i="1"/>
  <c r="J751" i="1"/>
  <c r="I751" i="1"/>
  <c r="H751" i="1"/>
  <c r="G751" i="1"/>
  <c r="E751" i="1"/>
  <c r="D751" i="1"/>
  <c r="C751" i="1"/>
  <c r="B751" i="1"/>
  <c r="A751" i="1"/>
  <c r="J750" i="1"/>
  <c r="I750" i="1"/>
  <c r="H750" i="1"/>
  <c r="G750" i="1"/>
  <c r="F750" i="1"/>
  <c r="E750" i="1"/>
  <c r="D750" i="1"/>
  <c r="C750" i="1"/>
  <c r="B750" i="1"/>
  <c r="A750" i="1"/>
  <c r="J749" i="1"/>
  <c r="I749" i="1"/>
  <c r="H749" i="1"/>
  <c r="G749" i="1"/>
  <c r="F749" i="1"/>
  <c r="E749" i="1"/>
  <c r="D749" i="1"/>
  <c r="C749" i="1"/>
  <c r="B749" i="1"/>
  <c r="A749" i="1"/>
  <c r="J748" i="1"/>
  <c r="I748" i="1"/>
  <c r="H748" i="1"/>
  <c r="G748" i="1"/>
  <c r="E748" i="1"/>
  <c r="D748" i="1"/>
  <c r="C748" i="1"/>
  <c r="B748" i="1"/>
  <c r="A748" i="1"/>
  <c r="J747" i="1"/>
  <c r="I747" i="1"/>
  <c r="H747" i="1"/>
  <c r="G747" i="1"/>
  <c r="E747" i="1"/>
  <c r="D747" i="1"/>
  <c r="C747" i="1"/>
  <c r="B747" i="1"/>
  <c r="A747" i="1"/>
  <c r="J746" i="1"/>
  <c r="I746" i="1"/>
  <c r="H746" i="1"/>
  <c r="G746" i="1"/>
  <c r="E746" i="1"/>
  <c r="D746" i="1"/>
  <c r="C746" i="1"/>
  <c r="B746" i="1"/>
  <c r="A746" i="1"/>
  <c r="J745" i="1"/>
  <c r="I745" i="1"/>
  <c r="H745" i="1"/>
  <c r="G745" i="1"/>
  <c r="F745" i="1"/>
  <c r="E745" i="1"/>
  <c r="D745" i="1"/>
  <c r="C745" i="1"/>
  <c r="B745" i="1"/>
  <c r="A745" i="1"/>
  <c r="J744" i="1"/>
  <c r="I744" i="1"/>
  <c r="H744" i="1"/>
  <c r="G744" i="1"/>
  <c r="E744" i="1"/>
  <c r="D744" i="1"/>
  <c r="C744" i="1"/>
  <c r="B744" i="1"/>
  <c r="A744" i="1"/>
  <c r="J743" i="1"/>
  <c r="I743" i="1"/>
  <c r="H743" i="1"/>
  <c r="G743" i="1"/>
  <c r="F743" i="1"/>
  <c r="E743" i="1"/>
  <c r="D743" i="1"/>
  <c r="C743" i="1"/>
  <c r="B743" i="1"/>
  <c r="A743" i="1"/>
  <c r="J742" i="1"/>
  <c r="I742" i="1"/>
  <c r="H742" i="1"/>
  <c r="G742" i="1"/>
  <c r="F742" i="1"/>
  <c r="E742" i="1"/>
  <c r="D742" i="1"/>
  <c r="C742" i="1"/>
  <c r="B742" i="1"/>
  <c r="A742" i="1"/>
  <c r="J741" i="1"/>
  <c r="I741" i="1"/>
  <c r="H741" i="1"/>
  <c r="G741" i="1"/>
  <c r="E741" i="1"/>
  <c r="D741" i="1"/>
  <c r="C741" i="1"/>
  <c r="B741" i="1"/>
  <c r="A741" i="1"/>
  <c r="J740" i="1"/>
  <c r="I740" i="1"/>
  <c r="H740" i="1"/>
  <c r="G740" i="1"/>
  <c r="F740" i="1"/>
  <c r="E740" i="1"/>
  <c r="D740" i="1"/>
  <c r="C740" i="1"/>
  <c r="B740" i="1"/>
  <c r="A740" i="1"/>
  <c r="J739" i="1"/>
  <c r="I739" i="1"/>
  <c r="H739" i="1"/>
  <c r="G739" i="1"/>
  <c r="E739" i="1"/>
  <c r="D739" i="1"/>
  <c r="C739" i="1"/>
  <c r="B739" i="1"/>
  <c r="A739" i="1"/>
  <c r="J738" i="1"/>
  <c r="I738" i="1"/>
  <c r="H738" i="1"/>
  <c r="G738" i="1"/>
  <c r="E738" i="1"/>
  <c r="D738" i="1"/>
  <c r="C738" i="1"/>
  <c r="B738" i="1"/>
  <c r="A738" i="1"/>
  <c r="J737" i="1"/>
  <c r="I737" i="1"/>
  <c r="H737" i="1"/>
  <c r="G737" i="1"/>
  <c r="F737" i="1"/>
  <c r="E737" i="1"/>
  <c r="D737" i="1"/>
  <c r="C737" i="1"/>
  <c r="B737" i="1"/>
  <c r="A737" i="1"/>
  <c r="J736" i="1"/>
  <c r="I736" i="1"/>
  <c r="H736" i="1"/>
  <c r="G736" i="1"/>
  <c r="E736" i="1"/>
  <c r="D736" i="1"/>
  <c r="C736" i="1"/>
  <c r="B736" i="1"/>
  <c r="A736" i="1"/>
  <c r="J735" i="1"/>
  <c r="I735" i="1"/>
  <c r="H735" i="1"/>
  <c r="G735" i="1"/>
  <c r="E735" i="1"/>
  <c r="D735" i="1"/>
  <c r="C735" i="1"/>
  <c r="B735" i="1"/>
  <c r="A735" i="1"/>
  <c r="J734" i="1"/>
  <c r="I734" i="1"/>
  <c r="H734" i="1"/>
  <c r="G734" i="1"/>
  <c r="F734" i="1"/>
  <c r="E734" i="1"/>
  <c r="D734" i="1"/>
  <c r="C734" i="1"/>
  <c r="B734" i="1"/>
  <c r="A734" i="1"/>
  <c r="J733" i="1"/>
  <c r="I733" i="1"/>
  <c r="H733" i="1"/>
  <c r="G733" i="1"/>
  <c r="E733" i="1"/>
  <c r="D733" i="1"/>
  <c r="C733" i="1"/>
  <c r="B733" i="1"/>
  <c r="A733" i="1"/>
  <c r="J732" i="1"/>
  <c r="I732" i="1"/>
  <c r="H732" i="1"/>
  <c r="G732" i="1"/>
  <c r="E732" i="1"/>
  <c r="D732" i="1"/>
  <c r="C732" i="1"/>
  <c r="B732" i="1"/>
  <c r="A732" i="1"/>
  <c r="J731" i="1"/>
  <c r="I731" i="1"/>
  <c r="H731" i="1"/>
  <c r="G731" i="1"/>
  <c r="E731" i="1"/>
  <c r="D731" i="1"/>
  <c r="C731" i="1"/>
  <c r="B731" i="1"/>
  <c r="A731" i="1"/>
  <c r="J730" i="1"/>
  <c r="I730" i="1"/>
  <c r="H730" i="1"/>
  <c r="G730" i="1"/>
  <c r="F730" i="1"/>
  <c r="E730" i="1"/>
  <c r="D730" i="1"/>
  <c r="C730" i="1"/>
  <c r="B730" i="1"/>
  <c r="A730" i="1"/>
  <c r="J729" i="1"/>
  <c r="I729" i="1"/>
  <c r="H729" i="1"/>
  <c r="G729" i="1"/>
  <c r="E729" i="1"/>
  <c r="D729" i="1"/>
  <c r="C729" i="1"/>
  <c r="B729" i="1"/>
  <c r="A729" i="1"/>
  <c r="J728" i="1"/>
  <c r="I728" i="1"/>
  <c r="H728" i="1"/>
  <c r="G728" i="1"/>
  <c r="F728" i="1"/>
  <c r="E728" i="1"/>
  <c r="D728" i="1"/>
  <c r="C728" i="1"/>
  <c r="B728" i="1"/>
  <c r="A728" i="1"/>
  <c r="J727" i="1"/>
  <c r="I727" i="1"/>
  <c r="H727" i="1"/>
  <c r="G727" i="1"/>
  <c r="F727" i="1"/>
  <c r="E727" i="1"/>
  <c r="D727" i="1"/>
  <c r="C727" i="1"/>
  <c r="B727" i="1"/>
  <c r="A727" i="1"/>
  <c r="J726" i="1"/>
  <c r="I726" i="1"/>
  <c r="H726" i="1"/>
  <c r="G726" i="1"/>
  <c r="F726" i="1"/>
  <c r="E726" i="1"/>
  <c r="D726" i="1"/>
  <c r="C726" i="1"/>
  <c r="B726" i="1"/>
  <c r="A726" i="1"/>
  <c r="J725" i="1"/>
  <c r="I725" i="1"/>
  <c r="H725" i="1"/>
  <c r="G725" i="1"/>
  <c r="E725" i="1"/>
  <c r="D725" i="1"/>
  <c r="C725" i="1"/>
  <c r="B725" i="1"/>
  <c r="A725" i="1"/>
  <c r="J724" i="1"/>
  <c r="I724" i="1"/>
  <c r="H724" i="1"/>
  <c r="G724" i="1"/>
  <c r="E724" i="1"/>
  <c r="D724" i="1"/>
  <c r="C724" i="1"/>
  <c r="B724" i="1"/>
  <c r="A724" i="1"/>
  <c r="J723" i="1"/>
  <c r="I723" i="1"/>
  <c r="H723" i="1"/>
  <c r="G723" i="1"/>
  <c r="E723" i="1"/>
  <c r="D723" i="1"/>
  <c r="C723" i="1"/>
  <c r="B723" i="1"/>
  <c r="A723" i="1"/>
  <c r="J722" i="1"/>
  <c r="I722" i="1"/>
  <c r="H722" i="1"/>
  <c r="G722" i="1"/>
  <c r="E722" i="1"/>
  <c r="D722" i="1"/>
  <c r="C722" i="1"/>
  <c r="B722" i="1"/>
  <c r="A722" i="1"/>
  <c r="J721" i="1"/>
  <c r="I721" i="1"/>
  <c r="H721" i="1"/>
  <c r="G721" i="1"/>
  <c r="E721" i="1"/>
  <c r="D721" i="1"/>
  <c r="C721" i="1"/>
  <c r="B721" i="1"/>
  <c r="A721" i="1"/>
  <c r="J720" i="1"/>
  <c r="I720" i="1"/>
  <c r="H720" i="1"/>
  <c r="G720" i="1"/>
  <c r="E720" i="1"/>
  <c r="D720" i="1"/>
  <c r="C720" i="1"/>
  <c r="B720" i="1"/>
  <c r="A720" i="1"/>
  <c r="J719" i="1"/>
  <c r="I719" i="1"/>
  <c r="H719" i="1"/>
  <c r="G719" i="1"/>
  <c r="F719" i="1"/>
  <c r="E719" i="1"/>
  <c r="D719" i="1"/>
  <c r="C719" i="1"/>
  <c r="B719" i="1"/>
  <c r="A719" i="1"/>
  <c r="J718" i="1"/>
  <c r="I718" i="1"/>
  <c r="H718" i="1"/>
  <c r="G718" i="1"/>
  <c r="E718" i="1"/>
  <c r="D718" i="1"/>
  <c r="C718" i="1"/>
  <c r="B718" i="1"/>
  <c r="A718" i="1"/>
  <c r="J717" i="1"/>
  <c r="I717" i="1"/>
  <c r="H717" i="1"/>
  <c r="G717" i="1"/>
  <c r="E717" i="1"/>
  <c r="D717" i="1"/>
  <c r="C717" i="1"/>
  <c r="B717" i="1"/>
  <c r="A717" i="1"/>
  <c r="J716" i="1"/>
  <c r="I716" i="1"/>
  <c r="H716" i="1"/>
  <c r="G716" i="1"/>
  <c r="F716" i="1"/>
  <c r="E716" i="1"/>
  <c r="D716" i="1"/>
  <c r="C716" i="1"/>
  <c r="B716" i="1"/>
  <c r="A716" i="1"/>
  <c r="J715" i="1"/>
  <c r="I715" i="1"/>
  <c r="H715" i="1"/>
  <c r="G715" i="1"/>
  <c r="F715" i="1"/>
  <c r="E715" i="1"/>
  <c r="D715" i="1"/>
  <c r="C715" i="1"/>
  <c r="B715" i="1"/>
  <c r="A715" i="1"/>
  <c r="J714" i="1"/>
  <c r="I714" i="1"/>
  <c r="H714" i="1"/>
  <c r="G714" i="1"/>
  <c r="F714" i="1"/>
  <c r="E714" i="1"/>
  <c r="D714" i="1"/>
  <c r="C714" i="1"/>
  <c r="B714" i="1"/>
  <c r="A714" i="1"/>
  <c r="J713" i="1"/>
  <c r="I713" i="1"/>
  <c r="H713" i="1"/>
  <c r="G713" i="1"/>
  <c r="E713" i="1"/>
  <c r="D713" i="1"/>
  <c r="C713" i="1"/>
  <c r="B713" i="1"/>
  <c r="A713" i="1"/>
  <c r="J712" i="1"/>
  <c r="I712" i="1"/>
  <c r="H712" i="1"/>
  <c r="G712" i="1"/>
  <c r="E712" i="1"/>
  <c r="D712" i="1"/>
  <c r="C712" i="1"/>
  <c r="B712" i="1"/>
  <c r="A712" i="1"/>
  <c r="J711" i="1"/>
  <c r="I711" i="1"/>
  <c r="H711" i="1"/>
  <c r="G711" i="1"/>
  <c r="E711" i="1"/>
  <c r="D711" i="1"/>
  <c r="C711" i="1"/>
  <c r="B711" i="1"/>
  <c r="A711" i="1"/>
  <c r="J710" i="1"/>
  <c r="I710" i="1"/>
  <c r="H710" i="1"/>
  <c r="G710" i="1"/>
  <c r="F710" i="1"/>
  <c r="E710" i="1"/>
  <c r="D710" i="1"/>
  <c r="C710" i="1"/>
  <c r="B710" i="1"/>
  <c r="A710" i="1"/>
  <c r="J709" i="1"/>
  <c r="I709" i="1"/>
  <c r="H709" i="1"/>
  <c r="G709" i="1"/>
  <c r="F709" i="1"/>
  <c r="E709" i="1"/>
  <c r="D709" i="1"/>
  <c r="C709" i="1"/>
  <c r="B709" i="1"/>
  <c r="A709" i="1"/>
  <c r="J708" i="1"/>
  <c r="I708" i="1"/>
  <c r="H708" i="1"/>
  <c r="G708" i="1"/>
  <c r="E708" i="1"/>
  <c r="D708" i="1"/>
  <c r="C708" i="1"/>
  <c r="B708" i="1"/>
  <c r="A708" i="1"/>
  <c r="J707" i="1"/>
  <c r="I707" i="1"/>
  <c r="H707" i="1"/>
  <c r="G707" i="1"/>
  <c r="E707" i="1"/>
  <c r="D707" i="1"/>
  <c r="C707" i="1"/>
  <c r="B707" i="1"/>
  <c r="A707" i="1"/>
  <c r="J706" i="1"/>
  <c r="I706" i="1"/>
  <c r="H706" i="1"/>
  <c r="G706" i="1"/>
  <c r="E706" i="1"/>
  <c r="D706" i="1"/>
  <c r="C706" i="1"/>
  <c r="B706" i="1"/>
  <c r="A706" i="1"/>
  <c r="J705" i="1"/>
  <c r="I705" i="1"/>
  <c r="H705" i="1"/>
  <c r="G705" i="1"/>
  <c r="F705" i="1"/>
  <c r="E705" i="1"/>
  <c r="D705" i="1"/>
  <c r="C705" i="1"/>
  <c r="B705" i="1"/>
  <c r="A705" i="1"/>
  <c r="J704" i="1"/>
  <c r="I704" i="1"/>
  <c r="H704" i="1"/>
  <c r="G704" i="1"/>
  <c r="F704" i="1"/>
  <c r="E704" i="1"/>
  <c r="D704" i="1"/>
  <c r="C704" i="1"/>
  <c r="B704" i="1"/>
  <c r="A704" i="1"/>
  <c r="J703" i="1"/>
  <c r="I703" i="1"/>
  <c r="H703" i="1"/>
  <c r="G703" i="1"/>
  <c r="F703" i="1"/>
  <c r="E703" i="1"/>
  <c r="D703" i="1"/>
  <c r="C703" i="1"/>
  <c r="B703" i="1"/>
  <c r="A703" i="1"/>
  <c r="J702" i="1"/>
  <c r="I702" i="1"/>
  <c r="H702" i="1"/>
  <c r="G702" i="1"/>
  <c r="E702" i="1"/>
  <c r="D702" i="1"/>
  <c r="C702" i="1"/>
  <c r="B702" i="1"/>
  <c r="A702" i="1"/>
  <c r="J701" i="1"/>
  <c r="I701" i="1"/>
  <c r="H701" i="1"/>
  <c r="G701" i="1"/>
  <c r="E701" i="1"/>
  <c r="D701" i="1"/>
  <c r="C701" i="1"/>
  <c r="B701" i="1"/>
  <c r="A701" i="1"/>
  <c r="J700" i="1"/>
  <c r="I700" i="1"/>
  <c r="H700" i="1"/>
  <c r="G700" i="1"/>
  <c r="E700" i="1"/>
  <c r="D700" i="1"/>
  <c r="C700" i="1"/>
  <c r="B700" i="1"/>
  <c r="A700" i="1"/>
  <c r="J699" i="1"/>
  <c r="I699" i="1"/>
  <c r="H699" i="1"/>
  <c r="G699" i="1"/>
  <c r="E699" i="1"/>
  <c r="D699" i="1"/>
  <c r="C699" i="1"/>
  <c r="B699" i="1"/>
  <c r="A699" i="1"/>
  <c r="J698" i="1"/>
  <c r="I698" i="1"/>
  <c r="H698" i="1"/>
  <c r="G698" i="1"/>
  <c r="F698" i="1"/>
  <c r="E698" i="1"/>
  <c r="D698" i="1"/>
  <c r="C698" i="1"/>
  <c r="B698" i="1"/>
  <c r="A698" i="1"/>
  <c r="J697" i="1"/>
  <c r="I697" i="1"/>
  <c r="H697" i="1"/>
  <c r="G697" i="1"/>
  <c r="F697" i="1"/>
  <c r="E697" i="1"/>
  <c r="D697" i="1"/>
  <c r="C697" i="1"/>
  <c r="B697" i="1"/>
  <c r="A697" i="1"/>
  <c r="J696" i="1"/>
  <c r="I696" i="1"/>
  <c r="H696" i="1"/>
  <c r="G696" i="1"/>
  <c r="E696" i="1"/>
  <c r="D696" i="1"/>
  <c r="C696" i="1"/>
  <c r="B696" i="1"/>
  <c r="A696" i="1"/>
  <c r="J695" i="1"/>
  <c r="I695" i="1"/>
  <c r="H695" i="1"/>
  <c r="G695" i="1"/>
  <c r="E695" i="1"/>
  <c r="D695" i="1"/>
  <c r="C695" i="1"/>
  <c r="B695" i="1"/>
  <c r="A695" i="1"/>
  <c r="J694" i="1"/>
  <c r="I694" i="1"/>
  <c r="H694" i="1"/>
  <c r="G694" i="1"/>
  <c r="E694" i="1"/>
  <c r="D694" i="1"/>
  <c r="C694" i="1"/>
  <c r="B694" i="1"/>
  <c r="A694" i="1"/>
  <c r="J693" i="1"/>
  <c r="I693" i="1"/>
  <c r="H693" i="1"/>
  <c r="G693" i="1"/>
  <c r="E693" i="1"/>
  <c r="D693" i="1"/>
  <c r="C693" i="1"/>
  <c r="B693" i="1"/>
  <c r="A693" i="1"/>
  <c r="J692" i="1"/>
  <c r="I692" i="1"/>
  <c r="H692" i="1"/>
  <c r="G692" i="1"/>
  <c r="F692" i="1"/>
  <c r="E692" i="1"/>
  <c r="D692" i="1"/>
  <c r="C692" i="1"/>
  <c r="B692" i="1"/>
  <c r="A692" i="1"/>
  <c r="J691" i="1"/>
  <c r="I691" i="1"/>
  <c r="H691" i="1"/>
  <c r="G691" i="1"/>
  <c r="F691" i="1"/>
  <c r="E691" i="1"/>
  <c r="D691" i="1"/>
  <c r="C691" i="1"/>
  <c r="B691" i="1"/>
  <c r="A691" i="1"/>
  <c r="J690" i="1"/>
  <c r="I690" i="1"/>
  <c r="H690" i="1"/>
  <c r="G690" i="1"/>
  <c r="F690" i="1"/>
  <c r="E690" i="1"/>
  <c r="D690" i="1"/>
  <c r="C690" i="1"/>
  <c r="B690" i="1"/>
  <c r="A690" i="1"/>
  <c r="J689" i="1"/>
  <c r="I689" i="1"/>
  <c r="H689" i="1"/>
  <c r="G689" i="1"/>
  <c r="F689" i="1"/>
  <c r="E689" i="1"/>
  <c r="D689" i="1"/>
  <c r="C689" i="1"/>
  <c r="B689" i="1"/>
  <c r="A689" i="1"/>
  <c r="J688" i="1"/>
  <c r="I688" i="1"/>
  <c r="H688" i="1"/>
  <c r="G688" i="1"/>
  <c r="E688" i="1"/>
  <c r="D688" i="1"/>
  <c r="C688" i="1"/>
  <c r="B688" i="1"/>
  <c r="A688" i="1"/>
  <c r="J687" i="1"/>
  <c r="I687" i="1"/>
  <c r="H687" i="1"/>
  <c r="G687" i="1"/>
  <c r="E687" i="1"/>
  <c r="D687" i="1"/>
  <c r="C687" i="1"/>
  <c r="B687" i="1"/>
  <c r="A687" i="1"/>
  <c r="J686" i="1"/>
  <c r="I686" i="1"/>
  <c r="H686" i="1"/>
  <c r="G686" i="1"/>
  <c r="F686" i="1"/>
  <c r="E686" i="1"/>
  <c r="D686" i="1"/>
  <c r="C686" i="1"/>
  <c r="B686" i="1"/>
  <c r="A686" i="1"/>
  <c r="J685" i="1"/>
  <c r="I685" i="1"/>
  <c r="H685" i="1"/>
  <c r="G685" i="1"/>
  <c r="E685" i="1"/>
  <c r="D685" i="1"/>
  <c r="C685" i="1"/>
  <c r="B685" i="1"/>
  <c r="A685" i="1"/>
  <c r="J684" i="1"/>
  <c r="I684" i="1"/>
  <c r="H684" i="1"/>
  <c r="G684" i="1"/>
  <c r="F684" i="1"/>
  <c r="E684" i="1"/>
  <c r="D684" i="1"/>
  <c r="C684" i="1"/>
  <c r="B684" i="1"/>
  <c r="A684" i="1"/>
  <c r="J683" i="1"/>
  <c r="I683" i="1"/>
  <c r="H683" i="1"/>
  <c r="G683" i="1"/>
  <c r="F683" i="1"/>
  <c r="E683" i="1"/>
  <c r="D683" i="1"/>
  <c r="C683" i="1"/>
  <c r="B683" i="1"/>
  <c r="A683" i="1"/>
  <c r="J682" i="1"/>
  <c r="I682" i="1"/>
  <c r="H682" i="1"/>
  <c r="G682" i="1"/>
  <c r="F682" i="1"/>
  <c r="E682" i="1"/>
  <c r="D682" i="1"/>
  <c r="C682" i="1"/>
  <c r="B682" i="1"/>
  <c r="A682" i="1"/>
  <c r="J681" i="1"/>
  <c r="I681" i="1"/>
  <c r="H681" i="1"/>
  <c r="G681" i="1"/>
  <c r="E681" i="1"/>
  <c r="D681" i="1"/>
  <c r="C681" i="1"/>
  <c r="B681" i="1"/>
  <c r="A681" i="1"/>
  <c r="J680" i="1"/>
  <c r="I680" i="1"/>
  <c r="H680" i="1"/>
  <c r="G680" i="1"/>
  <c r="F680" i="1"/>
  <c r="E680" i="1"/>
  <c r="D680" i="1"/>
  <c r="C680" i="1"/>
  <c r="B680" i="1"/>
  <c r="A680" i="1"/>
  <c r="J679" i="1"/>
  <c r="I679" i="1"/>
  <c r="H679" i="1"/>
  <c r="G679" i="1"/>
  <c r="F679" i="1"/>
  <c r="E679" i="1"/>
  <c r="D679" i="1"/>
  <c r="C679" i="1"/>
  <c r="B679" i="1"/>
  <c r="A679" i="1"/>
  <c r="J678" i="1"/>
  <c r="I678" i="1"/>
  <c r="H678" i="1"/>
  <c r="G678" i="1"/>
  <c r="F678" i="1"/>
  <c r="E678" i="1"/>
  <c r="D678" i="1"/>
  <c r="C678" i="1"/>
  <c r="B678" i="1"/>
  <c r="A678" i="1"/>
  <c r="J677" i="1"/>
  <c r="I677" i="1"/>
  <c r="H677" i="1"/>
  <c r="G677" i="1"/>
  <c r="E677" i="1"/>
  <c r="D677" i="1"/>
  <c r="C677" i="1"/>
  <c r="B677" i="1"/>
  <c r="A677" i="1"/>
  <c r="J676" i="1"/>
  <c r="I676" i="1"/>
  <c r="H676" i="1"/>
  <c r="G676" i="1"/>
  <c r="E676" i="1"/>
  <c r="D676" i="1"/>
  <c r="C676" i="1"/>
  <c r="B676" i="1"/>
  <c r="A676" i="1"/>
  <c r="J675" i="1"/>
  <c r="I675" i="1"/>
  <c r="H675" i="1"/>
  <c r="G675" i="1"/>
  <c r="E675" i="1"/>
  <c r="D675" i="1"/>
  <c r="C675" i="1"/>
  <c r="B675" i="1"/>
  <c r="A675" i="1"/>
  <c r="J674" i="1"/>
  <c r="I674" i="1"/>
  <c r="H674" i="1"/>
  <c r="G674" i="1"/>
  <c r="F674" i="1"/>
  <c r="E674" i="1"/>
  <c r="D674" i="1"/>
  <c r="C674" i="1"/>
  <c r="B674" i="1"/>
  <c r="A674" i="1"/>
  <c r="J673" i="1"/>
  <c r="I673" i="1"/>
  <c r="H673" i="1"/>
  <c r="G673" i="1"/>
  <c r="F673" i="1"/>
  <c r="E673" i="1"/>
  <c r="D673" i="1"/>
  <c r="C673" i="1"/>
  <c r="B673" i="1"/>
  <c r="A673" i="1"/>
  <c r="J672" i="1"/>
  <c r="I672" i="1"/>
  <c r="H672" i="1"/>
  <c r="G672" i="1"/>
  <c r="F672" i="1"/>
  <c r="E672" i="1"/>
  <c r="D672" i="1"/>
  <c r="C672" i="1"/>
  <c r="B672" i="1"/>
  <c r="A672" i="1"/>
  <c r="J671" i="1"/>
  <c r="I671" i="1"/>
  <c r="H671" i="1"/>
  <c r="G671" i="1"/>
  <c r="F671" i="1"/>
  <c r="E671" i="1"/>
  <c r="D671" i="1"/>
  <c r="C671" i="1"/>
  <c r="B671" i="1"/>
  <c r="A671" i="1"/>
  <c r="J670" i="1"/>
  <c r="I670" i="1"/>
  <c r="H670" i="1"/>
  <c r="G670" i="1"/>
  <c r="F670" i="1"/>
  <c r="E670" i="1"/>
  <c r="D670" i="1"/>
  <c r="C670" i="1"/>
  <c r="B670" i="1"/>
  <c r="A670" i="1"/>
  <c r="J669" i="1"/>
  <c r="I669" i="1"/>
  <c r="H669" i="1"/>
  <c r="G669" i="1"/>
  <c r="E669" i="1"/>
  <c r="D669" i="1"/>
  <c r="C669" i="1"/>
  <c r="B669" i="1"/>
  <c r="A669" i="1"/>
  <c r="J668" i="1"/>
  <c r="I668" i="1"/>
  <c r="H668" i="1"/>
  <c r="G668" i="1"/>
  <c r="F668" i="1"/>
  <c r="E668" i="1"/>
  <c r="D668" i="1"/>
  <c r="C668" i="1"/>
  <c r="B668" i="1"/>
  <c r="A668" i="1"/>
  <c r="J667" i="1"/>
  <c r="I667" i="1"/>
  <c r="H667" i="1"/>
  <c r="G667" i="1"/>
  <c r="F667" i="1"/>
  <c r="E667" i="1"/>
  <c r="D667" i="1"/>
  <c r="C667" i="1"/>
  <c r="B667" i="1"/>
  <c r="A667" i="1"/>
  <c r="J666" i="1"/>
  <c r="I666" i="1"/>
  <c r="H666" i="1"/>
  <c r="G666" i="1"/>
  <c r="E666" i="1"/>
  <c r="D666" i="1"/>
  <c r="C666" i="1"/>
  <c r="B666" i="1"/>
  <c r="A666" i="1"/>
  <c r="J665" i="1"/>
  <c r="I665" i="1"/>
  <c r="H665" i="1"/>
  <c r="G665" i="1"/>
  <c r="E665" i="1"/>
  <c r="D665" i="1"/>
  <c r="C665" i="1"/>
  <c r="B665" i="1"/>
  <c r="A665" i="1"/>
  <c r="J664" i="1"/>
  <c r="I664" i="1"/>
  <c r="H664" i="1"/>
  <c r="G664" i="1"/>
  <c r="F664" i="1"/>
  <c r="E664" i="1"/>
  <c r="D664" i="1"/>
  <c r="C664" i="1"/>
  <c r="B664" i="1"/>
  <c r="A664" i="1"/>
  <c r="J663" i="1"/>
  <c r="I663" i="1"/>
  <c r="H663" i="1"/>
  <c r="G663" i="1"/>
  <c r="E663" i="1"/>
  <c r="D663" i="1"/>
  <c r="C663" i="1"/>
  <c r="B663" i="1"/>
  <c r="A663" i="1"/>
  <c r="J662" i="1"/>
  <c r="I662" i="1"/>
  <c r="H662" i="1"/>
  <c r="G662" i="1"/>
  <c r="F662" i="1"/>
  <c r="E662" i="1"/>
  <c r="D662" i="1"/>
  <c r="C662" i="1"/>
  <c r="B662" i="1"/>
  <c r="A662" i="1"/>
  <c r="J661" i="1"/>
  <c r="I661" i="1"/>
  <c r="H661" i="1"/>
  <c r="G661" i="1"/>
  <c r="F661" i="1"/>
  <c r="E661" i="1"/>
  <c r="D661" i="1"/>
  <c r="C661" i="1"/>
  <c r="B661" i="1"/>
  <c r="A661" i="1"/>
  <c r="J660" i="1"/>
  <c r="I660" i="1"/>
  <c r="H660" i="1"/>
  <c r="G660" i="1"/>
  <c r="E660" i="1"/>
  <c r="D660" i="1"/>
  <c r="C660" i="1"/>
  <c r="B660" i="1"/>
  <c r="A660" i="1"/>
  <c r="J659" i="1"/>
  <c r="I659" i="1"/>
  <c r="H659" i="1"/>
  <c r="G659" i="1"/>
  <c r="E659" i="1"/>
  <c r="D659" i="1"/>
  <c r="C659" i="1"/>
  <c r="B659" i="1"/>
  <c r="A659" i="1"/>
  <c r="J658" i="1"/>
  <c r="I658" i="1"/>
  <c r="H658" i="1"/>
  <c r="G658" i="1"/>
  <c r="F658" i="1"/>
  <c r="E658" i="1"/>
  <c r="D658" i="1"/>
  <c r="C658" i="1"/>
  <c r="B658" i="1"/>
  <c r="A658" i="1"/>
  <c r="J657" i="1"/>
  <c r="I657" i="1"/>
  <c r="H657" i="1"/>
  <c r="G657" i="1"/>
  <c r="E657" i="1"/>
  <c r="D657" i="1"/>
  <c r="C657" i="1"/>
  <c r="B657" i="1"/>
  <c r="A657" i="1"/>
  <c r="J656" i="1"/>
  <c r="I656" i="1"/>
  <c r="H656" i="1"/>
  <c r="G656" i="1"/>
  <c r="F656" i="1"/>
  <c r="E656" i="1"/>
  <c r="D656" i="1"/>
  <c r="C656" i="1"/>
  <c r="B656" i="1"/>
  <c r="A656" i="1"/>
  <c r="J655" i="1"/>
  <c r="I655" i="1"/>
  <c r="H655" i="1"/>
  <c r="G655" i="1"/>
  <c r="F655" i="1"/>
  <c r="E655" i="1"/>
  <c r="D655" i="1"/>
  <c r="C655" i="1"/>
  <c r="B655" i="1"/>
  <c r="A655" i="1"/>
  <c r="J654" i="1"/>
  <c r="I654" i="1"/>
  <c r="H654" i="1"/>
  <c r="G654" i="1"/>
  <c r="F654" i="1"/>
  <c r="E654" i="1"/>
  <c r="D654" i="1"/>
  <c r="C654" i="1"/>
  <c r="B654" i="1"/>
  <c r="A654" i="1"/>
  <c r="J653" i="1"/>
  <c r="I653" i="1"/>
  <c r="H653" i="1"/>
  <c r="G653" i="1"/>
  <c r="F653" i="1"/>
  <c r="E653" i="1"/>
  <c r="D653" i="1"/>
  <c r="C653" i="1"/>
  <c r="B653" i="1"/>
  <c r="A653" i="1"/>
  <c r="J652" i="1"/>
  <c r="I652" i="1"/>
  <c r="H652" i="1"/>
  <c r="G652" i="1"/>
  <c r="F652" i="1"/>
  <c r="E652" i="1"/>
  <c r="D652" i="1"/>
  <c r="C652" i="1"/>
  <c r="B652" i="1"/>
  <c r="A652" i="1"/>
  <c r="J651" i="1"/>
  <c r="I651" i="1"/>
  <c r="H651" i="1"/>
  <c r="G651" i="1"/>
  <c r="E651" i="1"/>
  <c r="D651" i="1"/>
  <c r="C651" i="1"/>
  <c r="B651" i="1"/>
  <c r="A651" i="1"/>
  <c r="J650" i="1"/>
  <c r="I650" i="1"/>
  <c r="H650" i="1"/>
  <c r="G650" i="1"/>
  <c r="E650" i="1"/>
  <c r="D650" i="1"/>
  <c r="C650" i="1"/>
  <c r="B650" i="1"/>
  <c r="A650" i="1"/>
  <c r="J649" i="1"/>
  <c r="I649" i="1"/>
  <c r="H649" i="1"/>
  <c r="G649" i="1"/>
  <c r="E649" i="1"/>
  <c r="D649" i="1"/>
  <c r="C649" i="1"/>
  <c r="B649" i="1"/>
  <c r="A649" i="1"/>
  <c r="J648" i="1"/>
  <c r="I648" i="1"/>
  <c r="H648" i="1"/>
  <c r="G648" i="1"/>
  <c r="F648" i="1"/>
  <c r="E648" i="1"/>
  <c r="D648" i="1"/>
  <c r="C648" i="1"/>
  <c r="B648" i="1"/>
  <c r="A648" i="1"/>
  <c r="J647" i="1"/>
  <c r="I647" i="1"/>
  <c r="H647" i="1"/>
  <c r="G647" i="1"/>
  <c r="F647" i="1"/>
  <c r="E647" i="1"/>
  <c r="D647" i="1"/>
  <c r="C647" i="1"/>
  <c r="B647" i="1"/>
  <c r="A647" i="1"/>
  <c r="J646" i="1"/>
  <c r="I646" i="1"/>
  <c r="H646" i="1"/>
  <c r="G646" i="1"/>
  <c r="E646" i="1"/>
  <c r="D646" i="1"/>
  <c r="C646" i="1"/>
  <c r="B646" i="1"/>
  <c r="A646" i="1"/>
  <c r="J645" i="1"/>
  <c r="I645" i="1"/>
  <c r="H645" i="1"/>
  <c r="G645" i="1"/>
  <c r="F645" i="1"/>
  <c r="E645" i="1"/>
  <c r="D645" i="1"/>
  <c r="C645" i="1"/>
  <c r="B645" i="1"/>
  <c r="A645" i="1"/>
  <c r="J644" i="1"/>
  <c r="I644" i="1"/>
  <c r="H644" i="1"/>
  <c r="G644" i="1"/>
  <c r="E644" i="1"/>
  <c r="D644" i="1"/>
  <c r="C644" i="1"/>
  <c r="B644" i="1"/>
  <c r="A644" i="1"/>
  <c r="J643" i="1"/>
  <c r="I643" i="1"/>
  <c r="H643" i="1"/>
  <c r="G643" i="1"/>
  <c r="E643" i="1"/>
  <c r="D643" i="1"/>
  <c r="C643" i="1"/>
  <c r="B643" i="1"/>
  <c r="A643" i="1"/>
  <c r="J642" i="1"/>
  <c r="I642" i="1"/>
  <c r="H642" i="1"/>
  <c r="G642" i="1"/>
  <c r="E642" i="1"/>
  <c r="D642" i="1"/>
  <c r="C642" i="1"/>
  <c r="B642" i="1"/>
  <c r="A642" i="1"/>
  <c r="J641" i="1"/>
  <c r="I641" i="1"/>
  <c r="H641" i="1"/>
  <c r="G641" i="1"/>
  <c r="E641" i="1"/>
  <c r="D641" i="1"/>
  <c r="C641" i="1"/>
  <c r="B641" i="1"/>
  <c r="A641" i="1"/>
  <c r="J640" i="1"/>
  <c r="I640" i="1"/>
  <c r="H640" i="1"/>
  <c r="G640" i="1"/>
  <c r="F640" i="1"/>
  <c r="E640" i="1"/>
  <c r="D640" i="1"/>
  <c r="C640" i="1"/>
  <c r="B640" i="1"/>
  <c r="A640" i="1"/>
  <c r="J639" i="1"/>
  <c r="I639" i="1"/>
  <c r="H639" i="1"/>
  <c r="G639" i="1"/>
  <c r="F639" i="1"/>
  <c r="E639" i="1"/>
  <c r="D639" i="1"/>
  <c r="C639" i="1"/>
  <c r="B639" i="1"/>
  <c r="A639" i="1"/>
  <c r="J638" i="1"/>
  <c r="I638" i="1"/>
  <c r="H638" i="1"/>
  <c r="G638" i="1"/>
  <c r="E638" i="1"/>
  <c r="D638" i="1"/>
  <c r="C638" i="1"/>
  <c r="B638" i="1"/>
  <c r="A638" i="1"/>
  <c r="J637" i="1"/>
  <c r="I637" i="1"/>
  <c r="H637" i="1"/>
  <c r="G637" i="1"/>
  <c r="E637" i="1"/>
  <c r="D637" i="1"/>
  <c r="C637" i="1"/>
  <c r="B637" i="1"/>
  <c r="A637" i="1"/>
  <c r="J636" i="1"/>
  <c r="I636" i="1"/>
  <c r="H636" i="1"/>
  <c r="G636" i="1"/>
  <c r="F636" i="1"/>
  <c r="E636" i="1"/>
  <c r="D636" i="1"/>
  <c r="C636" i="1"/>
  <c r="B636" i="1"/>
  <c r="A636" i="1"/>
  <c r="J635" i="1"/>
  <c r="I635" i="1"/>
  <c r="H635" i="1"/>
  <c r="G635" i="1"/>
  <c r="F635" i="1"/>
  <c r="E635" i="1"/>
  <c r="D635" i="1"/>
  <c r="C635" i="1"/>
  <c r="B635" i="1"/>
  <c r="A635" i="1"/>
  <c r="J634" i="1"/>
  <c r="I634" i="1"/>
  <c r="H634" i="1"/>
  <c r="G634" i="1"/>
  <c r="F634" i="1"/>
  <c r="E634" i="1"/>
  <c r="D634" i="1"/>
  <c r="C634" i="1"/>
  <c r="B634" i="1"/>
  <c r="A634" i="1"/>
  <c r="J633" i="1"/>
  <c r="I633" i="1"/>
  <c r="H633" i="1"/>
  <c r="G633" i="1"/>
  <c r="F633" i="1"/>
  <c r="E633" i="1"/>
  <c r="D633" i="1"/>
  <c r="C633" i="1"/>
  <c r="B633" i="1"/>
  <c r="A633" i="1"/>
  <c r="J632" i="1"/>
  <c r="I632" i="1"/>
  <c r="H632" i="1"/>
  <c r="G632" i="1"/>
  <c r="E632" i="1"/>
  <c r="D632" i="1"/>
  <c r="C632" i="1"/>
  <c r="B632" i="1"/>
  <c r="A632" i="1"/>
  <c r="J631" i="1"/>
  <c r="I631" i="1"/>
  <c r="H631" i="1"/>
  <c r="G631" i="1"/>
  <c r="F631" i="1"/>
  <c r="E631" i="1"/>
  <c r="D631" i="1"/>
  <c r="C631" i="1"/>
  <c r="B631" i="1"/>
  <c r="A631" i="1"/>
  <c r="J630" i="1"/>
  <c r="I630" i="1"/>
  <c r="H630" i="1"/>
  <c r="G630" i="1"/>
  <c r="E630" i="1"/>
  <c r="D630" i="1"/>
  <c r="C630" i="1"/>
  <c r="B630" i="1"/>
  <c r="A630" i="1"/>
  <c r="J629" i="1"/>
  <c r="I629" i="1"/>
  <c r="H629" i="1"/>
  <c r="G629" i="1"/>
  <c r="E629" i="1"/>
  <c r="D629" i="1"/>
  <c r="C629" i="1"/>
  <c r="B629" i="1"/>
  <c r="A629" i="1"/>
  <c r="J628" i="1"/>
  <c r="I628" i="1"/>
  <c r="H628" i="1"/>
  <c r="G628" i="1"/>
  <c r="F628" i="1"/>
  <c r="E628" i="1"/>
  <c r="D628" i="1"/>
  <c r="C628" i="1"/>
  <c r="B628" i="1"/>
  <c r="A628" i="1"/>
  <c r="J627" i="1"/>
  <c r="I627" i="1"/>
  <c r="H627" i="1"/>
  <c r="G627" i="1"/>
  <c r="F627" i="1"/>
  <c r="E627" i="1"/>
  <c r="D627" i="1"/>
  <c r="C627" i="1"/>
  <c r="B627" i="1"/>
  <c r="A627" i="1"/>
  <c r="J626" i="1"/>
  <c r="I626" i="1"/>
  <c r="H626" i="1"/>
  <c r="G626" i="1"/>
  <c r="E626" i="1"/>
  <c r="D626" i="1"/>
  <c r="C626" i="1"/>
  <c r="B626" i="1"/>
  <c r="A626" i="1"/>
  <c r="J625" i="1"/>
  <c r="I625" i="1"/>
  <c r="H625" i="1"/>
  <c r="G625" i="1"/>
  <c r="F625" i="1"/>
  <c r="E625" i="1"/>
  <c r="D625" i="1"/>
  <c r="C625" i="1"/>
  <c r="B625" i="1"/>
  <c r="A625" i="1"/>
  <c r="J624" i="1"/>
  <c r="I624" i="1"/>
  <c r="H624" i="1"/>
  <c r="G624" i="1"/>
  <c r="F624" i="1"/>
  <c r="E624" i="1"/>
  <c r="D624" i="1"/>
  <c r="C624" i="1"/>
  <c r="B624" i="1"/>
  <c r="A624" i="1"/>
  <c r="J623" i="1"/>
  <c r="I623" i="1"/>
  <c r="H623" i="1"/>
  <c r="G623" i="1"/>
  <c r="E623" i="1"/>
  <c r="D623" i="1"/>
  <c r="C623" i="1"/>
  <c r="B623" i="1"/>
  <c r="A623" i="1"/>
  <c r="J622" i="1"/>
  <c r="I622" i="1"/>
  <c r="H622" i="1"/>
  <c r="G622" i="1"/>
  <c r="E622" i="1"/>
  <c r="D622" i="1"/>
  <c r="C622" i="1"/>
  <c r="B622" i="1"/>
  <c r="A622" i="1"/>
  <c r="J621" i="1"/>
  <c r="I621" i="1"/>
  <c r="H621" i="1"/>
  <c r="G621" i="1"/>
  <c r="F621" i="1"/>
  <c r="E621" i="1"/>
  <c r="D621" i="1"/>
  <c r="C621" i="1"/>
  <c r="B621" i="1"/>
  <c r="A621" i="1"/>
  <c r="J620" i="1"/>
  <c r="I620" i="1"/>
  <c r="H620" i="1"/>
  <c r="G620" i="1"/>
  <c r="E620" i="1"/>
  <c r="D620" i="1"/>
  <c r="C620" i="1"/>
  <c r="B620" i="1"/>
  <c r="A620" i="1"/>
  <c r="J619" i="1"/>
  <c r="I619" i="1"/>
  <c r="H619" i="1"/>
  <c r="G619" i="1"/>
  <c r="E619" i="1"/>
  <c r="D619" i="1"/>
  <c r="C619" i="1"/>
  <c r="B619" i="1"/>
  <c r="A619" i="1"/>
  <c r="J618" i="1"/>
  <c r="I618" i="1"/>
  <c r="H618" i="1"/>
  <c r="G618" i="1"/>
  <c r="E618" i="1"/>
  <c r="D618" i="1"/>
  <c r="C618" i="1"/>
  <c r="B618" i="1"/>
  <c r="A618" i="1"/>
  <c r="J617" i="1"/>
  <c r="I617" i="1"/>
  <c r="H617" i="1"/>
  <c r="G617" i="1"/>
  <c r="E617" i="1"/>
  <c r="D617" i="1"/>
  <c r="C617" i="1"/>
  <c r="B617" i="1"/>
  <c r="A617" i="1"/>
  <c r="J616" i="1"/>
  <c r="I616" i="1"/>
  <c r="H616" i="1"/>
  <c r="G616" i="1"/>
  <c r="E616" i="1"/>
  <c r="D616" i="1"/>
  <c r="C616" i="1"/>
  <c r="B616" i="1"/>
  <c r="A616" i="1"/>
  <c r="J615" i="1"/>
  <c r="I615" i="1"/>
  <c r="H615" i="1"/>
  <c r="G615" i="1"/>
  <c r="E615" i="1"/>
  <c r="D615" i="1"/>
  <c r="C615" i="1"/>
  <c r="B615" i="1"/>
  <c r="A615" i="1"/>
  <c r="J614" i="1"/>
  <c r="I614" i="1"/>
  <c r="H614" i="1"/>
  <c r="G614" i="1"/>
  <c r="E614" i="1"/>
  <c r="D614" i="1"/>
  <c r="C614" i="1"/>
  <c r="B614" i="1"/>
  <c r="A614" i="1"/>
  <c r="J613" i="1"/>
  <c r="I613" i="1"/>
  <c r="H613" i="1"/>
  <c r="G613" i="1"/>
  <c r="F613" i="1"/>
  <c r="E613" i="1"/>
  <c r="D613" i="1"/>
  <c r="C613" i="1"/>
  <c r="B613" i="1"/>
  <c r="A613" i="1"/>
  <c r="J612" i="1"/>
  <c r="I612" i="1"/>
  <c r="H612" i="1"/>
  <c r="G612" i="1"/>
  <c r="E612" i="1"/>
  <c r="D612" i="1"/>
  <c r="C612" i="1"/>
  <c r="B612" i="1"/>
  <c r="A612" i="1"/>
  <c r="J611" i="1"/>
  <c r="I611" i="1"/>
  <c r="H611" i="1"/>
  <c r="G611" i="1"/>
  <c r="F611" i="1"/>
  <c r="E611" i="1"/>
  <c r="D611" i="1"/>
  <c r="C611" i="1"/>
  <c r="B611" i="1"/>
  <c r="A611" i="1"/>
  <c r="J610" i="1"/>
  <c r="I610" i="1"/>
  <c r="H610" i="1"/>
  <c r="G610" i="1"/>
  <c r="F610" i="1"/>
  <c r="E610" i="1"/>
  <c r="D610" i="1"/>
  <c r="C610" i="1"/>
  <c r="B610" i="1"/>
  <c r="A610" i="1"/>
  <c r="J609" i="1"/>
  <c r="I609" i="1"/>
  <c r="H609" i="1"/>
  <c r="G609" i="1"/>
  <c r="F609" i="1"/>
  <c r="E609" i="1"/>
  <c r="D609" i="1"/>
  <c r="C609" i="1"/>
  <c r="B609" i="1"/>
  <c r="A609" i="1"/>
  <c r="J608" i="1"/>
  <c r="I608" i="1"/>
  <c r="H608" i="1"/>
  <c r="G608" i="1"/>
  <c r="F608" i="1"/>
  <c r="E608" i="1"/>
  <c r="D608" i="1"/>
  <c r="C608" i="1"/>
  <c r="B608" i="1"/>
  <c r="A608" i="1"/>
  <c r="J607" i="1"/>
  <c r="I607" i="1"/>
  <c r="H607" i="1"/>
  <c r="G607" i="1"/>
  <c r="F607" i="1"/>
  <c r="E607" i="1"/>
  <c r="D607" i="1"/>
  <c r="C607" i="1"/>
  <c r="B607" i="1"/>
  <c r="A607" i="1"/>
  <c r="J606" i="1"/>
  <c r="I606" i="1"/>
  <c r="H606" i="1"/>
  <c r="G606" i="1"/>
  <c r="F606" i="1"/>
  <c r="E606" i="1"/>
  <c r="D606" i="1"/>
  <c r="C606" i="1"/>
  <c r="B606" i="1"/>
  <c r="A606" i="1"/>
  <c r="J605" i="1"/>
  <c r="I605" i="1"/>
  <c r="H605" i="1"/>
  <c r="G605" i="1"/>
  <c r="F605" i="1"/>
  <c r="E605" i="1"/>
  <c r="D605" i="1"/>
  <c r="C605" i="1"/>
  <c r="B605" i="1"/>
  <c r="A605" i="1"/>
  <c r="J604" i="1"/>
  <c r="I604" i="1"/>
  <c r="H604" i="1"/>
  <c r="G604" i="1"/>
  <c r="E604" i="1"/>
  <c r="D604" i="1"/>
  <c r="C604" i="1"/>
  <c r="B604" i="1"/>
  <c r="A604" i="1"/>
  <c r="J603" i="1"/>
  <c r="I603" i="1"/>
  <c r="H603" i="1"/>
  <c r="G603" i="1"/>
  <c r="F603" i="1"/>
  <c r="E603" i="1"/>
  <c r="D603" i="1"/>
  <c r="C603" i="1"/>
  <c r="B603" i="1"/>
  <c r="A603" i="1"/>
  <c r="J602" i="1"/>
  <c r="I602" i="1"/>
  <c r="H602" i="1"/>
  <c r="G602" i="1"/>
  <c r="F602" i="1"/>
  <c r="E602" i="1"/>
  <c r="D602" i="1"/>
  <c r="C602" i="1"/>
  <c r="B602" i="1"/>
  <c r="A602" i="1"/>
  <c r="J601" i="1"/>
  <c r="I601" i="1"/>
  <c r="H601" i="1"/>
  <c r="G601" i="1"/>
  <c r="F601" i="1"/>
  <c r="E601" i="1"/>
  <c r="D601" i="1"/>
  <c r="C601" i="1"/>
  <c r="B601" i="1"/>
  <c r="A601" i="1"/>
  <c r="J600" i="1"/>
  <c r="I600" i="1"/>
  <c r="H600" i="1"/>
  <c r="G600" i="1"/>
  <c r="F600" i="1"/>
  <c r="E600" i="1"/>
  <c r="D600" i="1"/>
  <c r="C600" i="1"/>
  <c r="B600" i="1"/>
  <c r="A600" i="1"/>
  <c r="J599" i="1"/>
  <c r="I599" i="1"/>
  <c r="H599" i="1"/>
  <c r="G599" i="1"/>
  <c r="E599" i="1"/>
  <c r="D599" i="1"/>
  <c r="C599" i="1"/>
  <c r="B599" i="1"/>
  <c r="A599" i="1"/>
  <c r="J598" i="1"/>
  <c r="I598" i="1"/>
  <c r="H598" i="1"/>
  <c r="G598" i="1"/>
  <c r="F598" i="1"/>
  <c r="E598" i="1"/>
  <c r="D598" i="1"/>
  <c r="C598" i="1"/>
  <c r="B598" i="1"/>
  <c r="A598" i="1"/>
  <c r="J597" i="1"/>
  <c r="I597" i="1"/>
  <c r="H597" i="1"/>
  <c r="G597" i="1"/>
  <c r="E597" i="1"/>
  <c r="D597" i="1"/>
  <c r="C597" i="1"/>
  <c r="B597" i="1"/>
  <c r="A597" i="1"/>
  <c r="J596" i="1"/>
  <c r="I596" i="1"/>
  <c r="H596" i="1"/>
  <c r="G596" i="1"/>
  <c r="F596" i="1"/>
  <c r="E596" i="1"/>
  <c r="D596" i="1"/>
  <c r="C596" i="1"/>
  <c r="B596" i="1"/>
  <c r="A596" i="1"/>
  <c r="J595" i="1"/>
  <c r="I595" i="1"/>
  <c r="H595" i="1"/>
  <c r="G595" i="1"/>
  <c r="F595" i="1"/>
  <c r="E595" i="1"/>
  <c r="D595" i="1"/>
  <c r="C595" i="1"/>
  <c r="B595" i="1"/>
  <c r="A595" i="1"/>
  <c r="J594" i="1"/>
  <c r="I594" i="1"/>
  <c r="H594" i="1"/>
  <c r="G594" i="1"/>
  <c r="E594" i="1"/>
  <c r="D594" i="1"/>
  <c r="C594" i="1"/>
  <c r="B594" i="1"/>
  <c r="A594" i="1"/>
  <c r="J593" i="1"/>
  <c r="I593" i="1"/>
  <c r="H593" i="1"/>
  <c r="G593" i="1"/>
  <c r="E593" i="1"/>
  <c r="D593" i="1"/>
  <c r="C593" i="1"/>
  <c r="B593" i="1"/>
  <c r="A593" i="1"/>
  <c r="J592" i="1"/>
  <c r="I592" i="1"/>
  <c r="H592" i="1"/>
  <c r="G592" i="1"/>
  <c r="E592" i="1"/>
  <c r="D592" i="1"/>
  <c r="C592" i="1"/>
  <c r="B592" i="1"/>
  <c r="A592" i="1"/>
  <c r="J591" i="1"/>
  <c r="I591" i="1"/>
  <c r="H591" i="1"/>
  <c r="G591" i="1"/>
  <c r="E591" i="1"/>
  <c r="D591" i="1"/>
  <c r="C591" i="1"/>
  <c r="B591" i="1"/>
  <c r="A591" i="1"/>
  <c r="J590" i="1"/>
  <c r="I590" i="1"/>
  <c r="H590" i="1"/>
  <c r="G590" i="1"/>
  <c r="F590" i="1"/>
  <c r="E590" i="1"/>
  <c r="D590" i="1"/>
  <c r="C590" i="1"/>
  <c r="B590" i="1"/>
  <c r="A590" i="1"/>
  <c r="J589" i="1"/>
  <c r="I589" i="1"/>
  <c r="H589" i="1"/>
  <c r="G589" i="1"/>
  <c r="F589" i="1"/>
  <c r="E589" i="1"/>
  <c r="D589" i="1"/>
  <c r="C589" i="1"/>
  <c r="B589" i="1"/>
  <c r="A589" i="1"/>
  <c r="J588" i="1"/>
  <c r="I588" i="1"/>
  <c r="H588" i="1"/>
  <c r="G588" i="1"/>
  <c r="F588" i="1"/>
  <c r="E588" i="1"/>
  <c r="D588" i="1"/>
  <c r="C588" i="1"/>
  <c r="B588" i="1"/>
  <c r="A588" i="1"/>
  <c r="J587" i="1"/>
  <c r="I587" i="1"/>
  <c r="H587" i="1"/>
  <c r="G587" i="1"/>
  <c r="F587" i="1"/>
  <c r="E587" i="1"/>
  <c r="D587" i="1"/>
  <c r="C587" i="1"/>
  <c r="B587" i="1"/>
  <c r="A587" i="1"/>
  <c r="J586" i="1"/>
  <c r="I586" i="1"/>
  <c r="H586" i="1"/>
  <c r="G586" i="1"/>
  <c r="F586" i="1"/>
  <c r="E586" i="1"/>
  <c r="D586" i="1"/>
  <c r="C586" i="1"/>
  <c r="B586" i="1"/>
  <c r="A586" i="1"/>
  <c r="J585" i="1"/>
  <c r="I585" i="1"/>
  <c r="H585" i="1"/>
  <c r="G585" i="1"/>
  <c r="E585" i="1"/>
  <c r="D585" i="1"/>
  <c r="C585" i="1"/>
  <c r="B585" i="1"/>
  <c r="A585" i="1"/>
  <c r="J584" i="1"/>
  <c r="I584" i="1"/>
  <c r="H584" i="1"/>
  <c r="G584" i="1"/>
  <c r="E584" i="1"/>
  <c r="D584" i="1"/>
  <c r="C584" i="1"/>
  <c r="B584" i="1"/>
  <c r="A584" i="1"/>
  <c r="J583" i="1"/>
  <c r="I583" i="1"/>
  <c r="H583" i="1"/>
  <c r="G583" i="1"/>
  <c r="E583" i="1"/>
  <c r="D583" i="1"/>
  <c r="C583" i="1"/>
  <c r="B583" i="1"/>
  <c r="A583" i="1"/>
  <c r="J582" i="1"/>
  <c r="I582" i="1"/>
  <c r="H582" i="1"/>
  <c r="G582" i="1"/>
  <c r="E582" i="1"/>
  <c r="D582" i="1"/>
  <c r="C582" i="1"/>
  <c r="B582" i="1"/>
  <c r="A582" i="1"/>
  <c r="J581" i="1"/>
  <c r="I581" i="1"/>
  <c r="H581" i="1"/>
  <c r="G581" i="1"/>
  <c r="F581" i="1"/>
  <c r="E581" i="1"/>
  <c r="D581" i="1"/>
  <c r="C581" i="1"/>
  <c r="B581" i="1"/>
  <c r="A581" i="1"/>
  <c r="J580" i="1"/>
  <c r="I580" i="1"/>
  <c r="H580" i="1"/>
  <c r="G580" i="1"/>
  <c r="F580" i="1"/>
  <c r="E580" i="1"/>
  <c r="D580" i="1"/>
  <c r="C580" i="1"/>
  <c r="B580" i="1"/>
  <c r="A580" i="1"/>
  <c r="J579" i="1"/>
  <c r="I579" i="1"/>
  <c r="H579" i="1"/>
  <c r="G579" i="1"/>
  <c r="F579" i="1"/>
  <c r="E579" i="1"/>
  <c r="D579" i="1"/>
  <c r="C579" i="1"/>
  <c r="B579" i="1"/>
  <c r="A579" i="1"/>
  <c r="J578" i="1"/>
  <c r="I578" i="1"/>
  <c r="H578" i="1"/>
  <c r="G578" i="1"/>
  <c r="F578" i="1"/>
  <c r="E578" i="1"/>
  <c r="D578" i="1"/>
  <c r="C578" i="1"/>
  <c r="B578" i="1"/>
  <c r="A578" i="1"/>
  <c r="J577" i="1"/>
  <c r="I577" i="1"/>
  <c r="H577" i="1"/>
  <c r="G577" i="1"/>
  <c r="E577" i="1"/>
  <c r="D577" i="1"/>
  <c r="C577" i="1"/>
  <c r="B577" i="1"/>
  <c r="A577" i="1"/>
  <c r="J576" i="1"/>
  <c r="I576" i="1"/>
  <c r="H576" i="1"/>
  <c r="G576" i="1"/>
  <c r="E576" i="1"/>
  <c r="D576" i="1"/>
  <c r="C576" i="1"/>
  <c r="B576" i="1"/>
  <c r="A576" i="1"/>
  <c r="J575" i="1"/>
  <c r="I575" i="1"/>
  <c r="H575" i="1"/>
  <c r="G575" i="1"/>
  <c r="F575" i="1"/>
  <c r="E575" i="1"/>
  <c r="D575" i="1"/>
  <c r="C575" i="1"/>
  <c r="B575" i="1"/>
  <c r="A575" i="1"/>
  <c r="J574" i="1"/>
  <c r="I574" i="1"/>
  <c r="H574" i="1"/>
  <c r="G574" i="1"/>
  <c r="E574" i="1"/>
  <c r="D574" i="1"/>
  <c r="C574" i="1"/>
  <c r="B574" i="1"/>
  <c r="A574" i="1"/>
  <c r="J573" i="1"/>
  <c r="I573" i="1"/>
  <c r="H573" i="1"/>
  <c r="G573" i="1"/>
  <c r="E573" i="1"/>
  <c r="D573" i="1"/>
  <c r="C573" i="1"/>
  <c r="B573" i="1"/>
  <c r="A573" i="1"/>
  <c r="J572" i="1"/>
  <c r="I572" i="1"/>
  <c r="H572" i="1"/>
  <c r="G572" i="1"/>
  <c r="F572" i="1"/>
  <c r="E572" i="1"/>
  <c r="D572" i="1"/>
  <c r="C572" i="1"/>
  <c r="B572" i="1"/>
  <c r="A572" i="1"/>
  <c r="J571" i="1"/>
  <c r="I571" i="1"/>
  <c r="H571" i="1"/>
  <c r="G571" i="1"/>
  <c r="F571" i="1"/>
  <c r="E571" i="1"/>
  <c r="D571" i="1"/>
  <c r="C571" i="1"/>
  <c r="B571" i="1"/>
  <c r="A571" i="1"/>
  <c r="J570" i="1"/>
  <c r="I570" i="1"/>
  <c r="H570" i="1"/>
  <c r="G570" i="1"/>
  <c r="F570" i="1"/>
  <c r="E570" i="1"/>
  <c r="D570" i="1"/>
  <c r="C570" i="1"/>
  <c r="B570" i="1"/>
  <c r="A570" i="1"/>
  <c r="J569" i="1"/>
  <c r="I569" i="1"/>
  <c r="H569" i="1"/>
  <c r="G569" i="1"/>
  <c r="E569" i="1"/>
  <c r="D569" i="1"/>
  <c r="C569" i="1"/>
  <c r="B569" i="1"/>
  <c r="A569" i="1"/>
  <c r="J568" i="1"/>
  <c r="I568" i="1"/>
  <c r="H568" i="1"/>
  <c r="G568" i="1"/>
  <c r="F568" i="1"/>
  <c r="E568" i="1"/>
  <c r="D568" i="1"/>
  <c r="C568" i="1"/>
  <c r="B568" i="1"/>
  <c r="A568" i="1"/>
  <c r="J567" i="1"/>
  <c r="I567" i="1"/>
  <c r="H567" i="1"/>
  <c r="G567" i="1"/>
  <c r="F567" i="1"/>
  <c r="E567" i="1"/>
  <c r="D567" i="1"/>
  <c r="C567" i="1"/>
  <c r="B567" i="1"/>
  <c r="A567" i="1"/>
  <c r="J566" i="1"/>
  <c r="I566" i="1"/>
  <c r="H566" i="1"/>
  <c r="G566" i="1"/>
  <c r="E566" i="1"/>
  <c r="D566" i="1"/>
  <c r="C566" i="1"/>
  <c r="B566" i="1"/>
  <c r="A566" i="1"/>
  <c r="J565" i="1"/>
  <c r="I565" i="1"/>
  <c r="H565" i="1"/>
  <c r="G565" i="1"/>
  <c r="F565" i="1"/>
  <c r="E565" i="1"/>
  <c r="D565" i="1"/>
  <c r="C565" i="1"/>
  <c r="B565" i="1"/>
  <c r="A565" i="1"/>
  <c r="J564" i="1"/>
  <c r="I564" i="1"/>
  <c r="H564" i="1"/>
  <c r="G564" i="1"/>
  <c r="F564" i="1"/>
  <c r="E564" i="1"/>
  <c r="D564" i="1"/>
  <c r="C564" i="1"/>
  <c r="B564" i="1"/>
  <c r="A564" i="1"/>
  <c r="J563" i="1"/>
  <c r="I563" i="1"/>
  <c r="H563" i="1"/>
  <c r="G563" i="1"/>
  <c r="E563" i="1"/>
  <c r="D563" i="1"/>
  <c r="C563" i="1"/>
  <c r="B563" i="1"/>
  <c r="A563" i="1"/>
  <c r="J562" i="1"/>
  <c r="I562" i="1"/>
  <c r="H562" i="1"/>
  <c r="G562" i="1"/>
  <c r="F562" i="1"/>
  <c r="E562" i="1"/>
  <c r="D562" i="1"/>
  <c r="C562" i="1"/>
  <c r="B562" i="1"/>
  <c r="A562" i="1"/>
  <c r="J561" i="1"/>
  <c r="I561" i="1"/>
  <c r="H561" i="1"/>
  <c r="G561" i="1"/>
  <c r="F561" i="1"/>
  <c r="E561" i="1"/>
  <c r="D561" i="1"/>
  <c r="C561" i="1"/>
  <c r="B561" i="1"/>
  <c r="A561" i="1"/>
  <c r="J560" i="1"/>
  <c r="I560" i="1"/>
  <c r="H560" i="1"/>
  <c r="G560" i="1"/>
  <c r="E560" i="1"/>
  <c r="D560" i="1"/>
  <c r="C560" i="1"/>
  <c r="B560" i="1"/>
  <c r="A560" i="1"/>
  <c r="J559" i="1"/>
  <c r="I559" i="1"/>
  <c r="H559" i="1"/>
  <c r="G559" i="1"/>
  <c r="F559" i="1"/>
  <c r="E559" i="1"/>
  <c r="D559" i="1"/>
  <c r="C559" i="1"/>
  <c r="B559" i="1"/>
  <c r="A559" i="1"/>
  <c r="J558" i="1"/>
  <c r="I558" i="1"/>
  <c r="H558" i="1"/>
  <c r="G558" i="1"/>
  <c r="F558" i="1"/>
  <c r="E558" i="1"/>
  <c r="D558" i="1"/>
  <c r="C558" i="1"/>
  <c r="B558" i="1"/>
  <c r="A558" i="1"/>
  <c r="J557" i="1"/>
  <c r="I557" i="1"/>
  <c r="H557" i="1"/>
  <c r="G557" i="1"/>
  <c r="F557" i="1"/>
  <c r="E557" i="1"/>
  <c r="D557" i="1"/>
  <c r="C557" i="1"/>
  <c r="B557" i="1"/>
  <c r="A557" i="1"/>
  <c r="J556" i="1"/>
  <c r="I556" i="1"/>
  <c r="H556" i="1"/>
  <c r="G556" i="1"/>
  <c r="E556" i="1"/>
  <c r="D556" i="1"/>
  <c r="C556" i="1"/>
  <c r="B556" i="1"/>
  <c r="A556" i="1"/>
  <c r="J555" i="1"/>
  <c r="I555" i="1"/>
  <c r="H555" i="1"/>
  <c r="G555" i="1"/>
  <c r="F555" i="1"/>
  <c r="E555" i="1"/>
  <c r="D555" i="1"/>
  <c r="C555" i="1"/>
  <c r="B555" i="1"/>
  <c r="A555" i="1"/>
  <c r="J554" i="1"/>
  <c r="I554" i="1"/>
  <c r="H554" i="1"/>
  <c r="G554" i="1"/>
  <c r="E554" i="1"/>
  <c r="D554" i="1"/>
  <c r="C554" i="1"/>
  <c r="B554" i="1"/>
  <c r="A554" i="1"/>
  <c r="J553" i="1"/>
  <c r="I553" i="1"/>
  <c r="H553" i="1"/>
  <c r="G553" i="1"/>
  <c r="E553" i="1"/>
  <c r="D553" i="1"/>
  <c r="C553" i="1"/>
  <c r="B553" i="1"/>
  <c r="A553" i="1"/>
  <c r="J552" i="1"/>
  <c r="I552" i="1"/>
  <c r="H552" i="1"/>
  <c r="G552" i="1"/>
  <c r="F552" i="1"/>
  <c r="E552" i="1"/>
  <c r="D552" i="1"/>
  <c r="C552" i="1"/>
  <c r="B552" i="1"/>
  <c r="A552" i="1"/>
  <c r="J551" i="1"/>
  <c r="I551" i="1"/>
  <c r="H551" i="1"/>
  <c r="G551" i="1"/>
  <c r="F551" i="1"/>
  <c r="E551" i="1"/>
  <c r="D551" i="1"/>
  <c r="C551" i="1"/>
  <c r="B551" i="1"/>
  <c r="A551" i="1"/>
  <c r="J550" i="1"/>
  <c r="I550" i="1"/>
  <c r="H550" i="1"/>
  <c r="G550" i="1"/>
  <c r="F550" i="1"/>
  <c r="E550" i="1"/>
  <c r="D550" i="1"/>
  <c r="C550" i="1"/>
  <c r="B550" i="1"/>
  <c r="A550" i="1"/>
  <c r="J549" i="1"/>
  <c r="I549" i="1"/>
  <c r="H549" i="1"/>
  <c r="G549" i="1"/>
  <c r="E549" i="1"/>
  <c r="D549" i="1"/>
  <c r="C549" i="1"/>
  <c r="B549" i="1"/>
  <c r="A549" i="1"/>
  <c r="J548" i="1"/>
  <c r="I548" i="1"/>
  <c r="H548" i="1"/>
  <c r="G548" i="1"/>
  <c r="F548" i="1"/>
  <c r="E548" i="1"/>
  <c r="D548" i="1"/>
  <c r="C548" i="1"/>
  <c r="B548" i="1"/>
  <c r="A548" i="1"/>
  <c r="J547" i="1"/>
  <c r="I547" i="1"/>
  <c r="H547" i="1"/>
  <c r="G547" i="1"/>
  <c r="E547" i="1"/>
  <c r="D547" i="1"/>
  <c r="C547" i="1"/>
  <c r="B547" i="1"/>
  <c r="A547" i="1"/>
  <c r="J546" i="1"/>
  <c r="I546" i="1"/>
  <c r="H546" i="1"/>
  <c r="G546" i="1"/>
  <c r="F546" i="1"/>
  <c r="E546" i="1"/>
  <c r="D546" i="1"/>
  <c r="C546" i="1"/>
  <c r="B546" i="1"/>
  <c r="A546" i="1"/>
  <c r="J545" i="1"/>
  <c r="I545" i="1"/>
  <c r="H545" i="1"/>
  <c r="G545" i="1"/>
  <c r="F545" i="1"/>
  <c r="E545" i="1"/>
  <c r="D545" i="1"/>
  <c r="C545" i="1"/>
  <c r="B545" i="1"/>
  <c r="A545" i="1"/>
  <c r="J544" i="1"/>
  <c r="I544" i="1"/>
  <c r="H544" i="1"/>
  <c r="G544" i="1"/>
  <c r="F544" i="1"/>
  <c r="E544" i="1"/>
  <c r="D544" i="1"/>
  <c r="C544" i="1"/>
  <c r="B544" i="1"/>
  <c r="A544" i="1"/>
  <c r="J543" i="1"/>
  <c r="I543" i="1"/>
  <c r="H543" i="1"/>
  <c r="G543" i="1"/>
  <c r="E543" i="1"/>
  <c r="D543" i="1"/>
  <c r="C543" i="1"/>
  <c r="B543" i="1"/>
  <c r="A543" i="1"/>
  <c r="J542" i="1"/>
  <c r="I542" i="1"/>
  <c r="H542" i="1"/>
  <c r="G542" i="1"/>
  <c r="E542" i="1"/>
  <c r="D542" i="1"/>
  <c r="C542" i="1"/>
  <c r="B542" i="1"/>
  <c r="A542" i="1"/>
  <c r="J541" i="1"/>
  <c r="I541" i="1"/>
  <c r="H541" i="1"/>
  <c r="G541" i="1"/>
  <c r="F541" i="1"/>
  <c r="E541" i="1"/>
  <c r="D541" i="1"/>
  <c r="C541" i="1"/>
  <c r="B541" i="1"/>
  <c r="A541" i="1"/>
  <c r="J540" i="1"/>
  <c r="I540" i="1"/>
  <c r="H540" i="1"/>
  <c r="G540" i="1"/>
  <c r="F540" i="1"/>
  <c r="E540" i="1"/>
  <c r="D540" i="1"/>
  <c r="C540" i="1"/>
  <c r="B540" i="1"/>
  <c r="A540" i="1"/>
  <c r="J539" i="1"/>
  <c r="I539" i="1"/>
  <c r="H539" i="1"/>
  <c r="G539" i="1"/>
  <c r="F539" i="1"/>
  <c r="E539" i="1"/>
  <c r="D539" i="1"/>
  <c r="C539" i="1"/>
  <c r="B539" i="1"/>
  <c r="A539" i="1"/>
  <c r="J538" i="1"/>
  <c r="I538" i="1"/>
  <c r="H538" i="1"/>
  <c r="G538" i="1"/>
  <c r="F538" i="1"/>
  <c r="E538" i="1"/>
  <c r="D538" i="1"/>
  <c r="C538" i="1"/>
  <c r="B538" i="1"/>
  <c r="A538" i="1"/>
  <c r="J537" i="1"/>
  <c r="I537" i="1"/>
  <c r="H537" i="1"/>
  <c r="G537" i="1"/>
  <c r="E537" i="1"/>
  <c r="D537" i="1"/>
  <c r="C537" i="1"/>
  <c r="B537" i="1"/>
  <c r="A537" i="1"/>
  <c r="J536" i="1"/>
  <c r="I536" i="1"/>
  <c r="H536" i="1"/>
  <c r="G536" i="1"/>
  <c r="F536" i="1"/>
  <c r="E536" i="1"/>
  <c r="D536" i="1"/>
  <c r="C536" i="1"/>
  <c r="B536" i="1"/>
  <c r="A536" i="1"/>
  <c r="J535" i="1"/>
  <c r="I535" i="1"/>
  <c r="H535" i="1"/>
  <c r="G535" i="1"/>
  <c r="F535" i="1"/>
  <c r="E535" i="1"/>
  <c r="D535" i="1"/>
  <c r="C535" i="1"/>
  <c r="B535" i="1"/>
  <c r="A535" i="1"/>
  <c r="J534" i="1"/>
  <c r="I534" i="1"/>
  <c r="H534" i="1"/>
  <c r="G534" i="1"/>
  <c r="E534" i="1"/>
  <c r="D534" i="1"/>
  <c r="C534" i="1"/>
  <c r="B534" i="1"/>
  <c r="A534" i="1"/>
  <c r="J533" i="1"/>
  <c r="I533" i="1"/>
  <c r="H533" i="1"/>
  <c r="G533" i="1"/>
  <c r="E533" i="1"/>
  <c r="D533" i="1"/>
  <c r="C533" i="1"/>
  <c r="B533" i="1"/>
  <c r="A533" i="1"/>
  <c r="J532" i="1"/>
  <c r="I532" i="1"/>
  <c r="H532" i="1"/>
  <c r="G532" i="1"/>
  <c r="E532" i="1"/>
  <c r="D532" i="1"/>
  <c r="C532" i="1"/>
  <c r="B532" i="1"/>
  <c r="A532" i="1"/>
  <c r="J531" i="1"/>
  <c r="I531" i="1"/>
  <c r="H531" i="1"/>
  <c r="G531" i="1"/>
  <c r="F531" i="1"/>
  <c r="E531" i="1"/>
  <c r="D531" i="1"/>
  <c r="C531" i="1"/>
  <c r="B531" i="1"/>
  <c r="A531" i="1"/>
  <c r="J530" i="1"/>
  <c r="I530" i="1"/>
  <c r="H530" i="1"/>
  <c r="G530" i="1"/>
  <c r="F530" i="1"/>
  <c r="E530" i="1"/>
  <c r="D530" i="1"/>
  <c r="C530" i="1"/>
  <c r="B530" i="1"/>
  <c r="A530" i="1"/>
  <c r="J529" i="1"/>
  <c r="I529" i="1"/>
  <c r="H529" i="1"/>
  <c r="G529" i="1"/>
  <c r="F529" i="1"/>
  <c r="E529" i="1"/>
  <c r="D529" i="1"/>
  <c r="C529" i="1"/>
  <c r="B529" i="1"/>
  <c r="A529" i="1"/>
  <c r="J528" i="1"/>
  <c r="I528" i="1"/>
  <c r="H528" i="1"/>
  <c r="G528" i="1"/>
  <c r="F528" i="1"/>
  <c r="E528" i="1"/>
  <c r="D528" i="1"/>
  <c r="C528" i="1"/>
  <c r="B528" i="1"/>
  <c r="A528" i="1"/>
  <c r="J527" i="1"/>
  <c r="I527" i="1"/>
  <c r="H527" i="1"/>
  <c r="G527" i="1"/>
  <c r="F527" i="1"/>
  <c r="E527" i="1"/>
  <c r="D527" i="1"/>
  <c r="C527" i="1"/>
  <c r="B527" i="1"/>
  <c r="A527" i="1"/>
  <c r="J526" i="1"/>
  <c r="I526" i="1"/>
  <c r="H526" i="1"/>
  <c r="G526" i="1"/>
  <c r="F526" i="1"/>
  <c r="E526" i="1"/>
  <c r="D526" i="1"/>
  <c r="C526" i="1"/>
  <c r="B526" i="1"/>
  <c r="A526" i="1"/>
  <c r="J525" i="1"/>
  <c r="I525" i="1"/>
  <c r="H525" i="1"/>
  <c r="G525" i="1"/>
  <c r="F525" i="1"/>
  <c r="E525" i="1"/>
  <c r="D525" i="1"/>
  <c r="C525" i="1"/>
  <c r="B525" i="1"/>
  <c r="A525" i="1"/>
  <c r="J524" i="1"/>
  <c r="I524" i="1"/>
  <c r="H524" i="1"/>
  <c r="G524" i="1"/>
  <c r="F524" i="1"/>
  <c r="E524" i="1"/>
  <c r="D524" i="1"/>
  <c r="C524" i="1"/>
  <c r="B524" i="1"/>
  <c r="A524" i="1"/>
  <c r="J523" i="1"/>
  <c r="I523" i="1"/>
  <c r="H523" i="1"/>
  <c r="G523" i="1"/>
  <c r="F523" i="1"/>
  <c r="E523" i="1"/>
  <c r="D523" i="1"/>
  <c r="C523" i="1"/>
  <c r="B523" i="1"/>
  <c r="A523" i="1"/>
  <c r="J522" i="1"/>
  <c r="I522" i="1"/>
  <c r="H522" i="1"/>
  <c r="G522" i="1"/>
  <c r="F522" i="1"/>
  <c r="E522" i="1"/>
  <c r="D522" i="1"/>
  <c r="C522" i="1"/>
  <c r="B522" i="1"/>
  <c r="A522" i="1"/>
  <c r="J521" i="1"/>
  <c r="I521" i="1"/>
  <c r="H521" i="1"/>
  <c r="G521" i="1"/>
  <c r="F521" i="1"/>
  <c r="E521" i="1"/>
  <c r="D521" i="1"/>
  <c r="C521" i="1"/>
  <c r="B521" i="1"/>
  <c r="A521" i="1"/>
  <c r="J520" i="1"/>
  <c r="I520" i="1"/>
  <c r="H520" i="1"/>
  <c r="G520" i="1"/>
  <c r="F520" i="1"/>
  <c r="E520" i="1"/>
  <c r="D520" i="1"/>
  <c r="C520" i="1"/>
  <c r="B520" i="1"/>
  <c r="A520" i="1"/>
  <c r="J519" i="1"/>
  <c r="I519" i="1"/>
  <c r="H519" i="1"/>
  <c r="G519" i="1"/>
  <c r="F519" i="1"/>
  <c r="E519" i="1"/>
  <c r="D519" i="1"/>
  <c r="C519" i="1"/>
  <c r="B519" i="1"/>
  <c r="A519" i="1"/>
  <c r="J518" i="1"/>
  <c r="I518" i="1"/>
  <c r="H518" i="1"/>
  <c r="G518" i="1"/>
  <c r="F518" i="1"/>
  <c r="E518" i="1"/>
  <c r="D518" i="1"/>
  <c r="C518" i="1"/>
  <c r="B518" i="1"/>
  <c r="A518" i="1"/>
  <c r="J517" i="1"/>
  <c r="I517" i="1"/>
  <c r="H517" i="1"/>
  <c r="G517" i="1"/>
  <c r="F517" i="1"/>
  <c r="E517" i="1"/>
  <c r="D517" i="1"/>
  <c r="C517" i="1"/>
  <c r="B517" i="1"/>
  <c r="A517" i="1"/>
  <c r="J516" i="1"/>
  <c r="I516" i="1"/>
  <c r="H516" i="1"/>
  <c r="G516" i="1"/>
  <c r="E516" i="1"/>
  <c r="D516" i="1"/>
  <c r="C516" i="1"/>
  <c r="B516" i="1"/>
  <c r="A516" i="1"/>
  <c r="J515" i="1"/>
  <c r="I515" i="1"/>
  <c r="H515" i="1"/>
  <c r="G515" i="1"/>
  <c r="F515" i="1"/>
  <c r="E515" i="1"/>
  <c r="D515" i="1"/>
  <c r="C515" i="1"/>
  <c r="B515" i="1"/>
  <c r="A515" i="1"/>
  <c r="J514" i="1"/>
  <c r="I514" i="1"/>
  <c r="H514" i="1"/>
  <c r="G514" i="1"/>
  <c r="E514" i="1"/>
  <c r="D514" i="1"/>
  <c r="C514" i="1"/>
  <c r="B514" i="1"/>
  <c r="A514" i="1"/>
  <c r="J513" i="1"/>
  <c r="I513" i="1"/>
  <c r="H513" i="1"/>
  <c r="G513" i="1"/>
  <c r="E513" i="1"/>
  <c r="D513" i="1"/>
  <c r="C513" i="1"/>
  <c r="B513" i="1"/>
  <c r="A513" i="1"/>
  <c r="J512" i="1"/>
  <c r="I512" i="1"/>
  <c r="H512" i="1"/>
  <c r="G512" i="1"/>
  <c r="E512" i="1"/>
  <c r="D512" i="1"/>
  <c r="C512" i="1"/>
  <c r="B512" i="1"/>
  <c r="A512" i="1"/>
  <c r="J511" i="1"/>
  <c r="I511" i="1"/>
  <c r="H511" i="1"/>
  <c r="G511" i="1"/>
  <c r="F511" i="1"/>
  <c r="E511" i="1"/>
  <c r="D511" i="1"/>
  <c r="C511" i="1"/>
  <c r="B511" i="1"/>
  <c r="A511" i="1"/>
  <c r="J510" i="1"/>
  <c r="I510" i="1"/>
  <c r="H510" i="1"/>
  <c r="G510" i="1"/>
  <c r="E510" i="1"/>
  <c r="D510" i="1"/>
  <c r="C510" i="1"/>
  <c r="B510" i="1"/>
  <c r="A510" i="1"/>
  <c r="J509" i="1"/>
  <c r="I509" i="1"/>
  <c r="H509" i="1"/>
  <c r="G509" i="1"/>
  <c r="E509" i="1"/>
  <c r="D509" i="1"/>
  <c r="C509" i="1"/>
  <c r="B509" i="1"/>
  <c r="A509" i="1"/>
  <c r="J508" i="1"/>
  <c r="I508" i="1"/>
  <c r="H508" i="1"/>
  <c r="G508" i="1"/>
  <c r="E508" i="1"/>
  <c r="D508" i="1"/>
  <c r="C508" i="1"/>
  <c r="B508" i="1"/>
  <c r="A508" i="1"/>
  <c r="J507" i="1"/>
  <c r="I507" i="1"/>
  <c r="H507" i="1"/>
  <c r="G507" i="1"/>
  <c r="E507" i="1"/>
  <c r="D507" i="1"/>
  <c r="C507" i="1"/>
  <c r="B507" i="1"/>
  <c r="A507" i="1"/>
  <c r="J506" i="1"/>
  <c r="I506" i="1"/>
  <c r="H506" i="1"/>
  <c r="G506" i="1"/>
  <c r="F506" i="1"/>
  <c r="E506" i="1"/>
  <c r="D506" i="1"/>
  <c r="C506" i="1"/>
  <c r="B506" i="1"/>
  <c r="A506" i="1"/>
  <c r="J505" i="1"/>
  <c r="I505" i="1"/>
  <c r="H505" i="1"/>
  <c r="G505" i="1"/>
  <c r="F505" i="1"/>
  <c r="E505" i="1"/>
  <c r="D505" i="1"/>
  <c r="C505" i="1"/>
  <c r="B505" i="1"/>
  <c r="A505" i="1"/>
  <c r="J504" i="1"/>
  <c r="I504" i="1"/>
  <c r="H504" i="1"/>
  <c r="G504" i="1"/>
  <c r="F504" i="1"/>
  <c r="E504" i="1"/>
  <c r="D504" i="1"/>
  <c r="C504" i="1"/>
  <c r="B504" i="1"/>
  <c r="A504" i="1"/>
  <c r="J503" i="1"/>
  <c r="I503" i="1"/>
  <c r="H503" i="1"/>
  <c r="G503" i="1"/>
  <c r="F503" i="1"/>
  <c r="E503" i="1"/>
  <c r="D503" i="1"/>
  <c r="C503" i="1"/>
  <c r="B503" i="1"/>
  <c r="A503" i="1"/>
  <c r="J502" i="1"/>
  <c r="I502" i="1"/>
  <c r="H502" i="1"/>
  <c r="G502" i="1"/>
  <c r="E502" i="1"/>
  <c r="D502" i="1"/>
  <c r="C502" i="1"/>
  <c r="B502" i="1"/>
  <c r="A502" i="1"/>
  <c r="J501" i="1"/>
  <c r="I501" i="1"/>
  <c r="H501" i="1"/>
  <c r="G501" i="1"/>
  <c r="E501" i="1"/>
  <c r="D501" i="1"/>
  <c r="C501" i="1"/>
  <c r="B501" i="1"/>
  <c r="A501" i="1"/>
  <c r="J500" i="1"/>
  <c r="I500" i="1"/>
  <c r="H500" i="1"/>
  <c r="G500" i="1"/>
  <c r="E500" i="1"/>
  <c r="D500" i="1"/>
  <c r="C500" i="1"/>
  <c r="B500" i="1"/>
  <c r="A500" i="1"/>
  <c r="J499" i="1"/>
  <c r="I499" i="1"/>
  <c r="H499" i="1"/>
  <c r="G499" i="1"/>
  <c r="F499" i="1"/>
  <c r="E499" i="1"/>
  <c r="D499" i="1"/>
  <c r="C499" i="1"/>
  <c r="B499" i="1"/>
  <c r="A499" i="1"/>
  <c r="J498" i="1"/>
  <c r="I498" i="1"/>
  <c r="H498" i="1"/>
  <c r="G498" i="1"/>
  <c r="E498" i="1"/>
  <c r="D498" i="1"/>
  <c r="C498" i="1"/>
  <c r="B498" i="1"/>
  <c r="A498" i="1"/>
  <c r="J497" i="1"/>
  <c r="I497" i="1"/>
  <c r="H497" i="1"/>
  <c r="G497" i="1"/>
  <c r="E497" i="1"/>
  <c r="D497" i="1"/>
  <c r="C497" i="1"/>
  <c r="B497" i="1"/>
  <c r="A497" i="1"/>
  <c r="J496" i="1"/>
  <c r="I496" i="1"/>
  <c r="H496" i="1"/>
  <c r="G496" i="1"/>
  <c r="F496" i="1"/>
  <c r="E496" i="1"/>
  <c r="D496" i="1"/>
  <c r="C496" i="1"/>
  <c r="B496" i="1"/>
  <c r="A496" i="1"/>
  <c r="J495" i="1"/>
  <c r="I495" i="1"/>
  <c r="H495" i="1"/>
  <c r="G495" i="1"/>
  <c r="E495" i="1"/>
  <c r="D495" i="1"/>
  <c r="C495" i="1"/>
  <c r="B495" i="1"/>
  <c r="A495" i="1"/>
  <c r="J494" i="1"/>
  <c r="I494" i="1"/>
  <c r="H494" i="1"/>
  <c r="G494" i="1"/>
  <c r="F494" i="1"/>
  <c r="E494" i="1"/>
  <c r="D494" i="1"/>
  <c r="C494" i="1"/>
  <c r="B494" i="1"/>
  <c r="A494" i="1"/>
  <c r="J493" i="1"/>
  <c r="I493" i="1"/>
  <c r="H493" i="1"/>
  <c r="G493" i="1"/>
  <c r="F493" i="1"/>
  <c r="E493" i="1"/>
  <c r="D493" i="1"/>
  <c r="C493" i="1"/>
  <c r="B493" i="1"/>
  <c r="A493" i="1"/>
  <c r="J492" i="1"/>
  <c r="I492" i="1"/>
  <c r="H492" i="1"/>
  <c r="G492" i="1"/>
  <c r="E492" i="1"/>
  <c r="D492" i="1"/>
  <c r="C492" i="1"/>
  <c r="B492" i="1"/>
  <c r="A492" i="1"/>
  <c r="J491" i="1"/>
  <c r="I491" i="1"/>
  <c r="H491" i="1"/>
  <c r="G491" i="1"/>
  <c r="F491" i="1"/>
  <c r="E491" i="1"/>
  <c r="D491" i="1"/>
  <c r="C491" i="1"/>
  <c r="B491" i="1"/>
  <c r="A491" i="1"/>
  <c r="J490" i="1"/>
  <c r="I490" i="1"/>
  <c r="H490" i="1"/>
  <c r="G490" i="1"/>
  <c r="F490" i="1"/>
  <c r="E490" i="1"/>
  <c r="D490" i="1"/>
  <c r="C490" i="1"/>
  <c r="B490" i="1"/>
  <c r="A490" i="1"/>
  <c r="J489" i="1"/>
  <c r="I489" i="1"/>
  <c r="H489" i="1"/>
  <c r="G489" i="1"/>
  <c r="F489" i="1"/>
  <c r="E489" i="1"/>
  <c r="D489" i="1"/>
  <c r="C489" i="1"/>
  <c r="B489" i="1"/>
  <c r="A489" i="1"/>
  <c r="J488" i="1"/>
  <c r="I488" i="1"/>
  <c r="H488" i="1"/>
  <c r="G488" i="1"/>
  <c r="F488" i="1"/>
  <c r="E488" i="1"/>
  <c r="D488" i="1"/>
  <c r="C488" i="1"/>
  <c r="B488" i="1"/>
  <c r="A488" i="1"/>
  <c r="J487" i="1"/>
  <c r="I487" i="1"/>
  <c r="H487" i="1"/>
  <c r="G487" i="1"/>
  <c r="F487" i="1"/>
  <c r="E487" i="1"/>
  <c r="D487" i="1"/>
  <c r="C487" i="1"/>
  <c r="B487" i="1"/>
  <c r="A487" i="1"/>
  <c r="J486" i="1"/>
  <c r="I486" i="1"/>
  <c r="H486" i="1"/>
  <c r="G486" i="1"/>
  <c r="F486" i="1"/>
  <c r="E486" i="1"/>
  <c r="D486" i="1"/>
  <c r="C486" i="1"/>
  <c r="B486" i="1"/>
  <c r="A486" i="1"/>
  <c r="J485" i="1"/>
  <c r="I485" i="1"/>
  <c r="H485" i="1"/>
  <c r="G485" i="1"/>
  <c r="E485" i="1"/>
  <c r="D485" i="1"/>
  <c r="C485" i="1"/>
  <c r="B485" i="1"/>
  <c r="A485" i="1"/>
  <c r="J484" i="1"/>
  <c r="I484" i="1"/>
  <c r="H484" i="1"/>
  <c r="G484" i="1"/>
  <c r="F484" i="1"/>
  <c r="E484" i="1"/>
  <c r="D484" i="1"/>
  <c r="C484" i="1"/>
  <c r="B484" i="1"/>
  <c r="A484" i="1"/>
  <c r="J483" i="1"/>
  <c r="I483" i="1"/>
  <c r="H483" i="1"/>
  <c r="G483" i="1"/>
  <c r="F483" i="1"/>
  <c r="E483" i="1"/>
  <c r="D483" i="1"/>
  <c r="C483" i="1"/>
  <c r="B483" i="1"/>
  <c r="A483" i="1"/>
  <c r="J482" i="1"/>
  <c r="I482" i="1"/>
  <c r="H482" i="1"/>
  <c r="G482" i="1"/>
  <c r="E482" i="1"/>
  <c r="D482" i="1"/>
  <c r="C482" i="1"/>
  <c r="B482" i="1"/>
  <c r="A482" i="1"/>
  <c r="J481" i="1"/>
  <c r="I481" i="1"/>
  <c r="H481" i="1"/>
  <c r="G481" i="1"/>
  <c r="F481" i="1"/>
  <c r="E481" i="1"/>
  <c r="D481" i="1"/>
  <c r="C481" i="1"/>
  <c r="B481" i="1"/>
  <c r="A481" i="1"/>
  <c r="J480" i="1"/>
  <c r="I480" i="1"/>
  <c r="H480" i="1"/>
  <c r="G480" i="1"/>
  <c r="F480" i="1"/>
  <c r="E480" i="1"/>
  <c r="D480" i="1"/>
  <c r="C480" i="1"/>
  <c r="B480" i="1"/>
  <c r="A480" i="1"/>
  <c r="J479" i="1"/>
  <c r="I479" i="1"/>
  <c r="H479" i="1"/>
  <c r="G479" i="1"/>
  <c r="F479" i="1"/>
  <c r="E479" i="1"/>
  <c r="D479" i="1"/>
  <c r="C479" i="1"/>
  <c r="B479" i="1"/>
  <c r="A479" i="1"/>
  <c r="J478" i="1"/>
  <c r="I478" i="1"/>
  <c r="H478" i="1"/>
  <c r="G478" i="1"/>
  <c r="F478" i="1"/>
  <c r="E478" i="1"/>
  <c r="D478" i="1"/>
  <c r="C478" i="1"/>
  <c r="B478" i="1"/>
  <c r="A478" i="1"/>
  <c r="J477" i="1"/>
  <c r="I477" i="1"/>
  <c r="H477" i="1"/>
  <c r="G477" i="1"/>
  <c r="F477" i="1"/>
  <c r="E477" i="1"/>
  <c r="D477" i="1"/>
  <c r="C477" i="1"/>
  <c r="B477" i="1"/>
  <c r="A477" i="1"/>
  <c r="J476" i="1"/>
  <c r="I476" i="1"/>
  <c r="H476" i="1"/>
  <c r="G476" i="1"/>
  <c r="F476" i="1"/>
  <c r="E476" i="1"/>
  <c r="D476" i="1"/>
  <c r="C476" i="1"/>
  <c r="B476" i="1"/>
  <c r="A476" i="1"/>
  <c r="J475" i="1"/>
  <c r="I475" i="1"/>
  <c r="H475" i="1"/>
  <c r="G475" i="1"/>
  <c r="F475" i="1"/>
  <c r="E475" i="1"/>
  <c r="D475" i="1"/>
  <c r="C475" i="1"/>
  <c r="B475" i="1"/>
  <c r="A475" i="1"/>
  <c r="J474" i="1"/>
  <c r="I474" i="1"/>
  <c r="H474" i="1"/>
  <c r="G474" i="1"/>
  <c r="F474" i="1"/>
  <c r="E474" i="1"/>
  <c r="D474" i="1"/>
  <c r="C474" i="1"/>
  <c r="B474" i="1"/>
  <c r="A474" i="1"/>
  <c r="J473" i="1"/>
  <c r="I473" i="1"/>
  <c r="H473" i="1"/>
  <c r="G473" i="1"/>
  <c r="E473" i="1"/>
  <c r="D473" i="1"/>
  <c r="C473" i="1"/>
  <c r="B473" i="1"/>
  <c r="A473" i="1"/>
  <c r="J472" i="1"/>
  <c r="I472" i="1"/>
  <c r="H472" i="1"/>
  <c r="G472" i="1"/>
  <c r="F472" i="1"/>
  <c r="E472" i="1"/>
  <c r="D472" i="1"/>
  <c r="C472" i="1"/>
  <c r="B472" i="1"/>
  <c r="A472" i="1"/>
  <c r="J471" i="1"/>
  <c r="I471" i="1"/>
  <c r="H471" i="1"/>
  <c r="G471" i="1"/>
  <c r="E471" i="1"/>
  <c r="D471" i="1"/>
  <c r="C471" i="1"/>
  <c r="B471" i="1"/>
  <c r="A471" i="1"/>
  <c r="J470" i="1"/>
  <c r="I470" i="1"/>
  <c r="H470" i="1"/>
  <c r="G470" i="1"/>
  <c r="E470" i="1"/>
  <c r="D470" i="1"/>
  <c r="C470" i="1"/>
  <c r="B470" i="1"/>
  <c r="A470" i="1"/>
  <c r="J469" i="1"/>
  <c r="I469" i="1"/>
  <c r="H469" i="1"/>
  <c r="G469" i="1"/>
  <c r="F469" i="1"/>
  <c r="E469" i="1"/>
  <c r="D469" i="1"/>
  <c r="C469" i="1"/>
  <c r="B469" i="1"/>
  <c r="A469" i="1"/>
  <c r="J468" i="1"/>
  <c r="I468" i="1"/>
  <c r="H468" i="1"/>
  <c r="G468" i="1"/>
  <c r="F468" i="1"/>
  <c r="E468" i="1"/>
  <c r="D468" i="1"/>
  <c r="C468" i="1"/>
  <c r="B468" i="1"/>
  <c r="A468" i="1"/>
  <c r="J467" i="1"/>
  <c r="I467" i="1"/>
  <c r="H467" i="1"/>
  <c r="G467" i="1"/>
  <c r="F467" i="1"/>
  <c r="E467" i="1"/>
  <c r="D467" i="1"/>
  <c r="C467" i="1"/>
  <c r="B467" i="1"/>
  <c r="A467" i="1"/>
  <c r="J466" i="1"/>
  <c r="I466" i="1"/>
  <c r="H466" i="1"/>
  <c r="G466" i="1"/>
  <c r="E466" i="1"/>
  <c r="D466" i="1"/>
  <c r="C466" i="1"/>
  <c r="B466" i="1"/>
  <c r="A466" i="1"/>
  <c r="J465" i="1"/>
  <c r="I465" i="1"/>
  <c r="H465" i="1"/>
  <c r="G465" i="1"/>
  <c r="F465" i="1"/>
  <c r="E465" i="1"/>
  <c r="D465" i="1"/>
  <c r="C465" i="1"/>
  <c r="B465" i="1"/>
  <c r="A465" i="1"/>
  <c r="J464" i="1"/>
  <c r="I464" i="1"/>
  <c r="H464" i="1"/>
  <c r="G464" i="1"/>
  <c r="F464" i="1"/>
  <c r="E464" i="1"/>
  <c r="D464" i="1"/>
  <c r="C464" i="1"/>
  <c r="B464" i="1"/>
  <c r="A464" i="1"/>
  <c r="J463" i="1"/>
  <c r="I463" i="1"/>
  <c r="H463" i="1"/>
  <c r="G463" i="1"/>
  <c r="F463" i="1"/>
  <c r="E463" i="1"/>
  <c r="D463" i="1"/>
  <c r="C463" i="1"/>
  <c r="B463" i="1"/>
  <c r="A463" i="1"/>
  <c r="J462" i="1"/>
  <c r="I462" i="1"/>
  <c r="H462" i="1"/>
  <c r="G462" i="1"/>
  <c r="F462" i="1"/>
  <c r="E462" i="1"/>
  <c r="D462" i="1"/>
  <c r="C462" i="1"/>
  <c r="B462" i="1"/>
  <c r="A462" i="1"/>
  <c r="J461" i="1"/>
  <c r="I461" i="1"/>
  <c r="H461" i="1"/>
  <c r="G461" i="1"/>
  <c r="F461" i="1"/>
  <c r="E461" i="1"/>
  <c r="D461" i="1"/>
  <c r="C461" i="1"/>
  <c r="B461" i="1"/>
  <c r="A461" i="1"/>
  <c r="J460" i="1"/>
  <c r="I460" i="1"/>
  <c r="H460" i="1"/>
  <c r="G460" i="1"/>
  <c r="F460" i="1"/>
  <c r="E460" i="1"/>
  <c r="D460" i="1"/>
  <c r="C460" i="1"/>
  <c r="B460" i="1"/>
  <c r="A460" i="1"/>
  <c r="J459" i="1"/>
  <c r="I459" i="1"/>
  <c r="H459" i="1"/>
  <c r="G459" i="1"/>
  <c r="F459" i="1"/>
  <c r="E459" i="1"/>
  <c r="D459" i="1"/>
  <c r="C459" i="1"/>
  <c r="B459" i="1"/>
  <c r="A459" i="1"/>
  <c r="J458" i="1"/>
  <c r="I458" i="1"/>
  <c r="H458" i="1"/>
  <c r="G458" i="1"/>
  <c r="F458" i="1"/>
  <c r="E458" i="1"/>
  <c r="D458" i="1"/>
  <c r="C458" i="1"/>
  <c r="B458" i="1"/>
  <c r="A458" i="1"/>
  <c r="J457" i="1"/>
  <c r="I457" i="1"/>
  <c r="H457" i="1"/>
  <c r="G457" i="1"/>
  <c r="E457" i="1"/>
  <c r="D457" i="1"/>
  <c r="C457" i="1"/>
  <c r="B457" i="1"/>
  <c r="A457" i="1"/>
  <c r="J456" i="1"/>
  <c r="I456" i="1"/>
  <c r="H456" i="1"/>
  <c r="G456" i="1"/>
  <c r="E456" i="1"/>
  <c r="D456" i="1"/>
  <c r="C456" i="1"/>
  <c r="B456" i="1"/>
  <c r="A456" i="1"/>
  <c r="J455" i="1"/>
  <c r="I455" i="1"/>
  <c r="H455" i="1"/>
  <c r="G455" i="1"/>
  <c r="E455" i="1"/>
  <c r="D455" i="1"/>
  <c r="C455" i="1"/>
  <c r="B455" i="1"/>
  <c r="A455" i="1"/>
  <c r="J454" i="1"/>
  <c r="I454" i="1"/>
  <c r="H454" i="1"/>
  <c r="G454" i="1"/>
  <c r="F454" i="1"/>
  <c r="E454" i="1"/>
  <c r="D454" i="1"/>
  <c r="C454" i="1"/>
  <c r="B454" i="1"/>
  <c r="A454" i="1"/>
  <c r="J453" i="1"/>
  <c r="I453" i="1"/>
  <c r="H453" i="1"/>
  <c r="G453" i="1"/>
  <c r="F453" i="1"/>
  <c r="E453" i="1"/>
  <c r="D453" i="1"/>
  <c r="C453" i="1"/>
  <c r="B453" i="1"/>
  <c r="A453" i="1"/>
  <c r="J452" i="1"/>
  <c r="I452" i="1"/>
  <c r="H452" i="1"/>
  <c r="G452" i="1"/>
  <c r="F452" i="1"/>
  <c r="E452" i="1"/>
  <c r="D452" i="1"/>
  <c r="C452" i="1"/>
  <c r="B452" i="1"/>
  <c r="A452" i="1"/>
  <c r="J451" i="1"/>
  <c r="I451" i="1"/>
  <c r="H451" i="1"/>
  <c r="G451" i="1"/>
  <c r="F451" i="1"/>
  <c r="E451" i="1"/>
  <c r="D451" i="1"/>
  <c r="C451" i="1"/>
  <c r="B451" i="1"/>
  <c r="A451" i="1"/>
  <c r="J450" i="1"/>
  <c r="I450" i="1"/>
  <c r="H450" i="1"/>
  <c r="G450" i="1"/>
  <c r="F450" i="1"/>
  <c r="E450" i="1"/>
  <c r="D450" i="1"/>
  <c r="C450" i="1"/>
  <c r="B450" i="1"/>
  <c r="A450" i="1"/>
  <c r="J449" i="1"/>
  <c r="I449" i="1"/>
  <c r="H449" i="1"/>
  <c r="G449" i="1"/>
  <c r="E449" i="1"/>
  <c r="D449" i="1"/>
  <c r="C449" i="1"/>
  <c r="B449" i="1"/>
  <c r="A449" i="1"/>
  <c r="J448" i="1"/>
  <c r="I448" i="1"/>
  <c r="H448" i="1"/>
  <c r="G448" i="1"/>
  <c r="E448" i="1"/>
  <c r="D448" i="1"/>
  <c r="C448" i="1"/>
  <c r="B448" i="1"/>
  <c r="A448" i="1"/>
  <c r="J447" i="1"/>
  <c r="I447" i="1"/>
  <c r="H447" i="1"/>
  <c r="G447" i="1"/>
  <c r="E447" i="1"/>
  <c r="D447" i="1"/>
  <c r="C447" i="1"/>
  <c r="B447" i="1"/>
  <c r="A447" i="1"/>
  <c r="J446" i="1"/>
  <c r="I446" i="1"/>
  <c r="H446" i="1"/>
  <c r="G446" i="1"/>
  <c r="F446" i="1"/>
  <c r="E446" i="1"/>
  <c r="D446" i="1"/>
  <c r="C446" i="1"/>
  <c r="B446" i="1"/>
  <c r="A446" i="1"/>
  <c r="J445" i="1"/>
  <c r="I445" i="1"/>
  <c r="H445" i="1"/>
  <c r="G445" i="1"/>
  <c r="F445" i="1"/>
  <c r="E445" i="1"/>
  <c r="D445" i="1"/>
  <c r="C445" i="1"/>
  <c r="B445" i="1"/>
  <c r="A445" i="1"/>
  <c r="J444" i="1"/>
  <c r="I444" i="1"/>
  <c r="H444" i="1"/>
  <c r="G444" i="1"/>
  <c r="E444" i="1"/>
  <c r="D444" i="1"/>
  <c r="C444" i="1"/>
  <c r="B444" i="1"/>
  <c r="A444" i="1"/>
  <c r="J443" i="1"/>
  <c r="I443" i="1"/>
  <c r="H443" i="1"/>
  <c r="G443" i="1"/>
  <c r="E443" i="1"/>
  <c r="D443" i="1"/>
  <c r="C443" i="1"/>
  <c r="B443" i="1"/>
  <c r="A443" i="1"/>
  <c r="J442" i="1"/>
  <c r="I442" i="1"/>
  <c r="H442" i="1"/>
  <c r="G442" i="1"/>
  <c r="E442" i="1"/>
  <c r="D442" i="1"/>
  <c r="C442" i="1"/>
  <c r="B442" i="1"/>
  <c r="A442" i="1"/>
  <c r="J441" i="1"/>
  <c r="I441" i="1"/>
  <c r="H441" i="1"/>
  <c r="G441" i="1"/>
  <c r="E441" i="1"/>
  <c r="D441" i="1"/>
  <c r="C441" i="1"/>
  <c r="B441" i="1"/>
  <c r="A441" i="1"/>
  <c r="J440" i="1"/>
  <c r="I440" i="1"/>
  <c r="H440" i="1"/>
  <c r="G440" i="1"/>
  <c r="E440" i="1"/>
  <c r="D440" i="1"/>
  <c r="C440" i="1"/>
  <c r="B440" i="1"/>
  <c r="A440" i="1"/>
  <c r="J439" i="1"/>
  <c r="I439" i="1"/>
  <c r="H439" i="1"/>
  <c r="G439" i="1"/>
  <c r="E439" i="1"/>
  <c r="D439" i="1"/>
  <c r="C439" i="1"/>
  <c r="B439" i="1"/>
  <c r="A439" i="1"/>
  <c r="J438" i="1"/>
  <c r="I438" i="1"/>
  <c r="H438" i="1"/>
  <c r="G438" i="1"/>
  <c r="E438" i="1"/>
  <c r="D438" i="1"/>
  <c r="C438" i="1"/>
  <c r="B438" i="1"/>
  <c r="A438" i="1"/>
  <c r="J437" i="1"/>
  <c r="I437" i="1"/>
  <c r="H437" i="1"/>
  <c r="G437" i="1"/>
  <c r="E437" i="1"/>
  <c r="D437" i="1"/>
  <c r="C437" i="1"/>
  <c r="B437" i="1"/>
  <c r="A437" i="1"/>
  <c r="J436" i="1"/>
  <c r="I436" i="1"/>
  <c r="H436" i="1"/>
  <c r="G436" i="1"/>
  <c r="F436" i="1"/>
  <c r="E436" i="1"/>
  <c r="D436" i="1"/>
  <c r="C436" i="1"/>
  <c r="B436" i="1"/>
  <c r="A436" i="1"/>
  <c r="J435" i="1"/>
  <c r="I435" i="1"/>
  <c r="H435" i="1"/>
  <c r="G435" i="1"/>
  <c r="E435" i="1"/>
  <c r="D435" i="1"/>
  <c r="C435" i="1"/>
  <c r="B435" i="1"/>
  <c r="A435" i="1"/>
  <c r="J434" i="1"/>
  <c r="I434" i="1"/>
  <c r="H434" i="1"/>
  <c r="G434" i="1"/>
  <c r="E434" i="1"/>
  <c r="D434" i="1"/>
  <c r="C434" i="1"/>
  <c r="B434" i="1"/>
  <c r="A434" i="1"/>
  <c r="J433" i="1"/>
  <c r="I433" i="1"/>
  <c r="H433" i="1"/>
  <c r="G433" i="1"/>
  <c r="F433" i="1"/>
  <c r="E433" i="1"/>
  <c r="D433" i="1"/>
  <c r="C433" i="1"/>
  <c r="B433" i="1"/>
  <c r="A433" i="1"/>
  <c r="J432" i="1"/>
  <c r="I432" i="1"/>
  <c r="H432" i="1"/>
  <c r="G432" i="1"/>
  <c r="F432" i="1"/>
  <c r="E432" i="1"/>
  <c r="D432" i="1"/>
  <c r="C432" i="1"/>
  <c r="B432" i="1"/>
  <c r="A432" i="1"/>
  <c r="J431" i="1"/>
  <c r="I431" i="1"/>
  <c r="H431" i="1"/>
  <c r="G431" i="1"/>
  <c r="F431" i="1"/>
  <c r="E431" i="1"/>
  <c r="D431" i="1"/>
  <c r="C431" i="1"/>
  <c r="B431" i="1"/>
  <c r="A431" i="1"/>
  <c r="J430" i="1"/>
  <c r="I430" i="1"/>
  <c r="H430" i="1"/>
  <c r="G430" i="1"/>
  <c r="F430" i="1"/>
  <c r="E430" i="1"/>
  <c r="D430" i="1"/>
  <c r="C430" i="1"/>
  <c r="B430" i="1"/>
  <c r="A430" i="1"/>
  <c r="J429" i="1"/>
  <c r="I429" i="1"/>
  <c r="H429" i="1"/>
  <c r="G429" i="1"/>
  <c r="E429" i="1"/>
  <c r="D429" i="1"/>
  <c r="C429" i="1"/>
  <c r="B429" i="1"/>
  <c r="A429" i="1"/>
  <c r="J428" i="1"/>
  <c r="I428" i="1"/>
  <c r="H428" i="1"/>
  <c r="G428" i="1"/>
  <c r="E428" i="1"/>
  <c r="D428" i="1"/>
  <c r="C428" i="1"/>
  <c r="B428" i="1"/>
  <c r="A428" i="1"/>
  <c r="J427" i="1"/>
  <c r="I427" i="1"/>
  <c r="H427" i="1"/>
  <c r="G427" i="1"/>
  <c r="E427" i="1"/>
  <c r="D427" i="1"/>
  <c r="C427" i="1"/>
  <c r="B427" i="1"/>
  <c r="A427" i="1"/>
  <c r="J426" i="1"/>
  <c r="I426" i="1"/>
  <c r="H426" i="1"/>
  <c r="G426" i="1"/>
  <c r="E426" i="1"/>
  <c r="D426" i="1"/>
  <c r="C426" i="1"/>
  <c r="B426" i="1"/>
  <c r="A426" i="1"/>
  <c r="J425" i="1"/>
  <c r="I425" i="1"/>
  <c r="H425" i="1"/>
  <c r="G425" i="1"/>
  <c r="E425" i="1"/>
  <c r="D425" i="1"/>
  <c r="C425" i="1"/>
  <c r="B425" i="1"/>
  <c r="A425" i="1"/>
  <c r="J424" i="1"/>
  <c r="I424" i="1"/>
  <c r="H424" i="1"/>
  <c r="G424" i="1"/>
  <c r="E424" i="1"/>
  <c r="D424" i="1"/>
  <c r="C424" i="1"/>
  <c r="B424" i="1"/>
  <c r="A424" i="1"/>
  <c r="J423" i="1"/>
  <c r="I423" i="1"/>
  <c r="H423" i="1"/>
  <c r="G423" i="1"/>
  <c r="E423" i="1"/>
  <c r="D423" i="1"/>
  <c r="C423" i="1"/>
  <c r="B423" i="1"/>
  <c r="A423" i="1"/>
  <c r="J422" i="1"/>
  <c r="I422" i="1"/>
  <c r="H422" i="1"/>
  <c r="G422" i="1"/>
  <c r="E422" i="1"/>
  <c r="D422" i="1"/>
  <c r="C422" i="1"/>
  <c r="B422" i="1"/>
  <c r="A422" i="1"/>
  <c r="J421" i="1"/>
  <c r="I421" i="1"/>
  <c r="H421" i="1"/>
  <c r="G421" i="1"/>
  <c r="F421" i="1"/>
  <c r="E421" i="1"/>
  <c r="D421" i="1"/>
  <c r="C421" i="1"/>
  <c r="B421" i="1"/>
  <c r="A421" i="1"/>
  <c r="J420" i="1"/>
  <c r="I420" i="1"/>
  <c r="H420" i="1"/>
  <c r="G420" i="1"/>
  <c r="F420" i="1"/>
  <c r="E420" i="1"/>
  <c r="D420" i="1"/>
  <c r="C420" i="1"/>
  <c r="B420" i="1"/>
  <c r="A420" i="1"/>
  <c r="J419" i="1"/>
  <c r="I419" i="1"/>
  <c r="H419" i="1"/>
  <c r="G419" i="1"/>
  <c r="E419" i="1"/>
  <c r="D419" i="1"/>
  <c r="C419" i="1"/>
  <c r="B419" i="1"/>
  <c r="A419" i="1"/>
  <c r="J418" i="1"/>
  <c r="I418" i="1"/>
  <c r="H418" i="1"/>
  <c r="G418" i="1"/>
  <c r="F418" i="1"/>
  <c r="E418" i="1"/>
  <c r="D418" i="1"/>
  <c r="C418" i="1"/>
  <c r="B418" i="1"/>
  <c r="A418" i="1"/>
  <c r="J417" i="1"/>
  <c r="I417" i="1"/>
  <c r="H417" i="1"/>
  <c r="G417" i="1"/>
  <c r="F417" i="1"/>
  <c r="E417" i="1"/>
  <c r="D417" i="1"/>
  <c r="C417" i="1"/>
  <c r="B417" i="1"/>
  <c r="A417" i="1"/>
  <c r="J416" i="1"/>
  <c r="I416" i="1"/>
  <c r="H416" i="1"/>
  <c r="G416" i="1"/>
  <c r="F416" i="1"/>
  <c r="E416" i="1"/>
  <c r="D416" i="1"/>
  <c r="C416" i="1"/>
  <c r="B416" i="1"/>
  <c r="A416" i="1"/>
  <c r="J415" i="1"/>
  <c r="I415" i="1"/>
  <c r="H415" i="1"/>
  <c r="G415" i="1"/>
  <c r="E415" i="1"/>
  <c r="D415" i="1"/>
  <c r="C415" i="1"/>
  <c r="B415" i="1"/>
  <c r="A415" i="1"/>
  <c r="J414" i="1"/>
  <c r="I414" i="1"/>
  <c r="H414" i="1"/>
  <c r="G414" i="1"/>
  <c r="F414" i="1"/>
  <c r="E414" i="1"/>
  <c r="D414" i="1"/>
  <c r="C414" i="1"/>
  <c r="B414" i="1"/>
  <c r="A414" i="1"/>
  <c r="J413" i="1"/>
  <c r="I413" i="1"/>
  <c r="H413" i="1"/>
  <c r="G413" i="1"/>
  <c r="F413" i="1"/>
  <c r="E413" i="1"/>
  <c r="D413" i="1"/>
  <c r="C413" i="1"/>
  <c r="B413" i="1"/>
  <c r="A413" i="1"/>
  <c r="J412" i="1"/>
  <c r="I412" i="1"/>
  <c r="H412" i="1"/>
  <c r="G412" i="1"/>
  <c r="E412" i="1"/>
  <c r="D412" i="1"/>
  <c r="C412" i="1"/>
  <c r="B412" i="1"/>
  <c r="A412" i="1"/>
  <c r="J411" i="1"/>
  <c r="I411" i="1"/>
  <c r="H411" i="1"/>
  <c r="G411" i="1"/>
  <c r="F411" i="1"/>
  <c r="E411" i="1"/>
  <c r="D411" i="1"/>
  <c r="C411" i="1"/>
  <c r="B411" i="1"/>
  <c r="A411" i="1"/>
  <c r="J410" i="1"/>
  <c r="I410" i="1"/>
  <c r="H410" i="1"/>
  <c r="G410" i="1"/>
  <c r="F410" i="1"/>
  <c r="E410" i="1"/>
  <c r="D410" i="1"/>
  <c r="C410" i="1"/>
  <c r="B410" i="1"/>
  <c r="A410" i="1"/>
  <c r="J409" i="1"/>
  <c r="I409" i="1"/>
  <c r="H409" i="1"/>
  <c r="G409" i="1"/>
  <c r="E409" i="1"/>
  <c r="D409" i="1"/>
  <c r="C409" i="1"/>
  <c r="B409" i="1"/>
  <c r="A409" i="1"/>
  <c r="J408" i="1"/>
  <c r="I408" i="1"/>
  <c r="H408" i="1"/>
  <c r="G408" i="1"/>
  <c r="E408" i="1"/>
  <c r="D408" i="1"/>
  <c r="C408" i="1"/>
  <c r="B408" i="1"/>
  <c r="A408" i="1"/>
  <c r="J407" i="1"/>
  <c r="I407" i="1"/>
  <c r="H407" i="1"/>
  <c r="G407" i="1"/>
  <c r="E407" i="1"/>
  <c r="D407" i="1"/>
  <c r="C407" i="1"/>
  <c r="B407" i="1"/>
  <c r="A407" i="1"/>
  <c r="J406" i="1"/>
  <c r="I406" i="1"/>
  <c r="H406" i="1"/>
  <c r="G406" i="1"/>
  <c r="F406" i="1"/>
  <c r="E406" i="1"/>
  <c r="D406" i="1"/>
  <c r="C406" i="1"/>
  <c r="B406" i="1"/>
  <c r="A406" i="1"/>
  <c r="J405" i="1"/>
  <c r="I405" i="1"/>
  <c r="H405" i="1"/>
  <c r="G405" i="1"/>
  <c r="E405" i="1"/>
  <c r="D405" i="1"/>
  <c r="C405" i="1"/>
  <c r="B405" i="1"/>
  <c r="A405" i="1"/>
  <c r="J404" i="1"/>
  <c r="I404" i="1"/>
  <c r="H404" i="1"/>
  <c r="G404" i="1"/>
  <c r="F404" i="1"/>
  <c r="E404" i="1"/>
  <c r="D404" i="1"/>
  <c r="C404" i="1"/>
  <c r="B404" i="1"/>
  <c r="A404" i="1"/>
  <c r="J403" i="1"/>
  <c r="I403" i="1"/>
  <c r="H403" i="1"/>
  <c r="G403" i="1"/>
  <c r="F403" i="1"/>
  <c r="E403" i="1"/>
  <c r="D403" i="1"/>
  <c r="C403" i="1"/>
  <c r="B403" i="1"/>
  <c r="A403" i="1"/>
  <c r="J402" i="1"/>
  <c r="I402" i="1"/>
  <c r="H402" i="1"/>
  <c r="G402" i="1"/>
  <c r="F402" i="1"/>
  <c r="E402" i="1"/>
  <c r="D402" i="1"/>
  <c r="C402" i="1"/>
  <c r="B402" i="1"/>
  <c r="A402" i="1"/>
  <c r="J401" i="1"/>
  <c r="I401" i="1"/>
  <c r="H401" i="1"/>
  <c r="G401" i="1"/>
  <c r="F401" i="1"/>
  <c r="E401" i="1"/>
  <c r="D401" i="1"/>
  <c r="C401" i="1"/>
  <c r="B401" i="1"/>
  <c r="A401" i="1"/>
  <c r="J400" i="1"/>
  <c r="I400" i="1"/>
  <c r="H400" i="1"/>
  <c r="G400" i="1"/>
  <c r="E400" i="1"/>
  <c r="D400" i="1"/>
  <c r="C400" i="1"/>
  <c r="B400" i="1"/>
  <c r="A400" i="1"/>
  <c r="J399" i="1"/>
  <c r="I399" i="1"/>
  <c r="H399" i="1"/>
  <c r="G399" i="1"/>
  <c r="F399" i="1"/>
  <c r="E399" i="1"/>
  <c r="D399" i="1"/>
  <c r="C399" i="1"/>
  <c r="B399" i="1"/>
  <c r="A399" i="1"/>
  <c r="J398" i="1"/>
  <c r="I398" i="1"/>
  <c r="H398" i="1"/>
  <c r="G398" i="1"/>
  <c r="E398" i="1"/>
  <c r="D398" i="1"/>
  <c r="C398" i="1"/>
  <c r="B398" i="1"/>
  <c r="A398" i="1"/>
  <c r="J397" i="1"/>
  <c r="I397" i="1"/>
  <c r="H397" i="1"/>
  <c r="G397" i="1"/>
  <c r="F397" i="1"/>
  <c r="E397" i="1"/>
  <c r="D397" i="1"/>
  <c r="C397" i="1"/>
  <c r="B397" i="1"/>
  <c r="A397" i="1"/>
  <c r="J396" i="1"/>
  <c r="I396" i="1"/>
  <c r="H396" i="1"/>
  <c r="G396" i="1"/>
  <c r="F396" i="1"/>
  <c r="E396" i="1"/>
  <c r="D396" i="1"/>
  <c r="C396" i="1"/>
  <c r="B396" i="1"/>
  <c r="A396" i="1"/>
  <c r="J395" i="1"/>
  <c r="I395" i="1"/>
  <c r="H395" i="1"/>
  <c r="G395" i="1"/>
  <c r="E395" i="1"/>
  <c r="D395" i="1"/>
  <c r="C395" i="1"/>
  <c r="B395" i="1"/>
  <c r="A395" i="1"/>
  <c r="J394" i="1"/>
  <c r="I394" i="1"/>
  <c r="H394" i="1"/>
  <c r="G394" i="1"/>
  <c r="E394" i="1"/>
  <c r="D394" i="1"/>
  <c r="C394" i="1"/>
  <c r="B394" i="1"/>
  <c r="A394" i="1"/>
  <c r="J393" i="1"/>
  <c r="I393" i="1"/>
  <c r="H393" i="1"/>
  <c r="G393" i="1"/>
  <c r="E393" i="1"/>
  <c r="D393" i="1"/>
  <c r="C393" i="1"/>
  <c r="B393" i="1"/>
  <c r="A393" i="1"/>
  <c r="J392" i="1"/>
  <c r="I392" i="1"/>
  <c r="H392" i="1"/>
  <c r="G392" i="1"/>
  <c r="E392" i="1"/>
  <c r="D392" i="1"/>
  <c r="C392" i="1"/>
  <c r="B392" i="1"/>
  <c r="A392" i="1"/>
  <c r="J391" i="1"/>
  <c r="I391" i="1"/>
  <c r="H391" i="1"/>
  <c r="G391" i="1"/>
  <c r="F391" i="1"/>
  <c r="E391" i="1"/>
  <c r="D391" i="1"/>
  <c r="C391" i="1"/>
  <c r="B391" i="1"/>
  <c r="A391" i="1"/>
  <c r="J390" i="1"/>
  <c r="I390" i="1"/>
  <c r="H390" i="1"/>
  <c r="G390" i="1"/>
  <c r="E390" i="1"/>
  <c r="D390" i="1"/>
  <c r="C390" i="1"/>
  <c r="B390" i="1"/>
  <c r="A390" i="1"/>
  <c r="J389" i="1"/>
  <c r="I389" i="1"/>
  <c r="H389" i="1"/>
  <c r="G389" i="1"/>
  <c r="E389" i="1"/>
  <c r="D389" i="1"/>
  <c r="C389" i="1"/>
  <c r="B389" i="1"/>
  <c r="A389" i="1"/>
  <c r="J388" i="1"/>
  <c r="I388" i="1"/>
  <c r="H388" i="1"/>
  <c r="G388" i="1"/>
  <c r="F388" i="1"/>
  <c r="E388" i="1"/>
  <c r="D388" i="1"/>
  <c r="C388" i="1"/>
  <c r="B388" i="1"/>
  <c r="A388" i="1"/>
  <c r="J387" i="1"/>
  <c r="I387" i="1"/>
  <c r="H387" i="1"/>
  <c r="G387" i="1"/>
  <c r="F387" i="1"/>
  <c r="E387" i="1"/>
  <c r="D387" i="1"/>
  <c r="C387" i="1"/>
  <c r="B387" i="1"/>
  <c r="A387" i="1"/>
  <c r="J386" i="1"/>
  <c r="I386" i="1"/>
  <c r="H386" i="1"/>
  <c r="G386" i="1"/>
  <c r="F386" i="1"/>
  <c r="E386" i="1"/>
  <c r="D386" i="1"/>
  <c r="C386" i="1"/>
  <c r="B386" i="1"/>
  <c r="A386" i="1"/>
  <c r="J385" i="1"/>
  <c r="I385" i="1"/>
  <c r="H385" i="1"/>
  <c r="G385" i="1"/>
  <c r="F385" i="1"/>
  <c r="E385" i="1"/>
  <c r="D385" i="1"/>
  <c r="C385" i="1"/>
  <c r="B385" i="1"/>
  <c r="A385" i="1"/>
  <c r="J384" i="1"/>
  <c r="I384" i="1"/>
  <c r="H384" i="1"/>
  <c r="G384" i="1"/>
  <c r="F384" i="1"/>
  <c r="E384" i="1"/>
  <c r="D384" i="1"/>
  <c r="C384" i="1"/>
  <c r="B384" i="1"/>
  <c r="A384" i="1"/>
  <c r="J383" i="1"/>
  <c r="I383" i="1"/>
  <c r="H383" i="1"/>
  <c r="G383" i="1"/>
  <c r="F383" i="1"/>
  <c r="E383" i="1"/>
  <c r="D383" i="1"/>
  <c r="C383" i="1"/>
  <c r="B383" i="1"/>
  <c r="A383" i="1"/>
  <c r="J382" i="1"/>
  <c r="I382" i="1"/>
  <c r="H382" i="1"/>
  <c r="G382" i="1"/>
  <c r="F382" i="1"/>
  <c r="E382" i="1"/>
  <c r="D382" i="1"/>
  <c r="C382" i="1"/>
  <c r="B382" i="1"/>
  <c r="A382" i="1"/>
  <c r="J381" i="1"/>
  <c r="I381" i="1"/>
  <c r="H381" i="1"/>
  <c r="G381" i="1"/>
  <c r="F381" i="1"/>
  <c r="E381" i="1"/>
  <c r="D381" i="1"/>
  <c r="C381" i="1"/>
  <c r="B381" i="1"/>
  <c r="A381" i="1"/>
  <c r="J380" i="1"/>
  <c r="I380" i="1"/>
  <c r="H380" i="1"/>
  <c r="G380" i="1"/>
  <c r="F380" i="1"/>
  <c r="E380" i="1"/>
  <c r="D380" i="1"/>
  <c r="C380" i="1"/>
  <c r="B380" i="1"/>
  <c r="A380" i="1"/>
  <c r="J379" i="1"/>
  <c r="I379" i="1"/>
  <c r="H379" i="1"/>
  <c r="G379" i="1"/>
  <c r="F379" i="1"/>
  <c r="E379" i="1"/>
  <c r="D379" i="1"/>
  <c r="C379" i="1"/>
  <c r="B379" i="1"/>
  <c r="A379" i="1"/>
  <c r="J378" i="1"/>
  <c r="I378" i="1"/>
  <c r="H378" i="1"/>
  <c r="G378" i="1"/>
  <c r="F378" i="1"/>
  <c r="E378" i="1"/>
  <c r="D378" i="1"/>
  <c r="C378" i="1"/>
  <c r="B378" i="1"/>
  <c r="A378" i="1"/>
  <c r="J377" i="1"/>
  <c r="I377" i="1"/>
  <c r="H377" i="1"/>
  <c r="G377" i="1"/>
  <c r="F377" i="1"/>
  <c r="E377" i="1"/>
  <c r="D377" i="1"/>
  <c r="C377" i="1"/>
  <c r="B377" i="1"/>
  <c r="A377" i="1"/>
  <c r="J376" i="1"/>
  <c r="I376" i="1"/>
  <c r="H376" i="1"/>
  <c r="G376" i="1"/>
  <c r="E376" i="1"/>
  <c r="D376" i="1"/>
  <c r="C376" i="1"/>
  <c r="B376" i="1"/>
  <c r="A376" i="1"/>
  <c r="J375" i="1"/>
  <c r="I375" i="1"/>
  <c r="H375" i="1"/>
  <c r="G375" i="1"/>
  <c r="E375" i="1"/>
  <c r="D375" i="1"/>
  <c r="C375" i="1"/>
  <c r="B375" i="1"/>
  <c r="A375" i="1"/>
  <c r="J374" i="1"/>
  <c r="I374" i="1"/>
  <c r="H374" i="1"/>
  <c r="G374" i="1"/>
  <c r="E374" i="1"/>
  <c r="D374" i="1"/>
  <c r="C374" i="1"/>
  <c r="B374" i="1"/>
  <c r="A374" i="1"/>
  <c r="J373" i="1"/>
  <c r="I373" i="1"/>
  <c r="H373" i="1"/>
  <c r="G373" i="1"/>
  <c r="F373" i="1"/>
  <c r="E373" i="1"/>
  <c r="D373" i="1"/>
  <c r="C373" i="1"/>
  <c r="B373" i="1"/>
  <c r="A373" i="1"/>
  <c r="J372" i="1"/>
  <c r="I372" i="1"/>
  <c r="H372" i="1"/>
  <c r="G372" i="1"/>
  <c r="F372" i="1"/>
  <c r="E372" i="1"/>
  <c r="D372" i="1"/>
  <c r="C372" i="1"/>
  <c r="B372" i="1"/>
  <c r="A372" i="1"/>
  <c r="J371" i="1"/>
  <c r="I371" i="1"/>
  <c r="H371" i="1"/>
  <c r="G371" i="1"/>
  <c r="E371" i="1"/>
  <c r="D371" i="1"/>
  <c r="C371" i="1"/>
  <c r="B371" i="1"/>
  <c r="A371" i="1"/>
  <c r="J370" i="1"/>
  <c r="I370" i="1"/>
  <c r="H370" i="1"/>
  <c r="G370" i="1"/>
  <c r="F370" i="1"/>
  <c r="E370" i="1"/>
  <c r="D370" i="1"/>
  <c r="C370" i="1"/>
  <c r="B370" i="1"/>
  <c r="A370" i="1"/>
  <c r="J369" i="1"/>
  <c r="I369" i="1"/>
  <c r="H369" i="1"/>
  <c r="G369" i="1"/>
  <c r="E369" i="1"/>
  <c r="D369" i="1"/>
  <c r="C369" i="1"/>
  <c r="B369" i="1"/>
  <c r="A369" i="1"/>
  <c r="J368" i="1"/>
  <c r="I368" i="1"/>
  <c r="H368" i="1"/>
  <c r="G368" i="1"/>
  <c r="F368" i="1"/>
  <c r="E368" i="1"/>
  <c r="D368" i="1"/>
  <c r="C368" i="1"/>
  <c r="B368" i="1"/>
  <c r="A368" i="1"/>
  <c r="J367" i="1"/>
  <c r="I367" i="1"/>
  <c r="H367" i="1"/>
  <c r="G367" i="1"/>
  <c r="F367" i="1"/>
  <c r="E367" i="1"/>
  <c r="D367" i="1"/>
  <c r="C367" i="1"/>
  <c r="B367" i="1"/>
  <c r="A367" i="1"/>
  <c r="J366" i="1"/>
  <c r="I366" i="1"/>
  <c r="H366" i="1"/>
  <c r="G366" i="1"/>
  <c r="E366" i="1"/>
  <c r="D366" i="1"/>
  <c r="C366" i="1"/>
  <c r="B366" i="1"/>
  <c r="A366" i="1"/>
  <c r="J365" i="1"/>
  <c r="I365" i="1"/>
  <c r="H365" i="1"/>
  <c r="G365" i="1"/>
  <c r="F365" i="1"/>
  <c r="E365" i="1"/>
  <c r="D365" i="1"/>
  <c r="C365" i="1"/>
  <c r="B365" i="1"/>
  <c r="A365" i="1"/>
  <c r="J364" i="1"/>
  <c r="I364" i="1"/>
  <c r="H364" i="1"/>
  <c r="G364" i="1"/>
  <c r="F364" i="1"/>
  <c r="E364" i="1"/>
  <c r="D364" i="1"/>
  <c r="C364" i="1"/>
  <c r="B364" i="1"/>
  <c r="A364" i="1"/>
  <c r="J363" i="1"/>
  <c r="I363" i="1"/>
  <c r="H363" i="1"/>
  <c r="G363" i="1"/>
  <c r="E363" i="1"/>
  <c r="D363" i="1"/>
  <c r="C363" i="1"/>
  <c r="B363" i="1"/>
  <c r="A363" i="1"/>
  <c r="J362" i="1"/>
  <c r="I362" i="1"/>
  <c r="H362" i="1"/>
  <c r="G362" i="1"/>
  <c r="F362" i="1"/>
  <c r="E362" i="1"/>
  <c r="D362" i="1"/>
  <c r="C362" i="1"/>
  <c r="B362" i="1"/>
  <c r="A362" i="1"/>
  <c r="J361" i="1"/>
  <c r="I361" i="1"/>
  <c r="H361" i="1"/>
  <c r="G361" i="1"/>
  <c r="F361" i="1"/>
  <c r="E361" i="1"/>
  <c r="D361" i="1"/>
  <c r="C361" i="1"/>
  <c r="B361" i="1"/>
  <c r="A361" i="1"/>
  <c r="J360" i="1"/>
  <c r="I360" i="1"/>
  <c r="H360" i="1"/>
  <c r="G360" i="1"/>
  <c r="F360" i="1"/>
  <c r="E360" i="1"/>
  <c r="D360" i="1"/>
  <c r="C360" i="1"/>
  <c r="B360" i="1"/>
  <c r="A360" i="1"/>
  <c r="J359" i="1"/>
  <c r="I359" i="1"/>
  <c r="H359" i="1"/>
  <c r="G359" i="1"/>
  <c r="F359" i="1"/>
  <c r="E359" i="1"/>
  <c r="D359" i="1"/>
  <c r="C359" i="1"/>
  <c r="B359" i="1"/>
  <c r="A359" i="1"/>
  <c r="J358" i="1"/>
  <c r="I358" i="1"/>
  <c r="H358" i="1"/>
  <c r="G358" i="1"/>
  <c r="F358" i="1"/>
  <c r="E358" i="1"/>
  <c r="D358" i="1"/>
  <c r="C358" i="1"/>
  <c r="B358" i="1"/>
  <c r="A358" i="1"/>
  <c r="J357" i="1"/>
  <c r="I357" i="1"/>
  <c r="H357" i="1"/>
  <c r="G357" i="1"/>
  <c r="F357" i="1"/>
  <c r="E357" i="1"/>
  <c r="D357" i="1"/>
  <c r="C357" i="1"/>
  <c r="B357" i="1"/>
  <c r="A357" i="1"/>
  <c r="J356" i="1"/>
  <c r="I356" i="1"/>
  <c r="H356" i="1"/>
  <c r="G356" i="1"/>
  <c r="F356" i="1"/>
  <c r="E356" i="1"/>
  <c r="D356" i="1"/>
  <c r="C356" i="1"/>
  <c r="B356" i="1"/>
  <c r="A356" i="1"/>
  <c r="J355" i="1"/>
  <c r="I355" i="1"/>
  <c r="H355" i="1"/>
  <c r="G355" i="1"/>
  <c r="E355" i="1"/>
  <c r="D355" i="1"/>
  <c r="C355" i="1"/>
  <c r="B355" i="1"/>
  <c r="A355" i="1"/>
  <c r="J354" i="1"/>
  <c r="I354" i="1"/>
  <c r="H354" i="1"/>
  <c r="G354" i="1"/>
  <c r="F354" i="1"/>
  <c r="E354" i="1"/>
  <c r="D354" i="1"/>
  <c r="C354" i="1"/>
  <c r="B354" i="1"/>
  <c r="A354" i="1"/>
  <c r="J353" i="1"/>
  <c r="I353" i="1"/>
  <c r="H353" i="1"/>
  <c r="G353" i="1"/>
  <c r="F353" i="1"/>
  <c r="E353" i="1"/>
  <c r="D353" i="1"/>
  <c r="C353" i="1"/>
  <c r="B353" i="1"/>
  <c r="A353" i="1"/>
  <c r="J352" i="1"/>
  <c r="I352" i="1"/>
  <c r="H352" i="1"/>
  <c r="G352" i="1"/>
  <c r="F352" i="1"/>
  <c r="E352" i="1"/>
  <c r="D352" i="1"/>
  <c r="C352" i="1"/>
  <c r="B352" i="1"/>
  <c r="A352" i="1"/>
  <c r="J351" i="1"/>
  <c r="I351" i="1"/>
  <c r="H351" i="1"/>
  <c r="G351" i="1"/>
  <c r="F351" i="1"/>
  <c r="E351" i="1"/>
  <c r="D351" i="1"/>
  <c r="C351" i="1"/>
  <c r="B351" i="1"/>
  <c r="A351" i="1"/>
  <c r="J350" i="1"/>
  <c r="I350" i="1"/>
  <c r="H350" i="1"/>
  <c r="G350" i="1"/>
  <c r="F350" i="1"/>
  <c r="E350" i="1"/>
  <c r="D350" i="1"/>
  <c r="C350" i="1"/>
  <c r="B350" i="1"/>
  <c r="A350" i="1"/>
  <c r="J349" i="1"/>
  <c r="I349" i="1"/>
  <c r="H349" i="1"/>
  <c r="G349" i="1"/>
  <c r="E349" i="1"/>
  <c r="D349" i="1"/>
  <c r="C349" i="1"/>
  <c r="B349" i="1"/>
  <c r="A349" i="1"/>
  <c r="J348" i="1"/>
  <c r="I348" i="1"/>
  <c r="H348" i="1"/>
  <c r="G348" i="1"/>
  <c r="E348" i="1"/>
  <c r="D348" i="1"/>
  <c r="C348" i="1"/>
  <c r="B348" i="1"/>
  <c r="A348" i="1"/>
  <c r="J347" i="1"/>
  <c r="I347" i="1"/>
  <c r="H347" i="1"/>
  <c r="G347" i="1"/>
  <c r="F347" i="1"/>
  <c r="E347" i="1"/>
  <c r="D347" i="1"/>
  <c r="C347" i="1"/>
  <c r="B347" i="1"/>
  <c r="A347" i="1"/>
  <c r="J346" i="1"/>
  <c r="I346" i="1"/>
  <c r="H346" i="1"/>
  <c r="G346" i="1"/>
  <c r="E346" i="1"/>
  <c r="D346" i="1"/>
  <c r="C346" i="1"/>
  <c r="B346" i="1"/>
  <c r="A346" i="1"/>
  <c r="J345" i="1"/>
  <c r="I345" i="1"/>
  <c r="H345" i="1"/>
  <c r="G345" i="1"/>
  <c r="E345" i="1"/>
  <c r="D345" i="1"/>
  <c r="C345" i="1"/>
  <c r="B345" i="1"/>
  <c r="A345" i="1"/>
  <c r="J344" i="1"/>
  <c r="I344" i="1"/>
  <c r="H344" i="1"/>
  <c r="G344" i="1"/>
  <c r="F344" i="1"/>
  <c r="E344" i="1"/>
  <c r="D344" i="1"/>
  <c r="C344" i="1"/>
  <c r="B344" i="1"/>
  <c r="A344" i="1"/>
  <c r="J343" i="1"/>
  <c r="I343" i="1"/>
  <c r="H343" i="1"/>
  <c r="G343" i="1"/>
  <c r="F343" i="1"/>
  <c r="E343" i="1"/>
  <c r="D343" i="1"/>
  <c r="C343" i="1"/>
  <c r="B343" i="1"/>
  <c r="A343" i="1"/>
  <c r="J342" i="1"/>
  <c r="I342" i="1"/>
  <c r="H342" i="1"/>
  <c r="G342" i="1"/>
  <c r="F342" i="1"/>
  <c r="E342" i="1"/>
  <c r="D342" i="1"/>
  <c r="C342" i="1"/>
  <c r="B342" i="1"/>
  <c r="A342" i="1"/>
  <c r="J341" i="1"/>
  <c r="I341" i="1"/>
  <c r="H341" i="1"/>
  <c r="G341" i="1"/>
  <c r="E341" i="1"/>
  <c r="D341" i="1"/>
  <c r="C341" i="1"/>
  <c r="B341" i="1"/>
  <c r="A341" i="1"/>
  <c r="J340" i="1"/>
  <c r="I340" i="1"/>
  <c r="H340" i="1"/>
  <c r="G340" i="1"/>
  <c r="F340" i="1"/>
  <c r="E340" i="1"/>
  <c r="D340" i="1"/>
  <c r="C340" i="1"/>
  <c r="B340" i="1"/>
  <c r="A340" i="1"/>
  <c r="J339" i="1"/>
  <c r="I339" i="1"/>
  <c r="H339" i="1"/>
  <c r="G339" i="1"/>
  <c r="E339" i="1"/>
  <c r="D339" i="1"/>
  <c r="C339" i="1"/>
  <c r="B339" i="1"/>
  <c r="A339" i="1"/>
  <c r="J338" i="1"/>
  <c r="I338" i="1"/>
  <c r="H338" i="1"/>
  <c r="G338" i="1"/>
  <c r="F338" i="1"/>
  <c r="E338" i="1"/>
  <c r="D338" i="1"/>
  <c r="C338" i="1"/>
  <c r="B338" i="1"/>
  <c r="A338" i="1"/>
  <c r="J337" i="1"/>
  <c r="I337" i="1"/>
  <c r="H337" i="1"/>
  <c r="G337" i="1"/>
  <c r="F337" i="1"/>
  <c r="E337" i="1"/>
  <c r="D337" i="1"/>
  <c r="C337" i="1"/>
  <c r="B337" i="1"/>
  <c r="A337" i="1"/>
  <c r="J336" i="1"/>
  <c r="I336" i="1"/>
  <c r="H336" i="1"/>
  <c r="G336" i="1"/>
  <c r="E336" i="1"/>
  <c r="D336" i="1"/>
  <c r="C336" i="1"/>
  <c r="B336" i="1"/>
  <c r="A336" i="1"/>
  <c r="J335" i="1"/>
  <c r="I335" i="1"/>
  <c r="H335" i="1"/>
  <c r="G335" i="1"/>
  <c r="F335" i="1"/>
  <c r="E335" i="1"/>
  <c r="D335" i="1"/>
  <c r="C335" i="1"/>
  <c r="B335" i="1"/>
  <c r="A335" i="1"/>
  <c r="J334" i="1"/>
  <c r="I334" i="1"/>
  <c r="H334" i="1"/>
  <c r="G334" i="1"/>
  <c r="E334" i="1"/>
  <c r="D334" i="1"/>
  <c r="C334" i="1"/>
  <c r="B334" i="1"/>
  <c r="A334" i="1"/>
  <c r="J333" i="1"/>
  <c r="I333" i="1"/>
  <c r="H333" i="1"/>
  <c r="G333" i="1"/>
  <c r="F333" i="1"/>
  <c r="E333" i="1"/>
  <c r="D333" i="1"/>
  <c r="C333" i="1"/>
  <c r="B333" i="1"/>
  <c r="A333" i="1"/>
  <c r="J332" i="1"/>
  <c r="I332" i="1"/>
  <c r="H332" i="1"/>
  <c r="G332" i="1"/>
  <c r="E332" i="1"/>
  <c r="D332" i="1"/>
  <c r="C332" i="1"/>
  <c r="B332" i="1"/>
  <c r="A332" i="1"/>
  <c r="J331" i="1"/>
  <c r="I331" i="1"/>
  <c r="H331" i="1"/>
  <c r="G331" i="1"/>
  <c r="E331" i="1"/>
  <c r="D331" i="1"/>
  <c r="C331" i="1"/>
  <c r="B331" i="1"/>
  <c r="A331" i="1"/>
  <c r="J330" i="1"/>
  <c r="I330" i="1"/>
  <c r="H330" i="1"/>
  <c r="G330" i="1"/>
  <c r="E330" i="1"/>
  <c r="D330" i="1"/>
  <c r="C330" i="1"/>
  <c r="B330" i="1"/>
  <c r="A330" i="1"/>
  <c r="J329" i="1"/>
  <c r="I329" i="1"/>
  <c r="H329" i="1"/>
  <c r="G329" i="1"/>
  <c r="E329" i="1"/>
  <c r="D329" i="1"/>
  <c r="C329" i="1"/>
  <c r="B329" i="1"/>
  <c r="A329" i="1"/>
  <c r="J328" i="1"/>
  <c r="I328" i="1"/>
  <c r="H328" i="1"/>
  <c r="G328" i="1"/>
  <c r="F328" i="1"/>
  <c r="E328" i="1"/>
  <c r="D328" i="1"/>
  <c r="C328" i="1"/>
  <c r="B328" i="1"/>
  <c r="A328" i="1"/>
  <c r="J327" i="1"/>
  <c r="I327" i="1"/>
  <c r="H327" i="1"/>
  <c r="G327" i="1"/>
  <c r="E327" i="1"/>
  <c r="D327" i="1"/>
  <c r="C327" i="1"/>
  <c r="B327" i="1"/>
  <c r="A327" i="1"/>
  <c r="J326" i="1"/>
  <c r="I326" i="1"/>
  <c r="H326" i="1"/>
  <c r="G326" i="1"/>
  <c r="E326" i="1"/>
  <c r="D326" i="1"/>
  <c r="C326" i="1"/>
  <c r="B326" i="1"/>
  <c r="A326" i="1"/>
  <c r="J325" i="1"/>
  <c r="I325" i="1"/>
  <c r="H325" i="1"/>
  <c r="G325" i="1"/>
  <c r="E325" i="1"/>
  <c r="D325" i="1"/>
  <c r="C325" i="1"/>
  <c r="B325" i="1"/>
  <c r="A325" i="1"/>
  <c r="J324" i="1"/>
  <c r="I324" i="1"/>
  <c r="H324" i="1"/>
  <c r="G324" i="1"/>
  <c r="E324" i="1"/>
  <c r="D324" i="1"/>
  <c r="C324" i="1"/>
  <c r="B324" i="1"/>
  <c r="A324" i="1"/>
  <c r="J323" i="1"/>
  <c r="I323" i="1"/>
  <c r="H323" i="1"/>
  <c r="G323" i="1"/>
  <c r="E323" i="1"/>
  <c r="D323" i="1"/>
  <c r="C323" i="1"/>
  <c r="B323" i="1"/>
  <c r="A323" i="1"/>
  <c r="J322" i="1"/>
  <c r="I322" i="1"/>
  <c r="H322" i="1"/>
  <c r="G322" i="1"/>
  <c r="E322" i="1"/>
  <c r="D322" i="1"/>
  <c r="C322" i="1"/>
  <c r="B322" i="1"/>
  <c r="A322" i="1"/>
  <c r="J321" i="1"/>
  <c r="I321" i="1"/>
  <c r="H321" i="1"/>
  <c r="G321" i="1"/>
  <c r="E321" i="1"/>
  <c r="D321" i="1"/>
  <c r="C321" i="1"/>
  <c r="B321" i="1"/>
  <c r="A321" i="1"/>
  <c r="J320" i="1"/>
  <c r="I320" i="1"/>
  <c r="H320" i="1"/>
  <c r="G320" i="1"/>
  <c r="F320" i="1"/>
  <c r="E320" i="1"/>
  <c r="D320" i="1"/>
  <c r="C320" i="1"/>
  <c r="B320" i="1"/>
  <c r="A320" i="1"/>
  <c r="J319" i="1"/>
  <c r="I319" i="1"/>
  <c r="H319" i="1"/>
  <c r="G319" i="1"/>
  <c r="E319" i="1"/>
  <c r="D319" i="1"/>
  <c r="C319" i="1"/>
  <c r="B319" i="1"/>
  <c r="A319" i="1"/>
  <c r="J318" i="1"/>
  <c r="I318" i="1"/>
  <c r="H318" i="1"/>
  <c r="G318" i="1"/>
  <c r="F318" i="1"/>
  <c r="E318" i="1"/>
  <c r="D318" i="1"/>
  <c r="C318" i="1"/>
  <c r="B318" i="1"/>
  <c r="A318" i="1"/>
  <c r="J317" i="1"/>
  <c r="I317" i="1"/>
  <c r="H317" i="1"/>
  <c r="G317" i="1"/>
  <c r="E317" i="1"/>
  <c r="D317" i="1"/>
  <c r="C317" i="1"/>
  <c r="B317" i="1"/>
  <c r="A317" i="1"/>
  <c r="J316" i="1"/>
  <c r="I316" i="1"/>
  <c r="H316" i="1"/>
  <c r="G316" i="1"/>
  <c r="F316" i="1"/>
  <c r="E316" i="1"/>
  <c r="D316" i="1"/>
  <c r="C316" i="1"/>
  <c r="B316" i="1"/>
  <c r="A316" i="1"/>
  <c r="J315" i="1"/>
  <c r="I315" i="1"/>
  <c r="H315" i="1"/>
  <c r="G315" i="1"/>
  <c r="E315" i="1"/>
  <c r="D315" i="1"/>
  <c r="C315" i="1"/>
  <c r="B315" i="1"/>
  <c r="A315" i="1"/>
  <c r="J314" i="1"/>
  <c r="I314" i="1"/>
  <c r="H314" i="1"/>
  <c r="G314" i="1"/>
  <c r="F314" i="1"/>
  <c r="E314" i="1"/>
  <c r="D314" i="1"/>
  <c r="C314" i="1"/>
  <c r="B314" i="1"/>
  <c r="A314" i="1"/>
  <c r="J313" i="1"/>
  <c r="I313" i="1"/>
  <c r="H313" i="1"/>
  <c r="G313" i="1"/>
  <c r="F313" i="1"/>
  <c r="E313" i="1"/>
  <c r="D313" i="1"/>
  <c r="C313" i="1"/>
  <c r="B313" i="1"/>
  <c r="A313" i="1"/>
  <c r="J312" i="1"/>
  <c r="I312" i="1"/>
  <c r="H312" i="1"/>
  <c r="G312" i="1"/>
  <c r="F312" i="1"/>
  <c r="E312" i="1"/>
  <c r="D312" i="1"/>
  <c r="C312" i="1"/>
  <c r="B312" i="1"/>
  <c r="A312" i="1"/>
  <c r="J311" i="1"/>
  <c r="I311" i="1"/>
  <c r="H311" i="1"/>
  <c r="G311" i="1"/>
  <c r="F311" i="1"/>
  <c r="E311" i="1"/>
  <c r="D311" i="1"/>
  <c r="C311" i="1"/>
  <c r="B311" i="1"/>
  <c r="A311" i="1"/>
  <c r="J310" i="1"/>
  <c r="I310" i="1"/>
  <c r="H310" i="1"/>
  <c r="G310" i="1"/>
  <c r="F310" i="1"/>
  <c r="E310" i="1"/>
  <c r="D310" i="1"/>
  <c r="C310" i="1"/>
  <c r="B310" i="1"/>
  <c r="A310" i="1"/>
  <c r="J309" i="1"/>
  <c r="I309" i="1"/>
  <c r="H309" i="1"/>
  <c r="G309" i="1"/>
  <c r="F309" i="1"/>
  <c r="E309" i="1"/>
  <c r="D309" i="1"/>
  <c r="C309" i="1"/>
  <c r="B309" i="1"/>
  <c r="A309" i="1"/>
  <c r="J308" i="1"/>
  <c r="I308" i="1"/>
  <c r="H308" i="1"/>
  <c r="G308" i="1"/>
  <c r="F308" i="1"/>
  <c r="E308" i="1"/>
  <c r="D308" i="1"/>
  <c r="C308" i="1"/>
  <c r="B308" i="1"/>
  <c r="A308" i="1"/>
  <c r="J307" i="1"/>
  <c r="I307" i="1"/>
  <c r="H307" i="1"/>
  <c r="G307" i="1"/>
  <c r="E307" i="1"/>
  <c r="D307" i="1"/>
  <c r="C307" i="1"/>
  <c r="B307" i="1"/>
  <c r="A307" i="1"/>
  <c r="J306" i="1"/>
  <c r="I306" i="1"/>
  <c r="H306" i="1"/>
  <c r="G306" i="1"/>
  <c r="F306" i="1"/>
  <c r="E306" i="1"/>
  <c r="D306" i="1"/>
  <c r="C306" i="1"/>
  <c r="B306" i="1"/>
  <c r="A306" i="1"/>
  <c r="J305" i="1"/>
  <c r="I305" i="1"/>
  <c r="H305" i="1"/>
  <c r="G305" i="1"/>
  <c r="F305" i="1"/>
  <c r="E305" i="1"/>
  <c r="D305" i="1"/>
  <c r="C305" i="1"/>
  <c r="B305" i="1"/>
  <c r="A305" i="1"/>
  <c r="J304" i="1"/>
  <c r="I304" i="1"/>
  <c r="H304" i="1"/>
  <c r="G304" i="1"/>
  <c r="F304" i="1"/>
  <c r="E304" i="1"/>
  <c r="D304" i="1"/>
  <c r="C304" i="1"/>
  <c r="B304" i="1"/>
  <c r="A304" i="1"/>
  <c r="J303" i="1"/>
  <c r="I303" i="1"/>
  <c r="H303" i="1"/>
  <c r="G303" i="1"/>
  <c r="E303" i="1"/>
  <c r="D303" i="1"/>
  <c r="C303" i="1"/>
  <c r="B303" i="1"/>
  <c r="A303" i="1"/>
  <c r="J302" i="1"/>
  <c r="I302" i="1"/>
  <c r="H302" i="1"/>
  <c r="G302" i="1"/>
  <c r="F302" i="1"/>
  <c r="E302" i="1"/>
  <c r="D302" i="1"/>
  <c r="C302" i="1"/>
  <c r="B302" i="1"/>
  <c r="A302" i="1"/>
  <c r="J301" i="1"/>
  <c r="I301" i="1"/>
  <c r="H301" i="1"/>
  <c r="G301" i="1"/>
  <c r="E301" i="1"/>
  <c r="D301" i="1"/>
  <c r="C301" i="1"/>
  <c r="B301" i="1"/>
  <c r="A301" i="1"/>
  <c r="J300" i="1"/>
  <c r="I300" i="1"/>
  <c r="H300" i="1"/>
  <c r="G300" i="1"/>
  <c r="F300" i="1"/>
  <c r="E300" i="1"/>
  <c r="D300" i="1"/>
  <c r="C300" i="1"/>
  <c r="B300" i="1"/>
  <c r="A300" i="1"/>
  <c r="J299" i="1"/>
  <c r="I299" i="1"/>
  <c r="H299" i="1"/>
  <c r="G299" i="1"/>
  <c r="F299" i="1"/>
  <c r="E299" i="1"/>
  <c r="D299" i="1"/>
  <c r="C299" i="1"/>
  <c r="B299" i="1"/>
  <c r="A299" i="1"/>
  <c r="J298" i="1"/>
  <c r="I298" i="1"/>
  <c r="H298" i="1"/>
  <c r="G298" i="1"/>
  <c r="F298" i="1"/>
  <c r="E298" i="1"/>
  <c r="D298" i="1"/>
  <c r="C298" i="1"/>
  <c r="B298" i="1"/>
  <c r="A298" i="1"/>
  <c r="J297" i="1"/>
  <c r="I297" i="1"/>
  <c r="H297" i="1"/>
  <c r="G297" i="1"/>
  <c r="F297" i="1"/>
  <c r="E297" i="1"/>
  <c r="D297" i="1"/>
  <c r="C297" i="1"/>
  <c r="B297" i="1"/>
  <c r="A297" i="1"/>
  <c r="J296" i="1"/>
  <c r="I296" i="1"/>
  <c r="H296" i="1"/>
  <c r="G296" i="1"/>
  <c r="E296" i="1"/>
  <c r="D296" i="1"/>
  <c r="C296" i="1"/>
  <c r="B296" i="1"/>
  <c r="A296" i="1"/>
  <c r="J295" i="1"/>
  <c r="I295" i="1"/>
  <c r="H295" i="1"/>
  <c r="G295" i="1"/>
  <c r="E295" i="1"/>
  <c r="D295" i="1"/>
  <c r="C295" i="1"/>
  <c r="B295" i="1"/>
  <c r="A295" i="1"/>
  <c r="J294" i="1"/>
  <c r="I294" i="1"/>
  <c r="H294" i="1"/>
  <c r="G294" i="1"/>
  <c r="E294" i="1"/>
  <c r="D294" i="1"/>
  <c r="C294" i="1"/>
  <c r="B294" i="1"/>
  <c r="A294" i="1"/>
  <c r="J293" i="1"/>
  <c r="I293" i="1"/>
  <c r="H293" i="1"/>
  <c r="G293" i="1"/>
  <c r="E293" i="1"/>
  <c r="D293" i="1"/>
  <c r="C293" i="1"/>
  <c r="B293" i="1"/>
  <c r="A293" i="1"/>
  <c r="J292" i="1"/>
  <c r="I292" i="1"/>
  <c r="H292" i="1"/>
  <c r="G292" i="1"/>
  <c r="E292" i="1"/>
  <c r="D292" i="1"/>
  <c r="C292" i="1"/>
  <c r="B292" i="1"/>
  <c r="A292" i="1"/>
  <c r="J291" i="1"/>
  <c r="I291" i="1"/>
  <c r="H291" i="1"/>
  <c r="G291" i="1"/>
  <c r="E291" i="1"/>
  <c r="D291" i="1"/>
  <c r="C291" i="1"/>
  <c r="B291" i="1"/>
  <c r="A291" i="1"/>
  <c r="J290" i="1"/>
  <c r="I290" i="1"/>
  <c r="H290" i="1"/>
  <c r="G290" i="1"/>
  <c r="E290" i="1"/>
  <c r="D290" i="1"/>
  <c r="C290" i="1"/>
  <c r="B290" i="1"/>
  <c r="A290" i="1"/>
  <c r="J289" i="1"/>
  <c r="I289" i="1"/>
  <c r="H289" i="1"/>
  <c r="G289" i="1"/>
  <c r="E289" i="1"/>
  <c r="D289" i="1"/>
  <c r="C289" i="1"/>
  <c r="B289" i="1"/>
  <c r="A289" i="1"/>
  <c r="J288" i="1"/>
  <c r="I288" i="1"/>
  <c r="H288" i="1"/>
  <c r="G288" i="1"/>
  <c r="E288" i="1"/>
  <c r="D288" i="1"/>
  <c r="C288" i="1"/>
  <c r="B288" i="1"/>
  <c r="A288" i="1"/>
  <c r="J287" i="1"/>
  <c r="I287" i="1"/>
  <c r="H287" i="1"/>
  <c r="G287" i="1"/>
  <c r="E287" i="1"/>
  <c r="D287" i="1"/>
  <c r="C287" i="1"/>
  <c r="B287" i="1"/>
  <c r="A287" i="1"/>
  <c r="J286" i="1"/>
  <c r="I286" i="1"/>
  <c r="H286" i="1"/>
  <c r="G286" i="1"/>
  <c r="F286" i="1"/>
  <c r="E286" i="1"/>
  <c r="D286" i="1"/>
  <c r="C286" i="1"/>
  <c r="B286" i="1"/>
  <c r="A286" i="1"/>
  <c r="J285" i="1"/>
  <c r="I285" i="1"/>
  <c r="H285" i="1"/>
  <c r="G285" i="1"/>
  <c r="F285" i="1"/>
  <c r="E285" i="1"/>
  <c r="D285" i="1"/>
  <c r="C285" i="1"/>
  <c r="B285" i="1"/>
  <c r="A285" i="1"/>
  <c r="J284" i="1"/>
  <c r="I284" i="1"/>
  <c r="H284" i="1"/>
  <c r="G284" i="1"/>
  <c r="E284" i="1"/>
  <c r="D284" i="1"/>
  <c r="C284" i="1"/>
  <c r="B284" i="1"/>
  <c r="A284" i="1"/>
  <c r="J283" i="1"/>
  <c r="I283" i="1"/>
  <c r="H283" i="1"/>
  <c r="G283" i="1"/>
  <c r="E283" i="1"/>
  <c r="D283" i="1"/>
  <c r="C283" i="1"/>
  <c r="B283" i="1"/>
  <c r="A283" i="1"/>
  <c r="J282" i="1"/>
  <c r="I282" i="1"/>
  <c r="H282" i="1"/>
  <c r="G282" i="1"/>
  <c r="F282" i="1"/>
  <c r="E282" i="1"/>
  <c r="D282" i="1"/>
  <c r="C282" i="1"/>
  <c r="B282" i="1"/>
  <c r="A282" i="1"/>
  <c r="J281" i="1"/>
  <c r="I281" i="1"/>
  <c r="H281" i="1"/>
  <c r="G281" i="1"/>
  <c r="F281" i="1"/>
  <c r="E281" i="1"/>
  <c r="D281" i="1"/>
  <c r="C281" i="1"/>
  <c r="B281" i="1"/>
  <c r="A281" i="1"/>
  <c r="J280" i="1"/>
  <c r="I280" i="1"/>
  <c r="H280" i="1"/>
  <c r="G280" i="1"/>
  <c r="E280" i="1"/>
  <c r="D280" i="1"/>
  <c r="C280" i="1"/>
  <c r="B280" i="1"/>
  <c r="A280" i="1"/>
  <c r="J279" i="1"/>
  <c r="I279" i="1"/>
  <c r="H279" i="1"/>
  <c r="G279" i="1"/>
  <c r="F279" i="1"/>
  <c r="E279" i="1"/>
  <c r="D279" i="1"/>
  <c r="C279" i="1"/>
  <c r="B279" i="1"/>
  <c r="A279" i="1"/>
  <c r="J278" i="1"/>
  <c r="I278" i="1"/>
  <c r="H278" i="1"/>
  <c r="G278" i="1"/>
  <c r="F278" i="1"/>
  <c r="E278" i="1"/>
  <c r="D278" i="1"/>
  <c r="C278" i="1"/>
  <c r="B278" i="1"/>
  <c r="A278" i="1"/>
  <c r="J277" i="1"/>
  <c r="I277" i="1"/>
  <c r="H277" i="1"/>
  <c r="G277" i="1"/>
  <c r="E277" i="1"/>
  <c r="D277" i="1"/>
  <c r="C277" i="1"/>
  <c r="B277" i="1"/>
  <c r="A277" i="1"/>
  <c r="J276" i="1"/>
  <c r="I276" i="1"/>
  <c r="H276" i="1"/>
  <c r="G276" i="1"/>
  <c r="F276" i="1"/>
  <c r="E276" i="1"/>
  <c r="D276" i="1"/>
  <c r="C276" i="1"/>
  <c r="B276" i="1"/>
  <c r="A276" i="1"/>
  <c r="J275" i="1"/>
  <c r="I275" i="1"/>
  <c r="H275" i="1"/>
  <c r="G275" i="1"/>
  <c r="F275" i="1"/>
  <c r="E275" i="1"/>
  <c r="D275" i="1"/>
  <c r="C275" i="1"/>
  <c r="B275" i="1"/>
  <c r="A275" i="1"/>
  <c r="J274" i="1"/>
  <c r="I274" i="1"/>
  <c r="J273" i="1"/>
  <c r="I273" i="1"/>
  <c r="H273" i="1"/>
  <c r="G273" i="1"/>
  <c r="E273" i="1"/>
  <c r="D273" i="1"/>
  <c r="C273" i="1"/>
  <c r="B273" i="1"/>
  <c r="A273" i="1"/>
  <c r="J272" i="1"/>
  <c r="I272" i="1"/>
  <c r="H272" i="1"/>
  <c r="G272" i="1"/>
  <c r="F272" i="1"/>
  <c r="E272" i="1"/>
  <c r="D272" i="1"/>
  <c r="C272" i="1"/>
  <c r="B272" i="1"/>
  <c r="A272" i="1"/>
  <c r="J271" i="1"/>
  <c r="I271" i="1"/>
  <c r="H271" i="1"/>
  <c r="G271" i="1"/>
  <c r="F271" i="1"/>
  <c r="E271" i="1"/>
  <c r="D271" i="1"/>
  <c r="C271" i="1"/>
  <c r="B271" i="1"/>
  <c r="A271" i="1"/>
  <c r="J270" i="1"/>
  <c r="I270" i="1"/>
  <c r="H270" i="1"/>
  <c r="G270" i="1"/>
  <c r="F270" i="1"/>
  <c r="E270" i="1"/>
  <c r="D270" i="1"/>
  <c r="C270" i="1"/>
  <c r="B270" i="1"/>
  <c r="A270" i="1"/>
  <c r="J269" i="1"/>
  <c r="I269" i="1"/>
  <c r="H269" i="1"/>
  <c r="G269" i="1"/>
  <c r="F269" i="1"/>
  <c r="E269" i="1"/>
  <c r="D269" i="1"/>
  <c r="C269" i="1"/>
  <c r="B269" i="1"/>
  <c r="A269" i="1"/>
  <c r="J268" i="1"/>
  <c r="I268" i="1"/>
  <c r="H268" i="1"/>
  <c r="G268" i="1"/>
  <c r="F268" i="1"/>
  <c r="E268" i="1"/>
  <c r="D268" i="1"/>
  <c r="C268" i="1"/>
  <c r="B268" i="1"/>
  <c r="A268" i="1"/>
  <c r="J267" i="1"/>
  <c r="I267" i="1"/>
  <c r="H267" i="1"/>
  <c r="G267" i="1"/>
  <c r="F267" i="1"/>
  <c r="E267" i="1"/>
  <c r="D267" i="1"/>
  <c r="C267" i="1"/>
  <c r="B267" i="1"/>
  <c r="A267" i="1"/>
  <c r="J266" i="1"/>
  <c r="I266" i="1"/>
  <c r="H266" i="1"/>
  <c r="G266" i="1"/>
  <c r="E266" i="1"/>
  <c r="D266" i="1"/>
  <c r="C266" i="1"/>
  <c r="B266" i="1"/>
  <c r="A266" i="1"/>
  <c r="J265" i="1"/>
  <c r="I265" i="1"/>
  <c r="H265" i="1"/>
  <c r="G265" i="1"/>
  <c r="E265" i="1"/>
  <c r="D265" i="1"/>
  <c r="C265" i="1"/>
  <c r="B265" i="1"/>
  <c r="A265" i="1"/>
  <c r="J264" i="1"/>
  <c r="I264" i="1"/>
  <c r="H264" i="1"/>
  <c r="G264" i="1"/>
  <c r="E264" i="1"/>
  <c r="D264" i="1"/>
  <c r="C264" i="1"/>
  <c r="B264" i="1"/>
  <c r="A264" i="1"/>
  <c r="J263" i="1"/>
  <c r="I263" i="1"/>
  <c r="H263" i="1"/>
  <c r="G263" i="1"/>
  <c r="E263" i="1"/>
  <c r="D263" i="1"/>
  <c r="C263" i="1"/>
  <c r="B263" i="1"/>
  <c r="A263" i="1"/>
  <c r="J262" i="1"/>
  <c r="I262" i="1"/>
  <c r="H262" i="1"/>
  <c r="G262" i="1"/>
  <c r="E262" i="1"/>
  <c r="D262" i="1"/>
  <c r="C262" i="1"/>
  <c r="B262" i="1"/>
  <c r="A262" i="1"/>
  <c r="J261" i="1"/>
  <c r="I261" i="1"/>
  <c r="H261" i="1"/>
  <c r="G261" i="1"/>
  <c r="F261" i="1"/>
  <c r="E261" i="1"/>
  <c r="D261" i="1"/>
  <c r="C261" i="1"/>
  <c r="B261" i="1"/>
  <c r="A261" i="1"/>
  <c r="J260" i="1"/>
  <c r="I260" i="1"/>
  <c r="H260" i="1"/>
  <c r="G260" i="1"/>
  <c r="F260" i="1"/>
  <c r="E260" i="1"/>
  <c r="D260" i="1"/>
  <c r="C260" i="1"/>
  <c r="B260" i="1"/>
  <c r="A260" i="1"/>
  <c r="J259" i="1"/>
  <c r="I259" i="1"/>
  <c r="H259" i="1"/>
  <c r="G259" i="1"/>
  <c r="E259" i="1"/>
  <c r="D259" i="1"/>
  <c r="C259" i="1"/>
  <c r="B259" i="1"/>
  <c r="A259" i="1"/>
  <c r="J258" i="1"/>
  <c r="I258" i="1"/>
  <c r="H258" i="1"/>
  <c r="G258" i="1"/>
  <c r="F258" i="1"/>
  <c r="E258" i="1"/>
  <c r="D258" i="1"/>
  <c r="C258" i="1"/>
  <c r="B258" i="1"/>
  <c r="A258" i="1"/>
  <c r="J257" i="1"/>
  <c r="I257" i="1"/>
  <c r="H257" i="1"/>
  <c r="G257" i="1"/>
  <c r="F257" i="1"/>
  <c r="E257" i="1"/>
  <c r="D257" i="1"/>
  <c r="C257" i="1"/>
  <c r="B257" i="1"/>
  <c r="A257" i="1"/>
  <c r="J256" i="1"/>
  <c r="I256" i="1"/>
  <c r="H256" i="1"/>
  <c r="G256" i="1"/>
  <c r="F256" i="1"/>
  <c r="E256" i="1"/>
  <c r="D256" i="1"/>
  <c r="C256" i="1"/>
  <c r="B256" i="1"/>
  <c r="A256" i="1"/>
  <c r="J255" i="1"/>
  <c r="I255" i="1"/>
  <c r="H255" i="1"/>
  <c r="G255" i="1"/>
  <c r="E255" i="1"/>
  <c r="D255" i="1"/>
  <c r="C255" i="1"/>
  <c r="B255" i="1"/>
  <c r="A255" i="1"/>
  <c r="J254" i="1"/>
  <c r="I254" i="1"/>
  <c r="H254" i="1"/>
  <c r="G254" i="1"/>
  <c r="E254" i="1"/>
  <c r="D254" i="1"/>
  <c r="C254" i="1"/>
  <c r="B254" i="1"/>
  <c r="A254" i="1"/>
  <c r="J253" i="1"/>
  <c r="I253" i="1"/>
  <c r="H253" i="1"/>
  <c r="G253" i="1"/>
  <c r="F253" i="1"/>
  <c r="E253" i="1"/>
  <c r="D253" i="1"/>
  <c r="C253" i="1"/>
  <c r="B253" i="1"/>
  <c r="A253" i="1"/>
  <c r="J252" i="1"/>
  <c r="I252" i="1"/>
  <c r="H252" i="1"/>
  <c r="G252" i="1"/>
  <c r="F252" i="1"/>
  <c r="E252" i="1"/>
  <c r="D252" i="1"/>
  <c r="C252" i="1"/>
  <c r="B252" i="1"/>
  <c r="A252" i="1"/>
  <c r="J251" i="1"/>
  <c r="I251" i="1"/>
  <c r="H251" i="1"/>
  <c r="G251" i="1"/>
  <c r="F251" i="1"/>
  <c r="E251" i="1"/>
  <c r="D251" i="1"/>
  <c r="C251" i="1"/>
  <c r="B251" i="1"/>
  <c r="A251" i="1"/>
  <c r="J250" i="1"/>
  <c r="I250" i="1"/>
  <c r="H250" i="1"/>
  <c r="G250" i="1"/>
  <c r="F250" i="1"/>
  <c r="E250" i="1"/>
  <c r="D250" i="1"/>
  <c r="C250" i="1"/>
  <c r="B250" i="1"/>
  <c r="A250" i="1"/>
  <c r="J249" i="1"/>
  <c r="I249" i="1"/>
  <c r="H249" i="1"/>
  <c r="G249" i="1"/>
  <c r="E249" i="1"/>
  <c r="D249" i="1"/>
  <c r="C249" i="1"/>
  <c r="B249" i="1"/>
  <c r="A249" i="1"/>
  <c r="J248" i="1"/>
  <c r="I248" i="1"/>
  <c r="H248" i="1"/>
  <c r="G248" i="1"/>
  <c r="F248" i="1"/>
  <c r="E248" i="1"/>
  <c r="D248" i="1"/>
  <c r="C248" i="1"/>
  <c r="B248" i="1"/>
  <c r="A248" i="1"/>
  <c r="J247" i="1"/>
  <c r="I247" i="1"/>
  <c r="H247" i="1"/>
  <c r="G247" i="1"/>
  <c r="F247" i="1"/>
  <c r="E247" i="1"/>
  <c r="C247" i="1"/>
  <c r="B247" i="1"/>
  <c r="A247" i="1"/>
  <c r="J246" i="1"/>
  <c r="I246" i="1"/>
  <c r="H246" i="1"/>
  <c r="G246" i="1"/>
  <c r="E246" i="1"/>
  <c r="D246" i="1"/>
  <c r="C246" i="1"/>
  <c r="B246" i="1"/>
  <c r="A246" i="1"/>
  <c r="J245" i="1"/>
  <c r="I245" i="1"/>
  <c r="H245" i="1"/>
  <c r="G245" i="1"/>
  <c r="F245" i="1"/>
  <c r="E245" i="1"/>
  <c r="D245" i="1"/>
  <c r="C245" i="1"/>
  <c r="B245" i="1"/>
  <c r="A245" i="1"/>
  <c r="J244" i="1"/>
  <c r="I244" i="1"/>
  <c r="H244" i="1"/>
  <c r="G244" i="1"/>
  <c r="F244" i="1"/>
  <c r="E244" i="1"/>
  <c r="D244" i="1"/>
  <c r="C244" i="1"/>
  <c r="B244" i="1"/>
  <c r="A244" i="1"/>
  <c r="J243" i="1"/>
  <c r="I243" i="1"/>
  <c r="H243" i="1"/>
  <c r="G243" i="1"/>
  <c r="F243" i="1"/>
  <c r="E243" i="1"/>
  <c r="D243" i="1"/>
  <c r="C243" i="1"/>
  <c r="B243" i="1"/>
  <c r="A243" i="1"/>
  <c r="J242" i="1"/>
  <c r="I242" i="1"/>
  <c r="H242" i="1"/>
  <c r="G242" i="1"/>
  <c r="F242" i="1"/>
  <c r="E242" i="1"/>
  <c r="D242" i="1"/>
  <c r="C242" i="1"/>
  <c r="B242" i="1"/>
  <c r="A242" i="1"/>
  <c r="J241" i="1"/>
  <c r="I241" i="1"/>
  <c r="H241" i="1"/>
  <c r="G241" i="1"/>
  <c r="F241" i="1"/>
  <c r="E241" i="1"/>
  <c r="D241" i="1"/>
  <c r="C241" i="1"/>
  <c r="B241" i="1"/>
  <c r="A241" i="1"/>
  <c r="J240" i="1"/>
  <c r="I240" i="1"/>
  <c r="H240" i="1"/>
  <c r="G240" i="1"/>
  <c r="F240" i="1"/>
  <c r="E240" i="1"/>
  <c r="D240" i="1"/>
  <c r="C240" i="1"/>
  <c r="B240" i="1"/>
  <c r="A240" i="1"/>
  <c r="J239" i="1"/>
  <c r="I239" i="1"/>
  <c r="H239" i="1"/>
  <c r="G239" i="1"/>
  <c r="F239" i="1"/>
  <c r="E239" i="1"/>
  <c r="D239" i="1"/>
  <c r="C239" i="1"/>
  <c r="B239" i="1"/>
  <c r="A239" i="1"/>
  <c r="J238" i="1"/>
  <c r="I238" i="1"/>
  <c r="H238" i="1"/>
  <c r="G238" i="1"/>
  <c r="E238" i="1"/>
  <c r="D238" i="1"/>
  <c r="C238" i="1"/>
  <c r="B238" i="1"/>
  <c r="A238" i="1"/>
  <c r="J237" i="1"/>
  <c r="I237" i="1"/>
  <c r="H237" i="1"/>
  <c r="G237" i="1"/>
  <c r="F237" i="1"/>
  <c r="E237" i="1"/>
  <c r="D237" i="1"/>
  <c r="C237" i="1"/>
  <c r="B237" i="1"/>
  <c r="A237" i="1"/>
  <c r="J236" i="1"/>
  <c r="I236" i="1"/>
  <c r="H236" i="1"/>
  <c r="G236" i="1"/>
  <c r="E236" i="1"/>
  <c r="D236" i="1"/>
  <c r="C236" i="1"/>
  <c r="B236" i="1"/>
  <c r="A236" i="1"/>
  <c r="J235" i="1"/>
  <c r="I235" i="1"/>
  <c r="H235" i="1"/>
  <c r="G235" i="1"/>
  <c r="F235" i="1"/>
  <c r="E235" i="1"/>
  <c r="D235" i="1"/>
  <c r="C235" i="1"/>
  <c r="B235" i="1"/>
  <c r="A235" i="1"/>
  <c r="J234" i="1"/>
  <c r="I234" i="1"/>
  <c r="H234" i="1"/>
  <c r="G234" i="1"/>
  <c r="F234" i="1"/>
  <c r="E234" i="1"/>
  <c r="D234" i="1"/>
  <c r="C234" i="1"/>
  <c r="B234" i="1"/>
  <c r="A234" i="1"/>
  <c r="J233" i="1"/>
  <c r="I233" i="1"/>
  <c r="H233" i="1"/>
  <c r="G233" i="1"/>
  <c r="F233" i="1"/>
  <c r="E233" i="1"/>
  <c r="D233" i="1"/>
  <c r="C233" i="1"/>
  <c r="B233" i="1"/>
  <c r="A233" i="1"/>
  <c r="J232" i="1"/>
  <c r="I232" i="1"/>
  <c r="H232" i="1"/>
  <c r="G232" i="1"/>
  <c r="F232" i="1"/>
  <c r="E232" i="1"/>
  <c r="D232" i="1"/>
  <c r="C232" i="1"/>
  <c r="B232" i="1"/>
  <c r="A232" i="1"/>
  <c r="J231" i="1"/>
  <c r="I231" i="1"/>
  <c r="H231" i="1"/>
  <c r="G231" i="1"/>
  <c r="F231" i="1"/>
  <c r="E231" i="1"/>
  <c r="D231" i="1"/>
  <c r="C231" i="1"/>
  <c r="B231" i="1"/>
  <c r="A231" i="1"/>
  <c r="J230" i="1"/>
  <c r="I230" i="1"/>
  <c r="H230" i="1"/>
  <c r="G230" i="1"/>
  <c r="F230" i="1"/>
  <c r="E230" i="1"/>
  <c r="D230" i="1"/>
  <c r="C230" i="1"/>
  <c r="B230" i="1"/>
  <c r="A230" i="1"/>
  <c r="J229" i="1"/>
  <c r="I229" i="1"/>
  <c r="H229" i="1"/>
  <c r="G229" i="1"/>
  <c r="F229" i="1"/>
  <c r="E229" i="1"/>
  <c r="D229" i="1"/>
  <c r="C229" i="1"/>
  <c r="B229" i="1"/>
  <c r="A229" i="1"/>
  <c r="J228" i="1"/>
  <c r="I228" i="1"/>
  <c r="H228" i="1"/>
  <c r="G228" i="1"/>
  <c r="F228" i="1"/>
  <c r="E228" i="1"/>
  <c r="D228" i="1"/>
  <c r="C228" i="1"/>
  <c r="B228" i="1"/>
  <c r="A228" i="1"/>
  <c r="J227" i="1"/>
  <c r="I227" i="1"/>
  <c r="H227" i="1"/>
  <c r="G227" i="1"/>
  <c r="E227" i="1"/>
  <c r="D227" i="1"/>
  <c r="C227" i="1"/>
  <c r="B227" i="1"/>
  <c r="A227" i="1"/>
  <c r="J226" i="1"/>
  <c r="I226" i="1"/>
  <c r="H226" i="1"/>
  <c r="G226" i="1"/>
  <c r="E226" i="1"/>
  <c r="D226" i="1"/>
  <c r="C226" i="1"/>
  <c r="B226" i="1"/>
  <c r="A226" i="1"/>
  <c r="J225" i="1"/>
  <c r="I225" i="1"/>
  <c r="H225" i="1"/>
  <c r="G225" i="1"/>
  <c r="E225" i="1"/>
  <c r="D225" i="1"/>
  <c r="C225" i="1"/>
  <c r="B225" i="1"/>
  <c r="A225" i="1"/>
  <c r="J224" i="1"/>
  <c r="I224" i="1"/>
  <c r="H224" i="1"/>
  <c r="G224" i="1"/>
  <c r="E224" i="1"/>
  <c r="D224" i="1"/>
  <c r="C224" i="1"/>
  <c r="B224" i="1"/>
  <c r="A224" i="1"/>
  <c r="J223" i="1"/>
  <c r="I223" i="1"/>
  <c r="H223" i="1"/>
  <c r="G223" i="1"/>
  <c r="F223" i="1"/>
  <c r="E223" i="1"/>
  <c r="D223" i="1"/>
  <c r="C223" i="1"/>
  <c r="B223" i="1"/>
  <c r="A223" i="1"/>
  <c r="J222" i="1"/>
  <c r="I222" i="1"/>
  <c r="H222" i="1"/>
  <c r="G222" i="1"/>
  <c r="E222" i="1"/>
  <c r="D222" i="1"/>
  <c r="C222" i="1"/>
  <c r="B222" i="1"/>
  <c r="A222" i="1"/>
  <c r="J221" i="1"/>
  <c r="I221" i="1"/>
  <c r="H221" i="1"/>
  <c r="G221" i="1"/>
  <c r="E221" i="1"/>
  <c r="D221" i="1"/>
  <c r="C221" i="1"/>
  <c r="B221" i="1"/>
  <c r="A221" i="1"/>
  <c r="J220" i="1"/>
  <c r="I220" i="1"/>
  <c r="H220" i="1"/>
  <c r="G220" i="1"/>
  <c r="F220" i="1"/>
  <c r="E220" i="1"/>
  <c r="D220" i="1"/>
  <c r="C220" i="1"/>
  <c r="B220" i="1"/>
  <c r="A220" i="1"/>
  <c r="J219" i="1"/>
  <c r="I219" i="1"/>
  <c r="H219" i="1"/>
  <c r="G219" i="1"/>
  <c r="F219" i="1"/>
  <c r="E219" i="1"/>
  <c r="D219" i="1"/>
  <c r="C219" i="1"/>
  <c r="B219" i="1"/>
  <c r="A219" i="1"/>
  <c r="J218" i="1"/>
  <c r="I218" i="1"/>
  <c r="H218" i="1"/>
  <c r="G218" i="1"/>
  <c r="F218" i="1"/>
  <c r="E218" i="1"/>
  <c r="D218" i="1"/>
  <c r="C218" i="1"/>
  <c r="B218" i="1"/>
  <c r="A218" i="1"/>
  <c r="J217" i="1"/>
  <c r="I217" i="1"/>
  <c r="H217" i="1"/>
  <c r="G217" i="1"/>
  <c r="F217" i="1"/>
  <c r="E217" i="1"/>
  <c r="D217" i="1"/>
  <c r="C217" i="1"/>
  <c r="B217" i="1"/>
  <c r="A217" i="1"/>
  <c r="J216" i="1"/>
  <c r="I216" i="1"/>
  <c r="H216" i="1"/>
  <c r="G216" i="1"/>
  <c r="F216" i="1"/>
  <c r="E216" i="1"/>
  <c r="D216" i="1"/>
  <c r="C216" i="1"/>
  <c r="B216" i="1"/>
  <c r="A216" i="1"/>
  <c r="J215" i="1"/>
  <c r="I215" i="1"/>
  <c r="H215" i="1"/>
  <c r="G215" i="1"/>
  <c r="F215" i="1"/>
  <c r="E215" i="1"/>
  <c r="D215" i="1"/>
  <c r="C215" i="1"/>
  <c r="B215" i="1"/>
  <c r="A215" i="1"/>
  <c r="J214" i="1"/>
  <c r="I214" i="1"/>
  <c r="H214" i="1"/>
  <c r="G214" i="1"/>
  <c r="F214" i="1"/>
  <c r="E214" i="1"/>
  <c r="D214" i="1"/>
  <c r="C214" i="1"/>
  <c r="B214" i="1"/>
  <c r="A214" i="1"/>
  <c r="J213" i="1"/>
  <c r="I213" i="1"/>
  <c r="H213" i="1"/>
  <c r="G213" i="1"/>
  <c r="F213" i="1"/>
  <c r="E213" i="1"/>
  <c r="D213" i="1"/>
  <c r="C213" i="1"/>
  <c r="B213" i="1"/>
  <c r="A213" i="1"/>
  <c r="J212" i="1"/>
  <c r="I212" i="1"/>
  <c r="H212" i="1"/>
  <c r="G212" i="1"/>
  <c r="E212" i="1"/>
  <c r="D212" i="1"/>
  <c r="C212" i="1"/>
  <c r="B212" i="1"/>
  <c r="A212" i="1"/>
  <c r="J211" i="1"/>
  <c r="I211" i="1"/>
  <c r="H211" i="1"/>
  <c r="G211" i="1"/>
  <c r="F211" i="1"/>
  <c r="E211" i="1"/>
  <c r="D211" i="1"/>
  <c r="C211" i="1"/>
  <c r="B211" i="1"/>
  <c r="A211" i="1"/>
  <c r="J210" i="1"/>
  <c r="I210" i="1"/>
  <c r="H210" i="1"/>
  <c r="G210" i="1"/>
  <c r="F210" i="1"/>
  <c r="E210" i="1"/>
  <c r="D210" i="1"/>
  <c r="C210" i="1"/>
  <c r="B210" i="1"/>
  <c r="A210" i="1"/>
  <c r="J209" i="1"/>
  <c r="I209" i="1"/>
  <c r="H209" i="1"/>
  <c r="G209" i="1"/>
  <c r="E209" i="1"/>
  <c r="D209" i="1"/>
  <c r="C209" i="1"/>
  <c r="B209" i="1"/>
  <c r="A209" i="1"/>
  <c r="J208" i="1"/>
  <c r="I208" i="1"/>
  <c r="H208" i="1"/>
  <c r="G208" i="1"/>
  <c r="F208" i="1"/>
  <c r="E208" i="1"/>
  <c r="D208" i="1"/>
  <c r="C208" i="1"/>
  <c r="B208" i="1"/>
  <c r="A208" i="1"/>
  <c r="J207" i="1"/>
  <c r="I207" i="1"/>
  <c r="H207" i="1"/>
  <c r="G207" i="1"/>
  <c r="F207" i="1"/>
  <c r="E207" i="1"/>
  <c r="D207" i="1"/>
  <c r="C207" i="1"/>
  <c r="B207" i="1"/>
  <c r="A207" i="1"/>
  <c r="J206" i="1"/>
  <c r="I206" i="1"/>
  <c r="H206" i="1"/>
  <c r="G206" i="1"/>
  <c r="F206" i="1"/>
  <c r="E206" i="1"/>
  <c r="D206" i="1"/>
  <c r="C206" i="1"/>
  <c r="B206" i="1"/>
  <c r="A206" i="1"/>
  <c r="J205" i="1"/>
  <c r="I205" i="1"/>
  <c r="H205" i="1"/>
  <c r="G205" i="1"/>
  <c r="E205" i="1"/>
  <c r="D205" i="1"/>
  <c r="C205" i="1"/>
  <c r="B205" i="1"/>
  <c r="A205" i="1"/>
  <c r="J204" i="1"/>
  <c r="I204" i="1"/>
  <c r="H204" i="1"/>
  <c r="G204" i="1"/>
  <c r="E204" i="1"/>
  <c r="D204" i="1"/>
  <c r="C204" i="1"/>
  <c r="B204" i="1"/>
  <c r="A204" i="1"/>
  <c r="J203" i="1"/>
  <c r="I203" i="1"/>
  <c r="H203" i="1"/>
  <c r="G203" i="1"/>
  <c r="F203" i="1"/>
  <c r="E203" i="1"/>
  <c r="D203" i="1"/>
  <c r="C203" i="1"/>
  <c r="B203" i="1"/>
  <c r="A203" i="1"/>
  <c r="J202" i="1"/>
  <c r="I202" i="1"/>
  <c r="H202" i="1"/>
  <c r="G202" i="1"/>
  <c r="F202" i="1"/>
  <c r="E202" i="1"/>
  <c r="D202" i="1"/>
  <c r="C202" i="1"/>
  <c r="B202" i="1"/>
  <c r="A202" i="1"/>
  <c r="J201" i="1"/>
  <c r="I201" i="1"/>
  <c r="H201" i="1"/>
  <c r="G201" i="1"/>
  <c r="F201" i="1"/>
  <c r="E201" i="1"/>
  <c r="D201" i="1"/>
  <c r="C201" i="1"/>
  <c r="B201" i="1"/>
  <c r="A201" i="1"/>
  <c r="J200" i="1"/>
  <c r="I200" i="1"/>
  <c r="H200" i="1"/>
  <c r="G200" i="1"/>
  <c r="E200" i="1"/>
  <c r="D200" i="1"/>
  <c r="C200" i="1"/>
  <c r="B200" i="1"/>
  <c r="A200" i="1"/>
  <c r="J199" i="1"/>
  <c r="I199" i="1"/>
  <c r="H199" i="1"/>
  <c r="G199" i="1"/>
  <c r="F199" i="1"/>
  <c r="E199" i="1"/>
  <c r="D199" i="1"/>
  <c r="C199" i="1"/>
  <c r="B199" i="1"/>
  <c r="A199" i="1"/>
  <c r="J198" i="1"/>
  <c r="I198" i="1"/>
  <c r="H198" i="1"/>
  <c r="G198" i="1"/>
  <c r="F198" i="1"/>
  <c r="E198" i="1"/>
  <c r="D198" i="1"/>
  <c r="C198" i="1"/>
  <c r="B198" i="1"/>
  <c r="A198" i="1"/>
  <c r="J197" i="1"/>
  <c r="I197" i="1"/>
  <c r="H197" i="1"/>
  <c r="G197" i="1"/>
  <c r="F197" i="1"/>
  <c r="E197" i="1"/>
  <c r="D197" i="1"/>
  <c r="C197" i="1"/>
  <c r="B197" i="1"/>
  <c r="A197" i="1"/>
  <c r="J196" i="1"/>
  <c r="I196" i="1"/>
  <c r="H196" i="1"/>
  <c r="G196" i="1"/>
  <c r="F196" i="1"/>
  <c r="E196" i="1"/>
  <c r="D196" i="1"/>
  <c r="C196" i="1"/>
  <c r="B196" i="1"/>
  <c r="A196" i="1"/>
  <c r="J195" i="1"/>
  <c r="I195" i="1"/>
  <c r="H195" i="1"/>
  <c r="G195" i="1"/>
  <c r="E195" i="1"/>
  <c r="D195" i="1"/>
  <c r="C195" i="1"/>
  <c r="B195" i="1"/>
  <c r="A195" i="1"/>
  <c r="J194" i="1"/>
  <c r="I194" i="1"/>
  <c r="H194" i="1"/>
  <c r="G194" i="1"/>
  <c r="F194" i="1"/>
  <c r="E194" i="1"/>
  <c r="D194" i="1"/>
  <c r="C194" i="1"/>
  <c r="B194" i="1"/>
  <c r="A194" i="1"/>
  <c r="J193" i="1"/>
  <c r="I193" i="1"/>
  <c r="H193" i="1"/>
  <c r="G193" i="1"/>
  <c r="F193" i="1"/>
  <c r="E193" i="1"/>
  <c r="D193" i="1"/>
  <c r="C193" i="1"/>
  <c r="B193" i="1"/>
  <c r="A193" i="1"/>
  <c r="J192" i="1"/>
  <c r="I192" i="1"/>
  <c r="H192" i="1"/>
  <c r="G192" i="1"/>
  <c r="F192" i="1"/>
  <c r="E192" i="1"/>
  <c r="D192" i="1"/>
  <c r="C192" i="1"/>
  <c r="B192" i="1"/>
  <c r="A192" i="1"/>
  <c r="J191" i="1"/>
  <c r="I191" i="1"/>
  <c r="H191" i="1"/>
  <c r="G191" i="1"/>
  <c r="F191" i="1"/>
  <c r="E191" i="1"/>
  <c r="D191" i="1"/>
  <c r="C191" i="1"/>
  <c r="B191" i="1"/>
  <c r="A191" i="1"/>
  <c r="J190" i="1"/>
  <c r="I190" i="1"/>
  <c r="H190" i="1"/>
  <c r="G190" i="1"/>
  <c r="F190" i="1"/>
  <c r="E190" i="1"/>
  <c r="D190" i="1"/>
  <c r="C190" i="1"/>
  <c r="B190" i="1"/>
  <c r="A190" i="1"/>
  <c r="J189" i="1"/>
  <c r="I189" i="1"/>
  <c r="H189" i="1"/>
  <c r="G189" i="1"/>
  <c r="F189" i="1"/>
  <c r="E189" i="1"/>
  <c r="D189" i="1"/>
  <c r="C189" i="1"/>
  <c r="B189" i="1"/>
  <c r="A189" i="1"/>
  <c r="J188" i="1"/>
  <c r="I188" i="1"/>
  <c r="H188" i="1"/>
  <c r="G188" i="1"/>
  <c r="F188" i="1"/>
  <c r="E188" i="1"/>
  <c r="D188" i="1"/>
  <c r="C188" i="1"/>
  <c r="B188" i="1"/>
  <c r="A188" i="1"/>
  <c r="J187" i="1"/>
  <c r="I187" i="1"/>
  <c r="H187" i="1"/>
  <c r="G187" i="1"/>
  <c r="F187" i="1"/>
  <c r="E187" i="1"/>
  <c r="D187" i="1"/>
  <c r="C187" i="1"/>
  <c r="B187" i="1"/>
  <c r="A187" i="1"/>
  <c r="J186" i="1"/>
  <c r="I186" i="1"/>
  <c r="H186" i="1"/>
  <c r="G186" i="1"/>
  <c r="F186" i="1"/>
  <c r="E186" i="1"/>
  <c r="D186" i="1"/>
  <c r="C186" i="1"/>
  <c r="B186" i="1"/>
  <c r="A186" i="1"/>
  <c r="J185" i="1"/>
  <c r="I185" i="1"/>
  <c r="H185" i="1"/>
  <c r="G185" i="1"/>
  <c r="F185" i="1"/>
  <c r="E185" i="1"/>
  <c r="D185" i="1"/>
  <c r="C185" i="1"/>
  <c r="B185" i="1"/>
  <c r="A185" i="1"/>
  <c r="J184" i="1"/>
  <c r="I184" i="1"/>
  <c r="H184" i="1"/>
  <c r="G184" i="1"/>
  <c r="F184" i="1"/>
  <c r="E184" i="1"/>
  <c r="D184" i="1"/>
  <c r="C184" i="1"/>
  <c r="B184" i="1"/>
  <c r="A184" i="1"/>
  <c r="J183" i="1"/>
  <c r="I183" i="1"/>
  <c r="H183" i="1"/>
  <c r="G183" i="1"/>
  <c r="F183" i="1"/>
  <c r="E183" i="1"/>
  <c r="D183" i="1"/>
  <c r="C183" i="1"/>
  <c r="B183" i="1"/>
  <c r="A183" i="1"/>
  <c r="J182" i="1"/>
  <c r="I182" i="1"/>
  <c r="H182" i="1"/>
  <c r="G182" i="1"/>
  <c r="F182" i="1"/>
  <c r="E182" i="1"/>
  <c r="D182" i="1"/>
  <c r="C182" i="1"/>
  <c r="B182" i="1"/>
  <c r="A182" i="1"/>
  <c r="J181" i="1"/>
  <c r="I181" i="1"/>
  <c r="H181" i="1"/>
  <c r="G181" i="1"/>
  <c r="F181" i="1"/>
  <c r="E181" i="1"/>
  <c r="D181" i="1"/>
  <c r="C181" i="1"/>
  <c r="B181" i="1"/>
  <c r="A181" i="1"/>
  <c r="J180" i="1"/>
  <c r="I180" i="1"/>
  <c r="H180" i="1"/>
  <c r="G180" i="1"/>
  <c r="F180" i="1"/>
  <c r="E180" i="1"/>
  <c r="D180" i="1"/>
  <c r="C180" i="1"/>
  <c r="B180" i="1"/>
  <c r="A180" i="1"/>
  <c r="J179" i="1"/>
  <c r="I179" i="1"/>
  <c r="H179" i="1"/>
  <c r="G179" i="1"/>
  <c r="F179" i="1"/>
  <c r="E179" i="1"/>
  <c r="D179" i="1"/>
  <c r="C179" i="1"/>
  <c r="B179" i="1"/>
  <c r="A179" i="1"/>
  <c r="J178" i="1"/>
  <c r="I178" i="1"/>
  <c r="H178" i="1"/>
  <c r="G178" i="1"/>
  <c r="F178" i="1"/>
  <c r="E178" i="1"/>
  <c r="D178" i="1"/>
  <c r="C178" i="1"/>
  <c r="B178" i="1"/>
  <c r="A178" i="1"/>
  <c r="J177" i="1"/>
  <c r="I177" i="1"/>
  <c r="H177" i="1"/>
  <c r="G177" i="1"/>
  <c r="F177" i="1"/>
  <c r="E177" i="1"/>
  <c r="D177" i="1"/>
  <c r="C177" i="1"/>
  <c r="B177" i="1"/>
  <c r="A177" i="1"/>
  <c r="J176" i="1"/>
  <c r="I176" i="1"/>
  <c r="H176" i="1"/>
  <c r="G176" i="1"/>
  <c r="F176" i="1"/>
  <c r="E176" i="1"/>
  <c r="D176" i="1"/>
  <c r="C176" i="1"/>
  <c r="B176" i="1"/>
  <c r="A176" i="1"/>
  <c r="J175" i="1"/>
  <c r="I175" i="1"/>
  <c r="H175" i="1"/>
  <c r="G175" i="1"/>
  <c r="F175" i="1"/>
  <c r="E175" i="1"/>
  <c r="D175" i="1"/>
  <c r="C175" i="1"/>
  <c r="B175" i="1"/>
  <c r="A175" i="1"/>
  <c r="J174" i="1"/>
  <c r="I174" i="1"/>
  <c r="H174" i="1"/>
  <c r="G174" i="1"/>
  <c r="F174" i="1"/>
  <c r="E174" i="1"/>
  <c r="D174" i="1"/>
  <c r="C174" i="1"/>
  <c r="B174" i="1"/>
  <c r="A174" i="1"/>
  <c r="J173" i="1"/>
  <c r="I173" i="1"/>
  <c r="H173" i="1"/>
  <c r="G173" i="1"/>
  <c r="F173" i="1"/>
  <c r="E173" i="1"/>
  <c r="D173" i="1"/>
  <c r="C173" i="1"/>
  <c r="B173" i="1"/>
  <c r="A173" i="1"/>
  <c r="J172" i="1"/>
  <c r="I172" i="1"/>
  <c r="H172" i="1"/>
  <c r="G172" i="1"/>
  <c r="F172" i="1"/>
  <c r="E172" i="1"/>
  <c r="D172" i="1"/>
  <c r="C172" i="1"/>
  <c r="B172" i="1"/>
  <c r="A172" i="1"/>
  <c r="J171" i="1"/>
  <c r="I171" i="1"/>
  <c r="H171" i="1"/>
  <c r="G171" i="1"/>
  <c r="F171" i="1"/>
  <c r="E171" i="1"/>
  <c r="D171" i="1"/>
  <c r="C171" i="1"/>
  <c r="B171" i="1"/>
  <c r="A171" i="1"/>
  <c r="J170" i="1"/>
  <c r="I170" i="1"/>
  <c r="H170" i="1"/>
  <c r="G170" i="1"/>
  <c r="F170" i="1"/>
  <c r="E170" i="1"/>
  <c r="D170" i="1"/>
  <c r="C170" i="1"/>
  <c r="B170" i="1"/>
  <c r="A170" i="1"/>
  <c r="J169" i="1"/>
  <c r="I169" i="1"/>
  <c r="H169" i="1"/>
  <c r="G169" i="1"/>
  <c r="E169" i="1"/>
  <c r="D169" i="1"/>
  <c r="C169" i="1"/>
  <c r="B169" i="1"/>
  <c r="A169" i="1"/>
  <c r="J168" i="1"/>
  <c r="I168" i="1"/>
  <c r="H168" i="1"/>
  <c r="G168" i="1"/>
  <c r="F168" i="1"/>
  <c r="E168" i="1"/>
  <c r="D168" i="1"/>
  <c r="C168" i="1"/>
  <c r="B168" i="1"/>
  <c r="A168" i="1"/>
  <c r="J167" i="1"/>
  <c r="I167" i="1"/>
  <c r="H167" i="1"/>
  <c r="G167" i="1"/>
  <c r="F167" i="1"/>
  <c r="E167" i="1"/>
  <c r="D167" i="1"/>
  <c r="C167" i="1"/>
  <c r="B167" i="1"/>
  <c r="A167" i="1"/>
  <c r="J166" i="1"/>
  <c r="I166" i="1"/>
  <c r="H166" i="1"/>
  <c r="G166" i="1"/>
  <c r="F166" i="1"/>
  <c r="E166" i="1"/>
  <c r="D166" i="1"/>
  <c r="C166" i="1"/>
  <c r="B166" i="1"/>
  <c r="A166" i="1"/>
  <c r="J165" i="1"/>
  <c r="I165" i="1"/>
  <c r="H165" i="1"/>
  <c r="G165" i="1"/>
  <c r="E165" i="1"/>
  <c r="D165" i="1"/>
  <c r="C165" i="1"/>
  <c r="B165" i="1"/>
  <c r="A165" i="1"/>
  <c r="J164" i="1"/>
  <c r="I164" i="1"/>
  <c r="H164" i="1"/>
  <c r="G164" i="1"/>
  <c r="E164" i="1"/>
  <c r="D164" i="1"/>
  <c r="C164" i="1"/>
  <c r="B164" i="1"/>
  <c r="A164" i="1"/>
  <c r="J163" i="1"/>
  <c r="I163" i="1"/>
  <c r="H163" i="1"/>
  <c r="G163" i="1"/>
  <c r="F163" i="1"/>
  <c r="E163" i="1"/>
  <c r="D163" i="1"/>
  <c r="C163" i="1"/>
  <c r="B163" i="1"/>
  <c r="A163" i="1"/>
  <c r="J162" i="1"/>
  <c r="I162" i="1"/>
  <c r="H162" i="1"/>
  <c r="G162" i="1"/>
  <c r="E162" i="1"/>
  <c r="D162" i="1"/>
  <c r="C162" i="1"/>
  <c r="B162" i="1"/>
  <c r="A162" i="1"/>
  <c r="J161" i="1"/>
  <c r="I161" i="1"/>
  <c r="H161" i="1"/>
  <c r="G161" i="1"/>
  <c r="E161" i="1"/>
  <c r="D161" i="1"/>
  <c r="C161" i="1"/>
  <c r="B161" i="1"/>
  <c r="A161" i="1"/>
  <c r="J160" i="1"/>
  <c r="I160" i="1"/>
  <c r="H160" i="1"/>
  <c r="G160" i="1"/>
  <c r="F160" i="1"/>
  <c r="E160" i="1"/>
  <c r="D160" i="1"/>
  <c r="C160" i="1"/>
  <c r="B160" i="1"/>
  <c r="A160" i="1"/>
  <c r="J159" i="1"/>
  <c r="I159" i="1"/>
  <c r="H159" i="1"/>
  <c r="G159" i="1"/>
  <c r="F159" i="1"/>
  <c r="E159" i="1"/>
  <c r="D159" i="1"/>
  <c r="C159" i="1"/>
  <c r="B159" i="1"/>
  <c r="A159" i="1"/>
  <c r="J158" i="1"/>
  <c r="I158" i="1"/>
  <c r="H158" i="1"/>
  <c r="G158" i="1"/>
  <c r="E158" i="1"/>
  <c r="D158" i="1"/>
  <c r="C158" i="1"/>
  <c r="B158" i="1"/>
  <c r="A158" i="1"/>
  <c r="J157" i="1"/>
  <c r="I157" i="1"/>
  <c r="H157" i="1"/>
  <c r="G157" i="1"/>
  <c r="F157" i="1"/>
  <c r="E157" i="1"/>
  <c r="D157" i="1"/>
  <c r="C157" i="1"/>
  <c r="B157" i="1"/>
  <c r="A157" i="1"/>
  <c r="J156" i="1"/>
  <c r="I156" i="1"/>
  <c r="H156" i="1"/>
  <c r="G156" i="1"/>
  <c r="F156" i="1"/>
  <c r="E156" i="1"/>
  <c r="D156" i="1"/>
  <c r="C156" i="1"/>
  <c r="B156" i="1"/>
  <c r="A156" i="1"/>
  <c r="J155" i="1"/>
  <c r="I155" i="1"/>
  <c r="H155" i="1"/>
  <c r="G155" i="1"/>
  <c r="F155" i="1"/>
  <c r="E155" i="1"/>
  <c r="D155" i="1"/>
  <c r="C155" i="1"/>
  <c r="B155" i="1"/>
  <c r="A155" i="1"/>
  <c r="J154" i="1"/>
  <c r="I154" i="1"/>
  <c r="H154" i="1"/>
  <c r="G154" i="1"/>
  <c r="F154" i="1"/>
  <c r="E154" i="1"/>
  <c r="D154" i="1"/>
  <c r="C154" i="1"/>
  <c r="B154" i="1"/>
  <c r="A154" i="1"/>
  <c r="J153" i="1"/>
  <c r="I153" i="1"/>
  <c r="H153" i="1"/>
  <c r="G153" i="1"/>
  <c r="F153" i="1"/>
  <c r="E153" i="1"/>
  <c r="D153" i="1"/>
  <c r="C153" i="1"/>
  <c r="B153" i="1"/>
  <c r="A153" i="1"/>
  <c r="J152" i="1"/>
  <c r="I152" i="1"/>
  <c r="H152" i="1"/>
  <c r="G152" i="1"/>
  <c r="F152" i="1"/>
  <c r="E152" i="1"/>
  <c r="D152" i="1"/>
  <c r="C152" i="1"/>
  <c r="B152" i="1"/>
  <c r="A152" i="1"/>
  <c r="J151" i="1"/>
  <c r="I151" i="1"/>
  <c r="H151" i="1"/>
  <c r="G151" i="1"/>
  <c r="F151" i="1"/>
  <c r="E151" i="1"/>
  <c r="D151" i="1"/>
  <c r="C151" i="1"/>
  <c r="B151" i="1"/>
  <c r="A151" i="1"/>
  <c r="J150" i="1"/>
  <c r="I150" i="1"/>
  <c r="H150" i="1"/>
  <c r="G150" i="1"/>
  <c r="F150" i="1"/>
  <c r="E150" i="1"/>
  <c r="D150" i="1"/>
  <c r="C150" i="1"/>
  <c r="B150" i="1"/>
  <c r="A150" i="1"/>
  <c r="J149" i="1"/>
  <c r="I149" i="1"/>
  <c r="H149" i="1"/>
  <c r="G149" i="1"/>
  <c r="F149" i="1"/>
  <c r="E149" i="1"/>
  <c r="D149" i="1"/>
  <c r="C149" i="1"/>
  <c r="B149" i="1"/>
  <c r="A149" i="1"/>
  <c r="J148" i="1"/>
  <c r="I148" i="1"/>
  <c r="H148" i="1"/>
  <c r="G148" i="1"/>
  <c r="F148" i="1"/>
  <c r="E148" i="1"/>
  <c r="D148" i="1"/>
  <c r="C148" i="1"/>
  <c r="B148" i="1"/>
  <c r="A148" i="1"/>
  <c r="J147" i="1"/>
  <c r="I147" i="1"/>
  <c r="H147" i="1"/>
  <c r="G147" i="1"/>
  <c r="F147" i="1"/>
  <c r="E147" i="1"/>
  <c r="D147" i="1"/>
  <c r="C147" i="1"/>
  <c r="B147" i="1"/>
  <c r="A147" i="1"/>
  <c r="J146" i="1"/>
  <c r="I146" i="1"/>
  <c r="H146" i="1"/>
  <c r="G146" i="1"/>
  <c r="F146" i="1"/>
  <c r="E146" i="1"/>
  <c r="D146" i="1"/>
  <c r="C146" i="1"/>
  <c r="B146" i="1"/>
  <c r="A146" i="1"/>
  <c r="J145" i="1"/>
  <c r="I145" i="1"/>
  <c r="H145" i="1"/>
  <c r="G145" i="1"/>
  <c r="F145" i="1"/>
  <c r="E145" i="1"/>
  <c r="D145" i="1"/>
  <c r="C145" i="1"/>
  <c r="B145" i="1"/>
  <c r="A145" i="1"/>
  <c r="J144" i="1"/>
  <c r="I144" i="1"/>
  <c r="H144" i="1"/>
  <c r="G144" i="1"/>
  <c r="F144" i="1"/>
  <c r="E144" i="1"/>
  <c r="D144" i="1"/>
  <c r="C144" i="1"/>
  <c r="B144" i="1"/>
  <c r="A144" i="1"/>
  <c r="J143" i="1"/>
  <c r="I143" i="1"/>
  <c r="H143" i="1"/>
  <c r="G143" i="1"/>
  <c r="F143" i="1"/>
  <c r="E143" i="1"/>
  <c r="D143" i="1"/>
  <c r="C143" i="1"/>
  <c r="B143" i="1"/>
  <c r="A143" i="1"/>
  <c r="J142" i="1"/>
  <c r="I142" i="1"/>
  <c r="H142" i="1"/>
  <c r="G142" i="1"/>
  <c r="E142" i="1"/>
  <c r="D142" i="1"/>
  <c r="C142" i="1"/>
  <c r="B142" i="1"/>
  <c r="A142" i="1"/>
  <c r="J141" i="1"/>
  <c r="I141" i="1"/>
  <c r="H141" i="1"/>
  <c r="G141" i="1"/>
  <c r="F141" i="1"/>
  <c r="E141" i="1"/>
  <c r="D141" i="1"/>
  <c r="C141" i="1"/>
  <c r="B141" i="1"/>
  <c r="A141" i="1"/>
  <c r="J140" i="1"/>
  <c r="I140" i="1"/>
  <c r="H140" i="1"/>
  <c r="G140" i="1"/>
  <c r="E140" i="1"/>
  <c r="D140" i="1"/>
  <c r="C140" i="1"/>
  <c r="B140" i="1"/>
  <c r="A140" i="1"/>
  <c r="J139" i="1"/>
  <c r="I139" i="1"/>
  <c r="H139" i="1"/>
  <c r="G139" i="1"/>
  <c r="F139" i="1"/>
  <c r="E139" i="1"/>
  <c r="D139" i="1"/>
  <c r="C139" i="1"/>
  <c r="B139" i="1"/>
  <c r="A139" i="1"/>
  <c r="J138" i="1"/>
  <c r="I138" i="1"/>
  <c r="H138" i="1"/>
  <c r="G138" i="1"/>
  <c r="F138" i="1"/>
  <c r="E138" i="1"/>
  <c r="D138" i="1"/>
  <c r="C138" i="1"/>
  <c r="B138" i="1"/>
  <c r="A138" i="1"/>
  <c r="J137" i="1"/>
  <c r="I137" i="1"/>
  <c r="H137" i="1"/>
  <c r="G137" i="1"/>
  <c r="F137" i="1"/>
  <c r="E137" i="1"/>
  <c r="D137" i="1"/>
  <c r="C137" i="1"/>
  <c r="B137" i="1"/>
  <c r="A137" i="1"/>
  <c r="J136" i="1"/>
  <c r="I136" i="1"/>
  <c r="H136" i="1"/>
  <c r="G136" i="1"/>
  <c r="F136" i="1"/>
  <c r="E136" i="1"/>
  <c r="D136" i="1"/>
  <c r="C136" i="1"/>
  <c r="B136" i="1"/>
  <c r="A136" i="1"/>
  <c r="J135" i="1"/>
  <c r="I135" i="1"/>
  <c r="H135" i="1"/>
  <c r="G135" i="1"/>
  <c r="F135" i="1"/>
  <c r="E135" i="1"/>
  <c r="D135" i="1"/>
  <c r="C135" i="1"/>
  <c r="B135" i="1"/>
  <c r="A135" i="1"/>
  <c r="J134" i="1"/>
  <c r="I134" i="1"/>
  <c r="H134" i="1"/>
  <c r="G134" i="1"/>
  <c r="E134" i="1"/>
  <c r="D134" i="1"/>
  <c r="C134" i="1"/>
  <c r="B134" i="1"/>
  <c r="A134" i="1"/>
  <c r="J133" i="1"/>
  <c r="I133" i="1"/>
  <c r="H133" i="1"/>
  <c r="G133" i="1"/>
  <c r="F133" i="1"/>
  <c r="E133" i="1"/>
  <c r="D133" i="1"/>
  <c r="C133" i="1"/>
  <c r="B133" i="1"/>
  <c r="A133" i="1"/>
  <c r="J132" i="1"/>
  <c r="I132" i="1"/>
  <c r="H132" i="1"/>
  <c r="G132" i="1"/>
  <c r="F132" i="1"/>
  <c r="E132" i="1"/>
  <c r="D132" i="1"/>
  <c r="C132" i="1"/>
  <c r="B132" i="1"/>
  <c r="A132" i="1"/>
  <c r="J131" i="1"/>
  <c r="I131" i="1"/>
  <c r="H131" i="1"/>
  <c r="G131" i="1"/>
  <c r="F131" i="1"/>
  <c r="E131" i="1"/>
  <c r="D131" i="1"/>
  <c r="C131" i="1"/>
  <c r="B131" i="1"/>
  <c r="A131" i="1"/>
  <c r="J130" i="1"/>
  <c r="I130" i="1"/>
  <c r="H130" i="1"/>
  <c r="G130" i="1"/>
  <c r="F130" i="1"/>
  <c r="E130" i="1"/>
  <c r="D130" i="1"/>
  <c r="C130" i="1"/>
  <c r="B130" i="1"/>
  <c r="A130" i="1"/>
  <c r="J129" i="1"/>
  <c r="I129" i="1"/>
  <c r="H129" i="1"/>
  <c r="G129" i="1"/>
  <c r="F129" i="1"/>
  <c r="E129" i="1"/>
  <c r="D129" i="1"/>
  <c r="C129" i="1"/>
  <c r="B129" i="1"/>
  <c r="A129" i="1"/>
  <c r="J128" i="1"/>
  <c r="I128" i="1"/>
  <c r="H128" i="1"/>
  <c r="G128" i="1"/>
  <c r="F128" i="1"/>
  <c r="E128" i="1"/>
  <c r="D128" i="1"/>
  <c r="C128" i="1"/>
  <c r="B128" i="1"/>
  <c r="A128" i="1"/>
  <c r="J127" i="1"/>
  <c r="I127" i="1"/>
  <c r="H127" i="1"/>
  <c r="G127" i="1"/>
  <c r="F127" i="1"/>
  <c r="E127" i="1"/>
  <c r="D127" i="1"/>
  <c r="C127" i="1"/>
  <c r="B127" i="1"/>
  <c r="A127" i="1"/>
  <c r="J126" i="1"/>
  <c r="I126" i="1"/>
  <c r="H126" i="1"/>
  <c r="G126" i="1"/>
  <c r="E126" i="1"/>
  <c r="D126" i="1"/>
  <c r="C126" i="1"/>
  <c r="B126" i="1"/>
  <c r="A126" i="1"/>
  <c r="J125" i="1"/>
  <c r="I125" i="1"/>
  <c r="H125" i="1"/>
  <c r="G125" i="1"/>
  <c r="E125" i="1"/>
  <c r="D125" i="1"/>
  <c r="C125" i="1"/>
  <c r="B125" i="1"/>
  <c r="A125" i="1"/>
  <c r="J124" i="1"/>
  <c r="I124" i="1"/>
  <c r="H124" i="1"/>
  <c r="G124" i="1"/>
  <c r="E124" i="1"/>
  <c r="D124" i="1"/>
  <c r="C124" i="1"/>
  <c r="B124" i="1"/>
  <c r="A124" i="1"/>
  <c r="J123" i="1"/>
  <c r="I123" i="1"/>
  <c r="H123" i="1"/>
  <c r="G123" i="1"/>
  <c r="E123" i="1"/>
  <c r="D123" i="1"/>
  <c r="C123" i="1"/>
  <c r="B123" i="1"/>
  <c r="A123" i="1"/>
  <c r="J122" i="1"/>
  <c r="I122" i="1"/>
  <c r="H122" i="1"/>
  <c r="G122" i="1"/>
  <c r="F122" i="1"/>
  <c r="E122" i="1"/>
  <c r="D122" i="1"/>
  <c r="C122" i="1"/>
  <c r="B122" i="1"/>
  <c r="A122" i="1"/>
  <c r="J121" i="1"/>
  <c r="I121" i="1"/>
  <c r="H121" i="1"/>
  <c r="G121" i="1"/>
  <c r="F121" i="1"/>
  <c r="E121" i="1"/>
  <c r="D121" i="1"/>
  <c r="C121" i="1"/>
  <c r="B121" i="1"/>
  <c r="A121" i="1"/>
  <c r="J120" i="1"/>
  <c r="I120" i="1"/>
  <c r="H120" i="1"/>
  <c r="G120" i="1"/>
  <c r="F120" i="1"/>
  <c r="E120" i="1"/>
  <c r="D120" i="1"/>
  <c r="C120" i="1"/>
  <c r="B120" i="1"/>
  <c r="A120" i="1"/>
  <c r="J119" i="1"/>
  <c r="I119" i="1"/>
  <c r="H119" i="1"/>
  <c r="G119" i="1"/>
  <c r="F119" i="1"/>
  <c r="E119" i="1"/>
  <c r="D119" i="1"/>
  <c r="C119" i="1"/>
  <c r="B119" i="1"/>
  <c r="A119" i="1"/>
  <c r="J118" i="1"/>
  <c r="I118" i="1"/>
  <c r="H118" i="1"/>
  <c r="G118" i="1"/>
  <c r="F118" i="1"/>
  <c r="E118" i="1"/>
  <c r="D118" i="1"/>
  <c r="C118" i="1"/>
  <c r="B118" i="1"/>
  <c r="A118" i="1"/>
  <c r="J117" i="1"/>
  <c r="I117" i="1"/>
  <c r="H117" i="1"/>
  <c r="G117" i="1"/>
  <c r="E117" i="1"/>
  <c r="D117" i="1"/>
  <c r="C117" i="1"/>
  <c r="B117" i="1"/>
  <c r="A117" i="1"/>
  <c r="J116" i="1"/>
  <c r="I116" i="1"/>
  <c r="H116" i="1"/>
  <c r="G116" i="1"/>
  <c r="F116" i="1"/>
  <c r="E116" i="1"/>
  <c r="D116" i="1"/>
  <c r="C116" i="1"/>
  <c r="B116" i="1"/>
  <c r="A116" i="1"/>
  <c r="J115" i="1"/>
  <c r="I115" i="1"/>
  <c r="J114" i="1"/>
  <c r="I114" i="1"/>
  <c r="H114" i="1"/>
  <c r="G114" i="1"/>
  <c r="F114" i="1"/>
  <c r="E114" i="1"/>
  <c r="D114" i="1"/>
  <c r="C114" i="1"/>
  <c r="B114" i="1"/>
  <c r="A114" i="1"/>
  <c r="J113" i="1"/>
  <c r="I113" i="1"/>
  <c r="H113" i="1"/>
  <c r="G113" i="1"/>
  <c r="E113" i="1"/>
  <c r="D113" i="1"/>
  <c r="C113" i="1"/>
  <c r="B113" i="1"/>
  <c r="A113" i="1"/>
  <c r="J112" i="1"/>
  <c r="I112" i="1"/>
  <c r="H112" i="1"/>
  <c r="G112" i="1"/>
  <c r="F112" i="1"/>
  <c r="E112" i="1"/>
  <c r="D112" i="1"/>
  <c r="C112" i="1"/>
  <c r="B112" i="1"/>
  <c r="A112" i="1"/>
  <c r="J111" i="1"/>
  <c r="I111" i="1"/>
  <c r="H111" i="1"/>
  <c r="G111" i="1"/>
  <c r="F111" i="1"/>
  <c r="E111" i="1"/>
  <c r="D111" i="1"/>
  <c r="C111" i="1"/>
  <c r="B111" i="1"/>
  <c r="A111" i="1"/>
  <c r="J110" i="1"/>
  <c r="I110" i="1"/>
  <c r="H110" i="1"/>
  <c r="G110" i="1"/>
  <c r="F110" i="1"/>
  <c r="E110" i="1"/>
  <c r="D110" i="1"/>
  <c r="C110" i="1"/>
  <c r="B110" i="1"/>
  <c r="A110" i="1"/>
  <c r="J109" i="1"/>
  <c r="I109" i="1"/>
  <c r="H109" i="1"/>
  <c r="G109" i="1"/>
  <c r="E109" i="1"/>
  <c r="D109" i="1"/>
  <c r="C109" i="1"/>
  <c r="B109" i="1"/>
  <c r="A109" i="1"/>
  <c r="J108" i="1"/>
  <c r="I108" i="1"/>
  <c r="H108" i="1"/>
  <c r="G108" i="1"/>
  <c r="F108" i="1"/>
  <c r="E108" i="1"/>
  <c r="D108" i="1"/>
  <c r="C108" i="1"/>
  <c r="B108" i="1"/>
  <c r="A108" i="1"/>
  <c r="J107" i="1"/>
  <c r="I107" i="1"/>
  <c r="H107" i="1"/>
  <c r="G107" i="1"/>
  <c r="F107" i="1"/>
  <c r="E107" i="1"/>
  <c r="D107" i="1"/>
  <c r="C107" i="1"/>
  <c r="B107" i="1"/>
  <c r="A107" i="1"/>
  <c r="J106" i="1"/>
  <c r="I106" i="1"/>
  <c r="H106" i="1"/>
  <c r="G106" i="1"/>
  <c r="F106" i="1"/>
  <c r="E106" i="1"/>
  <c r="D106" i="1"/>
  <c r="C106" i="1"/>
  <c r="B106" i="1"/>
  <c r="A106" i="1"/>
  <c r="J105" i="1"/>
  <c r="I105" i="1"/>
  <c r="H105" i="1"/>
  <c r="G105" i="1"/>
  <c r="F105" i="1"/>
  <c r="E105" i="1"/>
  <c r="D105" i="1"/>
  <c r="C105" i="1"/>
  <c r="B105" i="1"/>
  <c r="A105" i="1"/>
  <c r="J104" i="1"/>
  <c r="I104" i="1"/>
  <c r="H104" i="1"/>
  <c r="G104" i="1"/>
  <c r="F104" i="1"/>
  <c r="E104" i="1"/>
  <c r="D104" i="1"/>
  <c r="C104" i="1"/>
  <c r="B104" i="1"/>
  <c r="A104" i="1"/>
  <c r="J103" i="1"/>
  <c r="I103" i="1"/>
  <c r="H103" i="1"/>
  <c r="G103" i="1"/>
  <c r="F103" i="1"/>
  <c r="E103" i="1"/>
  <c r="D103" i="1"/>
  <c r="C103" i="1"/>
  <c r="B103" i="1"/>
  <c r="A103" i="1"/>
  <c r="J102" i="1"/>
  <c r="I102" i="1"/>
  <c r="H102" i="1"/>
  <c r="G102" i="1"/>
  <c r="E102" i="1"/>
  <c r="D102" i="1"/>
  <c r="C102" i="1"/>
  <c r="B102" i="1"/>
  <c r="A102" i="1"/>
  <c r="J101" i="1"/>
  <c r="I101" i="1"/>
  <c r="H101" i="1"/>
  <c r="G101" i="1"/>
  <c r="F101" i="1"/>
  <c r="E101" i="1"/>
  <c r="D101" i="1"/>
  <c r="C101" i="1"/>
  <c r="B101" i="1"/>
  <c r="A101" i="1"/>
  <c r="J100" i="1"/>
  <c r="I100" i="1"/>
  <c r="H100" i="1"/>
  <c r="G100" i="1"/>
  <c r="F100" i="1"/>
  <c r="E100" i="1"/>
  <c r="D100" i="1"/>
  <c r="C100" i="1"/>
  <c r="B100" i="1"/>
  <c r="A100" i="1"/>
  <c r="J99" i="1"/>
  <c r="I99" i="1"/>
  <c r="H99" i="1"/>
  <c r="G99" i="1"/>
  <c r="E99" i="1"/>
  <c r="D99" i="1"/>
  <c r="C99" i="1"/>
  <c r="B99" i="1"/>
  <c r="A99" i="1"/>
  <c r="J98" i="1"/>
  <c r="I98" i="1"/>
  <c r="H98" i="1"/>
  <c r="G98" i="1"/>
  <c r="E98" i="1"/>
  <c r="D98" i="1"/>
  <c r="C98" i="1"/>
  <c r="B98" i="1"/>
  <c r="A98" i="1"/>
  <c r="J97" i="1"/>
  <c r="I97" i="1"/>
  <c r="H97" i="1"/>
  <c r="G97" i="1"/>
  <c r="F97" i="1"/>
  <c r="E97" i="1"/>
  <c r="D97" i="1"/>
  <c r="C97" i="1"/>
  <c r="B97" i="1"/>
  <c r="A97" i="1"/>
  <c r="J96" i="1"/>
  <c r="I96" i="1"/>
  <c r="H96" i="1"/>
  <c r="G96" i="1"/>
  <c r="F96" i="1"/>
  <c r="E96" i="1"/>
  <c r="D96" i="1"/>
  <c r="C96" i="1"/>
  <c r="B96" i="1"/>
  <c r="A96" i="1"/>
  <c r="J95" i="1"/>
  <c r="I95" i="1"/>
  <c r="H95" i="1"/>
  <c r="G95" i="1"/>
  <c r="F95" i="1"/>
  <c r="E95" i="1"/>
  <c r="D95" i="1"/>
  <c r="C95" i="1"/>
  <c r="B95" i="1"/>
  <c r="A95" i="1"/>
  <c r="J94" i="1"/>
  <c r="I94" i="1"/>
  <c r="H94" i="1"/>
  <c r="G94" i="1"/>
  <c r="F94" i="1"/>
  <c r="E94" i="1"/>
  <c r="D94" i="1"/>
  <c r="C94" i="1"/>
  <c r="B94" i="1"/>
  <c r="A94" i="1"/>
  <c r="J93" i="1"/>
  <c r="I93" i="1"/>
  <c r="H93" i="1"/>
  <c r="G93" i="1"/>
  <c r="E93" i="1"/>
  <c r="D93" i="1"/>
  <c r="C93" i="1"/>
  <c r="B93" i="1"/>
  <c r="A93" i="1"/>
  <c r="J92" i="1"/>
  <c r="I92" i="1"/>
  <c r="H92" i="1"/>
  <c r="G92" i="1"/>
  <c r="E92" i="1"/>
  <c r="D92" i="1"/>
  <c r="C92" i="1"/>
  <c r="B92" i="1"/>
  <c r="A92" i="1"/>
  <c r="J91" i="1"/>
  <c r="I91" i="1"/>
  <c r="H91" i="1"/>
  <c r="G91" i="1"/>
  <c r="E91" i="1"/>
  <c r="D91" i="1"/>
  <c r="C91" i="1"/>
  <c r="B91" i="1"/>
  <c r="A91" i="1"/>
  <c r="J90" i="1"/>
  <c r="I90" i="1"/>
  <c r="H90" i="1"/>
  <c r="G90" i="1"/>
  <c r="F90" i="1"/>
  <c r="E90" i="1"/>
  <c r="D90" i="1"/>
  <c r="C90" i="1"/>
  <c r="B90" i="1"/>
  <c r="A90" i="1"/>
  <c r="J89" i="1"/>
  <c r="I89" i="1"/>
  <c r="H89" i="1"/>
  <c r="G89" i="1"/>
  <c r="F89" i="1"/>
  <c r="E89" i="1"/>
  <c r="D89" i="1"/>
  <c r="C89" i="1"/>
  <c r="B89" i="1"/>
  <c r="A89" i="1"/>
  <c r="J88" i="1"/>
  <c r="I88" i="1"/>
  <c r="H88" i="1"/>
  <c r="G88" i="1"/>
  <c r="E88" i="1"/>
  <c r="D88" i="1"/>
  <c r="C88" i="1"/>
  <c r="B88" i="1"/>
  <c r="A88" i="1"/>
  <c r="J87" i="1"/>
  <c r="I87" i="1"/>
  <c r="H87" i="1"/>
  <c r="G87" i="1"/>
  <c r="F87" i="1"/>
  <c r="E87" i="1"/>
  <c r="D87" i="1"/>
  <c r="C87" i="1"/>
  <c r="B87" i="1"/>
  <c r="A87" i="1"/>
  <c r="J86" i="1"/>
  <c r="I86" i="1"/>
  <c r="H86" i="1"/>
  <c r="G86" i="1"/>
  <c r="F86" i="1"/>
  <c r="E86" i="1"/>
  <c r="D86" i="1"/>
  <c r="C86" i="1"/>
  <c r="B86" i="1"/>
  <c r="A86" i="1"/>
  <c r="J85" i="1"/>
  <c r="I85" i="1"/>
  <c r="H85" i="1"/>
  <c r="G85" i="1"/>
  <c r="F85" i="1"/>
  <c r="E85" i="1"/>
  <c r="D85" i="1"/>
  <c r="C85" i="1"/>
  <c r="B85" i="1"/>
  <c r="A85" i="1"/>
  <c r="J84" i="1"/>
  <c r="I84" i="1"/>
  <c r="H84" i="1"/>
  <c r="G84" i="1"/>
  <c r="E84" i="1"/>
  <c r="D84" i="1"/>
  <c r="C84" i="1"/>
  <c r="B84" i="1"/>
  <c r="A84" i="1"/>
  <c r="J83" i="1"/>
  <c r="I83" i="1"/>
  <c r="H83" i="1"/>
  <c r="G83" i="1"/>
  <c r="F83" i="1"/>
  <c r="E83" i="1"/>
  <c r="D83" i="1"/>
  <c r="C83" i="1"/>
  <c r="B83" i="1"/>
  <c r="A83" i="1"/>
  <c r="J82" i="1"/>
  <c r="I82" i="1"/>
  <c r="H82" i="1"/>
  <c r="G82" i="1"/>
  <c r="F82" i="1"/>
  <c r="E82" i="1"/>
  <c r="D82" i="1"/>
  <c r="C82" i="1"/>
  <c r="B82" i="1"/>
  <c r="A82" i="1"/>
  <c r="J81" i="1"/>
  <c r="I81" i="1"/>
  <c r="H81" i="1"/>
  <c r="G81" i="1"/>
  <c r="F81" i="1"/>
  <c r="E81" i="1"/>
  <c r="D81" i="1"/>
  <c r="C81" i="1"/>
  <c r="B81" i="1"/>
  <c r="A81" i="1"/>
  <c r="J80" i="1"/>
  <c r="I80" i="1"/>
  <c r="H80" i="1"/>
  <c r="G80" i="1"/>
  <c r="F80" i="1"/>
  <c r="E80" i="1"/>
  <c r="D80" i="1"/>
  <c r="C80" i="1"/>
  <c r="B80" i="1"/>
  <c r="A80" i="1"/>
  <c r="J79" i="1"/>
  <c r="I79" i="1"/>
  <c r="H79" i="1"/>
  <c r="G79" i="1"/>
  <c r="F79" i="1"/>
  <c r="E79" i="1"/>
  <c r="D79" i="1"/>
  <c r="C79" i="1"/>
  <c r="B79" i="1"/>
  <c r="A79" i="1"/>
  <c r="J78" i="1"/>
  <c r="I78" i="1"/>
  <c r="H78" i="1"/>
  <c r="G78" i="1"/>
  <c r="F78" i="1"/>
  <c r="E78" i="1"/>
  <c r="D78" i="1"/>
  <c r="C78" i="1"/>
  <c r="B78" i="1"/>
  <c r="A78" i="1"/>
  <c r="J77" i="1"/>
  <c r="I77" i="1"/>
  <c r="H77" i="1"/>
  <c r="G77" i="1"/>
  <c r="E77" i="1"/>
  <c r="D77" i="1"/>
  <c r="C77" i="1"/>
  <c r="B77" i="1"/>
  <c r="A77" i="1"/>
  <c r="J76" i="1"/>
  <c r="I76" i="1"/>
  <c r="H76" i="1"/>
  <c r="G76" i="1"/>
  <c r="E76" i="1"/>
  <c r="D76" i="1"/>
  <c r="C76" i="1"/>
  <c r="B76" i="1"/>
  <c r="A76" i="1"/>
  <c r="J75" i="1"/>
  <c r="I75" i="1"/>
  <c r="H75" i="1"/>
  <c r="G75" i="1"/>
  <c r="F75" i="1"/>
  <c r="E75" i="1"/>
  <c r="D75" i="1"/>
  <c r="C75" i="1"/>
  <c r="B75" i="1"/>
  <c r="A75" i="1"/>
  <c r="J74" i="1"/>
  <c r="I74" i="1"/>
  <c r="H74" i="1"/>
  <c r="G74" i="1"/>
  <c r="F74" i="1"/>
  <c r="E74" i="1"/>
  <c r="D74" i="1"/>
  <c r="C74" i="1"/>
  <c r="B74" i="1"/>
  <c r="A74" i="1"/>
  <c r="J73" i="1"/>
  <c r="I73" i="1"/>
  <c r="H73" i="1"/>
  <c r="G73" i="1"/>
  <c r="F73" i="1"/>
  <c r="E73" i="1"/>
  <c r="D73" i="1"/>
  <c r="C73" i="1"/>
  <c r="B73" i="1"/>
  <c r="A73" i="1"/>
  <c r="J72" i="1"/>
  <c r="I72" i="1"/>
  <c r="H72" i="1"/>
  <c r="G72" i="1"/>
  <c r="E72" i="1"/>
  <c r="D72" i="1"/>
  <c r="C72" i="1"/>
  <c r="B72" i="1"/>
  <c r="A72" i="1"/>
  <c r="J71" i="1"/>
  <c r="I71" i="1"/>
  <c r="H71" i="1"/>
  <c r="G71" i="1"/>
  <c r="F71" i="1"/>
  <c r="E71" i="1"/>
  <c r="D71" i="1"/>
  <c r="C71" i="1"/>
  <c r="B71" i="1"/>
  <c r="A71" i="1"/>
  <c r="J70" i="1"/>
  <c r="I70" i="1"/>
  <c r="H70" i="1"/>
  <c r="G70" i="1"/>
  <c r="F70" i="1"/>
  <c r="E70" i="1"/>
  <c r="D70" i="1"/>
  <c r="C70" i="1"/>
  <c r="B70" i="1"/>
  <c r="A70" i="1"/>
  <c r="J69" i="1"/>
  <c r="I69" i="1"/>
  <c r="H69" i="1"/>
  <c r="G69" i="1"/>
  <c r="F69" i="1"/>
  <c r="E69" i="1"/>
  <c r="D69" i="1"/>
  <c r="C69" i="1"/>
  <c r="B69" i="1"/>
  <c r="A69" i="1"/>
  <c r="J68" i="1"/>
  <c r="I68" i="1"/>
  <c r="H68" i="1"/>
  <c r="G68" i="1"/>
  <c r="E68" i="1"/>
  <c r="D68" i="1"/>
  <c r="C68" i="1"/>
  <c r="B68" i="1"/>
  <c r="A68" i="1"/>
  <c r="J67" i="1"/>
  <c r="I67" i="1"/>
  <c r="H67" i="1"/>
  <c r="G67" i="1"/>
  <c r="F67" i="1"/>
  <c r="E67" i="1"/>
  <c r="D67" i="1"/>
  <c r="C67" i="1"/>
  <c r="B67" i="1"/>
  <c r="A67" i="1"/>
  <c r="J66" i="1"/>
  <c r="I66" i="1"/>
  <c r="H66" i="1"/>
  <c r="G66" i="1"/>
  <c r="F66" i="1"/>
  <c r="E66" i="1"/>
  <c r="D66" i="1"/>
  <c r="C66" i="1"/>
  <c r="B66" i="1"/>
  <c r="A66" i="1"/>
  <c r="J65" i="1"/>
  <c r="I65" i="1"/>
  <c r="H65" i="1"/>
  <c r="G65" i="1"/>
  <c r="F65" i="1"/>
  <c r="E65" i="1"/>
  <c r="D65" i="1"/>
  <c r="C65" i="1"/>
  <c r="B65" i="1"/>
  <c r="A65" i="1"/>
  <c r="J64" i="1"/>
  <c r="I64" i="1"/>
  <c r="H64" i="1"/>
  <c r="G64" i="1"/>
  <c r="F64" i="1"/>
  <c r="E64" i="1"/>
  <c r="D64" i="1"/>
  <c r="C64" i="1"/>
  <c r="B64" i="1"/>
  <c r="A64" i="1"/>
  <c r="J63" i="1"/>
  <c r="I63" i="1"/>
  <c r="H63" i="1"/>
  <c r="G63" i="1"/>
  <c r="F63" i="1"/>
  <c r="E63" i="1"/>
  <c r="D63" i="1"/>
  <c r="C63" i="1"/>
  <c r="B63" i="1"/>
  <c r="A63" i="1"/>
  <c r="J62" i="1"/>
  <c r="I62" i="1"/>
  <c r="H62" i="1"/>
  <c r="G62" i="1"/>
  <c r="F62" i="1"/>
  <c r="E62" i="1"/>
  <c r="D62" i="1"/>
  <c r="C62" i="1"/>
  <c r="B62" i="1"/>
  <c r="A62" i="1"/>
  <c r="J61" i="1"/>
  <c r="I61" i="1"/>
  <c r="H61" i="1"/>
  <c r="G61" i="1"/>
  <c r="F61" i="1"/>
  <c r="E61" i="1"/>
  <c r="D61" i="1"/>
  <c r="C61" i="1"/>
  <c r="B61" i="1"/>
  <c r="A61" i="1"/>
  <c r="J60" i="1"/>
  <c r="I60" i="1"/>
  <c r="H60" i="1"/>
  <c r="G60" i="1"/>
  <c r="F60" i="1"/>
  <c r="E60" i="1"/>
  <c r="D60" i="1"/>
  <c r="C60" i="1"/>
  <c r="B60" i="1"/>
  <c r="A60" i="1"/>
  <c r="J59" i="1"/>
  <c r="I59" i="1"/>
  <c r="H59" i="1"/>
  <c r="G59" i="1"/>
  <c r="F59" i="1"/>
  <c r="E59" i="1"/>
  <c r="D59" i="1"/>
  <c r="C59" i="1"/>
  <c r="B59" i="1"/>
  <c r="A59" i="1"/>
  <c r="J58" i="1"/>
  <c r="I58" i="1"/>
  <c r="H58" i="1"/>
  <c r="G58" i="1"/>
  <c r="F58" i="1"/>
  <c r="E58" i="1"/>
  <c r="D58" i="1"/>
  <c r="C58" i="1"/>
  <c r="B58" i="1"/>
  <c r="A58" i="1"/>
  <c r="J57" i="1"/>
  <c r="I57" i="1"/>
  <c r="H57" i="1"/>
  <c r="G57" i="1"/>
  <c r="F57" i="1"/>
  <c r="E57" i="1"/>
  <c r="D57" i="1"/>
  <c r="C57" i="1"/>
  <c r="B57" i="1"/>
  <c r="A57" i="1"/>
  <c r="J56" i="1"/>
  <c r="I56" i="1"/>
  <c r="H56" i="1"/>
  <c r="G56" i="1"/>
  <c r="F56" i="1"/>
  <c r="E56" i="1"/>
  <c r="D56" i="1"/>
  <c r="C56" i="1"/>
  <c r="B56" i="1"/>
  <c r="A56" i="1"/>
  <c r="J55" i="1"/>
  <c r="I55" i="1"/>
  <c r="H55" i="1"/>
  <c r="G55" i="1"/>
  <c r="F55" i="1"/>
  <c r="E55" i="1"/>
  <c r="D55" i="1"/>
  <c r="C55" i="1"/>
  <c r="B55" i="1"/>
  <c r="A55" i="1"/>
  <c r="J54" i="1"/>
  <c r="I54" i="1"/>
  <c r="H54" i="1"/>
  <c r="G54" i="1"/>
  <c r="F54" i="1"/>
  <c r="E54" i="1"/>
  <c r="D54" i="1"/>
  <c r="C54" i="1"/>
  <c r="B54" i="1"/>
  <c r="A54" i="1"/>
  <c r="J53" i="1"/>
  <c r="I53" i="1"/>
  <c r="H53" i="1"/>
  <c r="G53" i="1"/>
  <c r="F53" i="1"/>
  <c r="E53" i="1"/>
  <c r="D53" i="1"/>
  <c r="C53" i="1"/>
  <c r="B53" i="1"/>
  <c r="A53" i="1"/>
  <c r="J52" i="1"/>
  <c r="I52" i="1"/>
  <c r="H52" i="1"/>
  <c r="G52" i="1"/>
  <c r="E52" i="1"/>
  <c r="D52" i="1"/>
  <c r="C52" i="1"/>
  <c r="B52" i="1"/>
  <c r="A52" i="1"/>
  <c r="J51" i="1"/>
  <c r="I51" i="1"/>
  <c r="H51" i="1"/>
  <c r="G51" i="1"/>
  <c r="F51" i="1"/>
  <c r="E51" i="1"/>
  <c r="D51" i="1"/>
  <c r="C51" i="1"/>
  <c r="B51" i="1"/>
  <c r="A51" i="1"/>
  <c r="J50" i="1"/>
  <c r="I50" i="1"/>
  <c r="H50" i="1"/>
  <c r="G50" i="1"/>
  <c r="F50" i="1"/>
  <c r="E50" i="1"/>
  <c r="D50" i="1"/>
  <c r="C50" i="1"/>
  <c r="B50" i="1"/>
  <c r="A50" i="1"/>
  <c r="J49" i="1"/>
  <c r="I49" i="1"/>
  <c r="H49" i="1"/>
  <c r="G49" i="1"/>
  <c r="F49" i="1"/>
  <c r="E49" i="1"/>
  <c r="D49" i="1"/>
  <c r="C49" i="1"/>
  <c r="B49" i="1"/>
  <c r="A49" i="1"/>
  <c r="J48" i="1"/>
  <c r="I48" i="1"/>
  <c r="H48" i="1"/>
  <c r="G48" i="1"/>
  <c r="E48" i="1"/>
  <c r="D48" i="1"/>
  <c r="C48" i="1"/>
  <c r="B48" i="1"/>
  <c r="A48" i="1"/>
  <c r="J47" i="1"/>
  <c r="I47" i="1"/>
  <c r="H47" i="1"/>
  <c r="G47" i="1"/>
  <c r="F47" i="1"/>
  <c r="E47" i="1"/>
  <c r="D47" i="1"/>
  <c r="C47" i="1"/>
  <c r="B47" i="1"/>
  <c r="A47" i="1"/>
  <c r="J46" i="1"/>
  <c r="I46" i="1"/>
  <c r="H46" i="1"/>
  <c r="G46" i="1"/>
  <c r="F46" i="1"/>
  <c r="E46" i="1"/>
  <c r="D46" i="1"/>
  <c r="C46" i="1"/>
  <c r="B46" i="1"/>
  <c r="A46" i="1"/>
  <c r="J45" i="1"/>
  <c r="I45" i="1"/>
  <c r="H45" i="1"/>
  <c r="G45" i="1"/>
  <c r="F45" i="1"/>
  <c r="E45" i="1"/>
  <c r="D45" i="1"/>
  <c r="C45" i="1"/>
  <c r="B45" i="1"/>
  <c r="A45" i="1"/>
  <c r="J44" i="1"/>
  <c r="I44" i="1"/>
  <c r="H44" i="1"/>
  <c r="G44" i="1"/>
  <c r="F44" i="1"/>
  <c r="E44" i="1"/>
  <c r="D44" i="1"/>
  <c r="C44" i="1"/>
  <c r="B44" i="1"/>
  <c r="A44" i="1"/>
  <c r="J43" i="1"/>
  <c r="I43" i="1"/>
  <c r="H43" i="1"/>
  <c r="G43" i="1"/>
  <c r="E43" i="1"/>
  <c r="D43" i="1"/>
  <c r="C43" i="1"/>
  <c r="B43" i="1"/>
  <c r="A43" i="1"/>
  <c r="J42" i="1"/>
  <c r="I42" i="1"/>
  <c r="H42" i="1"/>
  <c r="G42" i="1"/>
  <c r="E42" i="1"/>
  <c r="D42" i="1"/>
  <c r="C42" i="1"/>
  <c r="B42" i="1"/>
  <c r="A42" i="1"/>
  <c r="J41" i="1"/>
  <c r="I41" i="1"/>
  <c r="H41" i="1"/>
  <c r="G41" i="1"/>
  <c r="F41" i="1"/>
  <c r="E41" i="1"/>
  <c r="D41" i="1"/>
  <c r="C41" i="1"/>
  <c r="B41" i="1"/>
  <c r="A41" i="1"/>
  <c r="J40" i="1"/>
  <c r="I40" i="1"/>
  <c r="H40" i="1"/>
  <c r="G40" i="1"/>
  <c r="F40" i="1"/>
  <c r="E40" i="1"/>
  <c r="D40" i="1"/>
  <c r="C40" i="1"/>
  <c r="B40" i="1"/>
  <c r="A40" i="1"/>
  <c r="J39" i="1"/>
  <c r="I39" i="1"/>
  <c r="H39" i="1"/>
  <c r="G39" i="1"/>
  <c r="E39" i="1"/>
  <c r="D39" i="1"/>
  <c r="C39" i="1"/>
  <c r="B39" i="1"/>
  <c r="A39" i="1"/>
  <c r="J38" i="1"/>
  <c r="I38" i="1"/>
  <c r="H38" i="1"/>
  <c r="G38" i="1"/>
  <c r="F38" i="1"/>
  <c r="E38" i="1"/>
  <c r="D38" i="1"/>
  <c r="C38" i="1"/>
  <c r="B38" i="1"/>
  <c r="A38" i="1"/>
  <c r="J37" i="1"/>
  <c r="I37" i="1"/>
  <c r="H37" i="1"/>
  <c r="G37" i="1"/>
  <c r="E37" i="1"/>
  <c r="D37" i="1"/>
  <c r="C37" i="1"/>
  <c r="B37" i="1"/>
  <c r="A37" i="1"/>
  <c r="J36" i="1"/>
  <c r="I36" i="1"/>
  <c r="H36" i="1"/>
  <c r="G36" i="1"/>
  <c r="E36" i="1"/>
  <c r="D36" i="1"/>
  <c r="C36" i="1"/>
  <c r="B36" i="1"/>
  <c r="A36" i="1"/>
  <c r="J35" i="1"/>
  <c r="I35" i="1"/>
  <c r="H35" i="1"/>
  <c r="G35" i="1"/>
  <c r="F35" i="1"/>
  <c r="E35" i="1"/>
  <c r="D35" i="1"/>
  <c r="C35" i="1"/>
  <c r="B35" i="1"/>
  <c r="A35" i="1"/>
  <c r="J34" i="1"/>
  <c r="I34" i="1"/>
  <c r="H34" i="1"/>
  <c r="G34" i="1"/>
  <c r="E34" i="1"/>
  <c r="D34" i="1"/>
  <c r="C34" i="1"/>
  <c r="B34" i="1"/>
  <c r="A34" i="1"/>
  <c r="J33" i="1"/>
  <c r="I33" i="1"/>
  <c r="H33" i="1"/>
  <c r="G33" i="1"/>
  <c r="E33" i="1"/>
  <c r="D33" i="1"/>
  <c r="C33" i="1"/>
  <c r="B33" i="1"/>
  <c r="A33" i="1"/>
  <c r="J32" i="1"/>
  <c r="I32" i="1"/>
  <c r="H32" i="1"/>
  <c r="G32" i="1"/>
  <c r="E32" i="1"/>
  <c r="D32" i="1"/>
  <c r="C32" i="1"/>
  <c r="B32" i="1"/>
  <c r="A32" i="1"/>
  <c r="J31" i="1"/>
  <c r="I31" i="1"/>
  <c r="H31" i="1"/>
  <c r="G31" i="1"/>
  <c r="E31" i="1"/>
  <c r="D31" i="1"/>
  <c r="C31" i="1"/>
  <c r="B31" i="1"/>
  <c r="A31" i="1"/>
  <c r="J30" i="1"/>
  <c r="I30" i="1"/>
  <c r="H30" i="1"/>
  <c r="G30" i="1"/>
  <c r="E30" i="1"/>
  <c r="D30" i="1"/>
  <c r="C30" i="1"/>
  <c r="B30" i="1"/>
  <c r="A30" i="1"/>
  <c r="J29" i="1"/>
  <c r="I29" i="1"/>
  <c r="H29" i="1"/>
  <c r="G29" i="1"/>
  <c r="F29" i="1"/>
  <c r="E29" i="1"/>
  <c r="D29" i="1"/>
  <c r="C29" i="1"/>
  <c r="B29" i="1"/>
  <c r="A29" i="1"/>
  <c r="J28" i="1"/>
  <c r="I28" i="1"/>
  <c r="H28" i="1"/>
  <c r="G28" i="1"/>
  <c r="E28" i="1"/>
  <c r="D28" i="1"/>
  <c r="C28" i="1"/>
  <c r="B28" i="1"/>
  <c r="A28" i="1"/>
  <c r="J27" i="1"/>
  <c r="I27" i="1"/>
  <c r="H27" i="1"/>
  <c r="G27" i="1"/>
  <c r="E27" i="1"/>
  <c r="D27" i="1"/>
  <c r="C27" i="1"/>
  <c r="B27" i="1"/>
  <c r="A27" i="1"/>
  <c r="J26" i="1"/>
  <c r="I26" i="1"/>
  <c r="H26" i="1"/>
  <c r="G26" i="1"/>
  <c r="E26" i="1"/>
  <c r="D26" i="1"/>
  <c r="C26" i="1"/>
  <c r="B26" i="1"/>
  <c r="A26" i="1"/>
  <c r="J25" i="1"/>
  <c r="I25" i="1"/>
  <c r="H25" i="1"/>
  <c r="G25" i="1"/>
  <c r="F25" i="1"/>
  <c r="E25" i="1"/>
  <c r="D25" i="1"/>
  <c r="C25" i="1"/>
  <c r="B25" i="1"/>
  <c r="A25" i="1"/>
  <c r="J24" i="1"/>
  <c r="I24" i="1"/>
  <c r="H24" i="1"/>
  <c r="G24" i="1"/>
  <c r="E24" i="1"/>
  <c r="D24" i="1"/>
  <c r="C24" i="1"/>
  <c r="B24" i="1"/>
  <c r="A24" i="1"/>
  <c r="J23" i="1"/>
  <c r="I23" i="1"/>
  <c r="H23" i="1"/>
  <c r="G23" i="1"/>
  <c r="E23" i="1"/>
  <c r="D23" i="1"/>
  <c r="C23" i="1"/>
  <c r="B23" i="1"/>
  <c r="A23" i="1"/>
  <c r="J22" i="1"/>
  <c r="I22" i="1"/>
  <c r="H22" i="1"/>
  <c r="G22" i="1"/>
  <c r="E22" i="1"/>
  <c r="D22" i="1"/>
  <c r="C22" i="1"/>
  <c r="B22" i="1"/>
  <c r="A22" i="1"/>
  <c r="J21" i="1"/>
  <c r="I21" i="1"/>
  <c r="H21" i="1"/>
  <c r="G21" i="1"/>
  <c r="E21" i="1"/>
  <c r="D21" i="1"/>
  <c r="C21" i="1"/>
  <c r="B21" i="1"/>
  <c r="A21" i="1"/>
  <c r="J20" i="1"/>
  <c r="I20" i="1"/>
  <c r="H20" i="1"/>
  <c r="G20" i="1"/>
  <c r="E20" i="1"/>
  <c r="D20" i="1"/>
  <c r="C20" i="1"/>
  <c r="B20" i="1"/>
  <c r="A20" i="1"/>
  <c r="J19" i="1"/>
  <c r="I19" i="1"/>
  <c r="H19" i="1"/>
  <c r="G19" i="1"/>
  <c r="F19" i="1"/>
  <c r="E19" i="1"/>
  <c r="D19" i="1"/>
  <c r="C19" i="1"/>
  <c r="B19" i="1"/>
  <c r="A19" i="1"/>
  <c r="J18" i="1"/>
  <c r="I18" i="1"/>
  <c r="H18" i="1"/>
  <c r="G18" i="1"/>
  <c r="E18" i="1"/>
  <c r="D18" i="1"/>
  <c r="C18" i="1"/>
  <c r="B18" i="1"/>
  <c r="A18" i="1"/>
  <c r="J17" i="1"/>
  <c r="I17" i="1"/>
  <c r="H17" i="1"/>
  <c r="G17" i="1"/>
  <c r="E17" i="1"/>
  <c r="D17" i="1"/>
  <c r="C17" i="1"/>
  <c r="B17" i="1"/>
  <c r="A17" i="1"/>
  <c r="J16" i="1"/>
  <c r="I16" i="1"/>
  <c r="H16" i="1"/>
  <c r="G16" i="1"/>
  <c r="E16" i="1"/>
  <c r="D16" i="1"/>
  <c r="C16" i="1"/>
  <c r="B16" i="1"/>
  <c r="A16" i="1"/>
  <c r="J15" i="1"/>
  <c r="I15" i="1"/>
  <c r="H15" i="1"/>
  <c r="G15" i="1"/>
  <c r="F15" i="1"/>
  <c r="E15" i="1"/>
  <c r="D15" i="1"/>
  <c r="C15" i="1"/>
  <c r="B15" i="1"/>
  <c r="A15" i="1"/>
  <c r="J14" i="1"/>
  <c r="I14" i="1"/>
  <c r="H14" i="1"/>
  <c r="G14" i="1"/>
  <c r="F14" i="1"/>
  <c r="E14" i="1"/>
  <c r="D14" i="1"/>
  <c r="C14" i="1"/>
  <c r="B14" i="1"/>
  <c r="A14" i="1"/>
  <c r="J13" i="1"/>
  <c r="I13" i="1"/>
  <c r="H13" i="1"/>
  <c r="G13" i="1"/>
  <c r="E13" i="1"/>
  <c r="D13" i="1"/>
  <c r="C13" i="1"/>
  <c r="B13" i="1"/>
  <c r="A13" i="1"/>
  <c r="J12" i="1"/>
  <c r="I12" i="1"/>
  <c r="H12" i="1"/>
  <c r="G12" i="1"/>
  <c r="E12" i="1"/>
  <c r="D12" i="1"/>
  <c r="C12" i="1"/>
  <c r="B12" i="1"/>
  <c r="A12" i="1"/>
  <c r="J11" i="1"/>
  <c r="I11" i="1"/>
  <c r="H11" i="1"/>
  <c r="G11" i="1"/>
  <c r="F11" i="1"/>
  <c r="E11" i="1"/>
  <c r="D11" i="1"/>
  <c r="C11" i="1"/>
  <c r="B11" i="1"/>
  <c r="A11" i="1"/>
  <c r="J10" i="1"/>
  <c r="I10" i="1"/>
  <c r="H10" i="1"/>
  <c r="G10" i="1"/>
  <c r="F10" i="1"/>
  <c r="E10" i="1"/>
  <c r="D10" i="1"/>
  <c r="C10" i="1"/>
  <c r="B10" i="1"/>
  <c r="A10" i="1"/>
  <c r="J9" i="1"/>
  <c r="I9" i="1"/>
  <c r="H9" i="1"/>
  <c r="G9" i="1"/>
  <c r="E9" i="1"/>
  <c r="D9" i="1"/>
  <c r="C9" i="1"/>
  <c r="B9" i="1"/>
  <c r="A9" i="1"/>
  <c r="J8" i="1"/>
  <c r="I8" i="1"/>
  <c r="H8" i="1"/>
  <c r="G8" i="1"/>
  <c r="E8" i="1"/>
  <c r="D8" i="1"/>
  <c r="C8" i="1"/>
  <c r="B8" i="1"/>
  <c r="A8" i="1"/>
  <c r="J7" i="1"/>
  <c r="I7" i="1"/>
  <c r="H7" i="1"/>
  <c r="G7" i="1"/>
  <c r="F7" i="1"/>
  <c r="E7" i="1"/>
  <c r="D7" i="1"/>
  <c r="C7" i="1"/>
  <c r="B7" i="1"/>
  <c r="A7" i="1"/>
  <c r="J6" i="1"/>
  <c r="I6" i="1"/>
  <c r="H6" i="1"/>
  <c r="G6" i="1"/>
  <c r="E6" i="1"/>
  <c r="D6" i="1"/>
  <c r="C6" i="1"/>
  <c r="B6" i="1"/>
  <c r="A6" i="1"/>
  <c r="J5" i="1"/>
  <c r="I5" i="1"/>
  <c r="H5" i="1"/>
  <c r="G5" i="1"/>
  <c r="E5" i="1"/>
  <c r="D5" i="1"/>
  <c r="C5" i="1"/>
  <c r="B5" i="1"/>
  <c r="A5" i="1"/>
  <c r="J4" i="1"/>
  <c r="I4" i="1"/>
  <c r="H4" i="1"/>
  <c r="G4" i="1"/>
  <c r="E4" i="1"/>
  <c r="D4" i="1"/>
  <c r="C4" i="1"/>
  <c r="B4" i="1"/>
  <c r="A4" i="1"/>
  <c r="J3" i="1"/>
  <c r="I3" i="1"/>
  <c r="H3" i="1"/>
  <c r="G3" i="1"/>
  <c r="F3" i="1"/>
  <c r="E3" i="1"/>
  <c r="D3" i="1"/>
  <c r="C3" i="1"/>
  <c r="B3" i="1"/>
  <c r="A3" i="1"/>
  <c r="J2" i="1"/>
  <c r="I2" i="1"/>
  <c r="H2" i="1"/>
  <c r="G2" i="1"/>
  <c r="F2" i="1"/>
  <c r="E2" i="1"/>
  <c r="D2" i="1"/>
  <c r="C2" i="1"/>
  <c r="B2" i="1"/>
  <c r="A2" i="1"/>
  <c r="J1" i="1"/>
  <c r="I1" i="1"/>
  <c r="H1" i="1"/>
  <c r="G1" i="1"/>
  <c r="F1" i="1"/>
  <c r="E1" i="1"/>
  <c r="D1" i="1"/>
  <c r="C1" i="1"/>
  <c r="B1" i="1"/>
  <c r="A1" i="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u/>
      <sz val="10"/>
      <color rgb="FF0000FF"/>
      <name val="Arial"/>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Font="1" applyAlignment="1"/>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www.facebook.com/yongcoonang" TargetMode="External"/><Relationship Id="rId3182" Type="http://schemas.openxmlformats.org/officeDocument/2006/relationships/hyperlink" Target="https://www.facebook.com/watch/live/?ref=watch_permalink&amp;v=332681445500650" TargetMode="External"/><Relationship Id="rId4233" Type="http://schemas.openxmlformats.org/officeDocument/2006/relationships/hyperlink" Target="https://www.facebook.com/rapplerdotcom/photos/a.317154781638645/5594954703858600/" TargetMode="External"/><Relationship Id="rId3999" Type="http://schemas.openxmlformats.org/officeDocument/2006/relationships/hyperlink" Target="https://www.facebook.com/noel.isorena.7" TargetMode="External"/><Relationship Id="rId4300" Type="http://schemas.openxmlformats.org/officeDocument/2006/relationships/hyperlink" Target="https://www.facebook.com/rose.cadavicio" TargetMode="External"/><Relationship Id="rId170" Type="http://schemas.openxmlformats.org/officeDocument/2006/relationships/hyperlink" Target="https://www.facebook.com/rapplerdotcom/posts/pfbid0DUh4iFcrxZuR1UbiGhcAHcMdzsaV29GSeHCY1HabtqcnUWkjStX9TDaVqzzt92GDl" TargetMode="External"/><Relationship Id="rId6058" Type="http://schemas.openxmlformats.org/officeDocument/2006/relationships/hyperlink" Target="https://www.facebook.com/johnhenry.santos.3958" TargetMode="External"/><Relationship Id="rId5074" Type="http://schemas.openxmlformats.org/officeDocument/2006/relationships/hyperlink" Target="https://www.facebook.com/kawboy02" TargetMode="External"/><Relationship Id="rId6125" Type="http://schemas.openxmlformats.org/officeDocument/2006/relationships/hyperlink" Target="https://www.facebook.com/rapplerdotcom/posts/pfbid0JJW97xH5fR5tDSLUQ8AnEgkPMU9Aigs9CgcNy2Q7AzJY4R8mRoicBgu3PLdqpf2Tl" TargetMode="External"/><Relationship Id="rId987" Type="http://schemas.openxmlformats.org/officeDocument/2006/relationships/hyperlink" Target="https://www.facebook.com/saturnino.m.zamora" TargetMode="External"/><Relationship Id="rId2668" Type="http://schemas.openxmlformats.org/officeDocument/2006/relationships/hyperlink" Target="https://www.facebook.com/rapplerdotcom/photos/a.317154781638645/5595733810447356/" TargetMode="External"/><Relationship Id="rId3719" Type="http://schemas.openxmlformats.org/officeDocument/2006/relationships/hyperlink" Target="https://www.facebook.com/profile.php?id=100007713915539" TargetMode="External"/><Relationship Id="rId4090" Type="http://schemas.openxmlformats.org/officeDocument/2006/relationships/hyperlink" Target="https://www.facebook.com/rapplerdotcom/posts/pfbid0231hbcbuKeQLDkPH8oZAdZbuU8MPPgRANx152V3xWpbjZ6EvfpohwQMvxHYAgrGPul" TargetMode="External"/><Relationship Id="rId1684" Type="http://schemas.openxmlformats.org/officeDocument/2006/relationships/hyperlink" Target="https://www.facebook.com/rapplerdotcom/photos/a.317154781638645/5596043783749692/" TargetMode="External"/><Relationship Id="rId2735" Type="http://schemas.openxmlformats.org/officeDocument/2006/relationships/hyperlink" Target="https://www.facebook.com/jegals.dep" TargetMode="External"/><Relationship Id="rId5141" Type="http://schemas.openxmlformats.org/officeDocument/2006/relationships/hyperlink" Target="https://www.facebook.com/rapplerdotcom/photos/a.317154781638645/5594264657260938/" TargetMode="External"/><Relationship Id="rId707" Type="http://schemas.openxmlformats.org/officeDocument/2006/relationships/hyperlink" Target="https://www.facebook.com/profile.php?id=100014625901344" TargetMode="External"/><Relationship Id="rId1337" Type="http://schemas.openxmlformats.org/officeDocument/2006/relationships/hyperlink" Target="https://www.facebook.com/frandy.arondaing" TargetMode="External"/><Relationship Id="rId1751" Type="http://schemas.openxmlformats.org/officeDocument/2006/relationships/hyperlink" Target="https://www.facebook.com/tumaladjennie" TargetMode="External"/><Relationship Id="rId2802" Type="http://schemas.openxmlformats.org/officeDocument/2006/relationships/hyperlink" Target="https://www.facebook.com/watch/?v=570590637273208" TargetMode="External"/><Relationship Id="rId5958" Type="http://schemas.openxmlformats.org/officeDocument/2006/relationships/hyperlink" Target="https://www.facebook.com/allan.escalona.12" TargetMode="External"/><Relationship Id="rId43" Type="http://schemas.openxmlformats.org/officeDocument/2006/relationships/hyperlink" Target="https://www.facebook.com/roselyn.pira.1" TargetMode="External"/><Relationship Id="rId1404" Type="http://schemas.openxmlformats.org/officeDocument/2006/relationships/hyperlink" Target="https://www.facebook.com/rapplerdotcom/photos/a.317154781638645/5597116770309060/" TargetMode="External"/><Relationship Id="rId3576" Type="http://schemas.openxmlformats.org/officeDocument/2006/relationships/hyperlink" Target="https://www.facebook.com/rapplerdotcom/photos/a.317154781638645/5595372260483511/" TargetMode="External"/><Relationship Id="rId4627" Type="http://schemas.openxmlformats.org/officeDocument/2006/relationships/hyperlink" Target="https://www.facebook.com/watch/live/?ref=watch_permalink&amp;v=923735834984653" TargetMode="External"/><Relationship Id="rId4974" Type="http://schemas.openxmlformats.org/officeDocument/2006/relationships/hyperlink" Target="https://www.facebook.com/raullongkoy.palad" TargetMode="External"/><Relationship Id="rId497" Type="http://schemas.openxmlformats.org/officeDocument/2006/relationships/hyperlink" Target="https://www.facebook.com/rapplerdotcom/photos/a.317154781638645/5598220220198715/" TargetMode="External"/><Relationship Id="rId2178" Type="http://schemas.openxmlformats.org/officeDocument/2006/relationships/hyperlink" Target="https://www.facebook.com/rapplerdotcom/photos/a.317154781638645/5596022273751843/" TargetMode="External"/><Relationship Id="rId3229" Type="http://schemas.openxmlformats.org/officeDocument/2006/relationships/hyperlink" Target="https://www.facebook.com/elizabeth.eslao" TargetMode="External"/><Relationship Id="rId3990" Type="http://schemas.openxmlformats.org/officeDocument/2006/relationships/hyperlink" Target="https://www.facebook.com/rapplerdotcom/posts/pfbid0dyWpzxim3h4Z2SYriGakwQw85p7BCAgct7KU5EiMX1bmmgNHDD8nmES8rjrADsrPl" TargetMode="External"/><Relationship Id="rId1194" Type="http://schemas.openxmlformats.org/officeDocument/2006/relationships/hyperlink" Target="https://www.facebook.com/rapplerdotcom/posts/pfbid023goEfA6e1ABSWYJFy8fQ5LFWDv4QTSTmAfzySGtMSpy12iqywB2MUZjiZ8GjCxrGl" TargetMode="External"/><Relationship Id="rId2592" Type="http://schemas.openxmlformats.org/officeDocument/2006/relationships/hyperlink" Target="https://www.facebook.com/rapplerdotcom/photos/a.317154781638645/5595733810447356/" TargetMode="External"/><Relationship Id="rId3643" Type="http://schemas.openxmlformats.org/officeDocument/2006/relationships/hyperlink" Target="https://www.facebook.com/champoybulletelbow" TargetMode="External"/><Relationship Id="rId217" Type="http://schemas.openxmlformats.org/officeDocument/2006/relationships/hyperlink" Target="https://www.facebook.com/profile.php?id=100075539882920" TargetMode="External"/><Relationship Id="rId564" Type="http://schemas.openxmlformats.org/officeDocument/2006/relationships/hyperlink" Target="https://www.facebook.com/rapplerdotcom/photos/a.317154781638645/5597874143566656" TargetMode="External"/><Relationship Id="rId2245" Type="http://schemas.openxmlformats.org/officeDocument/2006/relationships/hyperlink" Target="https://www.facebook.com/kenneth.shinkim" TargetMode="External"/><Relationship Id="rId3710" Type="http://schemas.openxmlformats.org/officeDocument/2006/relationships/hyperlink" Target="https://www.facebook.com/rapplerdotcom/photos/a.317154781638645/5595162900504447/" TargetMode="External"/><Relationship Id="rId631" Type="http://schemas.openxmlformats.org/officeDocument/2006/relationships/hyperlink" Target="https://www.facebook.com/charmee.mccartney" TargetMode="External"/><Relationship Id="rId1261" Type="http://schemas.openxmlformats.org/officeDocument/2006/relationships/hyperlink" Target="https://www.facebook.com/profile.php?id=100075281044190" TargetMode="External"/><Relationship Id="rId2312" Type="http://schemas.openxmlformats.org/officeDocument/2006/relationships/hyperlink" Target="https://www.facebook.com/rapplerdotcom/posts/pfbid0TYP6syjYwznxJKdhWv9YMaXK9NvsSEhQ2cyyCQCPMvGapWXrQBHehywgT156wqNPl" TargetMode="External"/><Relationship Id="rId5468" Type="http://schemas.openxmlformats.org/officeDocument/2006/relationships/hyperlink" Target="https://www.facebook.com/inmate041908" TargetMode="External"/><Relationship Id="rId5882" Type="http://schemas.openxmlformats.org/officeDocument/2006/relationships/hyperlink" Target="https://www.facebook.com/profile.php?id=100013349808064" TargetMode="External"/><Relationship Id="rId4484" Type="http://schemas.openxmlformats.org/officeDocument/2006/relationships/hyperlink" Target="https://www.facebook.com/ditoy.macatangay" TargetMode="External"/><Relationship Id="rId5535" Type="http://schemas.openxmlformats.org/officeDocument/2006/relationships/hyperlink" Target="https://www.facebook.com/rapplerdotcom/photos/a.317154781638645/5594453700575367/" TargetMode="External"/><Relationship Id="rId3086" Type="http://schemas.openxmlformats.org/officeDocument/2006/relationships/hyperlink" Target="https://www.facebook.com/watch/live/?ref=watch_permalink&amp;v=360307549312104" TargetMode="External"/><Relationship Id="rId4137" Type="http://schemas.openxmlformats.org/officeDocument/2006/relationships/hyperlink" Target="https://www.facebook.com/aldo.lavingu" TargetMode="External"/><Relationship Id="rId4551" Type="http://schemas.openxmlformats.org/officeDocument/2006/relationships/hyperlink" Target="https://www.facebook.com/rapplerdotcom/photos/a.317154781638645/5594954703858600/" TargetMode="External"/><Relationship Id="rId3153" Type="http://schemas.openxmlformats.org/officeDocument/2006/relationships/hyperlink" Target="https://www.facebook.com/janicetsotto" TargetMode="External"/><Relationship Id="rId4204" Type="http://schemas.openxmlformats.org/officeDocument/2006/relationships/hyperlink" Target="https://www.facebook.com/rapplerdotcom/photos/a.317154781638645/5594954703858600/" TargetMode="External"/><Relationship Id="rId5602" Type="http://schemas.openxmlformats.org/officeDocument/2006/relationships/hyperlink" Target="https://www.facebook.com/milanituda" TargetMode="External"/><Relationship Id="rId141" Type="http://schemas.openxmlformats.org/officeDocument/2006/relationships/hyperlink" Target="https://www.facebook.com/honey.huervana" TargetMode="External"/><Relationship Id="rId3220" Type="http://schemas.openxmlformats.org/officeDocument/2006/relationships/hyperlink" Target="https://www.facebook.com/watch/live/?ref=watch_permalink&amp;v=332681445500650" TargetMode="External"/><Relationship Id="rId6029" Type="http://schemas.openxmlformats.org/officeDocument/2006/relationships/hyperlink" Target="https://www.facebook.com/rapplerdotcom/photos/a.317154781638645/5594359700584767/" TargetMode="External"/><Relationship Id="rId7" Type="http://schemas.openxmlformats.org/officeDocument/2006/relationships/hyperlink" Target="https://www.facebook.com/rico.sanyo.7" TargetMode="External"/><Relationship Id="rId2986" Type="http://schemas.openxmlformats.org/officeDocument/2006/relationships/hyperlink" Target="https://www.facebook.com/watch/live/?ref=watch_permalink&amp;v=360307549312104" TargetMode="External"/><Relationship Id="rId5392" Type="http://schemas.openxmlformats.org/officeDocument/2006/relationships/hyperlink" Target="https://www.facebook.com/danny.casalme" TargetMode="External"/><Relationship Id="rId958" Type="http://schemas.openxmlformats.org/officeDocument/2006/relationships/hyperlink" Target="https://www.facebook.com/rapplerdotcom/photos/a.317154781638645/5597592673594803/" TargetMode="External"/><Relationship Id="rId1588" Type="http://schemas.openxmlformats.org/officeDocument/2006/relationships/hyperlink" Target="https://www.facebook.com/rapplerdotcom/posts/pfbid02AsSA4LQqjQ2Y8SVathQmtduoE3fhoGvQSNhvrzsMerDaJSQJ6jDvApCCiuaE7XCol" TargetMode="External"/><Relationship Id="rId2639" Type="http://schemas.openxmlformats.org/officeDocument/2006/relationships/hyperlink" Target="https://www.facebook.com/ancelcurativo" TargetMode="External"/><Relationship Id="rId5045" Type="http://schemas.openxmlformats.org/officeDocument/2006/relationships/hyperlink" Target="https://www.facebook.com/rapplerdotcom/posts/pfbid02BCyyacWVuuu1bwX5PwYK8PvqDGTANxekqEMy7qyV9vMmaGKTbC8sBf7i5j3Wbx9Ll" TargetMode="External"/><Relationship Id="rId1655" Type="http://schemas.openxmlformats.org/officeDocument/2006/relationships/hyperlink" Target="https://www.facebook.com/profile.php?id=100078647222981" TargetMode="External"/><Relationship Id="rId2706" Type="http://schemas.openxmlformats.org/officeDocument/2006/relationships/hyperlink" Target="https://www.facebook.com/rapplerdotcom/photos/a.317154781638645/5595733810447356/" TargetMode="External"/><Relationship Id="rId4061" Type="http://schemas.openxmlformats.org/officeDocument/2006/relationships/hyperlink" Target="https://www.facebook.com/profile.php?id=100011366202531" TargetMode="External"/><Relationship Id="rId5112" Type="http://schemas.openxmlformats.org/officeDocument/2006/relationships/hyperlink" Target="https://www.facebook.com/gahimaeeeeee" TargetMode="External"/><Relationship Id="rId1308" Type="http://schemas.openxmlformats.org/officeDocument/2006/relationships/hyperlink" Target="https://www.facebook.com/rapplerdotcom/photos/a.317154781638645/5597116770309060/" TargetMode="External"/><Relationship Id="rId1722" Type="http://schemas.openxmlformats.org/officeDocument/2006/relationships/hyperlink" Target="https://www.facebook.com/rapplerdotcom/photos/a.317154781638645/5596043783749692/" TargetMode="External"/><Relationship Id="rId4878" Type="http://schemas.openxmlformats.org/officeDocument/2006/relationships/hyperlink" Target="https://www.facebook.com/vhengvheng.manlapaz" TargetMode="External"/><Relationship Id="rId5929" Type="http://schemas.openxmlformats.org/officeDocument/2006/relationships/hyperlink" Target="https://www.facebook.com/rapplerdotcom/photos/a.317154781638645/5594359700584767/" TargetMode="External"/><Relationship Id="rId14" Type="http://schemas.openxmlformats.org/officeDocument/2006/relationships/hyperlink" Target="https://www.facebook.com/rapplerdotcom/posts/pfbid0DUh4iFcrxZuR1UbiGhcAHcMdzsaV29GSeHCY1HabtqcnUWkjStX9TDaVqzzt92GDl" TargetMode="External"/><Relationship Id="rId3894" Type="http://schemas.openxmlformats.org/officeDocument/2006/relationships/hyperlink" Target="https://www.facebook.com/rapplerdotcom/posts/pfbid0dyWpzxim3h4Z2SYriGakwQw85p7BCAgct7KU5EiMX1bmmgNHDD8nmES8rjrADsrPl" TargetMode="External"/><Relationship Id="rId4945" Type="http://schemas.openxmlformats.org/officeDocument/2006/relationships/hyperlink" Target="https://www.facebook.com/rapplerdotcom/posts/pfbid02BCyyacWVuuu1bwX5PwYK8PvqDGTANxekqEMy7qyV9vMmaGKTbC8sBf7i5j3Wbx9Ll" TargetMode="External"/><Relationship Id="rId2496" Type="http://schemas.openxmlformats.org/officeDocument/2006/relationships/hyperlink" Target="https://www.facebook.com/rapplerdotcom/posts/pfbid0TYP6syjYwznxJKdhWv9YMaXK9NvsSEhQ2cyyCQCPMvGapWXrQBHehywgT156wqNPl" TargetMode="External"/><Relationship Id="rId3547" Type="http://schemas.openxmlformats.org/officeDocument/2006/relationships/hyperlink" Target="https://www.facebook.com/bautista.jimmy.98" TargetMode="External"/><Relationship Id="rId3961" Type="http://schemas.openxmlformats.org/officeDocument/2006/relationships/hyperlink" Target="https://www.facebook.com/nuisance9999" TargetMode="External"/><Relationship Id="rId468" Type="http://schemas.openxmlformats.org/officeDocument/2006/relationships/hyperlink" Target="https://www.facebook.com/chona.piansay" TargetMode="External"/><Relationship Id="rId882" Type="http://schemas.openxmlformats.org/officeDocument/2006/relationships/hyperlink" Target="https://www.facebook.com/rapplerdotcom/photos/a.317154781638645/5597612220259515/" TargetMode="External"/><Relationship Id="rId1098" Type="http://schemas.openxmlformats.org/officeDocument/2006/relationships/hyperlink" Target="https://www.facebook.com/rapplerdotcom/posts/pfbid028Kg188FmebKa4aFvHZNp8zGTwjghWDDJuUmQ8agbSCvGAGJHZ7pBH9NmxLBmPZZdl" TargetMode="External"/><Relationship Id="rId2149" Type="http://schemas.openxmlformats.org/officeDocument/2006/relationships/hyperlink" Target="https://www.facebook.com/mynameis.leagirl" TargetMode="External"/><Relationship Id="rId2563" Type="http://schemas.openxmlformats.org/officeDocument/2006/relationships/hyperlink" Target="https://www.facebook.com/francis.bartolome.52" TargetMode="External"/><Relationship Id="rId3614" Type="http://schemas.openxmlformats.org/officeDocument/2006/relationships/hyperlink" Target="https://www.facebook.com/rapplerdotcom/photos/a.317154781638645/5595372260483511/" TargetMode="External"/><Relationship Id="rId6020" Type="http://schemas.openxmlformats.org/officeDocument/2006/relationships/hyperlink" Target="https://www.facebook.com/eugene.arat" TargetMode="External"/><Relationship Id="rId535" Type="http://schemas.openxmlformats.org/officeDocument/2006/relationships/hyperlink" Target="https://www.facebook.com/rapplerdotcom/photos/a.317154781638645/5598220220198715/" TargetMode="External"/><Relationship Id="rId1165" Type="http://schemas.openxmlformats.org/officeDocument/2006/relationships/hyperlink" Target="https://www.facebook.com/ronmsalvador" TargetMode="External"/><Relationship Id="rId2216" Type="http://schemas.openxmlformats.org/officeDocument/2006/relationships/hyperlink" Target="https://www.facebook.com/rapplerdotcom/photos/a.317154781638645/5596022273751843/" TargetMode="External"/><Relationship Id="rId2630" Type="http://schemas.openxmlformats.org/officeDocument/2006/relationships/hyperlink" Target="https://www.facebook.com/rapplerdotcom/photos/a.317154781638645/5595733810447356/" TargetMode="External"/><Relationship Id="rId5786" Type="http://schemas.openxmlformats.org/officeDocument/2006/relationships/hyperlink" Target="https://www.facebook.com/MiLjenN25" TargetMode="External"/><Relationship Id="rId602" Type="http://schemas.openxmlformats.org/officeDocument/2006/relationships/hyperlink" Target="https://www.facebook.com/rapplerdotcom/photos/a.317154781638645/5597874143566656" TargetMode="External"/><Relationship Id="rId1232" Type="http://schemas.openxmlformats.org/officeDocument/2006/relationships/hyperlink" Target="https://www.facebook.com/rapplerdotcom/posts/pfbid023goEfA6e1ABSWYJFy8fQ5LFWDv4QTSTmAfzySGtMSpy12iqywB2MUZjiZ8GjCxrGl" TargetMode="External"/><Relationship Id="rId4388" Type="http://schemas.openxmlformats.org/officeDocument/2006/relationships/hyperlink" Target="https://www.facebook.com/janice.arroyo.98837" TargetMode="External"/><Relationship Id="rId5439" Type="http://schemas.openxmlformats.org/officeDocument/2006/relationships/hyperlink" Target="https://www.facebook.com/watch/live/?ref=watch_permalink&amp;v=312865720941798" TargetMode="External"/><Relationship Id="rId5853" Type="http://schemas.openxmlformats.org/officeDocument/2006/relationships/hyperlink" Target="https://www.facebook.com/rapplerdotcom/photos/a.317154781638645/5594453700575367/" TargetMode="External"/><Relationship Id="rId3057" Type="http://schemas.openxmlformats.org/officeDocument/2006/relationships/hyperlink" Target="https://www.facebook.com/siguenza.med96" TargetMode="External"/><Relationship Id="rId4108" Type="http://schemas.openxmlformats.org/officeDocument/2006/relationships/hyperlink" Target="https://www.facebook.com/rapplerdotcom/photos/a.317154781638645/5594954703858600/" TargetMode="External"/><Relationship Id="rId4455" Type="http://schemas.openxmlformats.org/officeDocument/2006/relationships/hyperlink" Target="https://www.facebook.com/rapplerdotcom/photos/a.317154781638645/5594954703858600/" TargetMode="External"/><Relationship Id="rId5506" Type="http://schemas.openxmlformats.org/officeDocument/2006/relationships/hyperlink" Target="https://www.facebook.com/narciso.corvera.549" TargetMode="External"/><Relationship Id="rId5920" Type="http://schemas.openxmlformats.org/officeDocument/2006/relationships/hyperlink" Target="https://www.facebook.com/benjie.paralta" TargetMode="External"/><Relationship Id="rId3471" Type="http://schemas.openxmlformats.org/officeDocument/2006/relationships/hyperlink" Target="https://www.facebook.com/icarro1821" TargetMode="External"/><Relationship Id="rId4522" Type="http://schemas.openxmlformats.org/officeDocument/2006/relationships/hyperlink" Target="https://www.facebook.com/allen.aguilar.58" TargetMode="External"/><Relationship Id="rId392" Type="http://schemas.openxmlformats.org/officeDocument/2006/relationships/hyperlink" Target="https://www.facebook.com/Jadiz50" TargetMode="External"/><Relationship Id="rId2073" Type="http://schemas.openxmlformats.org/officeDocument/2006/relationships/hyperlink" Target="https://www.facebook.com/Jeff5289" TargetMode="External"/><Relationship Id="rId3124" Type="http://schemas.openxmlformats.org/officeDocument/2006/relationships/hyperlink" Target="https://www.facebook.com/watch/live/?ref=watch_permalink&amp;v=360307549312104" TargetMode="External"/><Relationship Id="rId2140" Type="http://schemas.openxmlformats.org/officeDocument/2006/relationships/hyperlink" Target="https://www.facebook.com/rapplerdotcom/photos/a.317154781638645/5596022273751843/" TargetMode="External"/><Relationship Id="rId5296" Type="http://schemas.openxmlformats.org/officeDocument/2006/relationships/hyperlink" Target="https://www.facebook.com/tony.abulencia.1" TargetMode="External"/><Relationship Id="rId112" Type="http://schemas.openxmlformats.org/officeDocument/2006/relationships/hyperlink" Target="https://www.facebook.com/rapplerdotcom/posts/pfbid0DUh4iFcrxZuR1UbiGhcAHcMdzsaV29GSeHCY1HabtqcnUWkjStX9TDaVqzzt92GDl" TargetMode="External"/><Relationship Id="rId5363" Type="http://schemas.openxmlformats.org/officeDocument/2006/relationships/hyperlink" Target="https://www.facebook.com/rapplerdotcom/photos/a.317154781638645/5594264657260938/" TargetMode="External"/><Relationship Id="rId2957" Type="http://schemas.openxmlformats.org/officeDocument/2006/relationships/hyperlink" Target="https://www.facebook.com/jeannalyn.f.concepcion" TargetMode="External"/><Relationship Id="rId5016" Type="http://schemas.openxmlformats.org/officeDocument/2006/relationships/hyperlink" Target="https://www.facebook.com/rey.sumam" TargetMode="External"/><Relationship Id="rId929" Type="http://schemas.openxmlformats.org/officeDocument/2006/relationships/hyperlink" Target="https://www.facebook.com/khali.gab" TargetMode="External"/><Relationship Id="rId1559" Type="http://schemas.openxmlformats.org/officeDocument/2006/relationships/hyperlink" Target="https://www.facebook.com/profile.php?id=100040658171991" TargetMode="External"/><Relationship Id="rId1973" Type="http://schemas.openxmlformats.org/officeDocument/2006/relationships/hyperlink" Target="https://www.facebook.com/ninotchka.rosca" TargetMode="External"/><Relationship Id="rId4032" Type="http://schemas.openxmlformats.org/officeDocument/2006/relationships/hyperlink" Target="https://www.facebook.com/rapplerdotcom/posts/pfbid02kmyrDmvYtHxz51VdR228sTCyvbHYDrwL4TgeoVAenoprSKkWhUFLyRmAuKBuGtXXl" TargetMode="External"/><Relationship Id="rId5430" Type="http://schemas.openxmlformats.org/officeDocument/2006/relationships/hyperlink" Target="https://www.facebook.com/profile.php?id=100069901764842" TargetMode="External"/><Relationship Id="rId1626" Type="http://schemas.openxmlformats.org/officeDocument/2006/relationships/hyperlink" Target="https://www.facebook.com/rapplerdotcom/posts/pfbid02AsSA4LQqjQ2Y8SVathQmtduoE3fhoGvQSNhvrzsMerDaJSQJ6jDvApCCiuaE7XCol" TargetMode="External"/><Relationship Id="rId3798" Type="http://schemas.openxmlformats.org/officeDocument/2006/relationships/hyperlink" Target="https://www.facebook.com/rapplerdotcom/posts/pfbid0dyWpzxim3h4Z2SYriGakwQw85p7BCAgct7KU5EiMX1bmmgNHDD8nmES8rjrADsrPl" TargetMode="External"/><Relationship Id="rId4849" Type="http://schemas.openxmlformats.org/officeDocument/2006/relationships/hyperlink" Target="https://www.facebook.com/watch/live/?ref=watch_permalink&amp;v=923735834984653" TargetMode="External"/><Relationship Id="rId3865" Type="http://schemas.openxmlformats.org/officeDocument/2006/relationships/hyperlink" Target="https://www.facebook.com/alonzonoel.miclat.5" TargetMode="External"/><Relationship Id="rId4916" Type="http://schemas.openxmlformats.org/officeDocument/2006/relationships/hyperlink" Target="https://www.facebook.com/EyronClavsky" TargetMode="External"/><Relationship Id="rId786" Type="http://schemas.openxmlformats.org/officeDocument/2006/relationships/hyperlink" Target="https://www.facebook.com/rapplerdotcom/photos/a.317154781638645/5597612220259515/" TargetMode="External"/><Relationship Id="rId2467" Type="http://schemas.openxmlformats.org/officeDocument/2006/relationships/hyperlink" Target="https://www.facebook.com/ej.munieza1027" TargetMode="External"/><Relationship Id="rId3518" Type="http://schemas.openxmlformats.org/officeDocument/2006/relationships/hyperlink" Target="https://www.facebook.com/rapplerdotcom/photos/a.317154781638645/5595372260483511/" TargetMode="External"/><Relationship Id="rId439" Type="http://schemas.openxmlformats.org/officeDocument/2006/relationships/hyperlink" Target="https://www.facebook.com/rapplerdotcom/photos/a.317154781638645/5598220220198715/" TargetMode="External"/><Relationship Id="rId1069" Type="http://schemas.openxmlformats.org/officeDocument/2006/relationships/hyperlink" Target="https://www.facebook.com/chelle.alvarez.581" TargetMode="External"/><Relationship Id="rId1483" Type="http://schemas.openxmlformats.org/officeDocument/2006/relationships/hyperlink" Target="https://www.facebook.com/arturo.rondolos.3" TargetMode="External"/><Relationship Id="rId2881" Type="http://schemas.openxmlformats.org/officeDocument/2006/relationships/hyperlink" Target="https://www.facebook.com/RitaAvilaBooksforChildren" TargetMode="External"/><Relationship Id="rId3932" Type="http://schemas.openxmlformats.org/officeDocument/2006/relationships/hyperlink" Target="https://www.facebook.com/rapplerdotcom/posts/pfbid0dyWpzxim3h4Z2SYriGakwQw85p7BCAgct7KU5EiMX1bmmgNHDD8nmES8rjrADsrPl" TargetMode="External"/><Relationship Id="rId506" Type="http://schemas.openxmlformats.org/officeDocument/2006/relationships/hyperlink" Target="https://www.facebook.com/ferrerantonia" TargetMode="External"/><Relationship Id="rId853" Type="http://schemas.openxmlformats.org/officeDocument/2006/relationships/hyperlink" Target="https://www.facebook.com/profile.php?id=100074950725815" TargetMode="External"/><Relationship Id="rId1136" Type="http://schemas.openxmlformats.org/officeDocument/2006/relationships/hyperlink" Target="https://www.facebook.com/rapplerdotcom/posts/pfbid02dNgAR64VTtp94Rus4o9MNbU55E2H9Wp7KMKzJGkk6u4UxRyHU8j2pPpwa5iwGcD3l" TargetMode="External"/><Relationship Id="rId2534" Type="http://schemas.openxmlformats.org/officeDocument/2006/relationships/hyperlink" Target="https://www.facebook.com/rapplerdotcom/photos/a.317154781638645/5595733810447356/" TargetMode="External"/><Relationship Id="rId920" Type="http://schemas.openxmlformats.org/officeDocument/2006/relationships/hyperlink" Target="https://www.facebook.com/rapplerdotcom/photos/a.317154781638645/5597592673594803/" TargetMode="External"/><Relationship Id="rId1550" Type="http://schemas.openxmlformats.org/officeDocument/2006/relationships/hyperlink" Target="https://www.facebook.com/rapplerdotcom/photos/a.317154781638645/5597116770309060/" TargetMode="External"/><Relationship Id="rId2601" Type="http://schemas.openxmlformats.org/officeDocument/2006/relationships/hyperlink" Target="https://www.facebook.com/migsaquino" TargetMode="External"/><Relationship Id="rId5757" Type="http://schemas.openxmlformats.org/officeDocument/2006/relationships/hyperlink" Target="https://www.facebook.com/rapplerdotcom/photos/a.317154781638645/5594453700575367/" TargetMode="External"/><Relationship Id="rId1203" Type="http://schemas.openxmlformats.org/officeDocument/2006/relationships/hyperlink" Target="https://www.facebook.com/natie.pelayo" TargetMode="External"/><Relationship Id="rId4359" Type="http://schemas.openxmlformats.org/officeDocument/2006/relationships/hyperlink" Target="https://www.facebook.com/rapplerdotcom/photos/a.317154781638645/5594954703858600/" TargetMode="External"/><Relationship Id="rId4773" Type="http://schemas.openxmlformats.org/officeDocument/2006/relationships/hyperlink" Target="https://www.facebook.com/watch/live/?ref=watch_permalink&amp;v=923735834984653" TargetMode="External"/><Relationship Id="rId5824" Type="http://schemas.openxmlformats.org/officeDocument/2006/relationships/hyperlink" Target="https://www.facebook.com/johnny.collantes.37" TargetMode="External"/><Relationship Id="rId3375" Type="http://schemas.openxmlformats.org/officeDocument/2006/relationships/hyperlink" Target="https://www.facebook.com/dez.delmundosamson" TargetMode="External"/><Relationship Id="rId4426" Type="http://schemas.openxmlformats.org/officeDocument/2006/relationships/hyperlink" Target="https://www.facebook.com/lon.makinano.94" TargetMode="External"/><Relationship Id="rId4840" Type="http://schemas.openxmlformats.org/officeDocument/2006/relationships/hyperlink" Target="https://www.facebook.com/danisley.casalme.7" TargetMode="External"/><Relationship Id="rId296" Type="http://schemas.openxmlformats.org/officeDocument/2006/relationships/hyperlink" Target="https://www.facebook.com/deadinsidemychest" TargetMode="External"/><Relationship Id="rId2391" Type="http://schemas.openxmlformats.org/officeDocument/2006/relationships/hyperlink" Target="https://www.facebook.com/tonitz.pepito" TargetMode="External"/><Relationship Id="rId3028" Type="http://schemas.openxmlformats.org/officeDocument/2006/relationships/hyperlink" Target="https://www.facebook.com/watch/live/?ref=watch_permalink&amp;v=360307549312104" TargetMode="External"/><Relationship Id="rId3442" Type="http://schemas.openxmlformats.org/officeDocument/2006/relationships/hyperlink" Target="https://www.facebook.com/rapplerdotcom/photos/a.317154781638645/5595372260483511/" TargetMode="External"/><Relationship Id="rId363" Type="http://schemas.openxmlformats.org/officeDocument/2006/relationships/hyperlink" Target="https://www.facebook.com/rapplerdotcom/photos/a.317154781638645/5598220220198715/" TargetMode="External"/><Relationship Id="rId2044" Type="http://schemas.openxmlformats.org/officeDocument/2006/relationships/hyperlink" Target="https://www.facebook.com/rapplerdotcom/photos/a.317154781638645/5596022273751843/" TargetMode="External"/><Relationship Id="rId430" Type="http://schemas.openxmlformats.org/officeDocument/2006/relationships/hyperlink" Target="https://www.facebook.com/narciso.corvera.549" TargetMode="External"/><Relationship Id="rId1060" Type="http://schemas.openxmlformats.org/officeDocument/2006/relationships/hyperlink" Target="https://www.facebook.com/rapplerdotcom/posts/pfbid028Kg188FmebKa4aFvHZNp8zGTwjghWDDJuUmQ8agbSCvGAGJHZ7pBH9NmxLBmPZZdl" TargetMode="External"/><Relationship Id="rId2111" Type="http://schemas.openxmlformats.org/officeDocument/2006/relationships/hyperlink" Target="https://www.facebook.com/monette.meris" TargetMode="External"/><Relationship Id="rId5267" Type="http://schemas.openxmlformats.org/officeDocument/2006/relationships/hyperlink" Target="https://www.facebook.com/rapplerdotcom/photos/a.317154781638645/5594264657260938/" TargetMode="External"/><Relationship Id="rId5681" Type="http://schemas.openxmlformats.org/officeDocument/2006/relationships/hyperlink" Target="https://www.facebook.com/rapplerdotcom/photos/a.317154781638645/5594453700575367/" TargetMode="External"/><Relationship Id="rId1877" Type="http://schemas.openxmlformats.org/officeDocument/2006/relationships/hyperlink" Target="https://www.facebook.com/teodorico.deverap" TargetMode="External"/><Relationship Id="rId2928" Type="http://schemas.openxmlformats.org/officeDocument/2006/relationships/hyperlink" Target="https://www.facebook.com/watch/live/?ref=watch_permalink&amp;v=360307549312104" TargetMode="External"/><Relationship Id="rId4283" Type="http://schemas.openxmlformats.org/officeDocument/2006/relationships/hyperlink" Target="https://www.facebook.com/rapplerdotcom/photos/a.317154781638645/5594954703858600/" TargetMode="External"/><Relationship Id="rId5334" Type="http://schemas.openxmlformats.org/officeDocument/2006/relationships/hyperlink" Target="https://www.facebook.com/aqoucii.makmak" TargetMode="External"/><Relationship Id="rId1944" Type="http://schemas.openxmlformats.org/officeDocument/2006/relationships/hyperlink" Target="https://www.facebook.com/rapplerdotcom/photos/a.317154781638645/5596043783749692/" TargetMode="External"/><Relationship Id="rId4350" Type="http://schemas.openxmlformats.org/officeDocument/2006/relationships/hyperlink" Target="https://www.facebook.com/tolits.briones" TargetMode="External"/><Relationship Id="rId5401" Type="http://schemas.openxmlformats.org/officeDocument/2006/relationships/hyperlink" Target="https://www.facebook.com/watch/live/?ref=watch_permalink&amp;v=312865720941798" TargetMode="External"/><Relationship Id="rId4003" Type="http://schemas.openxmlformats.org/officeDocument/2006/relationships/hyperlink" Target="https://www.facebook.com/noel.isorena.7" TargetMode="External"/><Relationship Id="rId6175" Type="http://schemas.openxmlformats.org/officeDocument/2006/relationships/hyperlink" Target="https://www.facebook.com/watch/?v=684555919511830" TargetMode="External"/><Relationship Id="rId3769" Type="http://schemas.openxmlformats.org/officeDocument/2006/relationships/hyperlink" Target="https://www.facebook.com/imeldatorres.perocho" TargetMode="External"/><Relationship Id="rId5191" Type="http://schemas.openxmlformats.org/officeDocument/2006/relationships/hyperlink" Target="https://www.facebook.com/rapplerdotcom/photos/a.317154781638645/5594264657260938/" TargetMode="External"/><Relationship Id="rId2785" Type="http://schemas.openxmlformats.org/officeDocument/2006/relationships/hyperlink" Target="https://www.facebook.com/jhonatan.dordas" TargetMode="External"/><Relationship Id="rId3836" Type="http://schemas.openxmlformats.org/officeDocument/2006/relationships/hyperlink" Target="https://www.facebook.com/rapplerdotcom/posts/pfbid0dyWpzxim3h4Z2SYriGakwQw85p7BCAgct7KU5EiMX1bmmgNHDD8nmES8rjrADsrPl" TargetMode="External"/><Relationship Id="rId757" Type="http://schemas.openxmlformats.org/officeDocument/2006/relationships/hyperlink" Target="https://www.facebook.com/arman.soliveres.5" TargetMode="External"/><Relationship Id="rId1387" Type="http://schemas.openxmlformats.org/officeDocument/2006/relationships/hyperlink" Target="https://www.facebook.com/edgardo.eva" TargetMode="External"/><Relationship Id="rId2438" Type="http://schemas.openxmlformats.org/officeDocument/2006/relationships/hyperlink" Target="https://www.facebook.com/rapplerdotcom/posts/pfbid0TYP6syjYwznxJKdhWv9YMaXK9NvsSEhQ2cyyCQCPMvGapWXrQBHehywgT156wqNPl" TargetMode="External"/><Relationship Id="rId2852" Type="http://schemas.openxmlformats.org/officeDocument/2006/relationships/hyperlink" Target="https://www.facebook.com/watch/?v=570590637273208" TargetMode="External"/><Relationship Id="rId3903" Type="http://schemas.openxmlformats.org/officeDocument/2006/relationships/hyperlink" Target="https://www.facebook.com/LigayaNiOwen" TargetMode="External"/><Relationship Id="rId93" Type="http://schemas.openxmlformats.org/officeDocument/2006/relationships/hyperlink" Target="https://www.facebook.com/profile.php?id=100069548558481" TargetMode="External"/><Relationship Id="rId824" Type="http://schemas.openxmlformats.org/officeDocument/2006/relationships/hyperlink" Target="https://www.facebook.com/rapplerdotcom/photos/a.317154781638645/5597612220259515/" TargetMode="External"/><Relationship Id="rId1454" Type="http://schemas.openxmlformats.org/officeDocument/2006/relationships/hyperlink" Target="https://www.facebook.com/rapplerdotcom/photos/a.317154781638645/5597116770309060/" TargetMode="External"/><Relationship Id="rId2505" Type="http://schemas.openxmlformats.org/officeDocument/2006/relationships/hyperlink" Target="https://www.facebook.com/iamALArreza" TargetMode="External"/><Relationship Id="rId1107" Type="http://schemas.openxmlformats.org/officeDocument/2006/relationships/hyperlink" Target="https://www.facebook.com/profile.php?id=100019358329361" TargetMode="External"/><Relationship Id="rId1521" Type="http://schemas.openxmlformats.org/officeDocument/2006/relationships/hyperlink" Target="https://www.facebook.com/Louweegeee" TargetMode="External"/><Relationship Id="rId4677" Type="http://schemas.openxmlformats.org/officeDocument/2006/relationships/hyperlink" Target="https://www.facebook.com/watch/live/?ref=watch_permalink&amp;v=923735834984653" TargetMode="External"/><Relationship Id="rId5728" Type="http://schemas.openxmlformats.org/officeDocument/2006/relationships/hyperlink" Target="https://www.facebook.com/ruel.padua.1" TargetMode="External"/><Relationship Id="rId3279" Type="http://schemas.openxmlformats.org/officeDocument/2006/relationships/hyperlink" Target="https://www.facebook.com/profile.php?id=100072652930837" TargetMode="External"/><Relationship Id="rId3693" Type="http://schemas.openxmlformats.org/officeDocument/2006/relationships/hyperlink" Target="https://www.facebook.com/maricel.delacruz.399" TargetMode="External"/><Relationship Id="rId2295" Type="http://schemas.openxmlformats.org/officeDocument/2006/relationships/hyperlink" Target="https://www.facebook.com/profile.php?id=100005732081750" TargetMode="External"/><Relationship Id="rId3346" Type="http://schemas.openxmlformats.org/officeDocument/2006/relationships/hyperlink" Target="https://www.facebook.com/rapplerdotcom/photos/a.317154781638645/5595372260483511/" TargetMode="External"/><Relationship Id="rId4744" Type="http://schemas.openxmlformats.org/officeDocument/2006/relationships/hyperlink" Target="https://www.facebook.com/panny.valles" TargetMode="External"/><Relationship Id="rId267" Type="http://schemas.openxmlformats.org/officeDocument/2006/relationships/hyperlink" Target="https://www.facebook.com/rapplerdotcom/photos/a.317154781638645/5598220220198715/" TargetMode="External"/><Relationship Id="rId3760" Type="http://schemas.openxmlformats.org/officeDocument/2006/relationships/hyperlink" Target="https://www.facebook.com/rapplerdotcom/posts/pfbid0dyWpzxim3h4Z2SYriGakwQw85p7BCAgct7KU5EiMX1bmmgNHDD8nmES8rjrADsrPl" TargetMode="External"/><Relationship Id="rId4811" Type="http://schemas.openxmlformats.org/officeDocument/2006/relationships/hyperlink" Target="https://www.facebook.com/watch/live/?ref=watch_permalink&amp;v=923735834984653" TargetMode="External"/><Relationship Id="rId681" Type="http://schemas.openxmlformats.org/officeDocument/2006/relationships/hyperlink" Target="https://www.facebook.com/dmiguelcastaneda" TargetMode="External"/><Relationship Id="rId2362" Type="http://schemas.openxmlformats.org/officeDocument/2006/relationships/hyperlink" Target="https://www.facebook.com/rapplerdotcom/posts/pfbid0TYP6syjYwznxJKdhWv9YMaXK9NvsSEhQ2cyyCQCPMvGapWXrQBHehywgT156wqNPl" TargetMode="External"/><Relationship Id="rId3413" Type="http://schemas.openxmlformats.org/officeDocument/2006/relationships/hyperlink" Target="https://www.facebook.com/deanny.magana" TargetMode="External"/><Relationship Id="rId334" Type="http://schemas.openxmlformats.org/officeDocument/2006/relationships/hyperlink" Target="https://www.facebook.com/priscila.matocinos.5" TargetMode="External"/><Relationship Id="rId2015" Type="http://schemas.openxmlformats.org/officeDocument/2006/relationships/hyperlink" Target="https://www.facebook.com/lorna.felipe.1694" TargetMode="External"/><Relationship Id="rId5585" Type="http://schemas.openxmlformats.org/officeDocument/2006/relationships/hyperlink" Target="https://www.facebook.com/rapplerdotcom/photos/a.317154781638645/5594453700575367/" TargetMode="External"/><Relationship Id="rId401" Type="http://schemas.openxmlformats.org/officeDocument/2006/relationships/hyperlink" Target="https://www.facebook.com/rapplerdotcom/photos/a.317154781638645/5598220220198715/" TargetMode="External"/><Relationship Id="rId1031" Type="http://schemas.openxmlformats.org/officeDocument/2006/relationships/hyperlink" Target="https://www.facebook.com/angelitoljaojr" TargetMode="External"/><Relationship Id="rId4187" Type="http://schemas.openxmlformats.org/officeDocument/2006/relationships/hyperlink" Target="https://www.facebook.com/loreta.ardaban.3" TargetMode="External"/><Relationship Id="rId5238" Type="http://schemas.openxmlformats.org/officeDocument/2006/relationships/hyperlink" Target="https://www.facebook.com/claryssebea.sana" TargetMode="External"/><Relationship Id="rId5652" Type="http://schemas.openxmlformats.org/officeDocument/2006/relationships/hyperlink" Target="https://www.facebook.com/rocky.romero.1042" TargetMode="External"/><Relationship Id="rId4254" Type="http://schemas.openxmlformats.org/officeDocument/2006/relationships/hyperlink" Target="https://www.facebook.com/danilo.lansani.5" TargetMode="External"/><Relationship Id="rId5305" Type="http://schemas.openxmlformats.org/officeDocument/2006/relationships/hyperlink" Target="https://www.facebook.com/rapplerdotcom/photos/a.317154781638645/5594264657260938/" TargetMode="External"/><Relationship Id="rId1848" Type="http://schemas.openxmlformats.org/officeDocument/2006/relationships/hyperlink" Target="https://www.facebook.com/rapplerdotcom/photos/a.317154781638645/5596043783749692/" TargetMode="External"/><Relationship Id="rId3270" Type="http://schemas.openxmlformats.org/officeDocument/2006/relationships/hyperlink" Target="https://www.facebook.com/rapplerdotcom/posts/pfbid035u2RhZvcYSiCeymgBfXLoFoq87y2V8v81A9xDtyoKJgzTGtotsEEoj2bH7Zd4mtzl" TargetMode="External"/><Relationship Id="rId4321" Type="http://schemas.openxmlformats.org/officeDocument/2006/relationships/hyperlink" Target="https://www.facebook.com/rapplerdotcom/photos/a.317154781638645/5594954703858600/" TargetMode="External"/><Relationship Id="rId191" Type="http://schemas.openxmlformats.org/officeDocument/2006/relationships/hyperlink" Target="https://www.facebook.com/Boyp97" TargetMode="External"/><Relationship Id="rId1915" Type="http://schemas.openxmlformats.org/officeDocument/2006/relationships/hyperlink" Target="https://www.facebook.com/nelia.villanueva.39" TargetMode="External"/><Relationship Id="rId6079" Type="http://schemas.openxmlformats.org/officeDocument/2006/relationships/hyperlink" Target="https://www.facebook.com/rapplerdotcom/photos/a.317154781638645/5594359700584767/" TargetMode="External"/><Relationship Id="rId5095" Type="http://schemas.openxmlformats.org/officeDocument/2006/relationships/hyperlink" Target="https://www.facebook.com/rapplerdotcom/posts/pfbid0231hbcbuKeQLDkPH8oZAdZbuU8MPPgRANx152V3xWpbjZ6EvfpohwQMvxHYAgrGPul" TargetMode="External"/><Relationship Id="rId2689" Type="http://schemas.openxmlformats.org/officeDocument/2006/relationships/hyperlink" Target="https://www.facebook.com/benjamin.naces.3" TargetMode="External"/><Relationship Id="rId6146" Type="http://schemas.openxmlformats.org/officeDocument/2006/relationships/hyperlink" Target="https://www.facebook.com/profile.php?id=100078431061985" TargetMode="External"/><Relationship Id="rId2756" Type="http://schemas.openxmlformats.org/officeDocument/2006/relationships/hyperlink" Target="https://www.facebook.com/rapplerdotcom/photos/a.317154781638645/5595733810447356/" TargetMode="External"/><Relationship Id="rId3807" Type="http://schemas.openxmlformats.org/officeDocument/2006/relationships/hyperlink" Target="https://www.facebook.com/nilo.asas" TargetMode="External"/><Relationship Id="rId5162" Type="http://schemas.openxmlformats.org/officeDocument/2006/relationships/hyperlink" Target="https://www.facebook.com/gemrose.rescobactol" TargetMode="External"/><Relationship Id="rId6213" Type="http://schemas.openxmlformats.org/officeDocument/2006/relationships/hyperlink" Target="https://www.facebook.com/watch/?v=684555919511830" TargetMode="External"/><Relationship Id="rId728" Type="http://schemas.openxmlformats.org/officeDocument/2006/relationships/hyperlink" Target="https://www.facebook.com/rapplerdotcom/photos/a.317154781638645/5597612220259515/" TargetMode="External"/><Relationship Id="rId1358" Type="http://schemas.openxmlformats.org/officeDocument/2006/relationships/hyperlink" Target="https://www.facebook.com/rapplerdotcom/photos/a.317154781638645/5597116770309060/" TargetMode="External"/><Relationship Id="rId1772" Type="http://schemas.openxmlformats.org/officeDocument/2006/relationships/hyperlink" Target="https://www.facebook.com/rapplerdotcom/photos/a.317154781638645/5596043783749692/" TargetMode="External"/><Relationship Id="rId2409" Type="http://schemas.openxmlformats.org/officeDocument/2006/relationships/hyperlink" Target="https://www.facebook.com/michelle.m.casal" TargetMode="External"/><Relationship Id="rId5979" Type="http://schemas.openxmlformats.org/officeDocument/2006/relationships/hyperlink" Target="https://www.facebook.com/rapplerdotcom/photos/a.317154781638645/5594359700584767/" TargetMode="External"/><Relationship Id="rId64" Type="http://schemas.openxmlformats.org/officeDocument/2006/relationships/hyperlink" Target="https://www.facebook.com/rapplerdotcom/posts/pfbid0DUh4iFcrxZuR1UbiGhcAHcMdzsaV29GSeHCY1HabtqcnUWkjStX9TDaVqzzt92GDl" TargetMode="External"/><Relationship Id="rId1425" Type="http://schemas.openxmlformats.org/officeDocument/2006/relationships/hyperlink" Target="https://www.facebook.com/profile.php?id=100009097937407" TargetMode="External"/><Relationship Id="rId2823" Type="http://schemas.openxmlformats.org/officeDocument/2006/relationships/hyperlink" Target="https://www.facebook.com/vincent.deleon.14473" TargetMode="External"/><Relationship Id="rId4995" Type="http://schemas.openxmlformats.org/officeDocument/2006/relationships/hyperlink" Target="https://www.facebook.com/rapplerdotcom/posts/pfbid02BCyyacWVuuu1bwX5PwYK8PvqDGTANxekqEMy7qyV9vMmaGKTbC8sBf7i5j3Wbx9Ll" TargetMode="External"/><Relationship Id="rId2199" Type="http://schemas.openxmlformats.org/officeDocument/2006/relationships/hyperlink" Target="https://www.facebook.com/nhienyanz14" TargetMode="External"/><Relationship Id="rId3597" Type="http://schemas.openxmlformats.org/officeDocument/2006/relationships/hyperlink" Target="https://www.facebook.com/profile.php?id=100077069798588" TargetMode="External"/><Relationship Id="rId4648" Type="http://schemas.openxmlformats.org/officeDocument/2006/relationships/hyperlink" Target="https://www.facebook.com/ricardo.cadiang" TargetMode="External"/><Relationship Id="rId6070" Type="http://schemas.openxmlformats.org/officeDocument/2006/relationships/hyperlink" Target="https://www.facebook.com/alex.wabinga" TargetMode="External"/><Relationship Id="rId3664" Type="http://schemas.openxmlformats.org/officeDocument/2006/relationships/hyperlink" Target="https://www.facebook.com/rapplerdotcom/photos/a.317154781638645/5595372260483511/" TargetMode="External"/><Relationship Id="rId4715" Type="http://schemas.openxmlformats.org/officeDocument/2006/relationships/hyperlink" Target="https://www.facebook.com/watch/live/?ref=watch_permalink&amp;v=923735834984653" TargetMode="External"/><Relationship Id="rId585" Type="http://schemas.openxmlformats.org/officeDocument/2006/relationships/hyperlink" Target="https://www.facebook.com/alexander.calub" TargetMode="External"/><Relationship Id="rId2266" Type="http://schemas.openxmlformats.org/officeDocument/2006/relationships/hyperlink" Target="https://www.facebook.com/rapplerdotcom/photos/a.317154781638645/5596022273751843/" TargetMode="External"/><Relationship Id="rId2680" Type="http://schemas.openxmlformats.org/officeDocument/2006/relationships/hyperlink" Target="https://www.facebook.com/rapplerdotcom/photos/a.317154781638645/5595733810447356/" TargetMode="External"/><Relationship Id="rId3317" Type="http://schemas.openxmlformats.org/officeDocument/2006/relationships/hyperlink" Target="https://www.facebook.com/fides.ayuste" TargetMode="External"/><Relationship Id="rId3731" Type="http://schemas.openxmlformats.org/officeDocument/2006/relationships/hyperlink" Target="https://www.facebook.com/jimmy.ballesteros" TargetMode="External"/><Relationship Id="rId238" Type="http://schemas.openxmlformats.org/officeDocument/2006/relationships/hyperlink" Target="https://www.facebook.com/terrence.co" TargetMode="External"/><Relationship Id="rId652" Type="http://schemas.openxmlformats.org/officeDocument/2006/relationships/hyperlink" Target="https://www.facebook.com/rapplerdotcom/photos/a.317154781638645/5597874143566656" TargetMode="External"/><Relationship Id="rId1282" Type="http://schemas.openxmlformats.org/officeDocument/2006/relationships/hyperlink" Target="https://www.facebook.com/rapplerdotcom/posts/pfbid023goEfA6e1ABSWYJFy8fQ5LFWDv4QTSTmAfzySGtMSpy12iqywB2MUZjiZ8GjCxrGl" TargetMode="External"/><Relationship Id="rId2333" Type="http://schemas.openxmlformats.org/officeDocument/2006/relationships/hyperlink" Target="https://www.facebook.com/legong.banez.9" TargetMode="External"/><Relationship Id="rId5489" Type="http://schemas.openxmlformats.org/officeDocument/2006/relationships/hyperlink" Target="https://www.facebook.com/watch/live/?ref=watch_permalink&amp;v=312865720941798" TargetMode="External"/><Relationship Id="rId305" Type="http://schemas.openxmlformats.org/officeDocument/2006/relationships/hyperlink" Target="https://www.facebook.com/rapplerdotcom/photos/a.317154781638645/5598220220198715/" TargetMode="External"/><Relationship Id="rId2400" Type="http://schemas.openxmlformats.org/officeDocument/2006/relationships/hyperlink" Target="https://www.facebook.com/rapplerdotcom/posts/pfbid0TYP6syjYwznxJKdhWv9YMaXK9NvsSEhQ2cyyCQCPMvGapWXrQBHehywgT156wqNPl" TargetMode="External"/><Relationship Id="rId5556" Type="http://schemas.openxmlformats.org/officeDocument/2006/relationships/hyperlink" Target="https://www.facebook.com/knavejoshuamarquez" TargetMode="External"/><Relationship Id="rId1002" Type="http://schemas.openxmlformats.org/officeDocument/2006/relationships/hyperlink" Target="https://www.facebook.com/rapplerdotcom/photos/a.317154781638645/5597592673594803/" TargetMode="External"/><Relationship Id="rId4158" Type="http://schemas.openxmlformats.org/officeDocument/2006/relationships/hyperlink" Target="https://www.facebook.com/rapplerdotcom/photos/a.317154781638645/5594954703858600/" TargetMode="External"/><Relationship Id="rId5209" Type="http://schemas.openxmlformats.org/officeDocument/2006/relationships/hyperlink" Target="https://www.facebook.com/rapplerdotcom/photos/a.317154781638645/5594264657260938/" TargetMode="External"/><Relationship Id="rId5970" Type="http://schemas.openxmlformats.org/officeDocument/2006/relationships/hyperlink" Target="https://www.facebook.com/mackoy.palang.7" TargetMode="External"/><Relationship Id="rId3174" Type="http://schemas.openxmlformats.org/officeDocument/2006/relationships/hyperlink" Target="https://www.facebook.com/watch/live/?ref=watch_permalink&amp;v=332681445500650" TargetMode="External"/><Relationship Id="rId4572" Type="http://schemas.openxmlformats.org/officeDocument/2006/relationships/hyperlink" Target="https://www.facebook.com/menchie.delrosario" TargetMode="External"/><Relationship Id="rId5623" Type="http://schemas.openxmlformats.org/officeDocument/2006/relationships/hyperlink" Target="https://www.facebook.com/rapplerdotcom/photos/a.317154781638645/5594453700575367/" TargetMode="External"/><Relationship Id="rId1819" Type="http://schemas.openxmlformats.org/officeDocument/2006/relationships/hyperlink" Target="https://www.facebook.com/defender85" TargetMode="External"/><Relationship Id="rId4225" Type="http://schemas.openxmlformats.org/officeDocument/2006/relationships/hyperlink" Target="https://www.facebook.com/leahllane.llena.9" TargetMode="External"/><Relationship Id="rId2190" Type="http://schemas.openxmlformats.org/officeDocument/2006/relationships/hyperlink" Target="https://www.facebook.com/rapplerdotcom/photos/a.317154781638645/5596022273751843/" TargetMode="External"/><Relationship Id="rId3241" Type="http://schemas.openxmlformats.org/officeDocument/2006/relationships/hyperlink" Target="https://www.facebook.com/profile.php?id=100078872943485" TargetMode="External"/><Relationship Id="rId162" Type="http://schemas.openxmlformats.org/officeDocument/2006/relationships/hyperlink" Target="https://www.facebook.com/rapplerdotcom/posts/pfbid0DUh4iFcrxZuR1UbiGhcAHcMdzsaV29GSeHCY1HabtqcnUWkjStX9TDaVqzzt92GDl" TargetMode="External"/><Relationship Id="rId979" Type="http://schemas.openxmlformats.org/officeDocument/2006/relationships/hyperlink" Target="https://www.facebook.com/profile.php?id=100070422307214" TargetMode="External"/><Relationship Id="rId5066" Type="http://schemas.openxmlformats.org/officeDocument/2006/relationships/hyperlink" Target="https://www.facebook.com/jrockersgsm" TargetMode="External"/><Relationship Id="rId5480" Type="http://schemas.openxmlformats.org/officeDocument/2006/relationships/hyperlink" Target="https://www.facebook.com/micoleizon" TargetMode="External"/><Relationship Id="rId6117" Type="http://schemas.openxmlformats.org/officeDocument/2006/relationships/hyperlink" Target="https://www.facebook.com/rapplerdotcom/posts/pfbid0JJW97xH5fR5tDSLUQ8AnEgkPMU9Aigs9CgcNy2Q7AzJY4R8mRoicBgu3PLdqpf2Tl" TargetMode="External"/><Relationship Id="rId4082" Type="http://schemas.openxmlformats.org/officeDocument/2006/relationships/hyperlink" Target="https://www.facebook.com/rapplerdotcom/posts/pfbid0231hbcbuKeQLDkPH8oZAdZbuU8MPPgRANx152V3xWpbjZ6EvfpohwQMvxHYAgrGPul" TargetMode="External"/><Relationship Id="rId5133" Type="http://schemas.openxmlformats.org/officeDocument/2006/relationships/hyperlink" Target="https://www.facebook.com/rapplerdotcom/photos/a.317154781638645/5594264657260938/" TargetMode="External"/><Relationship Id="rId1676" Type="http://schemas.openxmlformats.org/officeDocument/2006/relationships/hyperlink" Target="https://www.facebook.com/rapplerdotcom/photos/a.317154781638645/5596043783749692/" TargetMode="External"/><Relationship Id="rId2727" Type="http://schemas.openxmlformats.org/officeDocument/2006/relationships/hyperlink" Target="https://www.facebook.com/chloe.vncr" TargetMode="External"/><Relationship Id="rId1329" Type="http://schemas.openxmlformats.org/officeDocument/2006/relationships/hyperlink" Target="https://www.facebook.com/beverly.dalton.161" TargetMode="External"/><Relationship Id="rId1743" Type="http://schemas.openxmlformats.org/officeDocument/2006/relationships/hyperlink" Target="https://www.facebook.com/profile.php?id=100023261888630" TargetMode="External"/><Relationship Id="rId4899" Type="http://schemas.openxmlformats.org/officeDocument/2006/relationships/hyperlink" Target="https://www.facebook.com/watch/live/?ref=watch_permalink&amp;v=923735834984653" TargetMode="External"/><Relationship Id="rId5200" Type="http://schemas.openxmlformats.org/officeDocument/2006/relationships/hyperlink" Target="https://www.facebook.com/cydrex.bernabe.7" TargetMode="External"/><Relationship Id="rId35" Type="http://schemas.openxmlformats.org/officeDocument/2006/relationships/hyperlink" Target="https://www.facebook.com/rogercasidsid.villanueva" TargetMode="External"/><Relationship Id="rId1810" Type="http://schemas.openxmlformats.org/officeDocument/2006/relationships/hyperlink" Target="https://www.facebook.com/rapplerdotcom/photos/a.317154781638645/5596043783749692/" TargetMode="External"/><Relationship Id="rId4966" Type="http://schemas.openxmlformats.org/officeDocument/2006/relationships/hyperlink" Target="https://www.facebook.com/bot.kohtoh" TargetMode="External"/><Relationship Id="rId3568" Type="http://schemas.openxmlformats.org/officeDocument/2006/relationships/hyperlink" Target="https://www.facebook.com/rapplerdotcom/photos/a.317154781638645/5595372260483511/" TargetMode="External"/><Relationship Id="rId3982" Type="http://schemas.openxmlformats.org/officeDocument/2006/relationships/hyperlink" Target="https://www.facebook.com/rapplerdotcom/posts/pfbid0dyWpzxim3h4Z2SYriGakwQw85p7BCAgct7KU5EiMX1bmmgNHDD8nmES8rjrADsrPl" TargetMode="External"/><Relationship Id="rId4619" Type="http://schemas.openxmlformats.org/officeDocument/2006/relationships/hyperlink" Target="https://www.facebook.com/watch/live/?ref=watch_permalink&amp;v=923735834984653" TargetMode="External"/><Relationship Id="rId489" Type="http://schemas.openxmlformats.org/officeDocument/2006/relationships/hyperlink" Target="https://www.facebook.com/rapplerdotcom/photos/a.317154781638645/5598220220198715/" TargetMode="External"/><Relationship Id="rId2584" Type="http://schemas.openxmlformats.org/officeDocument/2006/relationships/hyperlink" Target="https://www.facebook.com/rapplerdotcom/photos/a.317154781638645/5595733810447356/" TargetMode="External"/><Relationship Id="rId3635" Type="http://schemas.openxmlformats.org/officeDocument/2006/relationships/hyperlink" Target="https://www.facebook.com/pilar.alejo.9" TargetMode="External"/><Relationship Id="rId6041" Type="http://schemas.openxmlformats.org/officeDocument/2006/relationships/hyperlink" Target="https://www.facebook.com/rapplerdotcom/photos/a.317154781638645/5594359700584767/" TargetMode="External"/><Relationship Id="rId556" Type="http://schemas.openxmlformats.org/officeDocument/2006/relationships/hyperlink" Target="https://www.facebook.com/rapplerdotcom/photos/a.317154781638645/5597874143566656" TargetMode="External"/><Relationship Id="rId1186" Type="http://schemas.openxmlformats.org/officeDocument/2006/relationships/hyperlink" Target="https://www.facebook.com/rapplerdotcom/posts/pfbid02dNgAR64VTtp94Rus4o9MNbU55E2H9Wp7KMKzJGkk6u4UxRyHU8j2pPpwa5iwGcD3l" TargetMode="External"/><Relationship Id="rId2237" Type="http://schemas.openxmlformats.org/officeDocument/2006/relationships/hyperlink" Target="https://www.facebook.com/lorenzfajardo.amin" TargetMode="External"/><Relationship Id="rId209" Type="http://schemas.openxmlformats.org/officeDocument/2006/relationships/hyperlink" Target="https://www.facebook.com/caren.ortiz.3" TargetMode="External"/><Relationship Id="rId970" Type="http://schemas.openxmlformats.org/officeDocument/2006/relationships/hyperlink" Target="https://www.facebook.com/rapplerdotcom/photos/a.317154781638645/5597592673594803/" TargetMode="External"/><Relationship Id="rId1253" Type="http://schemas.openxmlformats.org/officeDocument/2006/relationships/hyperlink" Target="https://www.facebook.com/Desha.Glorioso" TargetMode="External"/><Relationship Id="rId2651" Type="http://schemas.openxmlformats.org/officeDocument/2006/relationships/hyperlink" Target="https://www.facebook.com/jeffrey.alfaro.10" TargetMode="External"/><Relationship Id="rId3702" Type="http://schemas.openxmlformats.org/officeDocument/2006/relationships/hyperlink" Target="https://www.facebook.com/rapplerdotcom/photos/a.317154781638645/5595162900504447/" TargetMode="External"/><Relationship Id="rId623" Type="http://schemas.openxmlformats.org/officeDocument/2006/relationships/hyperlink" Target="https://www.facebook.com/ameliaarana12345" TargetMode="External"/><Relationship Id="rId2304" Type="http://schemas.openxmlformats.org/officeDocument/2006/relationships/hyperlink" Target="https://www.facebook.com/rapplerdotcom/photos/a.317154781638645/5596022273751843/" TargetMode="External"/><Relationship Id="rId5874" Type="http://schemas.openxmlformats.org/officeDocument/2006/relationships/hyperlink" Target="https://www.facebook.com/jcaramirez" TargetMode="External"/><Relationship Id="rId1320" Type="http://schemas.openxmlformats.org/officeDocument/2006/relationships/hyperlink" Target="https://www.facebook.com/rapplerdotcom/photos/a.317154781638645/5597116770309060/" TargetMode="External"/><Relationship Id="rId4476" Type="http://schemas.openxmlformats.org/officeDocument/2006/relationships/hyperlink" Target="https://www.facebook.com/milajf" TargetMode="External"/><Relationship Id="rId4890" Type="http://schemas.openxmlformats.org/officeDocument/2006/relationships/hyperlink" Target="https://www.facebook.com/profile.php?id=100005160163120" TargetMode="External"/><Relationship Id="rId5527" Type="http://schemas.openxmlformats.org/officeDocument/2006/relationships/hyperlink" Target="https://www.facebook.com/rapplerdotcom/photos/a.317154781638645/5594453700575367/" TargetMode="External"/><Relationship Id="rId5941" Type="http://schemas.openxmlformats.org/officeDocument/2006/relationships/hyperlink" Target="https://www.facebook.com/rapplerdotcom/photos/a.317154781638645/5594359700584767/" TargetMode="External"/><Relationship Id="rId3078" Type="http://schemas.openxmlformats.org/officeDocument/2006/relationships/hyperlink" Target="https://www.facebook.com/watch/live/?ref=watch_permalink&amp;v=360307549312104" TargetMode="External"/><Relationship Id="rId3492" Type="http://schemas.openxmlformats.org/officeDocument/2006/relationships/hyperlink" Target="https://www.facebook.com/rapplerdotcom/photos/a.317154781638645/5595372260483511/" TargetMode="External"/><Relationship Id="rId4129" Type="http://schemas.openxmlformats.org/officeDocument/2006/relationships/hyperlink" Target="https://www.facebook.com/danilo.lansani.5" TargetMode="External"/><Relationship Id="rId4543" Type="http://schemas.openxmlformats.org/officeDocument/2006/relationships/hyperlink" Target="https://www.facebook.com/rapplerdotcom/photos/a.317154781638645/5594954703858600/" TargetMode="External"/><Relationship Id="rId2094" Type="http://schemas.openxmlformats.org/officeDocument/2006/relationships/hyperlink" Target="https://www.facebook.com/rapplerdotcom/photos/a.317154781638645/5596022273751843/" TargetMode="External"/><Relationship Id="rId3145" Type="http://schemas.openxmlformats.org/officeDocument/2006/relationships/hyperlink" Target="https://www.facebook.com/elanie.berou.3" TargetMode="External"/><Relationship Id="rId4610" Type="http://schemas.openxmlformats.org/officeDocument/2006/relationships/hyperlink" Target="https://www.facebook.com/nosgnoilaluap" TargetMode="External"/><Relationship Id="rId480" Type="http://schemas.openxmlformats.org/officeDocument/2006/relationships/hyperlink" Target="https://www.facebook.com/ayan.delan" TargetMode="External"/><Relationship Id="rId2161" Type="http://schemas.openxmlformats.org/officeDocument/2006/relationships/hyperlink" Target="https://www.facebook.com/egaythessa.resurreccion" TargetMode="External"/><Relationship Id="rId3212" Type="http://schemas.openxmlformats.org/officeDocument/2006/relationships/hyperlink" Target="https://www.facebook.com/watch/live/?ref=watch_permalink&amp;v=332681445500650" TargetMode="External"/><Relationship Id="rId133" Type="http://schemas.openxmlformats.org/officeDocument/2006/relationships/hyperlink" Target="https://www.facebook.com/christy.licayan.7" TargetMode="External"/><Relationship Id="rId5384" Type="http://schemas.openxmlformats.org/officeDocument/2006/relationships/hyperlink" Target="https://www.facebook.com/joyce.jose.10" TargetMode="External"/><Relationship Id="rId200" Type="http://schemas.openxmlformats.org/officeDocument/2006/relationships/hyperlink" Target="https://www.facebook.com/rapplerdotcom/posts/pfbid0DUh4iFcrxZuR1UbiGhcAHcMdzsaV29GSeHCY1HabtqcnUWkjStX9TDaVqzzt92GDl" TargetMode="External"/><Relationship Id="rId2978" Type="http://schemas.openxmlformats.org/officeDocument/2006/relationships/hyperlink" Target="https://www.facebook.com/watch/live/?ref=watch_permalink&amp;v=360307549312104" TargetMode="External"/><Relationship Id="rId5037" Type="http://schemas.openxmlformats.org/officeDocument/2006/relationships/hyperlink" Target="https://www.facebook.com/rapplerdotcom/posts/pfbid02BCyyacWVuuu1bwX5PwYK8PvqDGTANxekqEMy7qyV9vMmaGKTbC8sBf7i5j3Wbx9Ll" TargetMode="External"/><Relationship Id="rId1994" Type="http://schemas.openxmlformats.org/officeDocument/2006/relationships/hyperlink" Target="https://www.facebook.com/rapplerdotcom/photos/a.317154781638645/5596022273751843/" TargetMode="External"/><Relationship Id="rId5451" Type="http://schemas.openxmlformats.org/officeDocument/2006/relationships/hyperlink" Target="https://www.facebook.com/watch/live/?ref=watch_permalink&amp;v=312865720941798" TargetMode="External"/><Relationship Id="rId1647" Type="http://schemas.openxmlformats.org/officeDocument/2006/relationships/hyperlink" Target="https://www.facebook.com/ZenUnchi" TargetMode="External"/><Relationship Id="rId4053" Type="http://schemas.openxmlformats.org/officeDocument/2006/relationships/hyperlink" Target="https://www.facebook.com/jeza.esarza.1" TargetMode="External"/><Relationship Id="rId5104" Type="http://schemas.openxmlformats.org/officeDocument/2006/relationships/hyperlink" Target="https://www.facebook.com/shiela.hechanovasotero" TargetMode="External"/><Relationship Id="rId1714" Type="http://schemas.openxmlformats.org/officeDocument/2006/relationships/hyperlink" Target="https://www.facebook.com/rapplerdotcom/photos/a.317154781638645/5596043783749692/" TargetMode="External"/><Relationship Id="rId4120" Type="http://schemas.openxmlformats.org/officeDocument/2006/relationships/hyperlink" Target="https://www.facebook.com/rapplerdotcom/photos/a.317154781638645/5594954703858600/" TargetMode="External"/><Relationship Id="rId2488" Type="http://schemas.openxmlformats.org/officeDocument/2006/relationships/hyperlink" Target="https://www.facebook.com/rapplerdotcom/posts/pfbid0TYP6syjYwznxJKdhWv9YMaXK9NvsSEhQ2cyyCQCPMvGapWXrQBHehywgT156wqNPl" TargetMode="External"/><Relationship Id="rId3886" Type="http://schemas.openxmlformats.org/officeDocument/2006/relationships/hyperlink" Target="https://www.facebook.com/rapplerdotcom/posts/pfbid0dyWpzxim3h4Z2SYriGakwQw85p7BCAgct7KU5EiMX1bmmgNHDD8nmES8rjrADsrPl" TargetMode="External"/><Relationship Id="rId4937" Type="http://schemas.openxmlformats.org/officeDocument/2006/relationships/hyperlink" Target="https://www.facebook.com/rapplerdotcom/posts/pfbid02BCyyacWVuuu1bwX5PwYK8PvqDGTANxekqEMy7qyV9vMmaGKTbC8sBf7i5j3Wbx9Ll" TargetMode="External"/><Relationship Id="rId3539" Type="http://schemas.openxmlformats.org/officeDocument/2006/relationships/hyperlink" Target="https://www.facebook.com/emilyanne.viar.50" TargetMode="External"/><Relationship Id="rId3953" Type="http://schemas.openxmlformats.org/officeDocument/2006/relationships/hyperlink" Target="https://www.facebook.com/Valladoresjude1988" TargetMode="External"/><Relationship Id="rId6012" Type="http://schemas.openxmlformats.org/officeDocument/2006/relationships/hyperlink" Target="https://www.facebook.com/profile.php?id=100047766465936" TargetMode="External"/><Relationship Id="rId874" Type="http://schemas.openxmlformats.org/officeDocument/2006/relationships/hyperlink" Target="https://www.facebook.com/rapplerdotcom/photos/a.317154781638645/5597612220259515/" TargetMode="External"/><Relationship Id="rId2555" Type="http://schemas.openxmlformats.org/officeDocument/2006/relationships/hyperlink" Target="https://www.facebook.com/kay.flameno" TargetMode="External"/><Relationship Id="rId3606" Type="http://schemas.openxmlformats.org/officeDocument/2006/relationships/hyperlink" Target="https://www.facebook.com/rapplerdotcom/photos/a.317154781638645/5595372260483511/" TargetMode="External"/><Relationship Id="rId527" Type="http://schemas.openxmlformats.org/officeDocument/2006/relationships/hyperlink" Target="https://www.facebook.com/rapplerdotcom/photos/a.317154781638645/5598220220198715/" TargetMode="External"/><Relationship Id="rId941" Type="http://schemas.openxmlformats.org/officeDocument/2006/relationships/hyperlink" Target="https://www.facebook.com/marcial.acbang" TargetMode="External"/><Relationship Id="rId1157" Type="http://schemas.openxmlformats.org/officeDocument/2006/relationships/hyperlink" Target="https://www.facebook.com/jansen.vitug.1" TargetMode="External"/><Relationship Id="rId1571" Type="http://schemas.openxmlformats.org/officeDocument/2006/relationships/hyperlink" Target="https://www.facebook.com/ramselyn.ocedaobrero" TargetMode="External"/><Relationship Id="rId2208" Type="http://schemas.openxmlformats.org/officeDocument/2006/relationships/hyperlink" Target="https://www.facebook.com/rapplerdotcom/photos/a.317154781638645/5596022273751843/" TargetMode="External"/><Relationship Id="rId2622" Type="http://schemas.openxmlformats.org/officeDocument/2006/relationships/hyperlink" Target="https://www.facebook.com/rapplerdotcom/photos/a.317154781638645/5595733810447356/" TargetMode="External"/><Relationship Id="rId5778" Type="http://schemas.openxmlformats.org/officeDocument/2006/relationships/hyperlink" Target="https://www.facebook.com/profile.php?id=100040002892951" TargetMode="External"/><Relationship Id="rId1224" Type="http://schemas.openxmlformats.org/officeDocument/2006/relationships/hyperlink" Target="https://www.facebook.com/rapplerdotcom/posts/pfbid023goEfA6e1ABSWYJFy8fQ5LFWDv4QTSTmAfzySGtMSpy12iqywB2MUZjiZ8GjCxrGl" TargetMode="External"/><Relationship Id="rId4794" Type="http://schemas.openxmlformats.org/officeDocument/2006/relationships/hyperlink" Target="https://www.facebook.com/alectv07" TargetMode="External"/><Relationship Id="rId5845" Type="http://schemas.openxmlformats.org/officeDocument/2006/relationships/hyperlink" Target="https://www.facebook.com/rapplerdotcom/photos/a.317154781638645/5594453700575367/" TargetMode="External"/><Relationship Id="rId3396" Type="http://schemas.openxmlformats.org/officeDocument/2006/relationships/hyperlink" Target="https://www.facebook.com/rapplerdotcom/photos/a.317154781638645/5595372260483511/" TargetMode="External"/><Relationship Id="rId4447" Type="http://schemas.openxmlformats.org/officeDocument/2006/relationships/hyperlink" Target="https://www.facebook.com/rapplerdotcom/photos/a.317154781638645/5594954703858600/" TargetMode="External"/><Relationship Id="rId3049" Type="http://schemas.openxmlformats.org/officeDocument/2006/relationships/hyperlink" Target="https://www.facebook.com/elanie.berou.3" TargetMode="External"/><Relationship Id="rId3463" Type="http://schemas.openxmlformats.org/officeDocument/2006/relationships/hyperlink" Target="https://www.facebook.com/icarro1821" TargetMode="External"/><Relationship Id="rId4861" Type="http://schemas.openxmlformats.org/officeDocument/2006/relationships/hyperlink" Target="https://www.facebook.com/watch/live/?ref=watch_permalink&amp;v=923735834984653" TargetMode="External"/><Relationship Id="rId5912" Type="http://schemas.openxmlformats.org/officeDocument/2006/relationships/hyperlink" Target="https://www.facebook.com/Alvin3aces" TargetMode="External"/><Relationship Id="rId384" Type="http://schemas.openxmlformats.org/officeDocument/2006/relationships/hyperlink" Target="https://www.facebook.com/nssilvela" TargetMode="External"/><Relationship Id="rId2065" Type="http://schemas.openxmlformats.org/officeDocument/2006/relationships/hyperlink" Target="https://www.facebook.com/yvad.onauo" TargetMode="External"/><Relationship Id="rId3116" Type="http://schemas.openxmlformats.org/officeDocument/2006/relationships/hyperlink" Target="https://www.facebook.com/watch/live/?ref=watch_permalink&amp;v=360307549312104" TargetMode="External"/><Relationship Id="rId4514" Type="http://schemas.openxmlformats.org/officeDocument/2006/relationships/hyperlink" Target="https://www.facebook.com/profile.php?id=100067648721233" TargetMode="External"/><Relationship Id="rId1081" Type="http://schemas.openxmlformats.org/officeDocument/2006/relationships/hyperlink" Target="https://www.facebook.com/einavanie" TargetMode="External"/><Relationship Id="rId3530" Type="http://schemas.openxmlformats.org/officeDocument/2006/relationships/hyperlink" Target="https://www.facebook.com/rapplerdotcom/photos/a.317154781638645/5595372260483511/" TargetMode="External"/><Relationship Id="rId451" Type="http://schemas.openxmlformats.org/officeDocument/2006/relationships/hyperlink" Target="https://www.facebook.com/rapplerdotcom/photos/a.317154781638645/5598220220198715/" TargetMode="External"/><Relationship Id="rId2132" Type="http://schemas.openxmlformats.org/officeDocument/2006/relationships/hyperlink" Target="https://www.facebook.com/rapplerdotcom/photos/a.317154781638645/5596022273751843/" TargetMode="External"/><Relationship Id="rId5288" Type="http://schemas.openxmlformats.org/officeDocument/2006/relationships/hyperlink" Target="https://www.facebook.com/drebpalomata" TargetMode="External"/><Relationship Id="rId104" Type="http://schemas.openxmlformats.org/officeDocument/2006/relationships/hyperlink" Target="https://www.facebook.com/rapplerdotcom/posts/pfbid0DUh4iFcrxZuR1UbiGhcAHcMdzsaV29GSeHCY1HabtqcnUWkjStX9TDaVqzzt92GDl" TargetMode="External"/><Relationship Id="rId1898" Type="http://schemas.openxmlformats.org/officeDocument/2006/relationships/hyperlink" Target="https://www.facebook.com/rapplerdotcom/photos/a.317154781638645/5596043783749692/" TargetMode="External"/><Relationship Id="rId2949" Type="http://schemas.openxmlformats.org/officeDocument/2006/relationships/hyperlink" Target="https://www.facebook.com/sham.city" TargetMode="External"/><Relationship Id="rId5355" Type="http://schemas.openxmlformats.org/officeDocument/2006/relationships/hyperlink" Target="https://www.facebook.com/rapplerdotcom/photos/a.317154781638645/5594264657260938/" TargetMode="External"/><Relationship Id="rId4371" Type="http://schemas.openxmlformats.org/officeDocument/2006/relationships/hyperlink" Target="https://www.facebook.com/rapplerdotcom/photos/a.317154781638645/5594954703858600/" TargetMode="External"/><Relationship Id="rId5008" Type="http://schemas.openxmlformats.org/officeDocument/2006/relationships/hyperlink" Target="https://www.facebook.com/profile.php?id=100072240556659" TargetMode="External"/><Relationship Id="rId5422" Type="http://schemas.openxmlformats.org/officeDocument/2006/relationships/hyperlink" Target="https://www.facebook.com/TachieBillano" TargetMode="External"/><Relationship Id="rId1965" Type="http://schemas.openxmlformats.org/officeDocument/2006/relationships/hyperlink" Target="https://www.facebook.com/madammaharlika" TargetMode="External"/><Relationship Id="rId4024" Type="http://schemas.openxmlformats.org/officeDocument/2006/relationships/hyperlink" Target="https://www.facebook.com/rapplerdotcom/posts/pfbid02kmyrDmvYtHxz51VdR228sTCyvbHYDrwL4TgeoVAenoprSKkWhUFLyRmAuKBuGtXXl" TargetMode="External"/><Relationship Id="rId1618" Type="http://schemas.openxmlformats.org/officeDocument/2006/relationships/hyperlink" Target="https://www.facebook.com/rapplerdotcom/posts/pfbid02AsSA4LQqjQ2Y8SVathQmtduoE3fhoGvQSNhvrzsMerDaJSQJ6jDvApCCiuaE7XCol" TargetMode="External"/><Relationship Id="rId3040" Type="http://schemas.openxmlformats.org/officeDocument/2006/relationships/hyperlink" Target="https://www.facebook.com/watch/live/?ref=watch_permalink&amp;v=360307549312104" TargetMode="External"/><Relationship Id="rId6196" Type="http://schemas.openxmlformats.org/officeDocument/2006/relationships/hyperlink" Target="https://www.facebook.com/profile.php?id=100045960874317" TargetMode="External"/><Relationship Id="rId3857" Type="http://schemas.openxmlformats.org/officeDocument/2006/relationships/hyperlink" Target="https://www.facebook.com/alonzonoel.miclat.5" TargetMode="External"/><Relationship Id="rId4908" Type="http://schemas.openxmlformats.org/officeDocument/2006/relationships/hyperlink" Target="https://www.facebook.com/gesponela" TargetMode="External"/><Relationship Id="rId778" Type="http://schemas.openxmlformats.org/officeDocument/2006/relationships/hyperlink" Target="https://www.facebook.com/rapplerdotcom/photos/a.317154781638645/5597612220259515/" TargetMode="External"/><Relationship Id="rId2459" Type="http://schemas.openxmlformats.org/officeDocument/2006/relationships/hyperlink" Target="https://www.facebook.com/cherrylynyapchapco.diaz" TargetMode="External"/><Relationship Id="rId2873" Type="http://schemas.openxmlformats.org/officeDocument/2006/relationships/hyperlink" Target="https://www.facebook.com/maryrosetimbol.bual" TargetMode="External"/><Relationship Id="rId3924" Type="http://schemas.openxmlformats.org/officeDocument/2006/relationships/hyperlink" Target="https://www.facebook.com/rapplerdotcom/posts/pfbid0dyWpzxim3h4Z2SYriGakwQw85p7BCAgct7KU5EiMX1bmmgNHDD8nmES8rjrADsrPl" TargetMode="External"/><Relationship Id="rId845" Type="http://schemas.openxmlformats.org/officeDocument/2006/relationships/hyperlink" Target="https://www.facebook.com/josielyn.villafrancamendoza" TargetMode="External"/><Relationship Id="rId1475" Type="http://schemas.openxmlformats.org/officeDocument/2006/relationships/hyperlink" Target="https://www.facebook.com/ebelardo.liwanag.1" TargetMode="External"/><Relationship Id="rId2526" Type="http://schemas.openxmlformats.org/officeDocument/2006/relationships/hyperlink" Target="https://www.facebook.com/rapplerdotcom/posts/pfbid0TYP6syjYwznxJKdhWv9YMaXK9NvsSEhQ2cyyCQCPMvGapWXrQBHehywgT156wqNPl" TargetMode="External"/><Relationship Id="rId1128" Type="http://schemas.openxmlformats.org/officeDocument/2006/relationships/hyperlink" Target="https://www.facebook.com/rapplerdotcom/posts/pfbid02dNgAR64VTtp94Rus4o9MNbU55E2H9Wp7KMKzJGkk6u4UxRyHU8j2pPpwa5iwGcD3l" TargetMode="External"/><Relationship Id="rId1542" Type="http://schemas.openxmlformats.org/officeDocument/2006/relationships/hyperlink" Target="https://www.facebook.com/rapplerdotcom/photos/a.317154781638645/5597116770309060/" TargetMode="External"/><Relationship Id="rId2940" Type="http://schemas.openxmlformats.org/officeDocument/2006/relationships/hyperlink" Target="https://www.facebook.com/watch/live/?ref=watch_permalink&amp;v=360307549312104" TargetMode="External"/><Relationship Id="rId4698" Type="http://schemas.openxmlformats.org/officeDocument/2006/relationships/hyperlink" Target="https://www.facebook.com/lhord.symphatico" TargetMode="External"/><Relationship Id="rId5749" Type="http://schemas.openxmlformats.org/officeDocument/2006/relationships/hyperlink" Target="https://www.facebook.com/rapplerdotcom/photos/a.317154781638645/5594453700575367/" TargetMode="External"/><Relationship Id="rId912" Type="http://schemas.openxmlformats.org/officeDocument/2006/relationships/hyperlink" Target="https://www.facebook.com/rapplerdotcom/photos/a.317154781638645/5597592673594803/" TargetMode="External"/><Relationship Id="rId4765" Type="http://schemas.openxmlformats.org/officeDocument/2006/relationships/hyperlink" Target="https://www.facebook.com/watch/live/?ref=watch_permalink&amp;v=923735834984653" TargetMode="External"/><Relationship Id="rId5816" Type="http://schemas.openxmlformats.org/officeDocument/2006/relationships/hyperlink" Target="https://www.facebook.com/janicebalicoco2485" TargetMode="External"/><Relationship Id="rId288" Type="http://schemas.openxmlformats.org/officeDocument/2006/relationships/hyperlink" Target="https://www.facebook.com/Novie.furry.godmama" TargetMode="External"/><Relationship Id="rId3367" Type="http://schemas.openxmlformats.org/officeDocument/2006/relationships/hyperlink" Target="https://www.facebook.com/julio.quian" TargetMode="External"/><Relationship Id="rId3781" Type="http://schemas.openxmlformats.org/officeDocument/2006/relationships/hyperlink" Target="https://www.facebook.com/stevenchoocy" TargetMode="External"/><Relationship Id="rId4418" Type="http://schemas.openxmlformats.org/officeDocument/2006/relationships/hyperlink" Target="https://www.facebook.com/myrna.gipulan" TargetMode="External"/><Relationship Id="rId4832" Type="http://schemas.openxmlformats.org/officeDocument/2006/relationships/hyperlink" Target="https://www.facebook.com/gilbey.huisken" TargetMode="External"/><Relationship Id="rId2383" Type="http://schemas.openxmlformats.org/officeDocument/2006/relationships/hyperlink" Target="https://www.facebook.com/janlo" TargetMode="External"/><Relationship Id="rId3434" Type="http://schemas.openxmlformats.org/officeDocument/2006/relationships/hyperlink" Target="https://www.facebook.com/rapplerdotcom/photos/a.317154781638645/5595372260483511/" TargetMode="External"/><Relationship Id="rId355" Type="http://schemas.openxmlformats.org/officeDocument/2006/relationships/hyperlink" Target="https://www.facebook.com/rapplerdotcom/photos/a.317154781638645/5598220220198715/" TargetMode="External"/><Relationship Id="rId2036" Type="http://schemas.openxmlformats.org/officeDocument/2006/relationships/hyperlink" Target="https://www.facebook.com/rapplerdotcom/photos/a.317154781638645/5596022273751843/" TargetMode="External"/><Relationship Id="rId2450" Type="http://schemas.openxmlformats.org/officeDocument/2006/relationships/hyperlink" Target="https://www.facebook.com/rapplerdotcom/posts/pfbid0TYP6syjYwznxJKdhWv9YMaXK9NvsSEhQ2cyyCQCPMvGapWXrQBHehywgT156wqNPl" TargetMode="External"/><Relationship Id="rId3501" Type="http://schemas.openxmlformats.org/officeDocument/2006/relationships/hyperlink" Target="https://www.facebook.com/eva.jimenez.39794895" TargetMode="External"/><Relationship Id="rId422" Type="http://schemas.openxmlformats.org/officeDocument/2006/relationships/hyperlink" Target="https://www.facebook.com/asean.briones" TargetMode="External"/><Relationship Id="rId1052" Type="http://schemas.openxmlformats.org/officeDocument/2006/relationships/hyperlink" Target="https://www.facebook.com/rapplerdotcom/posts/pfbid028Kg188FmebKa4aFvHZNp8zGTwjghWDDJuUmQ8agbSCvGAGJHZ7pBH9NmxLBmPZZdl" TargetMode="External"/><Relationship Id="rId2103" Type="http://schemas.openxmlformats.org/officeDocument/2006/relationships/hyperlink" Target="https://www.facebook.com/jethro.ramirez.3914" TargetMode="External"/><Relationship Id="rId5259" Type="http://schemas.openxmlformats.org/officeDocument/2006/relationships/hyperlink" Target="https://www.facebook.com/rapplerdotcom/photos/a.317154781638645/5594264657260938/" TargetMode="External"/><Relationship Id="rId5673" Type="http://schemas.openxmlformats.org/officeDocument/2006/relationships/hyperlink" Target="https://www.facebook.com/rapplerdotcom/photos/a.317154781638645/5594453700575367/" TargetMode="External"/><Relationship Id="rId4275" Type="http://schemas.openxmlformats.org/officeDocument/2006/relationships/hyperlink" Target="https://www.facebook.com/rapplerdotcom/photos/a.317154781638645/5594954703858600/" TargetMode="External"/><Relationship Id="rId5326" Type="http://schemas.openxmlformats.org/officeDocument/2006/relationships/hyperlink" Target="https://www.facebook.com/rafaeljr.romano" TargetMode="External"/><Relationship Id="rId1869" Type="http://schemas.openxmlformats.org/officeDocument/2006/relationships/hyperlink" Target="https://www.facebook.com/profile.php?id=100077465509824" TargetMode="External"/><Relationship Id="rId3291" Type="http://schemas.openxmlformats.org/officeDocument/2006/relationships/hyperlink" Target="https://www.facebook.com/normel.panergo" TargetMode="External"/><Relationship Id="rId5740" Type="http://schemas.openxmlformats.org/officeDocument/2006/relationships/hyperlink" Target="https://www.facebook.com/luz.c.austria" TargetMode="External"/><Relationship Id="rId1936" Type="http://schemas.openxmlformats.org/officeDocument/2006/relationships/hyperlink" Target="https://www.facebook.com/rapplerdotcom/photos/a.317154781638645/5596043783749692/" TargetMode="External"/><Relationship Id="rId4342" Type="http://schemas.openxmlformats.org/officeDocument/2006/relationships/hyperlink" Target="https://www.facebook.com/jefferson.parrocha.3" TargetMode="External"/><Relationship Id="rId3011" Type="http://schemas.openxmlformats.org/officeDocument/2006/relationships/hyperlink" Target="https://www.facebook.com/samantha.luiz.92" TargetMode="External"/><Relationship Id="rId6167" Type="http://schemas.openxmlformats.org/officeDocument/2006/relationships/hyperlink" Target="https://www.facebook.com/watch/?v=684555919511830" TargetMode="External"/><Relationship Id="rId2777" Type="http://schemas.openxmlformats.org/officeDocument/2006/relationships/hyperlink" Target="https://www.facebook.com/profile.php?id=100076165174797" TargetMode="External"/><Relationship Id="rId5183" Type="http://schemas.openxmlformats.org/officeDocument/2006/relationships/hyperlink" Target="https://www.facebook.com/rapplerdotcom/photos/a.317154781638645/5594264657260938/" TargetMode="External"/><Relationship Id="rId749" Type="http://schemas.openxmlformats.org/officeDocument/2006/relationships/hyperlink" Target="https://www.facebook.com/jocelyn.mendoza.5437" TargetMode="External"/><Relationship Id="rId1379" Type="http://schemas.openxmlformats.org/officeDocument/2006/relationships/hyperlink" Target="https://www.facebook.com/tito.comesario" TargetMode="External"/><Relationship Id="rId3828" Type="http://schemas.openxmlformats.org/officeDocument/2006/relationships/hyperlink" Target="https://www.facebook.com/rapplerdotcom/posts/pfbid0dyWpzxim3h4Z2SYriGakwQw85p7BCAgct7KU5EiMX1bmmgNHDD8nmES8rjrADsrPl" TargetMode="External"/><Relationship Id="rId5250" Type="http://schemas.openxmlformats.org/officeDocument/2006/relationships/hyperlink" Target="https://www.facebook.com/topher.asp.3" TargetMode="External"/><Relationship Id="rId1793" Type="http://schemas.openxmlformats.org/officeDocument/2006/relationships/hyperlink" Target="https://www.facebook.com/profile.php?id=100011440088284" TargetMode="External"/><Relationship Id="rId2844" Type="http://schemas.openxmlformats.org/officeDocument/2006/relationships/hyperlink" Target="https://www.facebook.com/watch/?v=570590637273208" TargetMode="External"/><Relationship Id="rId85" Type="http://schemas.openxmlformats.org/officeDocument/2006/relationships/hyperlink" Target="https://www.facebook.com/profile.php?id=100078059580817" TargetMode="External"/><Relationship Id="rId816" Type="http://schemas.openxmlformats.org/officeDocument/2006/relationships/hyperlink" Target="https://www.facebook.com/rapplerdotcom/photos/a.317154781638645/5597612220259515/" TargetMode="External"/><Relationship Id="rId1446" Type="http://schemas.openxmlformats.org/officeDocument/2006/relationships/hyperlink" Target="https://www.facebook.com/rapplerdotcom/photos/a.317154781638645/5597116770309060/" TargetMode="External"/><Relationship Id="rId1860" Type="http://schemas.openxmlformats.org/officeDocument/2006/relationships/hyperlink" Target="https://www.facebook.com/rapplerdotcom/photos/a.317154781638645/5596043783749692/" TargetMode="External"/><Relationship Id="rId2911" Type="http://schemas.openxmlformats.org/officeDocument/2006/relationships/hyperlink" Target="https://www.facebook.com/elie.cosep.75" TargetMode="External"/><Relationship Id="rId1513" Type="http://schemas.openxmlformats.org/officeDocument/2006/relationships/hyperlink" Target="https://www.facebook.com/herbiebnitura" TargetMode="External"/><Relationship Id="rId4669" Type="http://schemas.openxmlformats.org/officeDocument/2006/relationships/hyperlink" Target="https://www.facebook.com/watch/live/?ref=watch_permalink&amp;v=923735834984653" TargetMode="External"/><Relationship Id="rId3685" Type="http://schemas.openxmlformats.org/officeDocument/2006/relationships/hyperlink" Target="https://www.facebook.com/linda.gardon" TargetMode="External"/><Relationship Id="rId4736" Type="http://schemas.openxmlformats.org/officeDocument/2006/relationships/hyperlink" Target="https://www.facebook.com/janarvy.parr" TargetMode="External"/><Relationship Id="rId6091" Type="http://schemas.openxmlformats.org/officeDocument/2006/relationships/hyperlink" Target="https://www.facebook.com/rapplerdotcom/photos/a.317154781638645/5594359700584767/" TargetMode="External"/><Relationship Id="rId2287" Type="http://schemas.openxmlformats.org/officeDocument/2006/relationships/hyperlink" Target="https://www.facebook.com/lmfloralde" TargetMode="External"/><Relationship Id="rId3338" Type="http://schemas.openxmlformats.org/officeDocument/2006/relationships/hyperlink" Target="https://www.facebook.com/rapplerdotcom/photos/a.317154781638645/5595372260483511/" TargetMode="External"/><Relationship Id="rId3752" Type="http://schemas.openxmlformats.org/officeDocument/2006/relationships/hyperlink" Target="https://www.facebook.com/rapplerdotcom/posts/pfbid0dyWpzxim3h4Z2SYriGakwQw85p7BCAgct7KU5EiMX1bmmgNHDD8nmES8rjrADsrPl" TargetMode="External"/><Relationship Id="rId259" Type="http://schemas.openxmlformats.org/officeDocument/2006/relationships/hyperlink" Target="https://www.facebook.com/rapplerdotcom/photos/a.317154781638645/5598220220198715/" TargetMode="External"/><Relationship Id="rId673" Type="http://schemas.openxmlformats.org/officeDocument/2006/relationships/hyperlink" Target="https://www.facebook.com/profile.php?id=100070178707772" TargetMode="External"/><Relationship Id="rId2354" Type="http://schemas.openxmlformats.org/officeDocument/2006/relationships/hyperlink" Target="https://www.facebook.com/rapplerdotcom/posts/pfbid0TYP6syjYwznxJKdhWv9YMaXK9NvsSEhQ2cyyCQCPMvGapWXrQBHehywgT156wqNPl" TargetMode="External"/><Relationship Id="rId3405" Type="http://schemas.openxmlformats.org/officeDocument/2006/relationships/hyperlink" Target="https://www.facebook.com/profile.php?id=100011569547804" TargetMode="External"/><Relationship Id="rId4803" Type="http://schemas.openxmlformats.org/officeDocument/2006/relationships/hyperlink" Target="https://www.facebook.com/watch/live/?ref=watch_permalink&amp;v=923735834984653" TargetMode="External"/><Relationship Id="rId326" Type="http://schemas.openxmlformats.org/officeDocument/2006/relationships/hyperlink" Target="https://www.facebook.com/mais.korni.9" TargetMode="External"/><Relationship Id="rId1370" Type="http://schemas.openxmlformats.org/officeDocument/2006/relationships/hyperlink" Target="https://www.facebook.com/rapplerdotcom/photos/a.317154781638645/5597116770309060/" TargetMode="External"/><Relationship Id="rId2007" Type="http://schemas.openxmlformats.org/officeDocument/2006/relationships/hyperlink" Target="https://www.facebook.com/sam.banaan.7" TargetMode="External"/><Relationship Id="rId740" Type="http://schemas.openxmlformats.org/officeDocument/2006/relationships/hyperlink" Target="https://www.facebook.com/rapplerdotcom/photos/a.317154781638645/5597612220259515/" TargetMode="External"/><Relationship Id="rId1023" Type="http://schemas.openxmlformats.org/officeDocument/2006/relationships/hyperlink" Target="https://www.facebook.com/kimshie.artocilla" TargetMode="External"/><Relationship Id="rId2421" Type="http://schemas.openxmlformats.org/officeDocument/2006/relationships/hyperlink" Target="https://www.facebook.com/joseline.nepomuceno2" TargetMode="External"/><Relationship Id="rId4179" Type="http://schemas.openxmlformats.org/officeDocument/2006/relationships/hyperlink" Target="https://www.facebook.com/joey.abella.507" TargetMode="External"/><Relationship Id="rId5577" Type="http://schemas.openxmlformats.org/officeDocument/2006/relationships/hyperlink" Target="https://www.facebook.com/rapplerdotcom/photos/a.317154781638645/5594453700575367/" TargetMode="External"/><Relationship Id="rId5991" Type="http://schemas.openxmlformats.org/officeDocument/2006/relationships/hyperlink" Target="https://www.facebook.com/rapplerdotcom/photos/a.317154781638645/5594359700584767/" TargetMode="External"/><Relationship Id="rId4593" Type="http://schemas.openxmlformats.org/officeDocument/2006/relationships/hyperlink" Target="https://www.facebook.com/watch/live/?ref=watch_permalink&amp;v=923735834984653" TargetMode="External"/><Relationship Id="rId5644" Type="http://schemas.openxmlformats.org/officeDocument/2006/relationships/hyperlink" Target="https://www.facebook.com/alex.bacarro" TargetMode="External"/><Relationship Id="rId3195" Type="http://schemas.openxmlformats.org/officeDocument/2006/relationships/hyperlink" Target="https://www.facebook.com/profile.php?id=100007491668111" TargetMode="External"/><Relationship Id="rId4246" Type="http://schemas.openxmlformats.org/officeDocument/2006/relationships/hyperlink" Target="https://www.facebook.com/loreta.ardaban.3" TargetMode="External"/><Relationship Id="rId4660" Type="http://schemas.openxmlformats.org/officeDocument/2006/relationships/hyperlink" Target="https://www.facebook.com/bhoyeth.domag.3" TargetMode="External"/><Relationship Id="rId5711" Type="http://schemas.openxmlformats.org/officeDocument/2006/relationships/hyperlink" Target="https://www.facebook.com/rapplerdotcom/photos/a.317154781638645/5594453700575367/" TargetMode="External"/><Relationship Id="rId3262" Type="http://schemas.openxmlformats.org/officeDocument/2006/relationships/hyperlink" Target="https://www.facebook.com/rapplerdotcom/posts/pfbid035u2RhZvcYSiCeymgBfXLoFoq87y2V8v81A9xDtyoKJgzTGtotsEEoj2bH7Zd4mtzl" TargetMode="External"/><Relationship Id="rId4313" Type="http://schemas.openxmlformats.org/officeDocument/2006/relationships/hyperlink" Target="https://www.facebook.com/rapplerdotcom/photos/a.317154781638645/5594954703858600/" TargetMode="External"/><Relationship Id="rId183" Type="http://schemas.openxmlformats.org/officeDocument/2006/relationships/hyperlink" Target="https://www.facebook.com/aqoucii.makmak" TargetMode="External"/><Relationship Id="rId1907" Type="http://schemas.openxmlformats.org/officeDocument/2006/relationships/hyperlink" Target="https://www.facebook.com/kt.gd.425" TargetMode="External"/><Relationship Id="rId250" Type="http://schemas.openxmlformats.org/officeDocument/2006/relationships/hyperlink" Target="https://www.facebook.com/airam.libutaque" TargetMode="External"/><Relationship Id="rId5087" Type="http://schemas.openxmlformats.org/officeDocument/2006/relationships/hyperlink" Target="https://www.facebook.com/rapplerdotcom/posts/pfbid0231hbcbuKeQLDkPH8oZAdZbuU8MPPgRANx152V3xWpbjZ6EvfpohwQMvxHYAgrGPul" TargetMode="External"/><Relationship Id="rId6138" Type="http://schemas.openxmlformats.org/officeDocument/2006/relationships/hyperlink" Target="https://www.facebook.com/profile.php?id=100078635051322" TargetMode="External"/><Relationship Id="rId5154" Type="http://schemas.openxmlformats.org/officeDocument/2006/relationships/hyperlink" Target="https://www.facebook.com/zion.poliquit.54" TargetMode="External"/><Relationship Id="rId1697" Type="http://schemas.openxmlformats.org/officeDocument/2006/relationships/hyperlink" Target="https://www.facebook.com/cory.ander.3" TargetMode="External"/><Relationship Id="rId2748" Type="http://schemas.openxmlformats.org/officeDocument/2006/relationships/hyperlink" Target="https://www.facebook.com/rapplerdotcom/photos/a.317154781638645/5595733810447356/" TargetMode="External"/><Relationship Id="rId6205" Type="http://schemas.openxmlformats.org/officeDocument/2006/relationships/hyperlink" Target="https://www.facebook.com/watch/?v=684555919511830" TargetMode="External"/><Relationship Id="rId1764" Type="http://schemas.openxmlformats.org/officeDocument/2006/relationships/hyperlink" Target="https://www.facebook.com/rapplerdotcom/photos/a.317154781638645/5596043783749692/" TargetMode="External"/><Relationship Id="rId2815" Type="http://schemas.openxmlformats.org/officeDocument/2006/relationships/hyperlink" Target="https://www.facebook.com/profile.php?id=100076467948562" TargetMode="External"/><Relationship Id="rId4170" Type="http://schemas.openxmlformats.org/officeDocument/2006/relationships/hyperlink" Target="https://www.facebook.com/rapplerdotcom/photos/a.317154781638645/5594954703858600/" TargetMode="External"/><Relationship Id="rId5221" Type="http://schemas.openxmlformats.org/officeDocument/2006/relationships/hyperlink" Target="https://www.facebook.com/rapplerdotcom/photos/a.317154781638645/5594264657260938/" TargetMode="External"/><Relationship Id="rId56" Type="http://schemas.openxmlformats.org/officeDocument/2006/relationships/hyperlink" Target="https://www.facebook.com/rapplerdotcom/posts/pfbid0DUh4iFcrxZuR1UbiGhcAHcMdzsaV29GSeHCY1HabtqcnUWkjStX9TDaVqzzt92GDl" TargetMode="External"/><Relationship Id="rId1417" Type="http://schemas.openxmlformats.org/officeDocument/2006/relationships/hyperlink" Target="https://www.facebook.com/remelyn.regnim.7" TargetMode="External"/><Relationship Id="rId1831" Type="http://schemas.openxmlformats.org/officeDocument/2006/relationships/hyperlink" Target="https://www.facebook.com/sards.ceriola" TargetMode="External"/><Relationship Id="rId4987" Type="http://schemas.openxmlformats.org/officeDocument/2006/relationships/hyperlink" Target="https://www.facebook.com/rapplerdotcom/posts/pfbid02BCyyacWVuuu1bwX5PwYK8PvqDGTANxekqEMy7qyV9vMmaGKTbC8sBf7i5j3Wbx9Ll" TargetMode="External"/><Relationship Id="rId3589" Type="http://schemas.openxmlformats.org/officeDocument/2006/relationships/hyperlink" Target="https://www.facebook.com/rolando.adriano" TargetMode="External"/><Relationship Id="rId6062" Type="http://schemas.openxmlformats.org/officeDocument/2006/relationships/hyperlink" Target="https://www.facebook.com/noberto.montuya.9" TargetMode="External"/><Relationship Id="rId577" Type="http://schemas.openxmlformats.org/officeDocument/2006/relationships/hyperlink" Target="https://www.facebook.com/brrianjooseph.31" TargetMode="External"/><Relationship Id="rId2258" Type="http://schemas.openxmlformats.org/officeDocument/2006/relationships/hyperlink" Target="https://www.facebook.com/rapplerdotcom/photos/a.317154781638645/5596022273751843/" TargetMode="External"/><Relationship Id="rId3656" Type="http://schemas.openxmlformats.org/officeDocument/2006/relationships/hyperlink" Target="https://www.facebook.com/rapplerdotcom/photos/a.317154781638645/5595372260483511/" TargetMode="External"/><Relationship Id="rId4707" Type="http://schemas.openxmlformats.org/officeDocument/2006/relationships/hyperlink" Target="https://www.facebook.com/watch/live/?ref=watch_permalink&amp;v=923735834984653" TargetMode="External"/><Relationship Id="rId991" Type="http://schemas.openxmlformats.org/officeDocument/2006/relationships/hyperlink" Target="https://www.facebook.com/bagumbayan" TargetMode="External"/><Relationship Id="rId2672" Type="http://schemas.openxmlformats.org/officeDocument/2006/relationships/hyperlink" Target="https://www.facebook.com/rapplerdotcom/photos/a.317154781638645/5595733810447356/" TargetMode="External"/><Relationship Id="rId3309" Type="http://schemas.openxmlformats.org/officeDocument/2006/relationships/hyperlink" Target="https://www.facebook.com/edwin.sapnu.7" TargetMode="External"/><Relationship Id="rId3723" Type="http://schemas.openxmlformats.org/officeDocument/2006/relationships/hyperlink" Target="https://www.facebook.com/butz.arribe" TargetMode="External"/><Relationship Id="rId644" Type="http://schemas.openxmlformats.org/officeDocument/2006/relationships/hyperlink" Target="https://www.facebook.com/rapplerdotcom/photos/a.317154781638645/5597874143566656" TargetMode="External"/><Relationship Id="rId1274" Type="http://schemas.openxmlformats.org/officeDocument/2006/relationships/hyperlink" Target="https://www.facebook.com/rapplerdotcom/posts/pfbid023goEfA6e1ABSWYJFy8fQ5LFWDv4QTSTmAfzySGtMSpy12iqywB2MUZjiZ8GjCxrGl" TargetMode="External"/><Relationship Id="rId2325" Type="http://schemas.openxmlformats.org/officeDocument/2006/relationships/hyperlink" Target="https://www.facebook.com/lewizzz" TargetMode="External"/><Relationship Id="rId5895" Type="http://schemas.openxmlformats.org/officeDocument/2006/relationships/hyperlink" Target="https://www.facebook.com/rapplerdotcom/photos/a.317154781638645/5594359700584767/" TargetMode="External"/><Relationship Id="rId711" Type="http://schemas.openxmlformats.org/officeDocument/2006/relationships/hyperlink" Target="https://www.facebook.com/ditas.roxas" TargetMode="External"/><Relationship Id="rId1341" Type="http://schemas.openxmlformats.org/officeDocument/2006/relationships/hyperlink" Target="https://www.facebook.com/marvin.andasan.5" TargetMode="External"/><Relationship Id="rId4497" Type="http://schemas.openxmlformats.org/officeDocument/2006/relationships/hyperlink" Target="https://www.facebook.com/rapplerdotcom/photos/a.317154781638645/5594954703858600/" TargetMode="External"/><Relationship Id="rId5548" Type="http://schemas.openxmlformats.org/officeDocument/2006/relationships/hyperlink" Target="https://www.facebook.com/gloria.buaron" TargetMode="External"/><Relationship Id="rId5962" Type="http://schemas.openxmlformats.org/officeDocument/2006/relationships/hyperlink" Target="https://www.facebook.com/manuel.cero.750" TargetMode="External"/><Relationship Id="rId3099" Type="http://schemas.openxmlformats.org/officeDocument/2006/relationships/hyperlink" Target="https://www.facebook.com/elanie.berou.3" TargetMode="External"/><Relationship Id="rId4564" Type="http://schemas.openxmlformats.org/officeDocument/2006/relationships/hyperlink" Target="https://www.facebook.com/daphne.baula" TargetMode="External"/><Relationship Id="rId5615" Type="http://schemas.openxmlformats.org/officeDocument/2006/relationships/hyperlink" Target="https://www.facebook.com/rapplerdotcom/photos/a.317154781638645/5594453700575367/" TargetMode="External"/><Relationship Id="rId3166" Type="http://schemas.openxmlformats.org/officeDocument/2006/relationships/hyperlink" Target="https://www.facebook.com/watch/live/?ref=watch_permalink&amp;v=332681445500650" TargetMode="External"/><Relationship Id="rId3580" Type="http://schemas.openxmlformats.org/officeDocument/2006/relationships/hyperlink" Target="https://www.facebook.com/rapplerdotcom/photos/a.317154781638645/5595372260483511/" TargetMode="External"/><Relationship Id="rId4217" Type="http://schemas.openxmlformats.org/officeDocument/2006/relationships/hyperlink" Target="https://www.facebook.com/NGCD18" TargetMode="External"/><Relationship Id="rId2182" Type="http://schemas.openxmlformats.org/officeDocument/2006/relationships/hyperlink" Target="https://www.facebook.com/rapplerdotcom/photos/a.317154781638645/5596022273751843/" TargetMode="External"/><Relationship Id="rId3233" Type="http://schemas.openxmlformats.org/officeDocument/2006/relationships/hyperlink" Target="https://www.facebook.com/iamwilverlalu" TargetMode="External"/><Relationship Id="rId4631" Type="http://schemas.openxmlformats.org/officeDocument/2006/relationships/hyperlink" Target="https://www.facebook.com/watch/live/?ref=watch_permalink&amp;v=923735834984653" TargetMode="External"/><Relationship Id="rId154" Type="http://schemas.openxmlformats.org/officeDocument/2006/relationships/hyperlink" Target="https://www.facebook.com/rapplerdotcom/posts/pfbid0DUh4iFcrxZuR1UbiGhcAHcMdzsaV29GSeHCY1HabtqcnUWkjStX9TDaVqzzt92GDl" TargetMode="External"/><Relationship Id="rId2999" Type="http://schemas.openxmlformats.org/officeDocument/2006/relationships/hyperlink" Target="https://www.facebook.com/pearl.a.pedroso" TargetMode="External"/><Relationship Id="rId3300" Type="http://schemas.openxmlformats.org/officeDocument/2006/relationships/hyperlink" Target="https://www.facebook.com/rapplerdotcom/photos/a.317154781638645/5595372260483511/" TargetMode="External"/><Relationship Id="rId221" Type="http://schemas.openxmlformats.org/officeDocument/2006/relationships/hyperlink" Target="https://www.facebook.com/mercy.gulayda" TargetMode="External"/><Relationship Id="rId5058" Type="http://schemas.openxmlformats.org/officeDocument/2006/relationships/hyperlink" Target="https://www.facebook.com/laura.coloma.7" TargetMode="External"/><Relationship Id="rId5472" Type="http://schemas.openxmlformats.org/officeDocument/2006/relationships/hyperlink" Target="https://www.facebook.com/haniaalonto.orandang" TargetMode="External"/><Relationship Id="rId6109" Type="http://schemas.openxmlformats.org/officeDocument/2006/relationships/hyperlink" Target="https://www.facebook.com/rapplerdotcom/photos/a.317154781638645/5594359700584767/" TargetMode="External"/><Relationship Id="rId1668" Type="http://schemas.openxmlformats.org/officeDocument/2006/relationships/hyperlink" Target="https://www.facebook.com/rapplerdotcom/posts/pfbid02AsSA4LQqjQ2Y8SVathQmtduoE3fhoGvQSNhvrzsMerDaJSQJ6jDvApCCiuaE7XCol" TargetMode="External"/><Relationship Id="rId2719" Type="http://schemas.openxmlformats.org/officeDocument/2006/relationships/hyperlink" Target="https://www.facebook.com/bobby.gonzaga.9404" TargetMode="External"/><Relationship Id="rId4074" Type="http://schemas.openxmlformats.org/officeDocument/2006/relationships/hyperlink" Target="https://www.facebook.com/rapplerdotcom/posts/pfbid0231hbcbuKeQLDkPH8oZAdZbuU8MPPgRANx152V3xWpbjZ6EvfpohwQMvxHYAgrGPul" TargetMode="External"/><Relationship Id="rId5125" Type="http://schemas.openxmlformats.org/officeDocument/2006/relationships/hyperlink" Target="https://www.facebook.com/rapplerdotcom/photos/a.317154781638645/5594264657260938/" TargetMode="External"/><Relationship Id="rId3090" Type="http://schemas.openxmlformats.org/officeDocument/2006/relationships/hyperlink" Target="https://www.facebook.com/watch/live/?ref=watch_permalink&amp;v=360307549312104" TargetMode="External"/><Relationship Id="rId4141" Type="http://schemas.openxmlformats.org/officeDocument/2006/relationships/hyperlink" Target="https://www.facebook.com/pureza.q.dy" TargetMode="External"/><Relationship Id="rId1735" Type="http://schemas.openxmlformats.org/officeDocument/2006/relationships/hyperlink" Target="https://www.facebook.com/honeybee.apelado" TargetMode="External"/><Relationship Id="rId27" Type="http://schemas.openxmlformats.org/officeDocument/2006/relationships/hyperlink" Target="https://www.facebook.com/julietamananquil" TargetMode="External"/><Relationship Id="rId1802" Type="http://schemas.openxmlformats.org/officeDocument/2006/relationships/hyperlink" Target="https://www.facebook.com/rapplerdotcom/photos/a.317154781638645/5596043783749692/" TargetMode="External"/><Relationship Id="rId4958" Type="http://schemas.openxmlformats.org/officeDocument/2006/relationships/hyperlink" Target="https://www.facebook.com/rebecca.teodoro.79" TargetMode="External"/><Relationship Id="rId3974" Type="http://schemas.openxmlformats.org/officeDocument/2006/relationships/hyperlink" Target="https://www.facebook.com/rapplerdotcom/posts/pfbid0dyWpzxim3h4Z2SYriGakwQw85p7BCAgct7KU5EiMX1bmmgNHDD8nmES8rjrADsrPl" TargetMode="External"/><Relationship Id="rId895" Type="http://schemas.openxmlformats.org/officeDocument/2006/relationships/hyperlink" Target="https://www.facebook.com/bmarichue" TargetMode="External"/><Relationship Id="rId2576" Type="http://schemas.openxmlformats.org/officeDocument/2006/relationships/hyperlink" Target="https://www.facebook.com/rapplerdotcom/photos/a.317154781638645/5595733810447356/" TargetMode="External"/><Relationship Id="rId2990" Type="http://schemas.openxmlformats.org/officeDocument/2006/relationships/hyperlink" Target="https://www.facebook.com/watch/live/?ref=watch_permalink&amp;v=360307549312104" TargetMode="External"/><Relationship Id="rId3627" Type="http://schemas.openxmlformats.org/officeDocument/2006/relationships/hyperlink" Target="https://www.facebook.com/chitocmorales" TargetMode="External"/><Relationship Id="rId6033" Type="http://schemas.openxmlformats.org/officeDocument/2006/relationships/hyperlink" Target="https://www.facebook.com/rapplerdotcom/photos/a.317154781638645/5594359700584767/" TargetMode="External"/><Relationship Id="rId548" Type="http://schemas.openxmlformats.org/officeDocument/2006/relationships/hyperlink" Target="https://www.facebook.com/rapplerdotcom/photos/a.317154781638645/5597874143566656" TargetMode="External"/><Relationship Id="rId962" Type="http://schemas.openxmlformats.org/officeDocument/2006/relationships/hyperlink" Target="https://www.facebook.com/rapplerdotcom/photos/a.317154781638645/5597592673594803/" TargetMode="External"/><Relationship Id="rId1178" Type="http://schemas.openxmlformats.org/officeDocument/2006/relationships/hyperlink" Target="https://www.facebook.com/rapplerdotcom/posts/pfbid02dNgAR64VTtp94Rus4o9MNbU55E2H9Wp7KMKzJGkk6u4UxRyHU8j2pPpwa5iwGcD3l" TargetMode="External"/><Relationship Id="rId1592" Type="http://schemas.openxmlformats.org/officeDocument/2006/relationships/hyperlink" Target="https://www.facebook.com/rapplerdotcom/posts/pfbid02AsSA4LQqjQ2Y8SVathQmtduoE3fhoGvQSNhvrzsMerDaJSQJ6jDvApCCiuaE7XCol" TargetMode="External"/><Relationship Id="rId2229" Type="http://schemas.openxmlformats.org/officeDocument/2006/relationships/hyperlink" Target="https://www.facebook.com/remzi.onal.9" TargetMode="External"/><Relationship Id="rId2643" Type="http://schemas.openxmlformats.org/officeDocument/2006/relationships/hyperlink" Target="https://www.facebook.com/cat.carrot.50" TargetMode="External"/><Relationship Id="rId5799" Type="http://schemas.openxmlformats.org/officeDocument/2006/relationships/hyperlink" Target="https://www.facebook.com/rapplerdotcom/photos/a.317154781638645/5594453700575367/" TargetMode="External"/><Relationship Id="rId6100" Type="http://schemas.openxmlformats.org/officeDocument/2006/relationships/hyperlink" Target="https://www.facebook.com/eusebiobutchgarcia" TargetMode="External"/><Relationship Id="rId615" Type="http://schemas.openxmlformats.org/officeDocument/2006/relationships/hyperlink" Target="https://www.facebook.com/raiden.ponteras.1" TargetMode="External"/><Relationship Id="rId1245" Type="http://schemas.openxmlformats.org/officeDocument/2006/relationships/hyperlink" Target="https://www.facebook.com/profile.php?id=100059634552488" TargetMode="External"/><Relationship Id="rId1312" Type="http://schemas.openxmlformats.org/officeDocument/2006/relationships/hyperlink" Target="https://www.facebook.com/rapplerdotcom/photos/a.317154781638645/5597116770309060/" TargetMode="External"/><Relationship Id="rId2710" Type="http://schemas.openxmlformats.org/officeDocument/2006/relationships/hyperlink" Target="https://www.facebook.com/rapplerdotcom/photos/a.317154781638645/5595733810447356/" TargetMode="External"/><Relationship Id="rId4468" Type="http://schemas.openxmlformats.org/officeDocument/2006/relationships/hyperlink" Target="https://www.facebook.com/profile.php?id=100076601927157" TargetMode="External"/><Relationship Id="rId5866" Type="http://schemas.openxmlformats.org/officeDocument/2006/relationships/hyperlink" Target="https://www.facebook.com/rogelio.lapuz.5055" TargetMode="External"/><Relationship Id="rId4882" Type="http://schemas.openxmlformats.org/officeDocument/2006/relationships/hyperlink" Target="https://www.facebook.com/belen.simbul.58" TargetMode="External"/><Relationship Id="rId5519" Type="http://schemas.openxmlformats.org/officeDocument/2006/relationships/hyperlink" Target="https://www.facebook.com/rapplerdotcom/photos/a.317154781638645/5594453700575367/" TargetMode="External"/><Relationship Id="rId5933" Type="http://schemas.openxmlformats.org/officeDocument/2006/relationships/hyperlink" Target="https://www.facebook.com/rapplerdotcom/photos/a.317154781638645/5594359700584767/" TargetMode="External"/><Relationship Id="rId2086" Type="http://schemas.openxmlformats.org/officeDocument/2006/relationships/hyperlink" Target="https://www.facebook.com/rapplerdotcom/photos/a.317154781638645/5596022273751843/" TargetMode="External"/><Relationship Id="rId3484" Type="http://schemas.openxmlformats.org/officeDocument/2006/relationships/hyperlink" Target="https://www.facebook.com/rapplerdotcom/photos/a.317154781638645/5595372260483511/" TargetMode="External"/><Relationship Id="rId4535" Type="http://schemas.openxmlformats.org/officeDocument/2006/relationships/hyperlink" Target="https://www.facebook.com/rapplerdotcom/photos/a.317154781638645/5594954703858600/" TargetMode="External"/><Relationship Id="rId3137" Type="http://schemas.openxmlformats.org/officeDocument/2006/relationships/hyperlink" Target="https://www.facebook.com/hannah.2793" TargetMode="External"/><Relationship Id="rId3551" Type="http://schemas.openxmlformats.org/officeDocument/2006/relationships/hyperlink" Target="https://www.facebook.com/bautista.jimmy.98" TargetMode="External"/><Relationship Id="rId4602" Type="http://schemas.openxmlformats.org/officeDocument/2006/relationships/hyperlink" Target="https://www.facebook.com/totie.balce" TargetMode="External"/><Relationship Id="rId472" Type="http://schemas.openxmlformats.org/officeDocument/2006/relationships/hyperlink" Target="https://www.facebook.com/topeabarca98" TargetMode="External"/><Relationship Id="rId2153" Type="http://schemas.openxmlformats.org/officeDocument/2006/relationships/hyperlink" Target="https://www.facebook.com/gorife.selas" TargetMode="External"/><Relationship Id="rId3204" Type="http://schemas.openxmlformats.org/officeDocument/2006/relationships/hyperlink" Target="https://www.facebook.com/watch/live/?ref=watch_permalink&amp;v=332681445500650" TargetMode="External"/><Relationship Id="rId125" Type="http://schemas.openxmlformats.org/officeDocument/2006/relationships/hyperlink" Target="https://www.facebook.com/emilmendezjr" TargetMode="External"/><Relationship Id="rId2220" Type="http://schemas.openxmlformats.org/officeDocument/2006/relationships/hyperlink" Target="https://www.facebook.com/rapplerdotcom/photos/a.317154781638645/5596022273751843/" TargetMode="External"/><Relationship Id="rId5376" Type="http://schemas.openxmlformats.org/officeDocument/2006/relationships/hyperlink" Target="https://www.facebook.com/marlone.esperanza.3" TargetMode="External"/><Relationship Id="rId5790" Type="http://schemas.openxmlformats.org/officeDocument/2006/relationships/hyperlink" Target="https://www.facebook.com/profile.php?id=100005240507812" TargetMode="External"/><Relationship Id="rId4392" Type="http://schemas.openxmlformats.org/officeDocument/2006/relationships/hyperlink" Target="https://www.facebook.com/divina.chicano" TargetMode="External"/><Relationship Id="rId5029" Type="http://schemas.openxmlformats.org/officeDocument/2006/relationships/hyperlink" Target="https://www.facebook.com/rapplerdotcom/posts/pfbid02BCyyacWVuuu1bwX5PwYK8PvqDGTANxekqEMy7qyV9vMmaGKTbC8sBf7i5j3Wbx9Ll" TargetMode="External"/><Relationship Id="rId5443" Type="http://schemas.openxmlformats.org/officeDocument/2006/relationships/hyperlink" Target="https://www.facebook.com/watch/live/?ref=watch_permalink&amp;v=312865720941798" TargetMode="External"/><Relationship Id="rId1986" Type="http://schemas.openxmlformats.org/officeDocument/2006/relationships/hyperlink" Target="https://www.facebook.com/rapplerdotcom/photos/a.317154781638645/5596022273751843/" TargetMode="External"/><Relationship Id="rId4045" Type="http://schemas.openxmlformats.org/officeDocument/2006/relationships/hyperlink" Target="https://www.facebook.com/frucy.manayonflores.1" TargetMode="External"/><Relationship Id="rId1639" Type="http://schemas.openxmlformats.org/officeDocument/2006/relationships/hyperlink" Target="https://www.facebook.com/jun.dizon.129" TargetMode="External"/><Relationship Id="rId3061" Type="http://schemas.openxmlformats.org/officeDocument/2006/relationships/hyperlink" Target="https://www.facebook.com/ayen.francisco.927" TargetMode="External"/><Relationship Id="rId5510" Type="http://schemas.openxmlformats.org/officeDocument/2006/relationships/hyperlink" Target="https://www.facebook.com/celeste.dietert" TargetMode="External"/><Relationship Id="rId1706" Type="http://schemas.openxmlformats.org/officeDocument/2006/relationships/hyperlink" Target="https://www.facebook.com/rapplerdotcom/photos/a.317154781638645/5596043783749692/" TargetMode="External"/><Relationship Id="rId4112" Type="http://schemas.openxmlformats.org/officeDocument/2006/relationships/hyperlink" Target="https://www.facebook.com/rapplerdotcom/photos/a.317154781638645/5594954703858600/" TargetMode="External"/><Relationship Id="rId3878" Type="http://schemas.openxmlformats.org/officeDocument/2006/relationships/hyperlink" Target="https://www.facebook.com/rapplerdotcom/posts/pfbid0dyWpzxim3h4Z2SYriGakwQw85p7BCAgct7KU5EiMX1bmmgNHDD8nmES8rjrADsrPl" TargetMode="External"/><Relationship Id="rId4929" Type="http://schemas.openxmlformats.org/officeDocument/2006/relationships/hyperlink" Target="https://www.facebook.com/rapplerdotcom/posts/pfbid02BCyyacWVuuu1bwX5PwYK8PvqDGTANxekqEMy7qyV9vMmaGKTbC8sBf7i5j3Wbx9Ll" TargetMode="External"/><Relationship Id="rId799" Type="http://schemas.openxmlformats.org/officeDocument/2006/relationships/hyperlink" Target="https://www.facebook.com/ramon.juario" TargetMode="External"/><Relationship Id="rId2894" Type="http://schemas.openxmlformats.org/officeDocument/2006/relationships/hyperlink" Target="https://www.facebook.com/watch/live/?ref=watch_permalink&amp;v=360307549312104" TargetMode="External"/><Relationship Id="rId866" Type="http://schemas.openxmlformats.org/officeDocument/2006/relationships/hyperlink" Target="https://www.facebook.com/rapplerdotcom/photos/a.317154781638645/5597612220259515/" TargetMode="External"/><Relationship Id="rId1496" Type="http://schemas.openxmlformats.org/officeDocument/2006/relationships/hyperlink" Target="https://www.facebook.com/rapplerdotcom/photos/a.317154781638645/5597116770309060/" TargetMode="External"/><Relationship Id="rId2547" Type="http://schemas.openxmlformats.org/officeDocument/2006/relationships/hyperlink" Target="https://www.facebook.com/almher.manalo" TargetMode="External"/><Relationship Id="rId3945" Type="http://schemas.openxmlformats.org/officeDocument/2006/relationships/hyperlink" Target="https://www.facebook.com/henardino" TargetMode="External"/><Relationship Id="rId6004" Type="http://schemas.openxmlformats.org/officeDocument/2006/relationships/hyperlink" Target="https://www.facebook.com/eddie.soriente" TargetMode="External"/><Relationship Id="rId519" Type="http://schemas.openxmlformats.org/officeDocument/2006/relationships/hyperlink" Target="https://www.facebook.com/rapplerdotcom/photos/a.317154781638645/5598220220198715/" TargetMode="External"/><Relationship Id="rId1149" Type="http://schemas.openxmlformats.org/officeDocument/2006/relationships/hyperlink" Target="https://www.facebook.com/ronmsalvador" TargetMode="External"/><Relationship Id="rId2961" Type="http://schemas.openxmlformats.org/officeDocument/2006/relationships/hyperlink" Target="https://www.facebook.com/phoungchanh.nguyen" TargetMode="External"/><Relationship Id="rId5020" Type="http://schemas.openxmlformats.org/officeDocument/2006/relationships/hyperlink" Target="https://www.facebook.com/john.p.garsula" TargetMode="External"/><Relationship Id="rId933" Type="http://schemas.openxmlformats.org/officeDocument/2006/relationships/hyperlink" Target="https://www.facebook.com/zayn.zee.16" TargetMode="External"/><Relationship Id="rId1563" Type="http://schemas.openxmlformats.org/officeDocument/2006/relationships/hyperlink" Target="https://www.facebook.com/cruz.marc.9" TargetMode="External"/><Relationship Id="rId2614" Type="http://schemas.openxmlformats.org/officeDocument/2006/relationships/hyperlink" Target="https://www.facebook.com/rapplerdotcom/photos/a.317154781638645/5595733810447356/" TargetMode="External"/><Relationship Id="rId1216" Type="http://schemas.openxmlformats.org/officeDocument/2006/relationships/hyperlink" Target="https://www.facebook.com/rapplerdotcom/posts/pfbid023goEfA6e1ABSWYJFy8fQ5LFWDv4QTSTmAfzySGtMSpy12iqywB2MUZjiZ8GjCxrGl" TargetMode="External"/><Relationship Id="rId1630" Type="http://schemas.openxmlformats.org/officeDocument/2006/relationships/hyperlink" Target="https://www.facebook.com/rapplerdotcom/posts/pfbid02AsSA4LQqjQ2Y8SVathQmtduoE3fhoGvQSNhvrzsMerDaJSQJ6jDvApCCiuaE7XCol" TargetMode="External"/><Relationship Id="rId4786" Type="http://schemas.openxmlformats.org/officeDocument/2006/relationships/hyperlink" Target="https://www.facebook.com/alectv07" TargetMode="External"/><Relationship Id="rId5837" Type="http://schemas.openxmlformats.org/officeDocument/2006/relationships/hyperlink" Target="https://www.facebook.com/rapplerdotcom/photos/a.317154781638645/5594453700575367/" TargetMode="External"/><Relationship Id="rId3388" Type="http://schemas.openxmlformats.org/officeDocument/2006/relationships/hyperlink" Target="https://www.facebook.com/rapplerdotcom/photos/a.317154781638645/5595372260483511/" TargetMode="External"/><Relationship Id="rId4439" Type="http://schemas.openxmlformats.org/officeDocument/2006/relationships/hyperlink" Target="https://www.facebook.com/rapplerdotcom/photos/a.317154781638645/5594954703858600/" TargetMode="External"/><Relationship Id="rId4853" Type="http://schemas.openxmlformats.org/officeDocument/2006/relationships/hyperlink" Target="https://www.facebook.com/watch/live/?ref=watch_permalink&amp;v=923735834984653" TargetMode="External"/><Relationship Id="rId5904" Type="http://schemas.openxmlformats.org/officeDocument/2006/relationships/hyperlink" Target="https://www.facebook.com/mel.lao.18" TargetMode="External"/><Relationship Id="rId3455" Type="http://schemas.openxmlformats.org/officeDocument/2006/relationships/hyperlink" Target="https://www.facebook.com/chug.mercado" TargetMode="External"/><Relationship Id="rId4506" Type="http://schemas.openxmlformats.org/officeDocument/2006/relationships/hyperlink" Target="https://www.facebook.com/rhenz.jauod" TargetMode="External"/><Relationship Id="rId376" Type="http://schemas.openxmlformats.org/officeDocument/2006/relationships/hyperlink" Target="https://www.facebook.com/romel.mesina.9" TargetMode="External"/><Relationship Id="rId790" Type="http://schemas.openxmlformats.org/officeDocument/2006/relationships/hyperlink" Target="https://www.facebook.com/rapplerdotcom/photos/a.317154781638645/5597612220259515/" TargetMode="External"/><Relationship Id="rId2057" Type="http://schemas.openxmlformats.org/officeDocument/2006/relationships/hyperlink" Target="https://www.facebook.com/ditas.ravanilla" TargetMode="External"/><Relationship Id="rId2471" Type="http://schemas.openxmlformats.org/officeDocument/2006/relationships/hyperlink" Target="https://www.facebook.com/stalkpamoredzai" TargetMode="External"/><Relationship Id="rId3108" Type="http://schemas.openxmlformats.org/officeDocument/2006/relationships/hyperlink" Target="https://www.facebook.com/watch/live/?ref=watch_permalink&amp;v=360307549312104" TargetMode="External"/><Relationship Id="rId3522" Type="http://schemas.openxmlformats.org/officeDocument/2006/relationships/hyperlink" Target="https://www.facebook.com/rapplerdotcom/photos/a.317154781638645/5595372260483511/" TargetMode="External"/><Relationship Id="rId4920" Type="http://schemas.openxmlformats.org/officeDocument/2006/relationships/hyperlink" Target="https://www.facebook.com/rose.ranario.58" TargetMode="External"/><Relationship Id="rId443" Type="http://schemas.openxmlformats.org/officeDocument/2006/relationships/hyperlink" Target="https://www.facebook.com/rapplerdotcom/photos/a.317154781638645/5598220220198715/" TargetMode="External"/><Relationship Id="rId1073" Type="http://schemas.openxmlformats.org/officeDocument/2006/relationships/hyperlink" Target="https://www.facebook.com/ruben.mallari" TargetMode="External"/><Relationship Id="rId2124" Type="http://schemas.openxmlformats.org/officeDocument/2006/relationships/hyperlink" Target="https://www.facebook.com/rapplerdotcom/photos/a.317154781638645/5596022273751843/" TargetMode="External"/><Relationship Id="rId1140" Type="http://schemas.openxmlformats.org/officeDocument/2006/relationships/hyperlink" Target="https://www.facebook.com/rapplerdotcom/posts/pfbid02dNgAR64VTtp94Rus4o9MNbU55E2H9Wp7KMKzJGkk6u4UxRyHU8j2pPpwa5iwGcD3l" TargetMode="External"/><Relationship Id="rId4296" Type="http://schemas.openxmlformats.org/officeDocument/2006/relationships/hyperlink" Target="https://www.facebook.com/bownie.abagatan" TargetMode="External"/><Relationship Id="rId5694" Type="http://schemas.openxmlformats.org/officeDocument/2006/relationships/hyperlink" Target="https://www.facebook.com/azon.delrosario.1" TargetMode="External"/><Relationship Id="rId510" Type="http://schemas.openxmlformats.org/officeDocument/2006/relationships/hyperlink" Target="https://www.facebook.com/jenifer.ponayo.3" TargetMode="External"/><Relationship Id="rId5347" Type="http://schemas.openxmlformats.org/officeDocument/2006/relationships/hyperlink" Target="https://www.facebook.com/rapplerdotcom/photos/a.317154781638645/5594264657260938/" TargetMode="External"/><Relationship Id="rId5761" Type="http://schemas.openxmlformats.org/officeDocument/2006/relationships/hyperlink" Target="https://www.facebook.com/rapplerdotcom/photos/a.317154781638645/5594453700575367/" TargetMode="External"/><Relationship Id="rId1957" Type="http://schemas.openxmlformats.org/officeDocument/2006/relationships/hyperlink" Target="https://www.facebook.com/profile.php?id=100069003242362" TargetMode="External"/><Relationship Id="rId4363" Type="http://schemas.openxmlformats.org/officeDocument/2006/relationships/hyperlink" Target="https://www.facebook.com/rapplerdotcom/photos/a.317154781638645/5594954703858600/" TargetMode="External"/><Relationship Id="rId5414" Type="http://schemas.openxmlformats.org/officeDocument/2006/relationships/hyperlink" Target="https://www.facebook.com/profile.php?id=100069901764842" TargetMode="External"/><Relationship Id="rId4016" Type="http://schemas.openxmlformats.org/officeDocument/2006/relationships/hyperlink" Target="https://www.facebook.com/rapplerdotcom/posts/pfbid02kmyrDmvYtHxz51VdR228sTCyvbHYDrwL4TgeoVAenoprSKkWhUFLyRmAuKBuGtXXl" TargetMode="External"/><Relationship Id="rId4430" Type="http://schemas.openxmlformats.org/officeDocument/2006/relationships/hyperlink" Target="https://www.facebook.com/ester.barcelon" TargetMode="External"/><Relationship Id="rId3032" Type="http://schemas.openxmlformats.org/officeDocument/2006/relationships/hyperlink" Target="https://www.facebook.com/watch/live/?ref=watch_permalink&amp;v=360307549312104" TargetMode="External"/><Relationship Id="rId6188" Type="http://schemas.openxmlformats.org/officeDocument/2006/relationships/hyperlink" Target="https://www.facebook.com/olracyer.nadneba.3" TargetMode="External"/><Relationship Id="rId2798" Type="http://schemas.openxmlformats.org/officeDocument/2006/relationships/hyperlink" Target="https://www.facebook.com/watch/?v=570590637273208" TargetMode="External"/><Relationship Id="rId3849" Type="http://schemas.openxmlformats.org/officeDocument/2006/relationships/hyperlink" Target="https://www.facebook.com/PeachCause" TargetMode="External"/><Relationship Id="rId5271" Type="http://schemas.openxmlformats.org/officeDocument/2006/relationships/hyperlink" Target="https://www.facebook.com/rapplerdotcom/photos/a.317154781638645/5594264657260938/" TargetMode="External"/><Relationship Id="rId2865" Type="http://schemas.openxmlformats.org/officeDocument/2006/relationships/hyperlink" Target="https://www.facebook.com/yuseri.rashida" TargetMode="External"/><Relationship Id="rId3916" Type="http://schemas.openxmlformats.org/officeDocument/2006/relationships/hyperlink" Target="https://www.facebook.com/rapplerdotcom/posts/pfbid0dyWpzxim3h4Z2SYriGakwQw85p7BCAgct7KU5EiMX1bmmgNHDD8nmES8rjrADsrPl" TargetMode="External"/><Relationship Id="rId837" Type="http://schemas.openxmlformats.org/officeDocument/2006/relationships/hyperlink" Target="https://www.facebook.com/aidalegarci" TargetMode="External"/><Relationship Id="rId1467" Type="http://schemas.openxmlformats.org/officeDocument/2006/relationships/hyperlink" Target="https://www.facebook.com/arturo.rondolos.3" TargetMode="External"/><Relationship Id="rId1881" Type="http://schemas.openxmlformats.org/officeDocument/2006/relationships/hyperlink" Target="https://www.facebook.com/donato.antonio.75" TargetMode="External"/><Relationship Id="rId2518" Type="http://schemas.openxmlformats.org/officeDocument/2006/relationships/hyperlink" Target="https://www.facebook.com/rapplerdotcom/posts/pfbid0TYP6syjYwznxJKdhWv9YMaXK9NvsSEhQ2cyyCQCPMvGapWXrQBHehywgT156wqNPl" TargetMode="External"/><Relationship Id="rId2932" Type="http://schemas.openxmlformats.org/officeDocument/2006/relationships/hyperlink" Target="https://www.facebook.com/watch/live/?ref=watch_permalink&amp;v=360307549312104" TargetMode="External"/><Relationship Id="rId904" Type="http://schemas.openxmlformats.org/officeDocument/2006/relationships/hyperlink" Target="https://www.facebook.com/rapplerdotcom/photos/a.317154781638645/5597592673594803/" TargetMode="External"/><Relationship Id="rId1534" Type="http://schemas.openxmlformats.org/officeDocument/2006/relationships/hyperlink" Target="https://www.facebook.com/rapplerdotcom/photos/a.317154781638645/5597116770309060/" TargetMode="External"/><Relationship Id="rId1601" Type="http://schemas.openxmlformats.org/officeDocument/2006/relationships/hyperlink" Target="https://www.facebook.com/edward.deloso" TargetMode="External"/><Relationship Id="rId4757" Type="http://schemas.openxmlformats.org/officeDocument/2006/relationships/hyperlink" Target="https://www.facebook.com/watch/live/?ref=watch_permalink&amp;v=923735834984653" TargetMode="External"/><Relationship Id="rId3359" Type="http://schemas.openxmlformats.org/officeDocument/2006/relationships/hyperlink" Target="https://www.facebook.com/belen.bosea" TargetMode="External"/><Relationship Id="rId5808" Type="http://schemas.openxmlformats.org/officeDocument/2006/relationships/hyperlink" Target="https://www.facebook.com/emmanuel.bernardino.391" TargetMode="External"/><Relationship Id="rId694" Type="http://schemas.openxmlformats.org/officeDocument/2006/relationships/hyperlink" Target="https://www.facebook.com/rapplerdotcom/photos/a.317154781638645/5597612220259515/" TargetMode="External"/><Relationship Id="rId2375" Type="http://schemas.openxmlformats.org/officeDocument/2006/relationships/hyperlink" Target="https://www.facebook.com/earl.liquigan" TargetMode="External"/><Relationship Id="rId3773" Type="http://schemas.openxmlformats.org/officeDocument/2006/relationships/hyperlink" Target="https://www.facebook.com/cheryl.belleza" TargetMode="External"/><Relationship Id="rId4824" Type="http://schemas.openxmlformats.org/officeDocument/2006/relationships/hyperlink" Target="https://www.facebook.com/mayde.torillo" TargetMode="External"/><Relationship Id="rId347" Type="http://schemas.openxmlformats.org/officeDocument/2006/relationships/hyperlink" Target="https://www.facebook.com/rapplerdotcom/photos/a.317154781638645/5598220220198715/" TargetMode="External"/><Relationship Id="rId2028" Type="http://schemas.openxmlformats.org/officeDocument/2006/relationships/hyperlink" Target="https://www.facebook.com/rapplerdotcom/photos/a.317154781638645/5596022273751843/" TargetMode="External"/><Relationship Id="rId3426" Type="http://schemas.openxmlformats.org/officeDocument/2006/relationships/hyperlink" Target="https://www.facebook.com/rapplerdotcom/photos/a.317154781638645/5595372260483511/" TargetMode="External"/><Relationship Id="rId3840" Type="http://schemas.openxmlformats.org/officeDocument/2006/relationships/hyperlink" Target="https://www.facebook.com/rapplerdotcom/posts/pfbid0dyWpzxim3h4Z2SYriGakwQw85p7BCAgct7KU5EiMX1bmmgNHDD8nmES8rjrADsrPl" TargetMode="External"/><Relationship Id="rId761" Type="http://schemas.openxmlformats.org/officeDocument/2006/relationships/hyperlink" Target="https://www.facebook.com/viviana.ceracas.31" TargetMode="External"/><Relationship Id="rId1391" Type="http://schemas.openxmlformats.org/officeDocument/2006/relationships/hyperlink" Target="https://www.facebook.com/profile.php?id=100008332086519" TargetMode="External"/><Relationship Id="rId2442" Type="http://schemas.openxmlformats.org/officeDocument/2006/relationships/hyperlink" Target="https://www.facebook.com/rapplerdotcom/posts/pfbid0TYP6syjYwznxJKdhWv9YMaXK9NvsSEhQ2cyyCQCPMvGapWXrQBHehywgT156wqNPl" TargetMode="External"/><Relationship Id="rId5598" Type="http://schemas.openxmlformats.org/officeDocument/2006/relationships/hyperlink" Target="https://www.facebook.com/lorenzo.rianzares.7" TargetMode="External"/><Relationship Id="rId414" Type="http://schemas.openxmlformats.org/officeDocument/2006/relationships/hyperlink" Target="https://www.facebook.com/catalino.onquit" TargetMode="External"/><Relationship Id="rId1044" Type="http://schemas.openxmlformats.org/officeDocument/2006/relationships/hyperlink" Target="https://www.facebook.com/rapplerdotcom/photos/a.317154781638645/5597592673594803/" TargetMode="External"/><Relationship Id="rId5665" Type="http://schemas.openxmlformats.org/officeDocument/2006/relationships/hyperlink" Target="https://www.facebook.com/rapplerdotcom/photos/a.317154781638645/5594453700575367/" TargetMode="External"/><Relationship Id="rId1111" Type="http://schemas.openxmlformats.org/officeDocument/2006/relationships/hyperlink" Target="https://www.facebook.com/chariejhon.escalante" TargetMode="External"/><Relationship Id="rId4267" Type="http://schemas.openxmlformats.org/officeDocument/2006/relationships/hyperlink" Target="https://www.facebook.com/rapplerdotcom/photos/a.317154781638645/5594954703858600/" TargetMode="External"/><Relationship Id="rId4681" Type="http://schemas.openxmlformats.org/officeDocument/2006/relationships/hyperlink" Target="https://www.facebook.com/watch/live/?ref=watch_permalink&amp;v=923735834984653" TargetMode="External"/><Relationship Id="rId5318" Type="http://schemas.openxmlformats.org/officeDocument/2006/relationships/hyperlink" Target="https://www.facebook.com/rodrigoduterteismypwesident" TargetMode="External"/><Relationship Id="rId5732" Type="http://schemas.openxmlformats.org/officeDocument/2006/relationships/hyperlink" Target="https://www.facebook.com/val.canonigo.5" TargetMode="External"/><Relationship Id="rId3283" Type="http://schemas.openxmlformats.org/officeDocument/2006/relationships/hyperlink" Target="https://www.facebook.com/christopher.ramos.31521301" TargetMode="External"/><Relationship Id="rId4334" Type="http://schemas.openxmlformats.org/officeDocument/2006/relationships/hyperlink" Target="https://www.facebook.com/kenneth.cauntay" TargetMode="External"/><Relationship Id="rId1928" Type="http://schemas.openxmlformats.org/officeDocument/2006/relationships/hyperlink" Target="https://www.facebook.com/rapplerdotcom/photos/a.317154781638645/5596043783749692/" TargetMode="External"/><Relationship Id="rId3350" Type="http://schemas.openxmlformats.org/officeDocument/2006/relationships/hyperlink" Target="https://www.facebook.com/rapplerdotcom/photos/a.317154781638645/5595372260483511/" TargetMode="External"/><Relationship Id="rId271" Type="http://schemas.openxmlformats.org/officeDocument/2006/relationships/hyperlink" Target="https://www.facebook.com/rapplerdotcom/photos/a.317154781638645/5598220220198715/" TargetMode="External"/><Relationship Id="rId3003" Type="http://schemas.openxmlformats.org/officeDocument/2006/relationships/hyperlink" Target="https://www.facebook.com/silvana.kagura" TargetMode="External"/><Relationship Id="rId4401" Type="http://schemas.openxmlformats.org/officeDocument/2006/relationships/hyperlink" Target="https://www.facebook.com/rapplerdotcom/photos/a.317154781638645/5594954703858600/" TargetMode="External"/><Relationship Id="rId6159" Type="http://schemas.openxmlformats.org/officeDocument/2006/relationships/hyperlink" Target="https://www.facebook.com/rapplerdotcom/posts/pfbid0JJW97xH5fR5tDSLUQ8AnEgkPMU9Aigs9CgcNy2Q7AzJY4R8mRoicBgu3PLdqpf2Tl" TargetMode="External"/><Relationship Id="rId2769" Type="http://schemas.openxmlformats.org/officeDocument/2006/relationships/hyperlink" Target="https://www.facebook.com/profile.php?id=100069939051229" TargetMode="External"/><Relationship Id="rId5175" Type="http://schemas.openxmlformats.org/officeDocument/2006/relationships/hyperlink" Target="https://www.facebook.com/rapplerdotcom/photos/a.317154781638645/5594264657260938/" TargetMode="External"/><Relationship Id="rId6226" Type="http://schemas.openxmlformats.org/officeDocument/2006/relationships/hyperlink" Target="https://www.facebook.com/ervin.alagao.5" TargetMode="External"/><Relationship Id="rId1785" Type="http://schemas.openxmlformats.org/officeDocument/2006/relationships/hyperlink" Target="https://www.facebook.com/leideeavery.taluban" TargetMode="External"/><Relationship Id="rId2836" Type="http://schemas.openxmlformats.org/officeDocument/2006/relationships/hyperlink" Target="https://www.facebook.com/watch/?v=570590637273208" TargetMode="External"/><Relationship Id="rId4191" Type="http://schemas.openxmlformats.org/officeDocument/2006/relationships/hyperlink" Target="https://www.facebook.com/janice.arroyo.98837" TargetMode="External"/><Relationship Id="rId5242" Type="http://schemas.openxmlformats.org/officeDocument/2006/relationships/hyperlink" Target="https://www.facebook.com/mrbentaph/" TargetMode="External"/><Relationship Id="rId77" Type="http://schemas.openxmlformats.org/officeDocument/2006/relationships/hyperlink" Target="https://www.facebook.com/profile.php?id=100078059580817" TargetMode="External"/><Relationship Id="rId808" Type="http://schemas.openxmlformats.org/officeDocument/2006/relationships/hyperlink" Target="https://www.facebook.com/rapplerdotcom/photos/a.317154781638645/5597612220259515/" TargetMode="External"/><Relationship Id="rId1438" Type="http://schemas.openxmlformats.org/officeDocument/2006/relationships/hyperlink" Target="https://www.facebook.com/rapplerdotcom/photos/a.317154781638645/5597116770309060/" TargetMode="External"/><Relationship Id="rId1852" Type="http://schemas.openxmlformats.org/officeDocument/2006/relationships/hyperlink" Target="https://www.facebook.com/rapplerdotcom/photos/a.317154781638645/5596043783749692/" TargetMode="External"/><Relationship Id="rId2903" Type="http://schemas.openxmlformats.org/officeDocument/2006/relationships/hyperlink" Target="https://www.facebook.com/profile.php?id=100078423849655" TargetMode="External"/><Relationship Id="rId1505" Type="http://schemas.openxmlformats.org/officeDocument/2006/relationships/hyperlink" Target="https://www.facebook.com/rlduldulao" TargetMode="External"/><Relationship Id="rId6083" Type="http://schemas.openxmlformats.org/officeDocument/2006/relationships/hyperlink" Target="https://www.facebook.com/rapplerdotcom/photos/a.317154781638645/5594359700584767/" TargetMode="External"/><Relationship Id="rId3677" Type="http://schemas.openxmlformats.org/officeDocument/2006/relationships/hyperlink" Target="https://www.facebook.com/profile.php?id=100076244510404" TargetMode="External"/><Relationship Id="rId4728" Type="http://schemas.openxmlformats.org/officeDocument/2006/relationships/hyperlink" Target="https://www.facebook.com/noemi.macabasco" TargetMode="External"/><Relationship Id="rId598" Type="http://schemas.openxmlformats.org/officeDocument/2006/relationships/hyperlink" Target="https://www.facebook.com/rapplerdotcom/photos/a.317154781638645/5597874143566656" TargetMode="External"/><Relationship Id="rId2279" Type="http://schemas.openxmlformats.org/officeDocument/2006/relationships/hyperlink" Target="https://www.facebook.com/ferrerantonia" TargetMode="External"/><Relationship Id="rId2693" Type="http://schemas.openxmlformats.org/officeDocument/2006/relationships/hyperlink" Target="https://www.facebook.com/tom.bolero1" TargetMode="External"/><Relationship Id="rId3744" Type="http://schemas.openxmlformats.org/officeDocument/2006/relationships/hyperlink" Target="https://www.facebook.com/rapplerdotcom/photos/a.317154781638645/5595162900504447/" TargetMode="External"/><Relationship Id="rId6150" Type="http://schemas.openxmlformats.org/officeDocument/2006/relationships/hyperlink" Target="https://www.facebook.com/rey.delabe.988" TargetMode="External"/><Relationship Id="rId665" Type="http://schemas.openxmlformats.org/officeDocument/2006/relationships/hyperlink" Target="https://www.facebook.com/jannetCSM" TargetMode="External"/><Relationship Id="rId1295" Type="http://schemas.openxmlformats.org/officeDocument/2006/relationships/hyperlink" Target="https://www.facebook.com/karl.andrei.921" TargetMode="External"/><Relationship Id="rId2346" Type="http://schemas.openxmlformats.org/officeDocument/2006/relationships/hyperlink" Target="https://www.facebook.com/rapplerdotcom/posts/pfbid0TYP6syjYwznxJKdhWv9YMaXK9NvsSEhQ2cyyCQCPMvGapWXrQBHehywgT156wqNPl" TargetMode="External"/><Relationship Id="rId2760" Type="http://schemas.openxmlformats.org/officeDocument/2006/relationships/hyperlink" Target="https://www.facebook.com/rapplerdotcom/photos/a.317154781638645/5595733810447356/" TargetMode="External"/><Relationship Id="rId3811" Type="http://schemas.openxmlformats.org/officeDocument/2006/relationships/hyperlink" Target="https://www.facebook.com/edna.aspe" TargetMode="External"/><Relationship Id="rId318" Type="http://schemas.openxmlformats.org/officeDocument/2006/relationships/hyperlink" Target="https://www.facebook.com/rosario.liang.9" TargetMode="External"/><Relationship Id="rId732" Type="http://schemas.openxmlformats.org/officeDocument/2006/relationships/hyperlink" Target="https://www.facebook.com/rapplerdotcom/photos/a.317154781638645/5597612220259515/" TargetMode="External"/><Relationship Id="rId1362" Type="http://schemas.openxmlformats.org/officeDocument/2006/relationships/hyperlink" Target="https://www.facebook.com/rapplerdotcom/photos/a.317154781638645/5597116770309060/" TargetMode="External"/><Relationship Id="rId2413" Type="http://schemas.openxmlformats.org/officeDocument/2006/relationships/hyperlink" Target="https://www.facebook.com/michael.denzo" TargetMode="External"/><Relationship Id="rId5569" Type="http://schemas.openxmlformats.org/officeDocument/2006/relationships/hyperlink" Target="https://www.facebook.com/rapplerdotcom/photos/a.317154781638645/5594453700575367/" TargetMode="External"/><Relationship Id="rId1015" Type="http://schemas.openxmlformats.org/officeDocument/2006/relationships/hyperlink" Target="https://www.facebook.com/jun.osorio.12" TargetMode="External"/><Relationship Id="rId4585" Type="http://schemas.openxmlformats.org/officeDocument/2006/relationships/hyperlink" Target="https://www.facebook.com/watch/live/?ref=watch_permalink&amp;v=923735834984653" TargetMode="External"/><Relationship Id="rId5983" Type="http://schemas.openxmlformats.org/officeDocument/2006/relationships/hyperlink" Target="https://www.facebook.com/rapplerdotcom/photos/a.317154781638645/5594359700584767/" TargetMode="External"/><Relationship Id="rId3187" Type="http://schemas.openxmlformats.org/officeDocument/2006/relationships/hyperlink" Target="https://www.facebook.com/profile.php?id=100018941223924" TargetMode="External"/><Relationship Id="rId4238" Type="http://schemas.openxmlformats.org/officeDocument/2006/relationships/hyperlink" Target="https://www.facebook.com/CornerPrinter.ph" TargetMode="External"/><Relationship Id="rId5636" Type="http://schemas.openxmlformats.org/officeDocument/2006/relationships/hyperlink" Target="https://www.facebook.com/servidadjohnpaul" TargetMode="External"/><Relationship Id="rId4652" Type="http://schemas.openxmlformats.org/officeDocument/2006/relationships/hyperlink" Target="https://www.facebook.com/maryjean.solison.5" TargetMode="External"/><Relationship Id="rId5703" Type="http://schemas.openxmlformats.org/officeDocument/2006/relationships/hyperlink" Target="https://www.facebook.com/rapplerdotcom/photos/a.317154781638645/5594453700575367/" TargetMode="External"/><Relationship Id="rId175" Type="http://schemas.openxmlformats.org/officeDocument/2006/relationships/hyperlink" Target="https://www.facebook.com/henrileki" TargetMode="External"/><Relationship Id="rId3254" Type="http://schemas.openxmlformats.org/officeDocument/2006/relationships/hyperlink" Target="https://www.facebook.com/rapplerdotcom/posts/pfbid035u2RhZvcYSiCeymgBfXLoFoq87y2V8v81A9xDtyoKJgzTGtotsEEoj2bH7Zd4mtzl" TargetMode="External"/><Relationship Id="rId4305" Type="http://schemas.openxmlformats.org/officeDocument/2006/relationships/hyperlink" Target="https://www.facebook.com/rapplerdotcom/photos/a.317154781638645/5594954703858600/" TargetMode="External"/><Relationship Id="rId2270" Type="http://schemas.openxmlformats.org/officeDocument/2006/relationships/hyperlink" Target="https://www.facebook.com/rapplerdotcom/photos/a.317154781638645/5596022273751843/" TargetMode="External"/><Relationship Id="rId3321" Type="http://schemas.openxmlformats.org/officeDocument/2006/relationships/hyperlink" Target="https://www.facebook.com/edwin.sapnu.7" TargetMode="External"/><Relationship Id="rId242" Type="http://schemas.openxmlformats.org/officeDocument/2006/relationships/hyperlink" Target="https://www.facebook.com/profile.php?id=100078716168416" TargetMode="External"/><Relationship Id="rId5079" Type="http://schemas.openxmlformats.org/officeDocument/2006/relationships/hyperlink" Target="https://www.facebook.com/rapplerdotcom/posts/pfbid0231hbcbuKeQLDkPH8oZAdZbuU8MPPgRANx152V3xWpbjZ6EvfpohwQMvxHYAgrGPul" TargetMode="External"/><Relationship Id="rId5493" Type="http://schemas.openxmlformats.org/officeDocument/2006/relationships/hyperlink" Target="https://www.facebook.com/watch/live/?ref=watch_permalink&amp;v=312865720941798" TargetMode="External"/><Relationship Id="rId1689" Type="http://schemas.openxmlformats.org/officeDocument/2006/relationships/hyperlink" Target="https://www.facebook.com/ricollections08" TargetMode="External"/><Relationship Id="rId4095" Type="http://schemas.openxmlformats.org/officeDocument/2006/relationships/hyperlink" Target="https://www.facebook.com/jkeallano" TargetMode="External"/><Relationship Id="rId5146" Type="http://schemas.openxmlformats.org/officeDocument/2006/relationships/hyperlink" Target="https://www.facebook.com/ren.wah.1" TargetMode="External"/><Relationship Id="rId5560" Type="http://schemas.openxmlformats.org/officeDocument/2006/relationships/hyperlink" Target="https://www.facebook.com/bonny.dimayuga" TargetMode="External"/><Relationship Id="rId4162" Type="http://schemas.openxmlformats.org/officeDocument/2006/relationships/hyperlink" Target="https://www.facebook.com/rapplerdotcom/photos/a.317154781638645/5594954703858600/" TargetMode="External"/><Relationship Id="rId5213" Type="http://schemas.openxmlformats.org/officeDocument/2006/relationships/hyperlink" Target="https://www.facebook.com/rapplerdotcom/photos/a.317154781638645/5594264657260938/" TargetMode="External"/><Relationship Id="rId1756" Type="http://schemas.openxmlformats.org/officeDocument/2006/relationships/hyperlink" Target="https://www.facebook.com/rapplerdotcom/photos/a.317154781638645/5596043783749692/" TargetMode="External"/><Relationship Id="rId2807" Type="http://schemas.openxmlformats.org/officeDocument/2006/relationships/hyperlink" Target="https://www.facebook.com/jennifer.zafra.1" TargetMode="External"/><Relationship Id="rId48" Type="http://schemas.openxmlformats.org/officeDocument/2006/relationships/hyperlink" Target="https://www.facebook.com/rapplerdotcom/posts/pfbid0DUh4iFcrxZuR1UbiGhcAHcMdzsaV29GSeHCY1HabtqcnUWkjStX9TDaVqzzt92GDl" TargetMode="External"/><Relationship Id="rId1409" Type="http://schemas.openxmlformats.org/officeDocument/2006/relationships/hyperlink" Target="https://www.facebook.com/marciano.garcia.7528" TargetMode="External"/><Relationship Id="rId1823" Type="http://schemas.openxmlformats.org/officeDocument/2006/relationships/hyperlink" Target="https://www.facebook.com/Arianna11091989" TargetMode="External"/><Relationship Id="rId4979" Type="http://schemas.openxmlformats.org/officeDocument/2006/relationships/hyperlink" Target="https://www.facebook.com/rapplerdotcom/posts/pfbid02BCyyacWVuuu1bwX5PwYK8PvqDGTANxekqEMy7qyV9vMmaGKTbC8sBf7i5j3Wbx9Ll" TargetMode="External"/><Relationship Id="rId3995" Type="http://schemas.openxmlformats.org/officeDocument/2006/relationships/hyperlink" Target="https://www.facebook.com/noel.isorena.7" TargetMode="External"/><Relationship Id="rId2597" Type="http://schemas.openxmlformats.org/officeDocument/2006/relationships/hyperlink" Target="https://www.facebook.com/maryjane.martizano" TargetMode="External"/><Relationship Id="rId3648" Type="http://schemas.openxmlformats.org/officeDocument/2006/relationships/hyperlink" Target="https://www.facebook.com/rapplerdotcom/photos/a.317154781638645/5595372260483511/" TargetMode="External"/><Relationship Id="rId6054" Type="http://schemas.openxmlformats.org/officeDocument/2006/relationships/hyperlink" Target="https://www.facebook.com/profile.php?id=100072849818660" TargetMode="External"/><Relationship Id="rId569" Type="http://schemas.openxmlformats.org/officeDocument/2006/relationships/hyperlink" Target="https://www.facebook.com/alvin.echague.1" TargetMode="External"/><Relationship Id="rId983" Type="http://schemas.openxmlformats.org/officeDocument/2006/relationships/hyperlink" Target="https://www.facebook.com/lina.are.712" TargetMode="External"/><Relationship Id="rId1199" Type="http://schemas.openxmlformats.org/officeDocument/2006/relationships/hyperlink" Target="https://www.facebook.com/lilzdangazolituanas.cabagnot" TargetMode="External"/><Relationship Id="rId2664" Type="http://schemas.openxmlformats.org/officeDocument/2006/relationships/hyperlink" Target="https://www.facebook.com/rapplerdotcom/photos/a.317154781638645/5595733810447356/" TargetMode="External"/><Relationship Id="rId5070" Type="http://schemas.openxmlformats.org/officeDocument/2006/relationships/hyperlink" Target="https://www.facebook.com/arnel.bernardino.9" TargetMode="External"/><Relationship Id="rId6121" Type="http://schemas.openxmlformats.org/officeDocument/2006/relationships/hyperlink" Target="https://www.facebook.com/rapplerdotcom/posts/pfbid0JJW97xH5fR5tDSLUQ8AnEgkPMU9Aigs9CgcNy2Q7AzJY4R8mRoicBgu3PLdqpf2Tl" TargetMode="External"/><Relationship Id="rId636" Type="http://schemas.openxmlformats.org/officeDocument/2006/relationships/hyperlink" Target="https://www.facebook.com/rapplerdotcom/photos/a.317154781638645/5597874143566656" TargetMode="External"/><Relationship Id="rId1266" Type="http://schemas.openxmlformats.org/officeDocument/2006/relationships/hyperlink" Target="https://www.facebook.com/rapplerdotcom/posts/pfbid023goEfA6e1ABSWYJFy8fQ5LFWDv4QTSTmAfzySGtMSpy12iqywB2MUZjiZ8GjCxrGl" TargetMode="External"/><Relationship Id="rId2317" Type="http://schemas.openxmlformats.org/officeDocument/2006/relationships/hyperlink" Target="https://www.facebook.com/faithjoan.gaerlan.5" TargetMode="External"/><Relationship Id="rId3715" Type="http://schemas.openxmlformats.org/officeDocument/2006/relationships/hyperlink" Target="https://www.facebook.com/hansel.brown.100" TargetMode="External"/><Relationship Id="rId1680" Type="http://schemas.openxmlformats.org/officeDocument/2006/relationships/hyperlink" Target="https://www.facebook.com/rapplerdotcom/photos/a.317154781638645/5596043783749692/" TargetMode="External"/><Relationship Id="rId2731" Type="http://schemas.openxmlformats.org/officeDocument/2006/relationships/hyperlink" Target="https://www.facebook.com/hz2094" TargetMode="External"/><Relationship Id="rId5887" Type="http://schemas.openxmlformats.org/officeDocument/2006/relationships/hyperlink" Target="https://www.facebook.com/rapplerdotcom/posts/pfbid0Kg1RoVj1WsJryHzrsA3oSrLQ6DJc4g1o3yMhcNHB9BrPu7fZV7ugtw1hYVefEPE9l" TargetMode="External"/><Relationship Id="rId703" Type="http://schemas.openxmlformats.org/officeDocument/2006/relationships/hyperlink" Target="https://www.facebook.com/profile.php?id=100049952135179" TargetMode="External"/><Relationship Id="rId1333" Type="http://schemas.openxmlformats.org/officeDocument/2006/relationships/hyperlink" Target="https://www.facebook.com/roderick.reonal.7" TargetMode="External"/><Relationship Id="rId4489" Type="http://schemas.openxmlformats.org/officeDocument/2006/relationships/hyperlink" Target="https://www.facebook.com/rapplerdotcom/photos/a.317154781638645/5594954703858600/" TargetMode="External"/><Relationship Id="rId5954" Type="http://schemas.openxmlformats.org/officeDocument/2006/relationships/hyperlink" Target="https://www.facebook.com/fgancheta" TargetMode="External"/><Relationship Id="rId1400" Type="http://schemas.openxmlformats.org/officeDocument/2006/relationships/hyperlink" Target="https://www.facebook.com/rapplerdotcom/photos/a.317154781638645/5597116770309060/" TargetMode="External"/><Relationship Id="rId4556" Type="http://schemas.openxmlformats.org/officeDocument/2006/relationships/hyperlink" Target="https://www.facebook.com/olive63" TargetMode="External"/><Relationship Id="rId4970" Type="http://schemas.openxmlformats.org/officeDocument/2006/relationships/hyperlink" Target="https://www.facebook.com/melai.banirdag" TargetMode="External"/><Relationship Id="rId5607" Type="http://schemas.openxmlformats.org/officeDocument/2006/relationships/hyperlink" Target="https://www.facebook.com/rapplerdotcom/photos/a.317154781638645/5594453700575367/" TargetMode="External"/><Relationship Id="rId3158" Type="http://schemas.openxmlformats.org/officeDocument/2006/relationships/hyperlink" Target="https://www.facebook.com/watch/live/?ref=watch_permalink&amp;v=332681445500650" TargetMode="External"/><Relationship Id="rId3572" Type="http://schemas.openxmlformats.org/officeDocument/2006/relationships/hyperlink" Target="https://www.facebook.com/rapplerdotcom/photos/a.317154781638645/5595372260483511/" TargetMode="External"/><Relationship Id="rId4209" Type="http://schemas.openxmlformats.org/officeDocument/2006/relationships/hyperlink" Target="https://www.facebook.com/nayrb.zemog.5" TargetMode="External"/><Relationship Id="rId4623" Type="http://schemas.openxmlformats.org/officeDocument/2006/relationships/hyperlink" Target="https://www.facebook.com/watch/live/?ref=watch_permalink&amp;v=923735834984653" TargetMode="External"/><Relationship Id="rId493" Type="http://schemas.openxmlformats.org/officeDocument/2006/relationships/hyperlink" Target="https://www.facebook.com/rapplerdotcom/photos/a.317154781638645/5598220220198715/" TargetMode="External"/><Relationship Id="rId2174" Type="http://schemas.openxmlformats.org/officeDocument/2006/relationships/hyperlink" Target="https://www.facebook.com/rapplerdotcom/photos/a.317154781638645/5596022273751843/" TargetMode="External"/><Relationship Id="rId3225" Type="http://schemas.openxmlformats.org/officeDocument/2006/relationships/hyperlink" Target="https://www.facebook.com/liza.isagra" TargetMode="External"/><Relationship Id="rId146" Type="http://schemas.openxmlformats.org/officeDocument/2006/relationships/hyperlink" Target="https://www.facebook.com/rapplerdotcom/posts/pfbid0DUh4iFcrxZuR1UbiGhcAHcMdzsaV29GSeHCY1HabtqcnUWkjStX9TDaVqzzt92GDl" TargetMode="External"/><Relationship Id="rId560" Type="http://schemas.openxmlformats.org/officeDocument/2006/relationships/hyperlink" Target="https://www.facebook.com/rapplerdotcom/photos/a.317154781638645/5597874143566656" TargetMode="External"/><Relationship Id="rId1190" Type="http://schemas.openxmlformats.org/officeDocument/2006/relationships/hyperlink" Target="https://www.facebook.com/rapplerdotcom/posts/pfbid023goEfA6e1ABSWYJFy8fQ5LFWDv4QTSTmAfzySGtMSpy12iqywB2MUZjiZ8GjCxrGl" TargetMode="External"/><Relationship Id="rId2241" Type="http://schemas.openxmlformats.org/officeDocument/2006/relationships/hyperlink" Target="https://www.facebook.com/noel.sison.96" TargetMode="External"/><Relationship Id="rId5397" Type="http://schemas.openxmlformats.org/officeDocument/2006/relationships/hyperlink" Target="https://www.facebook.com/watch/live/?ref=watch_permalink&amp;v=312865720941798" TargetMode="External"/><Relationship Id="rId213" Type="http://schemas.openxmlformats.org/officeDocument/2006/relationships/hyperlink" Target="https://www.facebook.com/randy.basco.3" TargetMode="External"/><Relationship Id="rId4066" Type="http://schemas.openxmlformats.org/officeDocument/2006/relationships/hyperlink" Target="https://www.facebook.com/rapplerdotcom/posts/pfbid0231hbcbuKeQLDkPH8oZAdZbuU8MPPgRANx152V3xWpbjZ6EvfpohwQMvxHYAgrGPul" TargetMode="External"/><Relationship Id="rId5464" Type="http://schemas.openxmlformats.org/officeDocument/2006/relationships/hyperlink" Target="https://www.facebook.com/patriusmark" TargetMode="External"/><Relationship Id="rId4480" Type="http://schemas.openxmlformats.org/officeDocument/2006/relationships/hyperlink" Target="https://www.facebook.com/genevieve.uy.9" TargetMode="External"/><Relationship Id="rId5117" Type="http://schemas.openxmlformats.org/officeDocument/2006/relationships/hyperlink" Target="https://www.facebook.com/rapplerdotcom/photos/a.317154781638645/5594264657260938/" TargetMode="External"/><Relationship Id="rId5531" Type="http://schemas.openxmlformats.org/officeDocument/2006/relationships/hyperlink" Target="https://www.facebook.com/rapplerdotcom/photos/a.317154781638645/5594453700575367/" TargetMode="External"/><Relationship Id="rId1727" Type="http://schemas.openxmlformats.org/officeDocument/2006/relationships/hyperlink" Target="https://www.facebook.com/ellen.barrios" TargetMode="External"/><Relationship Id="rId3082" Type="http://schemas.openxmlformats.org/officeDocument/2006/relationships/hyperlink" Target="https://www.facebook.com/watch/live/?ref=watch_permalink&amp;v=360307549312104" TargetMode="External"/><Relationship Id="rId4133" Type="http://schemas.openxmlformats.org/officeDocument/2006/relationships/hyperlink" Target="https://www.facebook.com/genesis.gardiano" TargetMode="External"/><Relationship Id="rId19" Type="http://schemas.openxmlformats.org/officeDocument/2006/relationships/hyperlink" Target="https://www.facebook.com/emerita.sacluti" TargetMode="External"/><Relationship Id="rId3899" Type="http://schemas.openxmlformats.org/officeDocument/2006/relationships/hyperlink" Target="https://www.facebook.com/profile.php?id=100074540717680" TargetMode="External"/><Relationship Id="rId4200" Type="http://schemas.openxmlformats.org/officeDocument/2006/relationships/hyperlink" Target="https://www.facebook.com/rapplerdotcom/photos/a.317154781638645/5594954703858600/" TargetMode="External"/><Relationship Id="rId3966" Type="http://schemas.openxmlformats.org/officeDocument/2006/relationships/hyperlink" Target="https://www.facebook.com/rapplerdotcom/posts/pfbid0dyWpzxim3h4Z2SYriGakwQw85p7BCAgct7KU5EiMX1bmmgNHDD8nmES8rjrADsrPl" TargetMode="External"/><Relationship Id="rId6025" Type="http://schemas.openxmlformats.org/officeDocument/2006/relationships/hyperlink" Target="https://www.facebook.com/rapplerdotcom/photos/a.317154781638645/5594359700584767/" TargetMode="External"/><Relationship Id="rId3" Type="http://schemas.openxmlformats.org/officeDocument/2006/relationships/hyperlink" Target="https://www.facebook.com/agripina.timbrezabellobrillantes" TargetMode="External"/><Relationship Id="rId887" Type="http://schemas.openxmlformats.org/officeDocument/2006/relationships/hyperlink" Target="https://www.facebook.com/gladys.lazo.31" TargetMode="External"/><Relationship Id="rId2568" Type="http://schemas.openxmlformats.org/officeDocument/2006/relationships/hyperlink" Target="https://www.facebook.com/rapplerdotcom/photos/a.317154781638645/5595733810447356/" TargetMode="External"/><Relationship Id="rId2982" Type="http://schemas.openxmlformats.org/officeDocument/2006/relationships/hyperlink" Target="https://www.facebook.com/watch/live/?ref=watch_permalink&amp;v=360307549312104" TargetMode="External"/><Relationship Id="rId3619" Type="http://schemas.openxmlformats.org/officeDocument/2006/relationships/hyperlink" Target="https://www.facebook.com/dez.delmundosamson" TargetMode="External"/><Relationship Id="rId5041" Type="http://schemas.openxmlformats.org/officeDocument/2006/relationships/hyperlink" Target="https://www.facebook.com/rapplerdotcom/posts/pfbid02BCyyacWVuuu1bwX5PwYK8PvqDGTANxekqEMy7qyV9vMmaGKTbC8sBf7i5j3Wbx9Ll" TargetMode="External"/><Relationship Id="rId954" Type="http://schemas.openxmlformats.org/officeDocument/2006/relationships/hyperlink" Target="https://www.facebook.com/rapplerdotcom/photos/a.317154781638645/5597592673594803/" TargetMode="External"/><Relationship Id="rId1584" Type="http://schemas.openxmlformats.org/officeDocument/2006/relationships/hyperlink" Target="https://www.facebook.com/rapplerdotcom/photos/a.317154781638645/5597116770309060/" TargetMode="External"/><Relationship Id="rId2635" Type="http://schemas.openxmlformats.org/officeDocument/2006/relationships/hyperlink" Target="https://www.facebook.com/ivansalanguit21" TargetMode="External"/><Relationship Id="rId607" Type="http://schemas.openxmlformats.org/officeDocument/2006/relationships/hyperlink" Target="https://www.facebook.com/rogelio.lapuz.5055" TargetMode="External"/><Relationship Id="rId1237" Type="http://schemas.openxmlformats.org/officeDocument/2006/relationships/hyperlink" Target="https://www.facebook.com/jasper.castrence.1" TargetMode="External"/><Relationship Id="rId1651" Type="http://schemas.openxmlformats.org/officeDocument/2006/relationships/hyperlink" Target="https://www.facebook.com/Derolferrot" TargetMode="External"/><Relationship Id="rId2702" Type="http://schemas.openxmlformats.org/officeDocument/2006/relationships/hyperlink" Target="https://www.facebook.com/rapplerdotcom/photos/a.317154781638645/5595733810447356/" TargetMode="External"/><Relationship Id="rId5858" Type="http://schemas.openxmlformats.org/officeDocument/2006/relationships/hyperlink" Target="https://www.facebook.com/oyette.calanog" TargetMode="External"/><Relationship Id="rId1304" Type="http://schemas.openxmlformats.org/officeDocument/2006/relationships/hyperlink" Target="https://www.facebook.com/rapplerdotcom/posts/pfbid023goEfA6e1ABSWYJFy8fQ5LFWDv4QTSTmAfzySGtMSpy12iqywB2MUZjiZ8GjCxrGl" TargetMode="External"/><Relationship Id="rId4874" Type="http://schemas.openxmlformats.org/officeDocument/2006/relationships/hyperlink" Target="https://www.facebook.com/aida.tytco" TargetMode="External"/><Relationship Id="rId3476" Type="http://schemas.openxmlformats.org/officeDocument/2006/relationships/hyperlink" Target="https://www.facebook.com/rapplerdotcom/photos/a.317154781638645/5595372260483511/" TargetMode="External"/><Relationship Id="rId4527" Type="http://schemas.openxmlformats.org/officeDocument/2006/relationships/hyperlink" Target="https://www.facebook.com/rapplerdotcom/photos/a.317154781638645/5594954703858600/" TargetMode="External"/><Relationship Id="rId5925" Type="http://schemas.openxmlformats.org/officeDocument/2006/relationships/hyperlink" Target="https://www.facebook.com/rapplerdotcom/photos/a.317154781638645/5594359700584767/" TargetMode="External"/><Relationship Id="rId10" Type="http://schemas.openxmlformats.org/officeDocument/2006/relationships/hyperlink" Target="https://www.facebook.com/rapplerdotcom/posts/pfbid0DUh4iFcrxZuR1UbiGhcAHcMdzsaV29GSeHCY1HabtqcnUWkjStX9TDaVqzzt92GDl" TargetMode="External"/><Relationship Id="rId397" Type="http://schemas.openxmlformats.org/officeDocument/2006/relationships/hyperlink" Target="https://www.facebook.com/rapplerdotcom/photos/a.317154781638645/5598220220198715/" TargetMode="External"/><Relationship Id="rId2078" Type="http://schemas.openxmlformats.org/officeDocument/2006/relationships/hyperlink" Target="https://www.facebook.com/rapplerdotcom/photos/a.317154781638645/5596022273751843/" TargetMode="External"/><Relationship Id="rId2492" Type="http://schemas.openxmlformats.org/officeDocument/2006/relationships/hyperlink" Target="https://www.facebook.com/rapplerdotcom/posts/pfbid0TYP6syjYwznxJKdhWv9YMaXK9NvsSEhQ2cyyCQCPMvGapWXrQBHehywgT156wqNPl" TargetMode="External"/><Relationship Id="rId3129" Type="http://schemas.openxmlformats.org/officeDocument/2006/relationships/hyperlink" Target="https://www.facebook.com/madonna.bagalayfulgar.3" TargetMode="External"/><Relationship Id="rId3890" Type="http://schemas.openxmlformats.org/officeDocument/2006/relationships/hyperlink" Target="https://www.facebook.com/rapplerdotcom/posts/pfbid0dyWpzxim3h4Z2SYriGakwQw85p7BCAgct7KU5EiMX1bmmgNHDD8nmES8rjrADsrPl" TargetMode="External"/><Relationship Id="rId4941" Type="http://schemas.openxmlformats.org/officeDocument/2006/relationships/hyperlink" Target="https://www.facebook.com/rapplerdotcom/posts/pfbid02BCyyacWVuuu1bwX5PwYK8PvqDGTANxekqEMy7qyV9vMmaGKTbC8sBf7i5j3Wbx9Ll" TargetMode="External"/><Relationship Id="rId464" Type="http://schemas.openxmlformats.org/officeDocument/2006/relationships/hyperlink" Target="https://www.facebook.com/rogerick.rovillos.ph" TargetMode="External"/><Relationship Id="rId1094" Type="http://schemas.openxmlformats.org/officeDocument/2006/relationships/hyperlink" Target="https://www.facebook.com/rapplerdotcom/posts/pfbid028Kg188FmebKa4aFvHZNp8zGTwjghWDDJuUmQ8agbSCvGAGJHZ7pBH9NmxLBmPZZdl" TargetMode="External"/><Relationship Id="rId2145" Type="http://schemas.openxmlformats.org/officeDocument/2006/relationships/hyperlink" Target="https://www.facebook.com/kap.riegodedios" TargetMode="External"/><Relationship Id="rId3543" Type="http://schemas.openxmlformats.org/officeDocument/2006/relationships/hyperlink" Target="https://www.facebook.com/mussulleni.vega" TargetMode="External"/><Relationship Id="rId117" Type="http://schemas.openxmlformats.org/officeDocument/2006/relationships/hyperlink" Target="https://www.facebook.com/akcelrose.marinas" TargetMode="External"/><Relationship Id="rId3610" Type="http://schemas.openxmlformats.org/officeDocument/2006/relationships/hyperlink" Target="https://www.facebook.com/rapplerdotcom/photos/a.317154781638645/5595372260483511/" TargetMode="External"/><Relationship Id="rId531" Type="http://schemas.openxmlformats.org/officeDocument/2006/relationships/hyperlink" Target="https://www.facebook.com/rapplerdotcom/photos/a.317154781638645/5598220220198715/" TargetMode="External"/><Relationship Id="rId1161" Type="http://schemas.openxmlformats.org/officeDocument/2006/relationships/hyperlink" Target="https://www.facebook.com/edwin.redz.mangeron" TargetMode="External"/><Relationship Id="rId2212" Type="http://schemas.openxmlformats.org/officeDocument/2006/relationships/hyperlink" Target="https://www.facebook.com/rapplerdotcom/photos/a.317154781638645/5596022273751843/" TargetMode="External"/><Relationship Id="rId5368" Type="http://schemas.openxmlformats.org/officeDocument/2006/relationships/hyperlink" Target="https://www.facebook.com/gracepenetrante.udarbe" TargetMode="External"/><Relationship Id="rId5782" Type="http://schemas.openxmlformats.org/officeDocument/2006/relationships/hyperlink" Target="https://www.facebook.com/lesdicen" TargetMode="External"/><Relationship Id="rId1978" Type="http://schemas.openxmlformats.org/officeDocument/2006/relationships/hyperlink" Target="https://www.facebook.com/rapplerdotcom/photos/a.317154781638645/5596022273751843/" TargetMode="External"/><Relationship Id="rId4384" Type="http://schemas.openxmlformats.org/officeDocument/2006/relationships/hyperlink" Target="https://www.facebook.com/joeven.alvarez" TargetMode="External"/><Relationship Id="rId5435" Type="http://schemas.openxmlformats.org/officeDocument/2006/relationships/hyperlink" Target="https://www.facebook.com/watch/live/?ref=watch_permalink&amp;v=312865720941798" TargetMode="External"/><Relationship Id="rId4037" Type="http://schemas.openxmlformats.org/officeDocument/2006/relationships/hyperlink" Target="https://www.facebook.com/man.arellano.12" TargetMode="External"/><Relationship Id="rId4451" Type="http://schemas.openxmlformats.org/officeDocument/2006/relationships/hyperlink" Target="https://www.facebook.com/rapplerdotcom/photos/a.317154781638645/5594954703858600/" TargetMode="External"/><Relationship Id="rId5502" Type="http://schemas.openxmlformats.org/officeDocument/2006/relationships/hyperlink" Target="https://www.facebook.com/boyiya.david" TargetMode="External"/><Relationship Id="rId3053" Type="http://schemas.openxmlformats.org/officeDocument/2006/relationships/hyperlink" Target="https://www.facebook.com/jingjing.abellana" TargetMode="External"/><Relationship Id="rId4104" Type="http://schemas.openxmlformats.org/officeDocument/2006/relationships/hyperlink" Target="https://www.facebook.com/rapplerdotcom/posts/pfbid0231hbcbuKeQLDkPH8oZAdZbuU8MPPgRANx152V3xWpbjZ6EvfpohwQMvxHYAgrGPul" TargetMode="External"/><Relationship Id="rId3120" Type="http://schemas.openxmlformats.org/officeDocument/2006/relationships/hyperlink" Target="https://www.facebook.com/watch/live/?ref=watch_permalink&amp;v=360307549312104" TargetMode="External"/><Relationship Id="rId2886" Type="http://schemas.openxmlformats.org/officeDocument/2006/relationships/hyperlink" Target="https://www.facebook.com/watch/live/?ref=watch_permalink&amp;v=360307549312104" TargetMode="External"/><Relationship Id="rId3937" Type="http://schemas.openxmlformats.org/officeDocument/2006/relationships/hyperlink" Target="https://www.facebook.com/henardino" TargetMode="External"/><Relationship Id="rId5292" Type="http://schemas.openxmlformats.org/officeDocument/2006/relationships/hyperlink" Target="https://www.facebook.com/rensoriframos" TargetMode="External"/><Relationship Id="rId858" Type="http://schemas.openxmlformats.org/officeDocument/2006/relationships/hyperlink" Target="https://www.facebook.com/rapplerdotcom/photos/a.317154781638645/5597612220259515/" TargetMode="External"/><Relationship Id="rId1488" Type="http://schemas.openxmlformats.org/officeDocument/2006/relationships/hyperlink" Target="https://www.facebook.com/rapplerdotcom/photos/a.317154781638645/5597116770309060/" TargetMode="External"/><Relationship Id="rId2539" Type="http://schemas.openxmlformats.org/officeDocument/2006/relationships/hyperlink" Target="https://www.facebook.com/dr.julius.uy" TargetMode="External"/><Relationship Id="rId2953" Type="http://schemas.openxmlformats.org/officeDocument/2006/relationships/hyperlink" Target="https://www.facebook.com/debrah.wasay" TargetMode="External"/><Relationship Id="rId925" Type="http://schemas.openxmlformats.org/officeDocument/2006/relationships/hyperlink" Target="https://www.facebook.com/jonathan.sajo" TargetMode="External"/><Relationship Id="rId1555" Type="http://schemas.openxmlformats.org/officeDocument/2006/relationships/hyperlink" Target="https://www.facebook.com/benny.mendoza.39948" TargetMode="External"/><Relationship Id="rId2606" Type="http://schemas.openxmlformats.org/officeDocument/2006/relationships/hyperlink" Target="https://www.facebook.com/rapplerdotcom/photos/a.317154781638645/5595733810447356/" TargetMode="External"/><Relationship Id="rId5012" Type="http://schemas.openxmlformats.org/officeDocument/2006/relationships/hyperlink" Target="https://www.facebook.com/robert.gacayan.3" TargetMode="External"/><Relationship Id="rId1208" Type="http://schemas.openxmlformats.org/officeDocument/2006/relationships/hyperlink" Target="https://www.facebook.com/rapplerdotcom/posts/pfbid023goEfA6e1ABSWYJFy8fQ5LFWDv4QTSTmAfzySGtMSpy12iqywB2MUZjiZ8GjCxrGl" TargetMode="External"/><Relationship Id="rId1622" Type="http://schemas.openxmlformats.org/officeDocument/2006/relationships/hyperlink" Target="https://www.facebook.com/rapplerdotcom/posts/pfbid02AsSA4LQqjQ2Y8SVathQmtduoE3fhoGvQSNhvrzsMerDaJSQJ6jDvApCCiuaE7XCol" TargetMode="External"/><Relationship Id="rId4778" Type="http://schemas.openxmlformats.org/officeDocument/2006/relationships/hyperlink" Target="https://www.facebook.com/german.balderama.311" TargetMode="External"/><Relationship Id="rId5829" Type="http://schemas.openxmlformats.org/officeDocument/2006/relationships/hyperlink" Target="https://www.facebook.com/rapplerdotcom/photos/a.317154781638645/5594453700575367/" TargetMode="External"/><Relationship Id="rId3794" Type="http://schemas.openxmlformats.org/officeDocument/2006/relationships/hyperlink" Target="https://www.facebook.com/rapplerdotcom/posts/pfbid0dyWpzxim3h4Z2SYriGakwQw85p7BCAgct7KU5EiMX1bmmgNHDD8nmES8rjrADsrPl" TargetMode="External"/><Relationship Id="rId4845" Type="http://schemas.openxmlformats.org/officeDocument/2006/relationships/hyperlink" Target="https://www.facebook.com/watch/live/?ref=watch_permalink&amp;v=923735834984653" TargetMode="External"/><Relationship Id="rId2396" Type="http://schemas.openxmlformats.org/officeDocument/2006/relationships/hyperlink" Target="https://www.facebook.com/rapplerdotcom/posts/pfbid0TYP6syjYwznxJKdhWv9YMaXK9NvsSEhQ2cyyCQCPMvGapWXrQBHehywgT156wqNPl" TargetMode="External"/><Relationship Id="rId3447" Type="http://schemas.openxmlformats.org/officeDocument/2006/relationships/hyperlink" Target="https://www.facebook.com/patricio.patriciosemilla" TargetMode="External"/><Relationship Id="rId3861" Type="http://schemas.openxmlformats.org/officeDocument/2006/relationships/hyperlink" Target="https://www.facebook.com/nandy.lucero" TargetMode="External"/><Relationship Id="rId4912" Type="http://schemas.openxmlformats.org/officeDocument/2006/relationships/hyperlink" Target="https://www.facebook.com/profile.php?id=100071488868784" TargetMode="External"/><Relationship Id="rId368" Type="http://schemas.openxmlformats.org/officeDocument/2006/relationships/hyperlink" Target="https://www.facebook.com/roysem88" TargetMode="External"/><Relationship Id="rId782" Type="http://schemas.openxmlformats.org/officeDocument/2006/relationships/hyperlink" Target="https://www.facebook.com/rapplerdotcom/photos/a.317154781638645/5597612220259515/" TargetMode="External"/><Relationship Id="rId2049" Type="http://schemas.openxmlformats.org/officeDocument/2006/relationships/hyperlink" Target="https://www.facebook.com/profile.php?id=100078772872933" TargetMode="External"/><Relationship Id="rId2463" Type="http://schemas.openxmlformats.org/officeDocument/2006/relationships/hyperlink" Target="https://www.facebook.com/cherry.samson.7374" TargetMode="External"/><Relationship Id="rId3514" Type="http://schemas.openxmlformats.org/officeDocument/2006/relationships/hyperlink" Target="https://www.facebook.com/rapplerdotcom/photos/a.317154781638645/5595372260483511/" TargetMode="External"/><Relationship Id="rId435" Type="http://schemas.openxmlformats.org/officeDocument/2006/relationships/hyperlink" Target="https://www.facebook.com/rapplerdotcom/photos/a.317154781638645/5598220220198715/" TargetMode="External"/><Relationship Id="rId1065" Type="http://schemas.openxmlformats.org/officeDocument/2006/relationships/hyperlink" Target="https://www.facebook.com/dionisio.salmorin" TargetMode="External"/><Relationship Id="rId2116" Type="http://schemas.openxmlformats.org/officeDocument/2006/relationships/hyperlink" Target="https://www.facebook.com/rapplerdotcom/photos/a.317154781638645/5596022273751843/" TargetMode="External"/><Relationship Id="rId2530" Type="http://schemas.openxmlformats.org/officeDocument/2006/relationships/hyperlink" Target="https://www.facebook.com/rapplerdotcom/posts/pfbid0TYP6syjYwznxJKdhWv9YMaXK9NvsSEhQ2cyyCQCPMvGapWXrQBHehywgT156wqNPl" TargetMode="External"/><Relationship Id="rId5686" Type="http://schemas.openxmlformats.org/officeDocument/2006/relationships/hyperlink" Target="https://www.facebook.com/jimmy.pascua.5" TargetMode="External"/><Relationship Id="rId502" Type="http://schemas.openxmlformats.org/officeDocument/2006/relationships/hyperlink" Target="https://www.facebook.com/grace.lucila.33" TargetMode="External"/><Relationship Id="rId1132" Type="http://schemas.openxmlformats.org/officeDocument/2006/relationships/hyperlink" Target="https://www.facebook.com/rapplerdotcom/posts/pfbid02dNgAR64VTtp94Rus4o9MNbU55E2H9Wp7KMKzJGkk6u4UxRyHU8j2pPpwa5iwGcD3l" TargetMode="External"/><Relationship Id="rId4288" Type="http://schemas.openxmlformats.org/officeDocument/2006/relationships/hyperlink" Target="https://www.facebook.com/armin.manalastas" TargetMode="External"/><Relationship Id="rId5339" Type="http://schemas.openxmlformats.org/officeDocument/2006/relationships/hyperlink" Target="https://www.facebook.com/rapplerdotcom/photos/a.317154781638645/5594264657260938/" TargetMode="External"/><Relationship Id="rId4355" Type="http://schemas.openxmlformats.org/officeDocument/2006/relationships/hyperlink" Target="https://www.facebook.com/rapplerdotcom/photos/a.317154781638645/5594954703858600/" TargetMode="External"/><Relationship Id="rId5753" Type="http://schemas.openxmlformats.org/officeDocument/2006/relationships/hyperlink" Target="https://www.facebook.com/rapplerdotcom/photos/a.317154781638645/5594453700575367/" TargetMode="External"/><Relationship Id="rId1949" Type="http://schemas.openxmlformats.org/officeDocument/2006/relationships/hyperlink" Target="https://www.facebook.com/henrybalderama" TargetMode="External"/><Relationship Id="rId4008" Type="http://schemas.openxmlformats.org/officeDocument/2006/relationships/hyperlink" Target="https://www.facebook.com/rapplerdotcom/posts/pfbid0dyWpzxim3h4Z2SYriGakwQw85p7BCAgct7KU5EiMX1bmmgNHDD8nmES8rjrADsrPl" TargetMode="External"/><Relationship Id="rId5406" Type="http://schemas.openxmlformats.org/officeDocument/2006/relationships/hyperlink" Target="https://www.facebook.com/profile.php?id=100007850237098" TargetMode="External"/><Relationship Id="rId5820" Type="http://schemas.openxmlformats.org/officeDocument/2006/relationships/hyperlink" Target="https://www.facebook.com/martin.orsal.1" TargetMode="External"/><Relationship Id="rId292" Type="http://schemas.openxmlformats.org/officeDocument/2006/relationships/hyperlink" Target="https://www.facebook.com/profile.php?id=100079089531211" TargetMode="External"/><Relationship Id="rId3371" Type="http://schemas.openxmlformats.org/officeDocument/2006/relationships/hyperlink" Target="https://www.facebook.com/loreta.ardaban.3" TargetMode="External"/><Relationship Id="rId4422" Type="http://schemas.openxmlformats.org/officeDocument/2006/relationships/hyperlink" Target="https://www.facebook.com/profile.php?id=100007155289018" TargetMode="External"/><Relationship Id="rId3024" Type="http://schemas.openxmlformats.org/officeDocument/2006/relationships/hyperlink" Target="https://www.facebook.com/watch/live/?ref=watch_permalink&amp;v=360307549312104" TargetMode="External"/><Relationship Id="rId2040" Type="http://schemas.openxmlformats.org/officeDocument/2006/relationships/hyperlink" Target="https://www.facebook.com/rapplerdotcom/photos/a.317154781638645/5596022273751843/" TargetMode="External"/><Relationship Id="rId5196" Type="http://schemas.openxmlformats.org/officeDocument/2006/relationships/hyperlink" Target="https://www.facebook.com/liza.smmercado" TargetMode="External"/><Relationship Id="rId5263" Type="http://schemas.openxmlformats.org/officeDocument/2006/relationships/hyperlink" Target="https://www.facebook.com/rapplerdotcom/photos/a.317154781638645/5594264657260938/" TargetMode="External"/><Relationship Id="rId1459" Type="http://schemas.openxmlformats.org/officeDocument/2006/relationships/hyperlink" Target="https://www.facebook.com/edwin.marcelo.12" TargetMode="External"/><Relationship Id="rId2857" Type="http://schemas.openxmlformats.org/officeDocument/2006/relationships/hyperlink" Target="https://www.facebook.com/joem.nadong.5" TargetMode="External"/><Relationship Id="rId3908" Type="http://schemas.openxmlformats.org/officeDocument/2006/relationships/hyperlink" Target="https://www.facebook.com/rapplerdotcom/posts/pfbid0dyWpzxim3h4Z2SYriGakwQw85p7BCAgct7KU5EiMX1bmmgNHDD8nmES8rjrADsrPl" TargetMode="External"/><Relationship Id="rId5330" Type="http://schemas.openxmlformats.org/officeDocument/2006/relationships/hyperlink" Target="https://www.facebook.com/profile.php?id=100070343109589" TargetMode="External"/><Relationship Id="rId98" Type="http://schemas.openxmlformats.org/officeDocument/2006/relationships/hyperlink" Target="https://www.facebook.com/rapplerdotcom/posts/pfbid0DUh4iFcrxZuR1UbiGhcAHcMdzsaV29GSeHCY1HabtqcnUWkjStX9TDaVqzzt92GDl" TargetMode="External"/><Relationship Id="rId829" Type="http://schemas.openxmlformats.org/officeDocument/2006/relationships/hyperlink" Target="https://www.facebook.com/profile.php?id=100073176669689" TargetMode="External"/><Relationship Id="rId1873" Type="http://schemas.openxmlformats.org/officeDocument/2006/relationships/hyperlink" Target="https://www.facebook.com/raks.figthet" TargetMode="External"/><Relationship Id="rId2924" Type="http://schemas.openxmlformats.org/officeDocument/2006/relationships/hyperlink" Target="https://www.facebook.com/watch/live/?ref=watch_permalink&amp;v=360307549312104" TargetMode="External"/><Relationship Id="rId1526" Type="http://schemas.openxmlformats.org/officeDocument/2006/relationships/hyperlink" Target="https://www.facebook.com/rapplerdotcom/photos/a.317154781638645/5597116770309060/" TargetMode="External"/><Relationship Id="rId1940" Type="http://schemas.openxmlformats.org/officeDocument/2006/relationships/hyperlink" Target="https://www.facebook.com/rapplerdotcom/photos/a.317154781638645/5596043783749692/" TargetMode="External"/><Relationship Id="rId3698" Type="http://schemas.openxmlformats.org/officeDocument/2006/relationships/hyperlink" Target="https://www.facebook.com/rapplerdotcom/photos/a.317154781638645/5595162900504447/" TargetMode="External"/><Relationship Id="rId4749" Type="http://schemas.openxmlformats.org/officeDocument/2006/relationships/hyperlink" Target="https://www.facebook.com/watch/live/?ref=watch_permalink&amp;v=923735834984653" TargetMode="External"/><Relationship Id="rId3765" Type="http://schemas.openxmlformats.org/officeDocument/2006/relationships/hyperlink" Target="https://www.facebook.com/edna.bautista.37" TargetMode="External"/><Relationship Id="rId4816" Type="http://schemas.openxmlformats.org/officeDocument/2006/relationships/hyperlink" Target="https://www.facebook.com/rhaisa.saban" TargetMode="External"/><Relationship Id="rId6171" Type="http://schemas.openxmlformats.org/officeDocument/2006/relationships/hyperlink" Target="https://www.facebook.com/watch/?v=684555919511830" TargetMode="External"/><Relationship Id="rId686" Type="http://schemas.openxmlformats.org/officeDocument/2006/relationships/hyperlink" Target="https://www.facebook.com/rapplerdotcom/photos/a.317154781638645/5597612220259515/" TargetMode="External"/><Relationship Id="rId2367" Type="http://schemas.openxmlformats.org/officeDocument/2006/relationships/hyperlink" Target="https://www.facebook.com/rey.ben.7758" TargetMode="External"/><Relationship Id="rId2781" Type="http://schemas.openxmlformats.org/officeDocument/2006/relationships/hyperlink" Target="https://www.facebook.com/richardo.deloreto" TargetMode="External"/><Relationship Id="rId3418" Type="http://schemas.openxmlformats.org/officeDocument/2006/relationships/hyperlink" Target="https://www.facebook.com/rapplerdotcom/photos/a.317154781638645/5595372260483511/" TargetMode="External"/><Relationship Id="rId339" Type="http://schemas.openxmlformats.org/officeDocument/2006/relationships/hyperlink" Target="https://www.facebook.com/rapplerdotcom/photos/a.317154781638645/5598220220198715/" TargetMode="External"/><Relationship Id="rId753" Type="http://schemas.openxmlformats.org/officeDocument/2006/relationships/hyperlink" Target="https://www.facebook.com/profile.php?id=100072561709675" TargetMode="External"/><Relationship Id="rId1383" Type="http://schemas.openxmlformats.org/officeDocument/2006/relationships/hyperlink" Target="https://www.facebook.com/marylynacopiadodaganasol" TargetMode="External"/><Relationship Id="rId2434" Type="http://schemas.openxmlformats.org/officeDocument/2006/relationships/hyperlink" Target="https://www.facebook.com/rapplerdotcom/posts/pfbid0TYP6syjYwznxJKdhWv9YMaXK9NvsSEhQ2cyyCQCPMvGapWXrQBHehywgT156wqNPl" TargetMode="External"/><Relationship Id="rId3832" Type="http://schemas.openxmlformats.org/officeDocument/2006/relationships/hyperlink" Target="https://www.facebook.com/rapplerdotcom/posts/pfbid0dyWpzxim3h4Z2SYriGakwQw85p7BCAgct7KU5EiMX1bmmgNHDD8nmES8rjrADsrPl" TargetMode="External"/><Relationship Id="rId406" Type="http://schemas.openxmlformats.org/officeDocument/2006/relationships/hyperlink" Target="https://www.facebook.com/werdna.matugas" TargetMode="External"/><Relationship Id="rId1036" Type="http://schemas.openxmlformats.org/officeDocument/2006/relationships/hyperlink" Target="https://www.facebook.com/rapplerdotcom/photos/a.317154781638645/5597592673594803/" TargetMode="External"/><Relationship Id="rId820" Type="http://schemas.openxmlformats.org/officeDocument/2006/relationships/hyperlink" Target="https://www.facebook.com/rapplerdotcom/photos/a.317154781638645/5597612220259515/" TargetMode="External"/><Relationship Id="rId1450" Type="http://schemas.openxmlformats.org/officeDocument/2006/relationships/hyperlink" Target="https://www.facebook.com/rapplerdotcom/photos/a.317154781638645/5597116770309060/" TargetMode="External"/><Relationship Id="rId2501" Type="http://schemas.openxmlformats.org/officeDocument/2006/relationships/hyperlink" Target="https://www.facebook.com/profile.php?id=100078937432698" TargetMode="External"/><Relationship Id="rId5657" Type="http://schemas.openxmlformats.org/officeDocument/2006/relationships/hyperlink" Target="https://www.facebook.com/rapplerdotcom/photos/a.317154781638645/5594453700575367/" TargetMode="External"/><Relationship Id="rId1103" Type="http://schemas.openxmlformats.org/officeDocument/2006/relationships/hyperlink" Target="https://www.facebook.com/beng.decastro" TargetMode="External"/><Relationship Id="rId4259" Type="http://schemas.openxmlformats.org/officeDocument/2006/relationships/hyperlink" Target="https://www.facebook.com/rapplerdotcom/photos/a.317154781638645/5594954703858600/" TargetMode="External"/><Relationship Id="rId4673" Type="http://schemas.openxmlformats.org/officeDocument/2006/relationships/hyperlink" Target="https://www.facebook.com/watch/live/?ref=watch_permalink&amp;v=923735834984653" TargetMode="External"/><Relationship Id="rId5724" Type="http://schemas.openxmlformats.org/officeDocument/2006/relationships/hyperlink" Target="https://www.facebook.com/eduardo.bonndadjr" TargetMode="External"/><Relationship Id="rId3275" Type="http://schemas.openxmlformats.org/officeDocument/2006/relationships/hyperlink" Target="https://www.facebook.com/orchid.blk" TargetMode="External"/><Relationship Id="rId4326" Type="http://schemas.openxmlformats.org/officeDocument/2006/relationships/hyperlink" Target="https://www.facebook.com/stan.galang.3" TargetMode="External"/><Relationship Id="rId4740" Type="http://schemas.openxmlformats.org/officeDocument/2006/relationships/hyperlink" Target="https://www.facebook.com/sally.ladatenalaunan" TargetMode="External"/><Relationship Id="rId196" Type="http://schemas.openxmlformats.org/officeDocument/2006/relationships/hyperlink" Target="https://www.facebook.com/rapplerdotcom/posts/pfbid0DUh4iFcrxZuR1UbiGhcAHcMdzsaV29GSeHCY1HabtqcnUWkjStX9TDaVqzzt92GDl" TargetMode="External"/><Relationship Id="rId2291" Type="http://schemas.openxmlformats.org/officeDocument/2006/relationships/hyperlink" Target="https://www.facebook.com/lmfloralde" TargetMode="External"/><Relationship Id="rId3342" Type="http://schemas.openxmlformats.org/officeDocument/2006/relationships/hyperlink" Target="https://www.facebook.com/rapplerdotcom/photos/a.317154781638645/5595372260483511/" TargetMode="External"/><Relationship Id="rId263" Type="http://schemas.openxmlformats.org/officeDocument/2006/relationships/hyperlink" Target="https://www.facebook.com/rapplerdotcom/photos/a.317154781638645/5598220220198715/" TargetMode="External"/><Relationship Id="rId330" Type="http://schemas.openxmlformats.org/officeDocument/2006/relationships/hyperlink" Target="https://www.facebook.com/bayani.manlongat" TargetMode="External"/><Relationship Id="rId2011" Type="http://schemas.openxmlformats.org/officeDocument/2006/relationships/hyperlink" Target="https://www.facebook.com/jico.trancuet" TargetMode="External"/><Relationship Id="rId5167" Type="http://schemas.openxmlformats.org/officeDocument/2006/relationships/hyperlink" Target="https://www.facebook.com/rapplerdotcom/photos/a.317154781638645/5594264657260938/" TargetMode="External"/><Relationship Id="rId6218" Type="http://schemas.openxmlformats.org/officeDocument/2006/relationships/hyperlink" Target="https://www.facebook.com/profile.php?id=100073277073791" TargetMode="External"/><Relationship Id="rId4183" Type="http://schemas.openxmlformats.org/officeDocument/2006/relationships/hyperlink" Target="https://www.facebook.com/kuyah.tan" TargetMode="External"/><Relationship Id="rId5581" Type="http://schemas.openxmlformats.org/officeDocument/2006/relationships/hyperlink" Target="https://www.facebook.com/rapplerdotcom/photos/a.317154781638645/5594453700575367/" TargetMode="External"/><Relationship Id="rId1777" Type="http://schemas.openxmlformats.org/officeDocument/2006/relationships/hyperlink" Target="https://www.facebook.com/lair.gonzales" TargetMode="External"/><Relationship Id="rId2828" Type="http://schemas.openxmlformats.org/officeDocument/2006/relationships/hyperlink" Target="https://www.facebook.com/watch/?v=570590637273208" TargetMode="External"/><Relationship Id="rId5234" Type="http://schemas.openxmlformats.org/officeDocument/2006/relationships/hyperlink" Target="https://www.facebook.com/penn.adbiz" TargetMode="External"/><Relationship Id="rId69" Type="http://schemas.openxmlformats.org/officeDocument/2006/relationships/hyperlink" Target="https://www.facebook.com/profile.php?id=100076323624998" TargetMode="External"/><Relationship Id="rId1844" Type="http://schemas.openxmlformats.org/officeDocument/2006/relationships/hyperlink" Target="https://www.facebook.com/rapplerdotcom/photos/a.317154781638645/5596043783749692/" TargetMode="External"/><Relationship Id="rId4250" Type="http://schemas.openxmlformats.org/officeDocument/2006/relationships/hyperlink" Target="https://www.facebook.com/danilo.lansani.5" TargetMode="External"/><Relationship Id="rId5301" Type="http://schemas.openxmlformats.org/officeDocument/2006/relationships/hyperlink" Target="https://www.facebook.com/rapplerdotcom/photos/a.317154781638645/5594264657260938/" TargetMode="External"/><Relationship Id="rId1911" Type="http://schemas.openxmlformats.org/officeDocument/2006/relationships/hyperlink" Target="https://www.facebook.com/maripaz.mira" TargetMode="External"/><Relationship Id="rId3669" Type="http://schemas.openxmlformats.org/officeDocument/2006/relationships/hyperlink" Target="https://www.facebook.com/ngorab.ngidnam" TargetMode="External"/><Relationship Id="rId6075" Type="http://schemas.openxmlformats.org/officeDocument/2006/relationships/hyperlink" Target="https://www.facebook.com/rapplerdotcom/photos/a.317154781638645/5594359700584767/" TargetMode="External"/><Relationship Id="rId5091" Type="http://schemas.openxmlformats.org/officeDocument/2006/relationships/hyperlink" Target="https://www.facebook.com/rapplerdotcom/posts/pfbid0231hbcbuKeQLDkPH8oZAdZbuU8MPPgRANx152V3xWpbjZ6EvfpohwQMvxHYAgrGPul" TargetMode="External"/><Relationship Id="rId6142" Type="http://schemas.openxmlformats.org/officeDocument/2006/relationships/hyperlink" Target="https://www.facebook.com/profile.php?id=100078791799526" TargetMode="External"/><Relationship Id="rId1287" Type="http://schemas.openxmlformats.org/officeDocument/2006/relationships/hyperlink" Target="https://www.facebook.com/ADATL02" TargetMode="External"/><Relationship Id="rId2685" Type="http://schemas.openxmlformats.org/officeDocument/2006/relationships/hyperlink" Target="https://www.facebook.com/dindo.ducay" TargetMode="External"/><Relationship Id="rId3736" Type="http://schemas.openxmlformats.org/officeDocument/2006/relationships/hyperlink" Target="https://www.facebook.com/rapplerdotcom/photos/a.317154781638645/5595162900504447/" TargetMode="External"/><Relationship Id="rId657" Type="http://schemas.openxmlformats.org/officeDocument/2006/relationships/hyperlink" Target="https://www.facebook.com/jonsibalasi" TargetMode="External"/><Relationship Id="rId2338" Type="http://schemas.openxmlformats.org/officeDocument/2006/relationships/hyperlink" Target="https://www.facebook.com/rapplerdotcom/posts/pfbid0TYP6syjYwznxJKdhWv9YMaXK9NvsSEhQ2cyyCQCPMvGapWXrQBHehywgT156wqNPl" TargetMode="External"/><Relationship Id="rId2752" Type="http://schemas.openxmlformats.org/officeDocument/2006/relationships/hyperlink" Target="https://www.facebook.com/rapplerdotcom/photos/a.317154781638645/5595733810447356/" TargetMode="External"/><Relationship Id="rId3803" Type="http://schemas.openxmlformats.org/officeDocument/2006/relationships/hyperlink" Target="https://www.facebook.com/emil.paragas" TargetMode="External"/><Relationship Id="rId724" Type="http://schemas.openxmlformats.org/officeDocument/2006/relationships/hyperlink" Target="https://www.facebook.com/rapplerdotcom/photos/a.317154781638645/5597612220259515/" TargetMode="External"/><Relationship Id="rId1354" Type="http://schemas.openxmlformats.org/officeDocument/2006/relationships/hyperlink" Target="https://www.facebook.com/rapplerdotcom/photos/a.317154781638645/5597116770309060/" TargetMode="External"/><Relationship Id="rId2405" Type="http://schemas.openxmlformats.org/officeDocument/2006/relationships/hyperlink" Target="https://www.facebook.com/ignacio.degocena" TargetMode="External"/><Relationship Id="rId5975" Type="http://schemas.openxmlformats.org/officeDocument/2006/relationships/hyperlink" Target="https://www.facebook.com/rapplerdotcom/photos/a.317154781638645/5594359700584767/" TargetMode="External"/><Relationship Id="rId60" Type="http://schemas.openxmlformats.org/officeDocument/2006/relationships/hyperlink" Target="https://www.facebook.com/rapplerdotcom/posts/pfbid0DUh4iFcrxZuR1UbiGhcAHcMdzsaV29GSeHCY1HabtqcnUWkjStX9TDaVqzzt92GDl" TargetMode="External"/><Relationship Id="rId1007" Type="http://schemas.openxmlformats.org/officeDocument/2006/relationships/hyperlink" Target="https://www.facebook.com/recel.romero.18" TargetMode="External"/><Relationship Id="rId1421" Type="http://schemas.openxmlformats.org/officeDocument/2006/relationships/hyperlink" Target="https://www.facebook.com/john.oliver.965928" TargetMode="External"/><Relationship Id="rId4577" Type="http://schemas.openxmlformats.org/officeDocument/2006/relationships/hyperlink" Target="https://www.facebook.com/watch/live/?ref=watch_permalink&amp;v=923735834984653" TargetMode="External"/><Relationship Id="rId4991" Type="http://schemas.openxmlformats.org/officeDocument/2006/relationships/hyperlink" Target="https://www.facebook.com/rapplerdotcom/posts/pfbid02BCyyacWVuuu1bwX5PwYK8PvqDGTANxekqEMy7qyV9vMmaGKTbC8sBf7i5j3Wbx9Ll" TargetMode="External"/><Relationship Id="rId5628" Type="http://schemas.openxmlformats.org/officeDocument/2006/relationships/hyperlink" Target="https://www.facebook.com/angelica.magcamit" TargetMode="External"/><Relationship Id="rId3179" Type="http://schemas.openxmlformats.org/officeDocument/2006/relationships/hyperlink" Target="https://www.facebook.com/tammy.aldezaafrica" TargetMode="External"/><Relationship Id="rId3593" Type="http://schemas.openxmlformats.org/officeDocument/2006/relationships/hyperlink" Target="https://www.facebook.com/tony.deguzman.104" TargetMode="External"/><Relationship Id="rId4644" Type="http://schemas.openxmlformats.org/officeDocument/2006/relationships/hyperlink" Target="https://www.facebook.com/michaeljhon.dulay.5" TargetMode="External"/><Relationship Id="rId2195" Type="http://schemas.openxmlformats.org/officeDocument/2006/relationships/hyperlink" Target="https://www.facebook.com/helen.pesquisa" TargetMode="External"/><Relationship Id="rId3246" Type="http://schemas.openxmlformats.org/officeDocument/2006/relationships/hyperlink" Target="https://www.facebook.com/rapplerdotcom/posts/pfbid035u2RhZvcYSiCeymgBfXLoFoq87y2V8v81A9xDtyoKJgzTGtotsEEoj2bH7Zd4mtzl" TargetMode="External"/><Relationship Id="rId167" Type="http://schemas.openxmlformats.org/officeDocument/2006/relationships/hyperlink" Target="https://www.facebook.com/henrileki" TargetMode="External"/><Relationship Id="rId581" Type="http://schemas.openxmlformats.org/officeDocument/2006/relationships/hyperlink" Target="https://www.facebook.com/brrianjooseph.31" TargetMode="External"/><Relationship Id="rId2262" Type="http://schemas.openxmlformats.org/officeDocument/2006/relationships/hyperlink" Target="https://www.facebook.com/rapplerdotcom/photos/a.317154781638645/5596022273751843/" TargetMode="External"/><Relationship Id="rId3660" Type="http://schemas.openxmlformats.org/officeDocument/2006/relationships/hyperlink" Target="https://www.facebook.com/rapplerdotcom/photos/a.317154781638645/5595372260483511/" TargetMode="External"/><Relationship Id="rId4711" Type="http://schemas.openxmlformats.org/officeDocument/2006/relationships/hyperlink" Target="https://www.facebook.com/watch/live/?ref=watch_permalink&amp;v=923735834984653" TargetMode="External"/><Relationship Id="rId234" Type="http://schemas.openxmlformats.org/officeDocument/2006/relationships/hyperlink" Target="https://www.facebook.com/ana.abadsantos" TargetMode="External"/><Relationship Id="rId3313" Type="http://schemas.openxmlformats.org/officeDocument/2006/relationships/hyperlink" Target="https://www.facebook.com/loreta.ardaban.3" TargetMode="External"/><Relationship Id="rId5485" Type="http://schemas.openxmlformats.org/officeDocument/2006/relationships/hyperlink" Target="https://www.facebook.com/watch/live/?ref=watch_permalink&amp;v=312865720941798" TargetMode="External"/><Relationship Id="rId301" Type="http://schemas.openxmlformats.org/officeDocument/2006/relationships/hyperlink" Target="https://www.facebook.com/rapplerdotcom/photos/a.317154781638645/5598220220198715/" TargetMode="External"/><Relationship Id="rId4087" Type="http://schemas.openxmlformats.org/officeDocument/2006/relationships/hyperlink" Target="https://www.facebook.com/vanessa.cabelto" TargetMode="External"/><Relationship Id="rId5138" Type="http://schemas.openxmlformats.org/officeDocument/2006/relationships/hyperlink" Target="https://www.facebook.com/JeffOliGarTV" TargetMode="External"/><Relationship Id="rId5552" Type="http://schemas.openxmlformats.org/officeDocument/2006/relationships/hyperlink" Target="https://www.facebook.com/zuemelville101" TargetMode="External"/><Relationship Id="rId1748" Type="http://schemas.openxmlformats.org/officeDocument/2006/relationships/hyperlink" Target="https://www.facebook.com/rapplerdotcom/photos/a.317154781638645/5596043783749692/" TargetMode="External"/><Relationship Id="rId4154" Type="http://schemas.openxmlformats.org/officeDocument/2006/relationships/hyperlink" Target="https://www.facebook.com/rapplerdotcom/photos/a.317154781638645/5594954703858600/" TargetMode="External"/><Relationship Id="rId5205" Type="http://schemas.openxmlformats.org/officeDocument/2006/relationships/hyperlink" Target="https://www.facebook.com/rapplerdotcom/photos/a.317154781638645/5594264657260938/" TargetMode="External"/><Relationship Id="rId3170" Type="http://schemas.openxmlformats.org/officeDocument/2006/relationships/hyperlink" Target="https://www.facebook.com/watch/live/?ref=watch_permalink&amp;v=332681445500650" TargetMode="External"/><Relationship Id="rId4221" Type="http://schemas.openxmlformats.org/officeDocument/2006/relationships/hyperlink" Target="https://www.facebook.com/janice.arroyo.98837" TargetMode="External"/><Relationship Id="rId1815" Type="http://schemas.openxmlformats.org/officeDocument/2006/relationships/hyperlink" Target="https://www.facebook.com/maria.dizon1" TargetMode="External"/><Relationship Id="rId3987" Type="http://schemas.openxmlformats.org/officeDocument/2006/relationships/hyperlink" Target="https://www.facebook.com/jobic.aquino" TargetMode="External"/><Relationship Id="rId6046" Type="http://schemas.openxmlformats.org/officeDocument/2006/relationships/hyperlink" Target="https://www.facebook.com/eramc.cuaton" TargetMode="External"/><Relationship Id="rId2589" Type="http://schemas.openxmlformats.org/officeDocument/2006/relationships/hyperlink" Target="https://www.facebook.com/gia.mitchell.9655" TargetMode="External"/><Relationship Id="rId975" Type="http://schemas.openxmlformats.org/officeDocument/2006/relationships/hyperlink" Target="https://www.facebook.com/sylvz.serranoadona" TargetMode="External"/><Relationship Id="rId2656" Type="http://schemas.openxmlformats.org/officeDocument/2006/relationships/hyperlink" Target="https://www.facebook.com/rapplerdotcom/photos/a.317154781638645/5595733810447356/" TargetMode="External"/><Relationship Id="rId3707" Type="http://schemas.openxmlformats.org/officeDocument/2006/relationships/hyperlink" Target="https://www.facebook.com/jimmy.ballesteros" TargetMode="External"/><Relationship Id="rId5062" Type="http://schemas.openxmlformats.org/officeDocument/2006/relationships/hyperlink" Target="https://www.facebook.com/esting.cabrerazaAaAaA" TargetMode="External"/><Relationship Id="rId6113" Type="http://schemas.openxmlformats.org/officeDocument/2006/relationships/hyperlink" Target="https://www.facebook.com/rapplerdotcom/photos/a.317154781638645/5594359700584767/" TargetMode="External"/><Relationship Id="rId628" Type="http://schemas.openxmlformats.org/officeDocument/2006/relationships/hyperlink" Target="https://www.facebook.com/rapplerdotcom/photos/a.317154781638645/5597874143566656" TargetMode="External"/><Relationship Id="rId1258" Type="http://schemas.openxmlformats.org/officeDocument/2006/relationships/hyperlink" Target="https://www.facebook.com/rapplerdotcom/posts/pfbid023goEfA6e1ABSWYJFy8fQ5LFWDv4QTSTmAfzySGtMSpy12iqywB2MUZjiZ8GjCxrGl" TargetMode="External"/><Relationship Id="rId1672" Type="http://schemas.openxmlformats.org/officeDocument/2006/relationships/hyperlink" Target="https://www.facebook.com/rapplerdotcom/photos/a.317154781638645/5596043783749692/" TargetMode="External"/><Relationship Id="rId2309" Type="http://schemas.openxmlformats.org/officeDocument/2006/relationships/hyperlink" Target="https://www.facebook.com/profile.php?id=100078433647836" TargetMode="External"/><Relationship Id="rId2723" Type="http://schemas.openxmlformats.org/officeDocument/2006/relationships/hyperlink" Target="https://www.facebook.com/queeniejoy.echavez" TargetMode="External"/><Relationship Id="rId5879" Type="http://schemas.openxmlformats.org/officeDocument/2006/relationships/hyperlink" Target="https://www.facebook.com/rapplerdotcom/posts/pfbid0Kg1RoVj1WsJryHzrsA3oSrLQ6DJc4g1o3yMhcNHB9BrPu7fZV7ugtw1hYVefEPE9l" TargetMode="External"/><Relationship Id="rId1325" Type="http://schemas.openxmlformats.org/officeDocument/2006/relationships/hyperlink" Target="https://www.facebook.com/sec.anning" TargetMode="External"/><Relationship Id="rId3497" Type="http://schemas.openxmlformats.org/officeDocument/2006/relationships/hyperlink" Target="https://www.facebook.com/HaruldStories" TargetMode="External"/><Relationship Id="rId4895" Type="http://schemas.openxmlformats.org/officeDocument/2006/relationships/hyperlink" Target="https://www.facebook.com/watch/live/?ref=watch_permalink&amp;v=923735834984653" TargetMode="External"/><Relationship Id="rId5946" Type="http://schemas.openxmlformats.org/officeDocument/2006/relationships/hyperlink" Target="https://www.facebook.com/jonathan.biwit" TargetMode="External"/><Relationship Id="rId31" Type="http://schemas.openxmlformats.org/officeDocument/2006/relationships/hyperlink" Target="https://www.facebook.com/ju.nelle.3701" TargetMode="External"/><Relationship Id="rId2099" Type="http://schemas.openxmlformats.org/officeDocument/2006/relationships/hyperlink" Target="https://www.facebook.com/allan.ticatic" TargetMode="External"/><Relationship Id="rId4548" Type="http://schemas.openxmlformats.org/officeDocument/2006/relationships/hyperlink" Target="https://www.facebook.com/camilabayenyap" TargetMode="External"/><Relationship Id="rId4962" Type="http://schemas.openxmlformats.org/officeDocument/2006/relationships/hyperlink" Target="https://www.facebook.com/elena.cayandag.71" TargetMode="External"/><Relationship Id="rId3564" Type="http://schemas.openxmlformats.org/officeDocument/2006/relationships/hyperlink" Target="https://www.facebook.com/rapplerdotcom/photos/a.317154781638645/5595372260483511/" TargetMode="External"/><Relationship Id="rId4615" Type="http://schemas.openxmlformats.org/officeDocument/2006/relationships/hyperlink" Target="https://www.facebook.com/watch/live/?ref=watch_permalink&amp;v=923735834984653" TargetMode="External"/><Relationship Id="rId485" Type="http://schemas.openxmlformats.org/officeDocument/2006/relationships/hyperlink" Target="https://www.facebook.com/rapplerdotcom/photos/a.317154781638645/5598220220198715/" TargetMode="External"/><Relationship Id="rId2166" Type="http://schemas.openxmlformats.org/officeDocument/2006/relationships/hyperlink" Target="https://www.facebook.com/rapplerdotcom/photos/a.317154781638645/5596022273751843/" TargetMode="External"/><Relationship Id="rId2580" Type="http://schemas.openxmlformats.org/officeDocument/2006/relationships/hyperlink" Target="https://www.facebook.com/rapplerdotcom/photos/a.317154781638645/5595733810447356/" TargetMode="External"/><Relationship Id="rId3217" Type="http://schemas.openxmlformats.org/officeDocument/2006/relationships/hyperlink" Target="https://www.facebook.com/paz.gerero.1" TargetMode="External"/><Relationship Id="rId3631" Type="http://schemas.openxmlformats.org/officeDocument/2006/relationships/hyperlink" Target="https://www.facebook.com/profile.php?id=100014924436490" TargetMode="External"/><Relationship Id="rId138" Type="http://schemas.openxmlformats.org/officeDocument/2006/relationships/hyperlink" Target="https://www.facebook.com/rapplerdotcom/posts/pfbid0DUh4iFcrxZuR1UbiGhcAHcMdzsaV29GSeHCY1HabtqcnUWkjStX9TDaVqzzt92GDl" TargetMode="External"/><Relationship Id="rId552" Type="http://schemas.openxmlformats.org/officeDocument/2006/relationships/hyperlink" Target="https://www.facebook.com/rapplerdotcom/photos/a.317154781638645/5597874143566656" TargetMode="External"/><Relationship Id="rId1182" Type="http://schemas.openxmlformats.org/officeDocument/2006/relationships/hyperlink" Target="https://www.facebook.com/rapplerdotcom/posts/pfbid02dNgAR64VTtp94Rus4o9MNbU55E2H9Wp7KMKzJGkk6u4UxRyHU8j2pPpwa5iwGcD3l" TargetMode="External"/><Relationship Id="rId2233" Type="http://schemas.openxmlformats.org/officeDocument/2006/relationships/hyperlink" Target="https://www.facebook.com/rueven.cuizon" TargetMode="External"/><Relationship Id="rId5389" Type="http://schemas.openxmlformats.org/officeDocument/2006/relationships/hyperlink" Target="https://www.facebook.com/rapplerdotcom/photos/a.317154781638645/5594264657260938/" TargetMode="External"/><Relationship Id="rId205" Type="http://schemas.openxmlformats.org/officeDocument/2006/relationships/hyperlink" Target="https://www.facebook.com/jane.hejos" TargetMode="External"/><Relationship Id="rId2300" Type="http://schemas.openxmlformats.org/officeDocument/2006/relationships/hyperlink" Target="https://www.facebook.com/rapplerdotcom/photos/a.317154781638645/5596022273751843/" TargetMode="External"/><Relationship Id="rId5456" Type="http://schemas.openxmlformats.org/officeDocument/2006/relationships/hyperlink" Target="https://www.facebook.com/zuno.silang" TargetMode="External"/><Relationship Id="rId1999" Type="http://schemas.openxmlformats.org/officeDocument/2006/relationships/hyperlink" Target="https://www.facebook.com/profile.php?id=100073327830652" TargetMode="External"/><Relationship Id="rId4058" Type="http://schemas.openxmlformats.org/officeDocument/2006/relationships/hyperlink" Target="https://www.facebook.com/rapplerdotcom/posts/pfbid02kmyrDmvYtHxz51VdR228sTCyvbHYDrwL4TgeoVAenoprSKkWhUFLyRmAuKBuGtXXl" TargetMode="External"/><Relationship Id="rId4472" Type="http://schemas.openxmlformats.org/officeDocument/2006/relationships/hyperlink" Target="https://www.facebook.com/tony.delacruz.948011" TargetMode="External"/><Relationship Id="rId5109" Type="http://schemas.openxmlformats.org/officeDocument/2006/relationships/hyperlink" Target="https://www.facebook.com/rapplerdotcom/photos/a.317154781638645/5594264657260938/" TargetMode="External"/><Relationship Id="rId5870" Type="http://schemas.openxmlformats.org/officeDocument/2006/relationships/hyperlink" Target="https://www.facebook.com/tintin.f.asis" TargetMode="External"/><Relationship Id="rId3074" Type="http://schemas.openxmlformats.org/officeDocument/2006/relationships/hyperlink" Target="https://www.facebook.com/watch/live/?ref=watch_permalink&amp;v=360307549312104" TargetMode="External"/><Relationship Id="rId4125" Type="http://schemas.openxmlformats.org/officeDocument/2006/relationships/hyperlink" Target="https://www.facebook.com/BraveHearT.Marzan" TargetMode="External"/><Relationship Id="rId5523" Type="http://schemas.openxmlformats.org/officeDocument/2006/relationships/hyperlink" Target="https://www.facebook.com/rapplerdotcom/photos/a.317154781638645/5594453700575367/" TargetMode="External"/><Relationship Id="rId1719" Type="http://schemas.openxmlformats.org/officeDocument/2006/relationships/hyperlink" Target="https://www.facebook.com/EJCAmoroso" TargetMode="External"/><Relationship Id="rId2090" Type="http://schemas.openxmlformats.org/officeDocument/2006/relationships/hyperlink" Target="https://www.facebook.com/rapplerdotcom/photos/a.317154781638645/5596022273751843/" TargetMode="External"/><Relationship Id="rId3141" Type="http://schemas.openxmlformats.org/officeDocument/2006/relationships/hyperlink" Target="https://www.facebook.com/ae.aebcd.71" TargetMode="External"/><Relationship Id="rId3958" Type="http://schemas.openxmlformats.org/officeDocument/2006/relationships/hyperlink" Target="https://www.facebook.com/rapplerdotcom/posts/pfbid0dyWpzxim3h4Z2SYriGakwQw85p7BCAgct7KU5EiMX1bmmgNHDD8nmES8rjrADsrPl" TargetMode="External"/><Relationship Id="rId879" Type="http://schemas.openxmlformats.org/officeDocument/2006/relationships/hyperlink" Target="https://www.facebook.com/profile.php?id=100009913030847" TargetMode="External"/><Relationship Id="rId5380" Type="http://schemas.openxmlformats.org/officeDocument/2006/relationships/hyperlink" Target="https://www.facebook.com/Itz.me.leo.reyes" TargetMode="External"/><Relationship Id="rId6017" Type="http://schemas.openxmlformats.org/officeDocument/2006/relationships/hyperlink" Target="https://www.facebook.com/rapplerdotcom/photos/a.317154781638645/5594359700584767/" TargetMode="External"/><Relationship Id="rId1576" Type="http://schemas.openxmlformats.org/officeDocument/2006/relationships/hyperlink" Target="https://www.facebook.com/rapplerdotcom/photos/a.317154781638645/5597116770309060/" TargetMode="External"/><Relationship Id="rId2974" Type="http://schemas.openxmlformats.org/officeDocument/2006/relationships/hyperlink" Target="https://www.facebook.com/watch/live/?ref=watch_permalink&amp;v=360307549312104" TargetMode="External"/><Relationship Id="rId5033" Type="http://schemas.openxmlformats.org/officeDocument/2006/relationships/hyperlink" Target="https://www.facebook.com/rapplerdotcom/posts/pfbid02BCyyacWVuuu1bwX5PwYK8PvqDGTANxekqEMy7qyV9vMmaGKTbC8sBf7i5j3Wbx9Ll" TargetMode="External"/><Relationship Id="rId946" Type="http://schemas.openxmlformats.org/officeDocument/2006/relationships/hyperlink" Target="https://www.facebook.com/rapplerdotcom/photos/a.317154781638645/5597592673594803/" TargetMode="External"/><Relationship Id="rId1229" Type="http://schemas.openxmlformats.org/officeDocument/2006/relationships/hyperlink" Target="https://www.facebook.com/marilen.estaniel" TargetMode="External"/><Relationship Id="rId1990" Type="http://schemas.openxmlformats.org/officeDocument/2006/relationships/hyperlink" Target="https://www.facebook.com/rapplerdotcom/photos/a.317154781638645/5596022273751843/" TargetMode="External"/><Relationship Id="rId2627" Type="http://schemas.openxmlformats.org/officeDocument/2006/relationships/hyperlink" Target="https://www.facebook.com/melay.rosales" TargetMode="External"/><Relationship Id="rId5100" Type="http://schemas.openxmlformats.org/officeDocument/2006/relationships/hyperlink" Target="https://www.facebook.com/zion.poliquit.54" TargetMode="External"/><Relationship Id="rId1643" Type="http://schemas.openxmlformats.org/officeDocument/2006/relationships/hyperlink" Target="https://www.facebook.com/antondee60" TargetMode="External"/><Relationship Id="rId4799" Type="http://schemas.openxmlformats.org/officeDocument/2006/relationships/hyperlink" Target="https://www.facebook.com/watch/live/?ref=watch_permalink&amp;v=923735834984653" TargetMode="External"/><Relationship Id="rId1710" Type="http://schemas.openxmlformats.org/officeDocument/2006/relationships/hyperlink" Target="https://www.facebook.com/rapplerdotcom/photos/a.317154781638645/5596043783749692/" TargetMode="External"/><Relationship Id="rId4866" Type="http://schemas.openxmlformats.org/officeDocument/2006/relationships/hyperlink" Target="https://www.facebook.com/helen.koike" TargetMode="External"/><Relationship Id="rId5917" Type="http://schemas.openxmlformats.org/officeDocument/2006/relationships/hyperlink" Target="https://www.facebook.com/rapplerdotcom/photos/a.317154781638645/5594359700584767/" TargetMode="External"/><Relationship Id="rId3468" Type="http://schemas.openxmlformats.org/officeDocument/2006/relationships/hyperlink" Target="https://www.facebook.com/rapplerdotcom/photos/a.317154781638645/5595372260483511/" TargetMode="External"/><Relationship Id="rId3882" Type="http://schemas.openxmlformats.org/officeDocument/2006/relationships/hyperlink" Target="https://www.facebook.com/rapplerdotcom/posts/pfbid0dyWpzxim3h4Z2SYriGakwQw85p7BCAgct7KU5EiMX1bmmgNHDD8nmES8rjrADsrPl" TargetMode="External"/><Relationship Id="rId4519" Type="http://schemas.openxmlformats.org/officeDocument/2006/relationships/hyperlink" Target="https://www.facebook.com/rapplerdotcom/photos/a.317154781638645/5594954703858600/" TargetMode="External"/><Relationship Id="rId4933" Type="http://schemas.openxmlformats.org/officeDocument/2006/relationships/hyperlink" Target="https://www.facebook.com/rapplerdotcom/posts/pfbid02BCyyacWVuuu1bwX5PwYK8PvqDGTANxekqEMy7qyV9vMmaGKTbC8sBf7i5j3Wbx9Ll" TargetMode="External"/><Relationship Id="rId389" Type="http://schemas.openxmlformats.org/officeDocument/2006/relationships/hyperlink" Target="https://www.facebook.com/rapplerdotcom/photos/a.317154781638645/5598220220198715/" TargetMode="External"/><Relationship Id="rId2484" Type="http://schemas.openxmlformats.org/officeDocument/2006/relationships/hyperlink" Target="https://www.facebook.com/rapplerdotcom/posts/pfbid0TYP6syjYwznxJKdhWv9YMaXK9NvsSEhQ2cyyCQCPMvGapWXrQBHehywgT156wqNPl" TargetMode="External"/><Relationship Id="rId3535" Type="http://schemas.openxmlformats.org/officeDocument/2006/relationships/hyperlink" Target="https://www.facebook.com/jerome.sebedorio" TargetMode="External"/><Relationship Id="rId456" Type="http://schemas.openxmlformats.org/officeDocument/2006/relationships/hyperlink" Target="https://www.facebook.com/gail.llait.9" TargetMode="External"/><Relationship Id="rId870" Type="http://schemas.openxmlformats.org/officeDocument/2006/relationships/hyperlink" Target="https://www.facebook.com/rapplerdotcom/photos/a.317154781638645/5597612220259515/" TargetMode="External"/><Relationship Id="rId1086" Type="http://schemas.openxmlformats.org/officeDocument/2006/relationships/hyperlink" Target="https://www.facebook.com/rapplerdotcom/posts/pfbid028Kg188FmebKa4aFvHZNp8zGTwjghWDDJuUmQ8agbSCvGAGJHZ7pBH9NmxLBmPZZdl" TargetMode="External"/><Relationship Id="rId2137" Type="http://schemas.openxmlformats.org/officeDocument/2006/relationships/hyperlink" Target="https://www.facebook.com/cherylmae.cy.73" TargetMode="External"/><Relationship Id="rId2551" Type="http://schemas.openxmlformats.org/officeDocument/2006/relationships/hyperlink" Target="https://www.facebook.com/marilou.palomata" TargetMode="External"/><Relationship Id="rId109" Type="http://schemas.openxmlformats.org/officeDocument/2006/relationships/hyperlink" Target="https://www.facebook.com/charisse.martinezcomoda" TargetMode="External"/><Relationship Id="rId523" Type="http://schemas.openxmlformats.org/officeDocument/2006/relationships/hyperlink" Target="https://www.facebook.com/rapplerdotcom/photos/a.317154781638645/5598220220198715/" TargetMode="External"/><Relationship Id="rId1153" Type="http://schemas.openxmlformats.org/officeDocument/2006/relationships/hyperlink" Target="https://www.facebook.com/lovely.herrera1" TargetMode="External"/><Relationship Id="rId2204" Type="http://schemas.openxmlformats.org/officeDocument/2006/relationships/hyperlink" Target="https://www.facebook.com/rapplerdotcom/photos/a.317154781638645/5596022273751843/" TargetMode="External"/><Relationship Id="rId3602" Type="http://schemas.openxmlformats.org/officeDocument/2006/relationships/hyperlink" Target="https://www.facebook.com/rapplerdotcom/photos/a.317154781638645/5595372260483511/" TargetMode="External"/><Relationship Id="rId5774" Type="http://schemas.openxmlformats.org/officeDocument/2006/relationships/hyperlink" Target="https://www.facebook.com/profile.php?id=100010227300304" TargetMode="External"/><Relationship Id="rId1220" Type="http://schemas.openxmlformats.org/officeDocument/2006/relationships/hyperlink" Target="https://www.facebook.com/rapplerdotcom/posts/pfbid023goEfA6e1ABSWYJFy8fQ5LFWDv4QTSTmAfzySGtMSpy12iqywB2MUZjiZ8GjCxrGl" TargetMode="External"/><Relationship Id="rId4376" Type="http://schemas.openxmlformats.org/officeDocument/2006/relationships/hyperlink" Target="https://www.facebook.com/noel.ramirez.35110" TargetMode="External"/><Relationship Id="rId4790" Type="http://schemas.openxmlformats.org/officeDocument/2006/relationships/hyperlink" Target="https://www.facebook.com/alectv07" TargetMode="External"/><Relationship Id="rId5427" Type="http://schemas.openxmlformats.org/officeDocument/2006/relationships/hyperlink" Target="https://www.facebook.com/watch/live/?ref=watch_permalink&amp;v=312865720941798" TargetMode="External"/><Relationship Id="rId5841" Type="http://schemas.openxmlformats.org/officeDocument/2006/relationships/hyperlink" Target="https://www.facebook.com/rapplerdotcom/photos/a.317154781638645/5594453700575367/" TargetMode="External"/><Relationship Id="rId3392" Type="http://schemas.openxmlformats.org/officeDocument/2006/relationships/hyperlink" Target="https://www.facebook.com/rapplerdotcom/photos/a.317154781638645/5595372260483511/" TargetMode="External"/><Relationship Id="rId4029" Type="http://schemas.openxmlformats.org/officeDocument/2006/relationships/hyperlink" Target="https://www.facebook.com/caridad.ancero" TargetMode="External"/><Relationship Id="rId4443" Type="http://schemas.openxmlformats.org/officeDocument/2006/relationships/hyperlink" Target="https://www.facebook.com/rapplerdotcom/photos/a.317154781638645/5594954703858600/" TargetMode="External"/><Relationship Id="rId3045" Type="http://schemas.openxmlformats.org/officeDocument/2006/relationships/hyperlink" Target="https://www.facebook.com/ayen.francisco.927" TargetMode="External"/><Relationship Id="rId4510" Type="http://schemas.openxmlformats.org/officeDocument/2006/relationships/hyperlink" Target="https://www.facebook.com/epal.aco.56" TargetMode="External"/><Relationship Id="rId380" Type="http://schemas.openxmlformats.org/officeDocument/2006/relationships/hyperlink" Target="https://www.facebook.com/aida.villauz" TargetMode="External"/><Relationship Id="rId2061" Type="http://schemas.openxmlformats.org/officeDocument/2006/relationships/hyperlink" Target="https://www.facebook.com/yvad.onauo" TargetMode="External"/><Relationship Id="rId3112" Type="http://schemas.openxmlformats.org/officeDocument/2006/relationships/hyperlink" Target="https://www.facebook.com/watch/live/?ref=watch_permalink&amp;v=360307549312104" TargetMode="External"/><Relationship Id="rId5284" Type="http://schemas.openxmlformats.org/officeDocument/2006/relationships/hyperlink" Target="https://www.facebook.com/virgiliobeau.marvida" TargetMode="External"/><Relationship Id="rId100" Type="http://schemas.openxmlformats.org/officeDocument/2006/relationships/hyperlink" Target="https://www.facebook.com/rapplerdotcom/posts/pfbid0DUh4iFcrxZuR1UbiGhcAHcMdzsaV29GSeHCY1HabtqcnUWkjStX9TDaVqzzt92GDl" TargetMode="External"/><Relationship Id="rId2878" Type="http://schemas.openxmlformats.org/officeDocument/2006/relationships/hyperlink" Target="https://www.facebook.com/watch/?v=570590637273208" TargetMode="External"/><Relationship Id="rId3929" Type="http://schemas.openxmlformats.org/officeDocument/2006/relationships/hyperlink" Target="https://www.facebook.com/donna.dee.37017" TargetMode="External"/><Relationship Id="rId1894" Type="http://schemas.openxmlformats.org/officeDocument/2006/relationships/hyperlink" Target="https://www.facebook.com/rapplerdotcom/photos/a.317154781638645/5596043783749692/" TargetMode="External"/><Relationship Id="rId2945" Type="http://schemas.openxmlformats.org/officeDocument/2006/relationships/hyperlink" Target="https://www.facebook.com/arki.ikra" TargetMode="External"/><Relationship Id="rId5351" Type="http://schemas.openxmlformats.org/officeDocument/2006/relationships/hyperlink" Target="https://www.facebook.com/rapplerdotcom/photos/a.317154781638645/5594264657260938/" TargetMode="External"/><Relationship Id="rId917" Type="http://schemas.openxmlformats.org/officeDocument/2006/relationships/hyperlink" Target="https://www.facebook.com/jheilynn.paz" TargetMode="External"/><Relationship Id="rId1547" Type="http://schemas.openxmlformats.org/officeDocument/2006/relationships/hyperlink" Target="https://www.facebook.com/jeanpaul.jazmin" TargetMode="External"/><Relationship Id="rId1961" Type="http://schemas.openxmlformats.org/officeDocument/2006/relationships/hyperlink" Target="https://www.facebook.com/profile.php?id=100049380352017" TargetMode="External"/><Relationship Id="rId5004" Type="http://schemas.openxmlformats.org/officeDocument/2006/relationships/hyperlink" Target="https://www.facebook.com/profile.php?id=100010177068680" TargetMode="External"/><Relationship Id="rId1614" Type="http://schemas.openxmlformats.org/officeDocument/2006/relationships/hyperlink" Target="https://www.facebook.com/rapplerdotcom/posts/pfbid02AsSA4LQqjQ2Y8SVathQmtduoE3fhoGvQSNhvrzsMerDaJSQJ6jDvApCCiuaE7XCol" TargetMode="External"/><Relationship Id="rId4020" Type="http://schemas.openxmlformats.org/officeDocument/2006/relationships/hyperlink" Target="https://www.facebook.com/rapplerdotcom/posts/pfbid02kmyrDmvYtHxz51VdR228sTCyvbHYDrwL4TgeoVAenoprSKkWhUFLyRmAuKBuGtXXl" TargetMode="External"/><Relationship Id="rId3786" Type="http://schemas.openxmlformats.org/officeDocument/2006/relationships/hyperlink" Target="https://www.facebook.com/rapplerdotcom/posts/pfbid0dyWpzxim3h4Z2SYriGakwQw85p7BCAgct7KU5EiMX1bmmgNHDD8nmES8rjrADsrPl" TargetMode="External"/><Relationship Id="rId6192" Type="http://schemas.openxmlformats.org/officeDocument/2006/relationships/hyperlink" Target="https://www.facebook.com/argen.azarcon.7" TargetMode="External"/><Relationship Id="rId2388" Type="http://schemas.openxmlformats.org/officeDocument/2006/relationships/hyperlink" Target="https://www.facebook.com/rapplerdotcom/posts/pfbid0TYP6syjYwznxJKdhWv9YMaXK9NvsSEhQ2cyyCQCPMvGapWXrQBHehywgT156wqNPl" TargetMode="External"/><Relationship Id="rId3439" Type="http://schemas.openxmlformats.org/officeDocument/2006/relationships/hyperlink" Target="https://www.facebook.com/melo.napiza.7" TargetMode="External"/><Relationship Id="rId4837" Type="http://schemas.openxmlformats.org/officeDocument/2006/relationships/hyperlink" Target="https://www.facebook.com/watch/live/?ref=watch_permalink&amp;v=923735834984653" TargetMode="External"/><Relationship Id="rId3853" Type="http://schemas.openxmlformats.org/officeDocument/2006/relationships/hyperlink" Target="https://www.facebook.com/pedro.postrado.9" TargetMode="External"/><Relationship Id="rId4904" Type="http://schemas.openxmlformats.org/officeDocument/2006/relationships/hyperlink" Target="https://www.facebook.com/ricky.marquez.58958" TargetMode="External"/><Relationship Id="rId774" Type="http://schemas.openxmlformats.org/officeDocument/2006/relationships/hyperlink" Target="https://www.facebook.com/rapplerdotcom/photos/a.317154781638645/5597612220259515/" TargetMode="External"/><Relationship Id="rId1057" Type="http://schemas.openxmlformats.org/officeDocument/2006/relationships/hyperlink" Target="https://www.facebook.com/danilomorales.dan" TargetMode="External"/><Relationship Id="rId2455" Type="http://schemas.openxmlformats.org/officeDocument/2006/relationships/hyperlink" Target="https://www.facebook.com/asela.calamlam" TargetMode="External"/><Relationship Id="rId3506" Type="http://schemas.openxmlformats.org/officeDocument/2006/relationships/hyperlink" Target="https://www.facebook.com/rapplerdotcom/photos/a.317154781638645/5595372260483511/" TargetMode="External"/><Relationship Id="rId3920" Type="http://schemas.openxmlformats.org/officeDocument/2006/relationships/hyperlink" Target="https://www.facebook.com/rapplerdotcom/posts/pfbid0dyWpzxim3h4Z2SYriGakwQw85p7BCAgct7KU5EiMX1bmmgNHDD8nmES8rjrADsrPl" TargetMode="External"/><Relationship Id="rId427" Type="http://schemas.openxmlformats.org/officeDocument/2006/relationships/hyperlink" Target="https://www.facebook.com/rapplerdotcom/photos/a.317154781638645/5598220220198715/" TargetMode="External"/><Relationship Id="rId841" Type="http://schemas.openxmlformats.org/officeDocument/2006/relationships/hyperlink" Target="https://www.facebook.com/mxile" TargetMode="External"/><Relationship Id="rId1471" Type="http://schemas.openxmlformats.org/officeDocument/2006/relationships/hyperlink" Target="https://www.facebook.com/profile.php?id=100077412090788" TargetMode="External"/><Relationship Id="rId2108" Type="http://schemas.openxmlformats.org/officeDocument/2006/relationships/hyperlink" Target="https://www.facebook.com/rapplerdotcom/photos/a.317154781638645/5596022273751843/" TargetMode="External"/><Relationship Id="rId2522" Type="http://schemas.openxmlformats.org/officeDocument/2006/relationships/hyperlink" Target="https://www.facebook.com/rapplerdotcom/posts/pfbid0TYP6syjYwznxJKdhWv9YMaXK9NvsSEhQ2cyyCQCPMvGapWXrQBHehywgT156wqNPl" TargetMode="External"/><Relationship Id="rId5678" Type="http://schemas.openxmlformats.org/officeDocument/2006/relationships/hyperlink" Target="https://www.facebook.com/austinmarkmccree" TargetMode="External"/><Relationship Id="rId1124" Type="http://schemas.openxmlformats.org/officeDocument/2006/relationships/hyperlink" Target="https://www.facebook.com/rapplerdotcom/posts/pfbid02dNgAR64VTtp94Rus4o9MNbU55E2H9Wp7KMKzJGkk6u4UxRyHU8j2pPpwa5iwGcD3l" TargetMode="External"/><Relationship Id="rId4694" Type="http://schemas.openxmlformats.org/officeDocument/2006/relationships/hyperlink" Target="https://www.facebook.com/ben.balois.1" TargetMode="External"/><Relationship Id="rId5745" Type="http://schemas.openxmlformats.org/officeDocument/2006/relationships/hyperlink" Target="https://www.facebook.com/rapplerdotcom/photos/a.317154781638645/5594453700575367/" TargetMode="External"/><Relationship Id="rId3296" Type="http://schemas.openxmlformats.org/officeDocument/2006/relationships/hyperlink" Target="https://www.facebook.com/rapplerdotcom/photos/a.317154781638645/5595372260483511/" TargetMode="External"/><Relationship Id="rId4347" Type="http://schemas.openxmlformats.org/officeDocument/2006/relationships/hyperlink" Target="https://www.facebook.com/rapplerdotcom/photos/a.317154781638645/5594954703858600/" TargetMode="External"/><Relationship Id="rId4761" Type="http://schemas.openxmlformats.org/officeDocument/2006/relationships/hyperlink" Target="https://www.facebook.com/watch/live/?ref=watch_permalink&amp;v=923735834984653" TargetMode="External"/><Relationship Id="rId3363" Type="http://schemas.openxmlformats.org/officeDocument/2006/relationships/hyperlink" Target="https://www.facebook.com/cyluh" TargetMode="External"/><Relationship Id="rId4414" Type="http://schemas.openxmlformats.org/officeDocument/2006/relationships/hyperlink" Target="https://www.facebook.com/CornerPrinter.ph" TargetMode="External"/><Relationship Id="rId5812" Type="http://schemas.openxmlformats.org/officeDocument/2006/relationships/hyperlink" Target="https://www.facebook.com/jocelyn.a.diaz.58" TargetMode="External"/><Relationship Id="rId284" Type="http://schemas.openxmlformats.org/officeDocument/2006/relationships/hyperlink" Target="https://www.facebook.com/ana.abadsantos" TargetMode="External"/><Relationship Id="rId3016" Type="http://schemas.openxmlformats.org/officeDocument/2006/relationships/hyperlink" Target="https://www.facebook.com/watch/live/?ref=watch_permalink&amp;v=360307549312104" TargetMode="External"/><Relationship Id="rId3430" Type="http://schemas.openxmlformats.org/officeDocument/2006/relationships/hyperlink" Target="https://www.facebook.com/rapplerdotcom/photos/a.317154781638645/5595372260483511/" TargetMode="External"/><Relationship Id="rId5188" Type="http://schemas.openxmlformats.org/officeDocument/2006/relationships/hyperlink" Target="https://www.facebook.com/eugine.flores.5" TargetMode="External"/><Relationship Id="rId351" Type="http://schemas.openxmlformats.org/officeDocument/2006/relationships/hyperlink" Target="https://www.facebook.com/rapplerdotcom/photos/a.317154781638645/5598220220198715/" TargetMode="External"/><Relationship Id="rId2032" Type="http://schemas.openxmlformats.org/officeDocument/2006/relationships/hyperlink" Target="https://www.facebook.com/rapplerdotcom/photos/a.317154781638645/5596022273751843/" TargetMode="External"/><Relationship Id="rId1798" Type="http://schemas.openxmlformats.org/officeDocument/2006/relationships/hyperlink" Target="https://www.facebook.com/rapplerdotcom/photos/a.317154781638645/5596043783749692/" TargetMode="External"/><Relationship Id="rId2849" Type="http://schemas.openxmlformats.org/officeDocument/2006/relationships/hyperlink" Target="https://www.facebook.com/james.yodong" TargetMode="External"/><Relationship Id="rId5255" Type="http://schemas.openxmlformats.org/officeDocument/2006/relationships/hyperlink" Target="https://www.facebook.com/rapplerdotcom/photos/a.317154781638645/5594264657260938/" TargetMode="External"/><Relationship Id="rId1865" Type="http://schemas.openxmlformats.org/officeDocument/2006/relationships/hyperlink" Target="https://www.facebook.com/robert.villamin.7" TargetMode="External"/><Relationship Id="rId4271" Type="http://schemas.openxmlformats.org/officeDocument/2006/relationships/hyperlink" Target="https://www.facebook.com/rapplerdotcom/photos/a.317154781638645/5594954703858600/" TargetMode="External"/><Relationship Id="rId5322" Type="http://schemas.openxmlformats.org/officeDocument/2006/relationships/hyperlink" Target="https://www.facebook.com/rene.panganiban.31" TargetMode="External"/><Relationship Id="rId1518" Type="http://schemas.openxmlformats.org/officeDocument/2006/relationships/hyperlink" Target="https://www.facebook.com/rapplerdotcom/photos/a.317154781638645/5597116770309060/" TargetMode="External"/><Relationship Id="rId2916" Type="http://schemas.openxmlformats.org/officeDocument/2006/relationships/hyperlink" Target="https://www.facebook.com/watch/live/?ref=watch_permalink&amp;v=360307549312104" TargetMode="External"/><Relationship Id="rId1932" Type="http://schemas.openxmlformats.org/officeDocument/2006/relationships/hyperlink" Target="https://www.facebook.com/rapplerdotcom/photos/a.317154781638645/5596043783749692/" TargetMode="External"/><Relationship Id="rId6096" Type="http://schemas.openxmlformats.org/officeDocument/2006/relationships/hyperlink" Target="https://www.facebook.com/profile.php?id=100069846437904" TargetMode="External"/><Relationship Id="rId6163" Type="http://schemas.openxmlformats.org/officeDocument/2006/relationships/hyperlink" Target="https://www.facebook.com/rapplerdotcom/posts/pfbid0JJW97xH5fR5tDSLUQ8AnEgkPMU9Aigs9CgcNy2Q7AzJY4R8mRoicBgu3PLdqpf2Tl" TargetMode="External"/><Relationship Id="rId3757" Type="http://schemas.openxmlformats.org/officeDocument/2006/relationships/hyperlink" Target="https://www.facebook.com/edna.bautista.37" TargetMode="External"/><Relationship Id="rId4808" Type="http://schemas.openxmlformats.org/officeDocument/2006/relationships/hyperlink" Target="https://www.facebook.com/profile.php?id=100009525769322" TargetMode="External"/><Relationship Id="rId678" Type="http://schemas.openxmlformats.org/officeDocument/2006/relationships/hyperlink" Target="https://www.facebook.com/rapplerdotcom/photos/a.317154781638645/5597612220259515/" TargetMode="External"/><Relationship Id="rId2359" Type="http://schemas.openxmlformats.org/officeDocument/2006/relationships/hyperlink" Target="https://www.facebook.com/haidi.lim" TargetMode="External"/><Relationship Id="rId2773" Type="http://schemas.openxmlformats.org/officeDocument/2006/relationships/hyperlink" Target="https://www.facebook.com/profile.php?id=100078441967269" TargetMode="External"/><Relationship Id="rId3824" Type="http://schemas.openxmlformats.org/officeDocument/2006/relationships/hyperlink" Target="https://www.facebook.com/rapplerdotcom/posts/pfbid0dyWpzxim3h4Z2SYriGakwQw85p7BCAgct7KU5EiMX1bmmgNHDD8nmES8rjrADsrPl" TargetMode="External"/><Relationship Id="rId745" Type="http://schemas.openxmlformats.org/officeDocument/2006/relationships/hyperlink" Target="https://www.facebook.com/chito.say.9" TargetMode="External"/><Relationship Id="rId1375" Type="http://schemas.openxmlformats.org/officeDocument/2006/relationships/hyperlink" Target="https://www.facebook.com/obe.m.cruz" TargetMode="External"/><Relationship Id="rId2426" Type="http://schemas.openxmlformats.org/officeDocument/2006/relationships/hyperlink" Target="https://www.facebook.com/rapplerdotcom/posts/pfbid0TYP6syjYwznxJKdhWv9YMaXK9NvsSEhQ2cyyCQCPMvGapWXrQBHehywgT156wqNPl" TargetMode="External"/><Relationship Id="rId5996" Type="http://schemas.openxmlformats.org/officeDocument/2006/relationships/hyperlink" Target="https://www.facebook.com/emman.bantad" TargetMode="External"/><Relationship Id="rId81" Type="http://schemas.openxmlformats.org/officeDocument/2006/relationships/hyperlink" Target="https://www.facebook.com/rey.pilapil.940" TargetMode="External"/><Relationship Id="rId812" Type="http://schemas.openxmlformats.org/officeDocument/2006/relationships/hyperlink" Target="https://www.facebook.com/rapplerdotcom/photos/a.317154781638645/5597612220259515/" TargetMode="External"/><Relationship Id="rId1028" Type="http://schemas.openxmlformats.org/officeDocument/2006/relationships/hyperlink" Target="https://www.facebook.com/rapplerdotcom/photos/a.317154781638645/5597592673594803/" TargetMode="External"/><Relationship Id="rId1442" Type="http://schemas.openxmlformats.org/officeDocument/2006/relationships/hyperlink" Target="https://www.facebook.com/rapplerdotcom/photos/a.317154781638645/5597116770309060/" TargetMode="External"/><Relationship Id="rId2840" Type="http://schemas.openxmlformats.org/officeDocument/2006/relationships/hyperlink" Target="https://www.facebook.com/watch/?v=570590637273208" TargetMode="External"/><Relationship Id="rId4598" Type="http://schemas.openxmlformats.org/officeDocument/2006/relationships/hyperlink" Target="https://www.facebook.com/sharelle.mamerto.5" TargetMode="External"/><Relationship Id="rId5649" Type="http://schemas.openxmlformats.org/officeDocument/2006/relationships/hyperlink" Target="https://www.facebook.com/rapplerdotcom/photos/a.317154781638645/5594453700575367/" TargetMode="External"/><Relationship Id="rId3267" Type="http://schemas.openxmlformats.org/officeDocument/2006/relationships/hyperlink" Target="https://www.facebook.com/clarenceedward.castillo" TargetMode="External"/><Relationship Id="rId4665" Type="http://schemas.openxmlformats.org/officeDocument/2006/relationships/hyperlink" Target="https://www.facebook.com/watch/live/?ref=watch_permalink&amp;v=923735834984653" TargetMode="External"/><Relationship Id="rId5716" Type="http://schemas.openxmlformats.org/officeDocument/2006/relationships/hyperlink" Target="https://www.facebook.com/janet.santos.7121" TargetMode="External"/><Relationship Id="rId188" Type="http://schemas.openxmlformats.org/officeDocument/2006/relationships/hyperlink" Target="https://www.facebook.com/rapplerdotcom/posts/pfbid0DUh4iFcrxZuR1UbiGhcAHcMdzsaV29GSeHCY1HabtqcnUWkjStX9TDaVqzzt92GDl" TargetMode="External"/><Relationship Id="rId3681" Type="http://schemas.openxmlformats.org/officeDocument/2006/relationships/hyperlink" Target="https://www.facebook.com/JayArziiGee" TargetMode="External"/><Relationship Id="rId4318" Type="http://schemas.openxmlformats.org/officeDocument/2006/relationships/hyperlink" Target="https://www.facebook.com/phoebe.fernandez.12576" TargetMode="External"/><Relationship Id="rId4732" Type="http://schemas.openxmlformats.org/officeDocument/2006/relationships/hyperlink" Target="https://www.facebook.com/lucita.apellido" TargetMode="External"/><Relationship Id="rId2283" Type="http://schemas.openxmlformats.org/officeDocument/2006/relationships/hyperlink" Target="https://www.facebook.com/nigeltan.ph" TargetMode="External"/><Relationship Id="rId3334" Type="http://schemas.openxmlformats.org/officeDocument/2006/relationships/hyperlink" Target="https://www.facebook.com/rapplerdotcom/photos/a.317154781638645/5595372260483511/" TargetMode="External"/><Relationship Id="rId255" Type="http://schemas.openxmlformats.org/officeDocument/2006/relationships/hyperlink" Target="https://www.facebook.com/rapplerdotcom/photos/a.317154781638645/5598220220198715/" TargetMode="External"/><Relationship Id="rId2350" Type="http://schemas.openxmlformats.org/officeDocument/2006/relationships/hyperlink" Target="https://www.facebook.com/rapplerdotcom/posts/pfbid0TYP6syjYwznxJKdhWv9YMaXK9NvsSEhQ2cyyCQCPMvGapWXrQBHehywgT156wqNPl" TargetMode="External"/><Relationship Id="rId3401" Type="http://schemas.openxmlformats.org/officeDocument/2006/relationships/hyperlink" Target="https://www.facebook.com/profile.php?id=100011569547804" TargetMode="External"/><Relationship Id="rId322" Type="http://schemas.openxmlformats.org/officeDocument/2006/relationships/hyperlink" Target="https://www.facebook.com/marilen.estaniel" TargetMode="External"/><Relationship Id="rId2003" Type="http://schemas.openxmlformats.org/officeDocument/2006/relationships/hyperlink" Target="https://www.facebook.com/profile.php?id=100077324863738" TargetMode="External"/><Relationship Id="rId5159" Type="http://schemas.openxmlformats.org/officeDocument/2006/relationships/hyperlink" Target="https://www.facebook.com/rapplerdotcom/photos/a.317154781638645/5594264657260938/" TargetMode="External"/><Relationship Id="rId5573" Type="http://schemas.openxmlformats.org/officeDocument/2006/relationships/hyperlink" Target="https://www.facebook.com/rapplerdotcom/photos/a.317154781638645/5594453700575367/" TargetMode="External"/><Relationship Id="rId4175" Type="http://schemas.openxmlformats.org/officeDocument/2006/relationships/hyperlink" Target="https://www.facebook.com/mariacleofe.lim" TargetMode="External"/><Relationship Id="rId5226" Type="http://schemas.openxmlformats.org/officeDocument/2006/relationships/hyperlink" Target="https://www.facebook.com/markela.kamama" TargetMode="External"/><Relationship Id="rId1769" Type="http://schemas.openxmlformats.org/officeDocument/2006/relationships/hyperlink" Target="https://www.facebook.com/icecaramel.macchiato.908" TargetMode="External"/><Relationship Id="rId3191" Type="http://schemas.openxmlformats.org/officeDocument/2006/relationships/hyperlink" Target="https://www.facebook.com/vito.bose.5" TargetMode="External"/><Relationship Id="rId4242" Type="http://schemas.openxmlformats.org/officeDocument/2006/relationships/hyperlink" Target="https://www.facebook.com/epal.aco.56" TargetMode="External"/><Relationship Id="rId5640" Type="http://schemas.openxmlformats.org/officeDocument/2006/relationships/hyperlink" Target="https://www.facebook.com/profile.php?id=100010227300304" TargetMode="External"/><Relationship Id="rId1836" Type="http://schemas.openxmlformats.org/officeDocument/2006/relationships/hyperlink" Target="https://www.facebook.com/rapplerdotcom/photos/a.317154781638645/5596043783749692/" TargetMode="External"/><Relationship Id="rId1903" Type="http://schemas.openxmlformats.org/officeDocument/2006/relationships/hyperlink" Target="https://www.facebook.com/kim.sioson" TargetMode="External"/><Relationship Id="rId6067" Type="http://schemas.openxmlformats.org/officeDocument/2006/relationships/hyperlink" Target="https://www.facebook.com/rapplerdotcom/photos/a.317154781638645/5594359700584767/" TargetMode="External"/><Relationship Id="rId996" Type="http://schemas.openxmlformats.org/officeDocument/2006/relationships/hyperlink" Target="https://www.facebook.com/rapplerdotcom/photos/a.317154781638645/5597592673594803/" TargetMode="External"/><Relationship Id="rId2677" Type="http://schemas.openxmlformats.org/officeDocument/2006/relationships/hyperlink" Target="https://www.facebook.com/profile.php?id=100012992791715" TargetMode="External"/><Relationship Id="rId3728" Type="http://schemas.openxmlformats.org/officeDocument/2006/relationships/hyperlink" Target="https://www.facebook.com/rapplerdotcom/photos/a.317154781638645/5595162900504447/" TargetMode="External"/><Relationship Id="rId5083" Type="http://schemas.openxmlformats.org/officeDocument/2006/relationships/hyperlink" Target="https://www.facebook.com/rapplerdotcom/posts/pfbid0231hbcbuKeQLDkPH8oZAdZbuU8MPPgRANx152V3xWpbjZ6EvfpohwQMvxHYAgrGPul" TargetMode="External"/><Relationship Id="rId6134" Type="http://schemas.openxmlformats.org/officeDocument/2006/relationships/hyperlink" Target="https://www.facebook.com/profile.php?id=100078889116529" TargetMode="External"/><Relationship Id="rId649" Type="http://schemas.openxmlformats.org/officeDocument/2006/relationships/hyperlink" Target="https://www.facebook.com/maryrose.dizon.718" TargetMode="External"/><Relationship Id="rId1279" Type="http://schemas.openxmlformats.org/officeDocument/2006/relationships/hyperlink" Target="https://www.facebook.com/fatiph.rack" TargetMode="External"/><Relationship Id="rId5150" Type="http://schemas.openxmlformats.org/officeDocument/2006/relationships/hyperlink" Target="https://www.facebook.com/initials.jt" TargetMode="External"/><Relationship Id="rId6201" Type="http://schemas.openxmlformats.org/officeDocument/2006/relationships/hyperlink" Target="https://www.facebook.com/watch/?v=684555919511830" TargetMode="External"/><Relationship Id="rId1346" Type="http://schemas.openxmlformats.org/officeDocument/2006/relationships/hyperlink" Target="https://www.facebook.com/rapplerdotcom/photos/a.317154781638645/5597116770309060/" TargetMode="External"/><Relationship Id="rId1693" Type="http://schemas.openxmlformats.org/officeDocument/2006/relationships/hyperlink" Target="https://www.facebook.com/ino.reyes.1441" TargetMode="External"/><Relationship Id="rId2744" Type="http://schemas.openxmlformats.org/officeDocument/2006/relationships/hyperlink" Target="https://www.facebook.com/rapplerdotcom/photos/a.317154781638645/5595733810447356/" TargetMode="External"/><Relationship Id="rId716" Type="http://schemas.openxmlformats.org/officeDocument/2006/relationships/hyperlink" Target="https://www.facebook.com/rapplerdotcom/photos/a.317154781638645/5597612220259515/" TargetMode="External"/><Relationship Id="rId1760" Type="http://schemas.openxmlformats.org/officeDocument/2006/relationships/hyperlink" Target="https://www.facebook.com/rapplerdotcom/photos/a.317154781638645/5596043783749692/" TargetMode="External"/><Relationship Id="rId2811" Type="http://schemas.openxmlformats.org/officeDocument/2006/relationships/hyperlink" Target="https://www.facebook.com/emily.ananda.3" TargetMode="External"/><Relationship Id="rId5967" Type="http://schemas.openxmlformats.org/officeDocument/2006/relationships/hyperlink" Target="https://www.facebook.com/rapplerdotcom/photos/a.317154781638645/5594359700584767/" TargetMode="External"/><Relationship Id="rId52" Type="http://schemas.openxmlformats.org/officeDocument/2006/relationships/hyperlink" Target="https://www.facebook.com/rapplerdotcom/posts/pfbid0DUh4iFcrxZuR1UbiGhcAHcMdzsaV29GSeHCY1HabtqcnUWkjStX9TDaVqzzt92GDl" TargetMode="External"/><Relationship Id="rId1413" Type="http://schemas.openxmlformats.org/officeDocument/2006/relationships/hyperlink" Target="https://www.facebook.com/profile.php?id=100005460137890" TargetMode="External"/><Relationship Id="rId4569" Type="http://schemas.openxmlformats.org/officeDocument/2006/relationships/hyperlink" Target="https://www.facebook.com/watch/live/?ref=watch_permalink&amp;v=923735834984653" TargetMode="External"/><Relationship Id="rId4983" Type="http://schemas.openxmlformats.org/officeDocument/2006/relationships/hyperlink" Target="https://www.facebook.com/rapplerdotcom/posts/pfbid02BCyyacWVuuu1bwX5PwYK8PvqDGTANxekqEMy7qyV9vMmaGKTbC8sBf7i5j3Wbx9Ll" TargetMode="External"/><Relationship Id="rId3585" Type="http://schemas.openxmlformats.org/officeDocument/2006/relationships/hyperlink" Target="https://www.facebook.com/clark.collin.583" TargetMode="External"/><Relationship Id="rId4636" Type="http://schemas.openxmlformats.org/officeDocument/2006/relationships/hyperlink" Target="https://www.facebook.com/ricardo.cadiang" TargetMode="External"/><Relationship Id="rId2187" Type="http://schemas.openxmlformats.org/officeDocument/2006/relationships/hyperlink" Target="https://www.facebook.com/arlene.buela.9" TargetMode="External"/><Relationship Id="rId3238" Type="http://schemas.openxmlformats.org/officeDocument/2006/relationships/hyperlink" Target="https://www.facebook.com/rapplerdotcom/posts/pfbid035u2RhZvcYSiCeymgBfXLoFoq87y2V8v81A9xDtyoKJgzTGtotsEEoj2bH7Zd4mtzl" TargetMode="External"/><Relationship Id="rId3652" Type="http://schemas.openxmlformats.org/officeDocument/2006/relationships/hyperlink" Target="https://www.facebook.com/rapplerdotcom/photos/a.317154781638645/5595372260483511/" TargetMode="External"/><Relationship Id="rId4703" Type="http://schemas.openxmlformats.org/officeDocument/2006/relationships/hyperlink" Target="https://www.facebook.com/watch/live/?ref=watch_permalink&amp;v=923735834984653" TargetMode="External"/><Relationship Id="rId159" Type="http://schemas.openxmlformats.org/officeDocument/2006/relationships/hyperlink" Target="https://www.facebook.com/kristian.arceo" TargetMode="External"/><Relationship Id="rId573" Type="http://schemas.openxmlformats.org/officeDocument/2006/relationships/hyperlink" Target="https://www.facebook.com/NGCD18" TargetMode="External"/><Relationship Id="rId2254" Type="http://schemas.openxmlformats.org/officeDocument/2006/relationships/hyperlink" Target="https://www.facebook.com/rapplerdotcom/photos/a.317154781638645/5596022273751843/" TargetMode="External"/><Relationship Id="rId3305" Type="http://schemas.openxmlformats.org/officeDocument/2006/relationships/hyperlink" Target="https://www.facebook.com/adrian.nepomuceno.58" TargetMode="External"/><Relationship Id="rId226" Type="http://schemas.openxmlformats.org/officeDocument/2006/relationships/hyperlink" Target="https://www.facebook.com/rapplerdotcom/posts/pfbid0DUh4iFcrxZuR1UbiGhcAHcMdzsaV29GSeHCY1HabtqcnUWkjStX9TDaVqzzt92GDl" TargetMode="External"/><Relationship Id="rId1270" Type="http://schemas.openxmlformats.org/officeDocument/2006/relationships/hyperlink" Target="https://www.facebook.com/rapplerdotcom/posts/pfbid023goEfA6e1ABSWYJFy8fQ5LFWDv4QTSTmAfzySGtMSpy12iqywB2MUZjiZ8GjCxrGl" TargetMode="External"/><Relationship Id="rId5477" Type="http://schemas.openxmlformats.org/officeDocument/2006/relationships/hyperlink" Target="https://www.facebook.com/watch/live/?ref=watch_permalink&amp;v=312865720941798" TargetMode="External"/><Relationship Id="rId640" Type="http://schemas.openxmlformats.org/officeDocument/2006/relationships/hyperlink" Target="https://www.facebook.com/rapplerdotcom/photos/a.317154781638645/5597874143566656" TargetMode="External"/><Relationship Id="rId2321" Type="http://schemas.openxmlformats.org/officeDocument/2006/relationships/hyperlink" Target="https://www.facebook.com/inquisitive.mind.739" TargetMode="External"/><Relationship Id="rId4079" Type="http://schemas.openxmlformats.org/officeDocument/2006/relationships/hyperlink" Target="https://www.facebook.com/marichu.espinosa.5" TargetMode="External"/><Relationship Id="rId5891" Type="http://schemas.openxmlformats.org/officeDocument/2006/relationships/hyperlink" Target="https://www.facebook.com/rapplerdotcom/photos/a.317154781638645/5594359700584767/" TargetMode="External"/><Relationship Id="rId4493" Type="http://schemas.openxmlformats.org/officeDocument/2006/relationships/hyperlink" Target="https://www.facebook.com/rapplerdotcom/photos/a.317154781638645/5594954703858600/" TargetMode="External"/><Relationship Id="rId5544" Type="http://schemas.openxmlformats.org/officeDocument/2006/relationships/hyperlink" Target="https://www.facebook.com/austinmarkmccree" TargetMode="External"/><Relationship Id="rId3095" Type="http://schemas.openxmlformats.org/officeDocument/2006/relationships/hyperlink" Target="https://www.facebook.com/gin.elle.100" TargetMode="External"/><Relationship Id="rId4146" Type="http://schemas.openxmlformats.org/officeDocument/2006/relationships/hyperlink" Target="https://www.facebook.com/rapplerdotcom/photos/a.317154781638645/5594954703858600/" TargetMode="External"/><Relationship Id="rId4560" Type="http://schemas.openxmlformats.org/officeDocument/2006/relationships/hyperlink" Target="https://www.facebook.com/wahpakels.baguinang" TargetMode="External"/><Relationship Id="rId5611" Type="http://schemas.openxmlformats.org/officeDocument/2006/relationships/hyperlink" Target="https://www.facebook.com/rapplerdotcom/photos/a.317154781638645/5594453700575367/" TargetMode="External"/><Relationship Id="rId1807" Type="http://schemas.openxmlformats.org/officeDocument/2006/relationships/hyperlink" Target="https://www.facebook.com/profile.php?id=100076154266974" TargetMode="External"/><Relationship Id="rId3162" Type="http://schemas.openxmlformats.org/officeDocument/2006/relationships/hyperlink" Target="https://www.facebook.com/watch/live/?ref=watch_permalink&amp;v=332681445500650" TargetMode="External"/><Relationship Id="rId4213" Type="http://schemas.openxmlformats.org/officeDocument/2006/relationships/hyperlink" Target="https://www.facebook.com/NGCD18" TargetMode="External"/><Relationship Id="rId150" Type="http://schemas.openxmlformats.org/officeDocument/2006/relationships/hyperlink" Target="https://www.facebook.com/rapplerdotcom/posts/pfbid0DUh4iFcrxZuR1UbiGhcAHcMdzsaV29GSeHCY1HabtqcnUWkjStX9TDaVqzzt92GDl" TargetMode="External"/><Relationship Id="rId3979" Type="http://schemas.openxmlformats.org/officeDocument/2006/relationships/hyperlink" Target="https://www.facebook.com/joshua.candelario.712" TargetMode="External"/><Relationship Id="rId6038" Type="http://schemas.openxmlformats.org/officeDocument/2006/relationships/hyperlink" Target="https://www.facebook.com/profile.php?id=100053379136272" TargetMode="External"/><Relationship Id="rId2995" Type="http://schemas.openxmlformats.org/officeDocument/2006/relationships/hyperlink" Target="https://www.facebook.com/sialexto" TargetMode="External"/><Relationship Id="rId5054" Type="http://schemas.openxmlformats.org/officeDocument/2006/relationships/hyperlink" Target="https://www.facebook.com/IamRoselleBaltazar" TargetMode="External"/><Relationship Id="rId6105" Type="http://schemas.openxmlformats.org/officeDocument/2006/relationships/hyperlink" Target="https://www.facebook.com/rapplerdotcom/photos/a.317154781638645/5594359700584767/" TargetMode="External"/><Relationship Id="rId967" Type="http://schemas.openxmlformats.org/officeDocument/2006/relationships/hyperlink" Target="https://www.facebook.com/miriam.muro.52" TargetMode="External"/><Relationship Id="rId1597" Type="http://schemas.openxmlformats.org/officeDocument/2006/relationships/hyperlink" Target="https://www.facebook.com/profile.php?id=100006370367395" TargetMode="External"/><Relationship Id="rId2648" Type="http://schemas.openxmlformats.org/officeDocument/2006/relationships/hyperlink" Target="https://www.facebook.com/rapplerdotcom/photos/a.317154781638645/5595733810447356/" TargetMode="External"/><Relationship Id="rId1664" Type="http://schemas.openxmlformats.org/officeDocument/2006/relationships/hyperlink" Target="https://www.facebook.com/rapplerdotcom/posts/pfbid02AsSA4LQqjQ2Y8SVathQmtduoE3fhoGvQSNhvrzsMerDaJSQJ6jDvApCCiuaE7XCol" TargetMode="External"/><Relationship Id="rId2715" Type="http://schemas.openxmlformats.org/officeDocument/2006/relationships/hyperlink" Target="https://www.facebook.com/bobby.gonzaga.9404" TargetMode="External"/><Relationship Id="rId4070" Type="http://schemas.openxmlformats.org/officeDocument/2006/relationships/hyperlink" Target="https://www.facebook.com/rapplerdotcom/posts/pfbid0231hbcbuKeQLDkPH8oZAdZbuU8MPPgRANx152V3xWpbjZ6EvfpohwQMvxHYAgrGPul" TargetMode="External"/><Relationship Id="rId5121" Type="http://schemas.openxmlformats.org/officeDocument/2006/relationships/hyperlink" Target="https://www.facebook.com/rapplerdotcom/photos/a.317154781638645/5594264657260938/" TargetMode="External"/><Relationship Id="rId1317" Type="http://schemas.openxmlformats.org/officeDocument/2006/relationships/hyperlink" Target="https://www.facebook.com/sec.anning" TargetMode="External"/><Relationship Id="rId1731" Type="http://schemas.openxmlformats.org/officeDocument/2006/relationships/hyperlink" Target="https://www.facebook.com/nedned.anobla" TargetMode="External"/><Relationship Id="rId4887" Type="http://schemas.openxmlformats.org/officeDocument/2006/relationships/hyperlink" Target="https://www.facebook.com/watch/live/?ref=watch_permalink&amp;v=923735834984653" TargetMode="External"/><Relationship Id="rId5938" Type="http://schemas.openxmlformats.org/officeDocument/2006/relationships/hyperlink" Target="https://www.facebook.com/filemon.viduya.1" TargetMode="External"/><Relationship Id="rId23" Type="http://schemas.openxmlformats.org/officeDocument/2006/relationships/hyperlink" Target="https://www.facebook.com/oliver.susano" TargetMode="External"/><Relationship Id="rId3489" Type="http://schemas.openxmlformats.org/officeDocument/2006/relationships/hyperlink" Target="https://www.facebook.com/phoebe.delara.1" TargetMode="External"/><Relationship Id="rId3556" Type="http://schemas.openxmlformats.org/officeDocument/2006/relationships/hyperlink" Target="https://www.facebook.com/rapplerdotcom/photos/a.317154781638645/5595372260483511/" TargetMode="External"/><Relationship Id="rId4954" Type="http://schemas.openxmlformats.org/officeDocument/2006/relationships/hyperlink" Target="https://www.facebook.com/pangetkoh30" TargetMode="External"/><Relationship Id="rId477" Type="http://schemas.openxmlformats.org/officeDocument/2006/relationships/hyperlink" Target="https://www.facebook.com/rapplerdotcom/photos/a.317154781638645/5598220220198715/" TargetMode="External"/><Relationship Id="rId2158" Type="http://schemas.openxmlformats.org/officeDocument/2006/relationships/hyperlink" Target="https://www.facebook.com/rapplerdotcom/photos/a.317154781638645/5596022273751843/" TargetMode="External"/><Relationship Id="rId3209" Type="http://schemas.openxmlformats.org/officeDocument/2006/relationships/hyperlink" Target="https://www.facebook.com/viamarcelo" TargetMode="External"/><Relationship Id="rId3970" Type="http://schemas.openxmlformats.org/officeDocument/2006/relationships/hyperlink" Target="https://www.facebook.com/rapplerdotcom/posts/pfbid0dyWpzxim3h4Z2SYriGakwQw85p7BCAgct7KU5EiMX1bmmgNHDD8nmES8rjrADsrPl" TargetMode="External"/><Relationship Id="rId4607" Type="http://schemas.openxmlformats.org/officeDocument/2006/relationships/hyperlink" Target="https://www.facebook.com/watch/live/?ref=watch_permalink&amp;v=923735834984653" TargetMode="External"/><Relationship Id="rId891" Type="http://schemas.openxmlformats.org/officeDocument/2006/relationships/hyperlink" Target="https://www.facebook.com/profile.php?id=100009810850262" TargetMode="External"/><Relationship Id="rId2572" Type="http://schemas.openxmlformats.org/officeDocument/2006/relationships/hyperlink" Target="https://www.facebook.com/rapplerdotcom/photos/a.317154781638645/5595733810447356/" TargetMode="External"/><Relationship Id="rId3623" Type="http://schemas.openxmlformats.org/officeDocument/2006/relationships/hyperlink" Target="https://www.facebook.com/johndiazcortez" TargetMode="External"/><Relationship Id="rId544" Type="http://schemas.openxmlformats.org/officeDocument/2006/relationships/hyperlink" Target="https://www.facebook.com/rapplerdotcom/posts/pfbid09g5z1dR1p1muQ7q8d5o5ZrTJHCJBBtaAmV4kfjMWLeh83aGMXmHFcW9md81azR4al" TargetMode="External"/><Relationship Id="rId1174" Type="http://schemas.openxmlformats.org/officeDocument/2006/relationships/hyperlink" Target="https://www.facebook.com/rapplerdotcom/posts/pfbid02dNgAR64VTtp94Rus4o9MNbU55E2H9Wp7KMKzJGkk6u4UxRyHU8j2pPpwa5iwGcD3l" TargetMode="External"/><Relationship Id="rId2225" Type="http://schemas.openxmlformats.org/officeDocument/2006/relationships/hyperlink" Target="https://www.facebook.com/jening.martinez" TargetMode="External"/><Relationship Id="rId5795" Type="http://schemas.openxmlformats.org/officeDocument/2006/relationships/hyperlink" Target="https://www.facebook.com/rapplerdotcom/photos/a.317154781638645/5594453700575367/" TargetMode="External"/><Relationship Id="rId611" Type="http://schemas.openxmlformats.org/officeDocument/2006/relationships/hyperlink" Target="https://www.facebook.com/marisse.mauricio" TargetMode="External"/><Relationship Id="rId1241" Type="http://schemas.openxmlformats.org/officeDocument/2006/relationships/hyperlink" Target="https://www.facebook.com/jasper.castrence.1" TargetMode="External"/><Relationship Id="rId4397" Type="http://schemas.openxmlformats.org/officeDocument/2006/relationships/hyperlink" Target="https://www.facebook.com/rapplerdotcom/photos/a.317154781638645/5594954703858600/" TargetMode="External"/><Relationship Id="rId5448" Type="http://schemas.openxmlformats.org/officeDocument/2006/relationships/hyperlink" Target="https://www.facebook.com/Big.Jon.Royal" TargetMode="External"/><Relationship Id="rId5862" Type="http://schemas.openxmlformats.org/officeDocument/2006/relationships/hyperlink" Target="https://www.facebook.com/yumika.mikay" TargetMode="External"/><Relationship Id="rId4464" Type="http://schemas.openxmlformats.org/officeDocument/2006/relationships/hyperlink" Target="https://www.facebook.com/gov.landayto" TargetMode="External"/><Relationship Id="rId5515" Type="http://schemas.openxmlformats.org/officeDocument/2006/relationships/hyperlink" Target="https://www.facebook.com/rapplerdotcom/photos/a.317154781638645/5594453700575367/" TargetMode="External"/><Relationship Id="rId3066" Type="http://schemas.openxmlformats.org/officeDocument/2006/relationships/hyperlink" Target="https://www.facebook.com/watch/live/?ref=watch_permalink&amp;v=360307549312104" TargetMode="External"/><Relationship Id="rId3480" Type="http://schemas.openxmlformats.org/officeDocument/2006/relationships/hyperlink" Target="https://www.facebook.com/rapplerdotcom/photos/a.317154781638645/5595372260483511/" TargetMode="External"/><Relationship Id="rId4117" Type="http://schemas.openxmlformats.org/officeDocument/2006/relationships/hyperlink" Target="https://www.facebook.com/aldo.lavingu" TargetMode="External"/><Relationship Id="rId4531" Type="http://schemas.openxmlformats.org/officeDocument/2006/relationships/hyperlink" Target="https://www.facebook.com/rapplerdotcom/photos/a.317154781638645/5594954703858600/" TargetMode="External"/><Relationship Id="rId2082" Type="http://schemas.openxmlformats.org/officeDocument/2006/relationships/hyperlink" Target="https://www.facebook.com/rapplerdotcom/photos/a.317154781638645/5596022273751843/" TargetMode="External"/><Relationship Id="rId3133" Type="http://schemas.openxmlformats.org/officeDocument/2006/relationships/hyperlink" Target="https://www.facebook.com/madonna.bagalayfulgar.3" TargetMode="External"/><Relationship Id="rId2899" Type="http://schemas.openxmlformats.org/officeDocument/2006/relationships/hyperlink" Target="https://www.facebook.com/mheldzkie.jean.1" TargetMode="External"/><Relationship Id="rId3200" Type="http://schemas.openxmlformats.org/officeDocument/2006/relationships/hyperlink" Target="https://www.facebook.com/watch/live/?ref=watch_permalink&amp;v=332681445500650" TargetMode="External"/><Relationship Id="rId121" Type="http://schemas.openxmlformats.org/officeDocument/2006/relationships/hyperlink" Target="https://www.facebook.com/profile.php?id=100007060997576" TargetMode="External"/><Relationship Id="rId2966" Type="http://schemas.openxmlformats.org/officeDocument/2006/relationships/hyperlink" Target="https://www.facebook.com/watch/live/?ref=watch_permalink&amp;v=360307549312104" TargetMode="External"/><Relationship Id="rId5372" Type="http://schemas.openxmlformats.org/officeDocument/2006/relationships/hyperlink" Target="https://www.facebook.com/stiiiiiben" TargetMode="External"/><Relationship Id="rId6009" Type="http://schemas.openxmlformats.org/officeDocument/2006/relationships/hyperlink" Target="https://www.facebook.com/rapplerdotcom/photos/a.317154781638645/5594359700584767/" TargetMode="External"/><Relationship Id="rId938" Type="http://schemas.openxmlformats.org/officeDocument/2006/relationships/hyperlink" Target="https://www.facebook.com/rapplerdotcom/photos/a.317154781638645/5597592673594803/" TargetMode="External"/><Relationship Id="rId1568" Type="http://schemas.openxmlformats.org/officeDocument/2006/relationships/hyperlink" Target="https://www.facebook.com/rapplerdotcom/photos/a.317154781638645/5597116770309060/" TargetMode="External"/><Relationship Id="rId2619" Type="http://schemas.openxmlformats.org/officeDocument/2006/relationships/hyperlink" Target="https://www.facebook.com/gia.mitchell.9655" TargetMode="External"/><Relationship Id="rId5025" Type="http://schemas.openxmlformats.org/officeDocument/2006/relationships/hyperlink" Target="https://www.facebook.com/rapplerdotcom/posts/pfbid02BCyyacWVuuu1bwX5PwYK8PvqDGTANxekqEMy7qyV9vMmaGKTbC8sBf7i5j3Wbx9Ll" TargetMode="External"/><Relationship Id="rId1635" Type="http://schemas.openxmlformats.org/officeDocument/2006/relationships/hyperlink" Target="https://www.facebook.com/profile.php?id=100002846509290" TargetMode="External"/><Relationship Id="rId1982" Type="http://schemas.openxmlformats.org/officeDocument/2006/relationships/hyperlink" Target="https://www.facebook.com/rapplerdotcom/photos/a.317154781638645/5596022273751843/" TargetMode="External"/><Relationship Id="rId4041" Type="http://schemas.openxmlformats.org/officeDocument/2006/relationships/hyperlink" Target="https://www.facebook.com/she.real.9883" TargetMode="External"/><Relationship Id="rId1702" Type="http://schemas.openxmlformats.org/officeDocument/2006/relationships/hyperlink" Target="https://www.facebook.com/rapplerdotcom/photos/a.317154781638645/5596043783749692/" TargetMode="External"/><Relationship Id="rId4858" Type="http://schemas.openxmlformats.org/officeDocument/2006/relationships/hyperlink" Target="https://www.facebook.com/profile.php?id=100078777143189" TargetMode="External"/><Relationship Id="rId5909" Type="http://schemas.openxmlformats.org/officeDocument/2006/relationships/hyperlink" Target="https://www.facebook.com/rapplerdotcom/photos/a.317154781638645/5594359700584767/" TargetMode="External"/><Relationship Id="rId3874" Type="http://schemas.openxmlformats.org/officeDocument/2006/relationships/hyperlink" Target="https://www.facebook.com/rapplerdotcom/posts/pfbid0dyWpzxim3h4Z2SYriGakwQw85p7BCAgct7KU5EiMX1bmmgNHDD8nmES8rjrADsrPl" TargetMode="External"/><Relationship Id="rId4925" Type="http://schemas.openxmlformats.org/officeDocument/2006/relationships/hyperlink" Target="https://www.facebook.com/rapplerdotcom/posts/pfbid02BCyyacWVuuu1bwX5PwYK8PvqDGTANxekqEMy7qyV9vMmaGKTbC8sBf7i5j3Wbx9Ll" TargetMode="External"/><Relationship Id="rId795" Type="http://schemas.openxmlformats.org/officeDocument/2006/relationships/hyperlink" Target="https://www.facebook.com/joebeth.egenias" TargetMode="External"/><Relationship Id="rId2476" Type="http://schemas.openxmlformats.org/officeDocument/2006/relationships/hyperlink" Target="https://www.facebook.com/rapplerdotcom/posts/pfbid0TYP6syjYwznxJKdhWv9YMaXK9NvsSEhQ2cyyCQCPMvGapWXrQBHehywgT156wqNPl" TargetMode="External"/><Relationship Id="rId2890" Type="http://schemas.openxmlformats.org/officeDocument/2006/relationships/hyperlink" Target="https://www.facebook.com/watch/live/?ref=watch_permalink&amp;v=360307549312104" TargetMode="External"/><Relationship Id="rId3527" Type="http://schemas.openxmlformats.org/officeDocument/2006/relationships/hyperlink" Target="https://www.facebook.com/ferdinandferdinandzein" TargetMode="External"/><Relationship Id="rId3941" Type="http://schemas.openxmlformats.org/officeDocument/2006/relationships/hyperlink" Target="https://www.facebook.com/henardino" TargetMode="External"/><Relationship Id="rId448" Type="http://schemas.openxmlformats.org/officeDocument/2006/relationships/hyperlink" Target="https://www.facebook.com/profile.php?id=100022498132149" TargetMode="External"/><Relationship Id="rId862" Type="http://schemas.openxmlformats.org/officeDocument/2006/relationships/hyperlink" Target="https://www.facebook.com/rapplerdotcom/photos/a.317154781638645/5597612220259515/" TargetMode="External"/><Relationship Id="rId1078" Type="http://schemas.openxmlformats.org/officeDocument/2006/relationships/hyperlink" Target="https://www.facebook.com/rapplerdotcom/posts/pfbid028Kg188FmebKa4aFvHZNp8zGTwjghWDDJuUmQ8agbSCvGAGJHZ7pBH9NmxLBmPZZdl" TargetMode="External"/><Relationship Id="rId1492" Type="http://schemas.openxmlformats.org/officeDocument/2006/relationships/hyperlink" Target="https://www.facebook.com/rapplerdotcom/photos/a.317154781638645/5597116770309060/" TargetMode="External"/><Relationship Id="rId2129" Type="http://schemas.openxmlformats.org/officeDocument/2006/relationships/hyperlink" Target="https://www.facebook.com/leilani.mallorca.543" TargetMode="External"/><Relationship Id="rId2543" Type="http://schemas.openxmlformats.org/officeDocument/2006/relationships/hyperlink" Target="https://www.facebook.com/bong.nicdao.3" TargetMode="External"/><Relationship Id="rId5699" Type="http://schemas.openxmlformats.org/officeDocument/2006/relationships/hyperlink" Target="https://www.facebook.com/rapplerdotcom/photos/a.317154781638645/5594453700575367/" TargetMode="External"/><Relationship Id="rId6000" Type="http://schemas.openxmlformats.org/officeDocument/2006/relationships/hyperlink" Target="https://www.facebook.com/jun.buama1" TargetMode="External"/><Relationship Id="rId515" Type="http://schemas.openxmlformats.org/officeDocument/2006/relationships/hyperlink" Target="https://www.facebook.com/rapplerdotcom/photos/a.317154781638645/5598220220198715/" TargetMode="External"/><Relationship Id="rId1145" Type="http://schemas.openxmlformats.org/officeDocument/2006/relationships/hyperlink" Target="https://www.facebook.com/jessel.pascua.1" TargetMode="External"/><Relationship Id="rId5766" Type="http://schemas.openxmlformats.org/officeDocument/2006/relationships/hyperlink" Target="https://www.facebook.com/mariateresa.camaddo" TargetMode="External"/><Relationship Id="rId1212" Type="http://schemas.openxmlformats.org/officeDocument/2006/relationships/hyperlink" Target="https://www.facebook.com/rapplerdotcom/posts/pfbid023goEfA6e1ABSWYJFy8fQ5LFWDv4QTSTmAfzySGtMSpy12iqywB2MUZjiZ8GjCxrGl" TargetMode="External"/><Relationship Id="rId2610" Type="http://schemas.openxmlformats.org/officeDocument/2006/relationships/hyperlink" Target="https://www.facebook.com/rapplerdotcom/photos/a.317154781638645/5595733810447356/" TargetMode="External"/><Relationship Id="rId4368" Type="http://schemas.openxmlformats.org/officeDocument/2006/relationships/hyperlink" Target="https://www.facebook.com/josie.salas.731" TargetMode="External"/><Relationship Id="rId5419" Type="http://schemas.openxmlformats.org/officeDocument/2006/relationships/hyperlink" Target="https://www.facebook.com/watch/live/?ref=watch_permalink&amp;v=312865720941798" TargetMode="External"/><Relationship Id="rId4782" Type="http://schemas.openxmlformats.org/officeDocument/2006/relationships/hyperlink" Target="https://www.facebook.com/emelisa.bautista" TargetMode="External"/><Relationship Id="rId5833" Type="http://schemas.openxmlformats.org/officeDocument/2006/relationships/hyperlink" Target="https://www.facebook.com/rapplerdotcom/photos/a.317154781638645/5594453700575367/" TargetMode="External"/><Relationship Id="rId3037" Type="http://schemas.openxmlformats.org/officeDocument/2006/relationships/hyperlink" Target="https://www.facebook.com/madonna.bagalayfulgar.3" TargetMode="External"/><Relationship Id="rId3384" Type="http://schemas.openxmlformats.org/officeDocument/2006/relationships/hyperlink" Target="https://www.facebook.com/rapplerdotcom/photos/a.317154781638645/5595372260483511/" TargetMode="External"/><Relationship Id="rId4435" Type="http://schemas.openxmlformats.org/officeDocument/2006/relationships/hyperlink" Target="https://www.facebook.com/rapplerdotcom/photos/a.317154781638645/5594954703858600/" TargetMode="External"/><Relationship Id="rId5900" Type="http://schemas.openxmlformats.org/officeDocument/2006/relationships/hyperlink" Target="https://www.facebook.com/EnricElesisCruz" TargetMode="External"/><Relationship Id="rId3451" Type="http://schemas.openxmlformats.org/officeDocument/2006/relationships/hyperlink" Target="https://www.facebook.com/patricio.patriciosemilla" TargetMode="External"/><Relationship Id="rId4502" Type="http://schemas.openxmlformats.org/officeDocument/2006/relationships/hyperlink" Target="https://www.facebook.com/profile.php?id=100075965177809" TargetMode="External"/><Relationship Id="rId372" Type="http://schemas.openxmlformats.org/officeDocument/2006/relationships/hyperlink" Target="https://www.facebook.com/lolit.gaddi.1" TargetMode="External"/><Relationship Id="rId2053" Type="http://schemas.openxmlformats.org/officeDocument/2006/relationships/hyperlink" Target="https://www.facebook.com/ventura.mariejane" TargetMode="External"/><Relationship Id="rId3104" Type="http://schemas.openxmlformats.org/officeDocument/2006/relationships/hyperlink" Target="https://www.facebook.com/watch/live/?ref=watch_permalink&amp;v=360307549312104" TargetMode="External"/><Relationship Id="rId2120" Type="http://schemas.openxmlformats.org/officeDocument/2006/relationships/hyperlink" Target="https://www.facebook.com/rapplerdotcom/photos/a.317154781638645/5596022273751843/" TargetMode="External"/><Relationship Id="rId5276" Type="http://schemas.openxmlformats.org/officeDocument/2006/relationships/hyperlink" Target="https://www.facebook.com/vcatamisanjr" TargetMode="External"/><Relationship Id="rId5690" Type="http://schemas.openxmlformats.org/officeDocument/2006/relationships/hyperlink" Target="https://www.facebook.com/profile.php?id=100077329839114" TargetMode="External"/><Relationship Id="rId4292" Type="http://schemas.openxmlformats.org/officeDocument/2006/relationships/hyperlink" Target="https://www.facebook.com/drixsaydie" TargetMode="External"/><Relationship Id="rId5343" Type="http://schemas.openxmlformats.org/officeDocument/2006/relationships/hyperlink" Target="https://www.facebook.com/rapplerdotcom/photos/a.317154781638645/5594264657260938/" TargetMode="External"/><Relationship Id="rId1886" Type="http://schemas.openxmlformats.org/officeDocument/2006/relationships/hyperlink" Target="https://www.facebook.com/rapplerdotcom/photos/a.317154781638645/5596043783749692/" TargetMode="External"/><Relationship Id="rId2937" Type="http://schemas.openxmlformats.org/officeDocument/2006/relationships/hyperlink" Target="https://www.facebook.com/ashley.siodena" TargetMode="External"/><Relationship Id="rId909" Type="http://schemas.openxmlformats.org/officeDocument/2006/relationships/hyperlink" Target="https://www.facebook.com/profile.php?id=100078911753810" TargetMode="External"/><Relationship Id="rId1539" Type="http://schemas.openxmlformats.org/officeDocument/2006/relationships/hyperlink" Target="https://www.facebook.com/Era1427" TargetMode="External"/><Relationship Id="rId1953" Type="http://schemas.openxmlformats.org/officeDocument/2006/relationships/hyperlink" Target="https://www.facebook.com/profile.php?id=100006396255966" TargetMode="External"/><Relationship Id="rId5410" Type="http://schemas.openxmlformats.org/officeDocument/2006/relationships/hyperlink" Target="https://www.facebook.com/profile.php?id=100079668216766" TargetMode="External"/><Relationship Id="rId1606" Type="http://schemas.openxmlformats.org/officeDocument/2006/relationships/hyperlink" Target="https://www.facebook.com/rapplerdotcom/posts/pfbid02AsSA4LQqjQ2Y8SVathQmtduoE3fhoGvQSNhvrzsMerDaJSQJ6jDvApCCiuaE7XCol" TargetMode="External"/><Relationship Id="rId4012" Type="http://schemas.openxmlformats.org/officeDocument/2006/relationships/hyperlink" Target="https://www.facebook.com/rapplerdotcom/posts/pfbid02kmyrDmvYtHxz51VdR228sTCyvbHYDrwL4TgeoVAenoprSKkWhUFLyRmAuKBuGtXXl" TargetMode="External"/><Relationship Id="rId3778" Type="http://schemas.openxmlformats.org/officeDocument/2006/relationships/hyperlink" Target="https://www.facebook.com/rapplerdotcom/posts/pfbid0dyWpzxim3h4Z2SYriGakwQw85p7BCAgct7KU5EiMX1bmmgNHDD8nmES8rjrADsrPl" TargetMode="External"/><Relationship Id="rId4829" Type="http://schemas.openxmlformats.org/officeDocument/2006/relationships/hyperlink" Target="https://www.facebook.com/watch/live/?ref=watch_permalink&amp;v=923735834984653" TargetMode="External"/><Relationship Id="rId6184" Type="http://schemas.openxmlformats.org/officeDocument/2006/relationships/hyperlink" Target="https://www.facebook.com/mary.magaling.583" TargetMode="External"/><Relationship Id="rId699" Type="http://schemas.openxmlformats.org/officeDocument/2006/relationships/hyperlink" Target="https://www.facebook.com/enecy.queto" TargetMode="External"/><Relationship Id="rId2794" Type="http://schemas.openxmlformats.org/officeDocument/2006/relationships/hyperlink" Target="https://www.facebook.com/watch/?v=570590637273208" TargetMode="External"/><Relationship Id="rId3845" Type="http://schemas.openxmlformats.org/officeDocument/2006/relationships/hyperlink" Target="https://www.facebook.com/gemma.agcaoili.9028" TargetMode="External"/><Relationship Id="rId766" Type="http://schemas.openxmlformats.org/officeDocument/2006/relationships/hyperlink" Target="https://www.facebook.com/rapplerdotcom/photos/a.317154781638645/5597612220259515/" TargetMode="External"/><Relationship Id="rId1396" Type="http://schemas.openxmlformats.org/officeDocument/2006/relationships/hyperlink" Target="https://www.facebook.com/rapplerdotcom/photos/a.317154781638645/5597116770309060/" TargetMode="External"/><Relationship Id="rId2447" Type="http://schemas.openxmlformats.org/officeDocument/2006/relationships/hyperlink" Target="https://www.facebook.com/mbungabong1" TargetMode="External"/><Relationship Id="rId419" Type="http://schemas.openxmlformats.org/officeDocument/2006/relationships/hyperlink" Target="https://www.facebook.com/rapplerdotcom/photos/a.317154781638645/5598220220198715/" TargetMode="External"/><Relationship Id="rId1049" Type="http://schemas.openxmlformats.org/officeDocument/2006/relationships/hyperlink" Target="https://www.facebook.com/edna.morita" TargetMode="External"/><Relationship Id="rId2861" Type="http://schemas.openxmlformats.org/officeDocument/2006/relationships/hyperlink" Target="https://www.facebook.com/ernie.lebrillarigo" TargetMode="External"/><Relationship Id="rId3912" Type="http://schemas.openxmlformats.org/officeDocument/2006/relationships/hyperlink" Target="https://www.facebook.com/rapplerdotcom/posts/pfbid0dyWpzxim3h4Z2SYriGakwQw85p7BCAgct7KU5EiMX1bmmgNHDD8nmES8rjrADsrPl" TargetMode="External"/><Relationship Id="rId833" Type="http://schemas.openxmlformats.org/officeDocument/2006/relationships/hyperlink" Target="https://www.facebook.com/miguel.lambino.75" TargetMode="External"/><Relationship Id="rId1116" Type="http://schemas.openxmlformats.org/officeDocument/2006/relationships/hyperlink" Target="https://www.facebook.com/rapplerdotcom/posts/pfbid02dNgAR64VTtp94Rus4o9MNbU55E2H9Wp7KMKzJGkk6u4UxRyHU8j2pPpwa5iwGcD3l" TargetMode="External"/><Relationship Id="rId1463" Type="http://schemas.openxmlformats.org/officeDocument/2006/relationships/hyperlink" Target="https://www.facebook.com/martinpas11" TargetMode="External"/><Relationship Id="rId2514" Type="http://schemas.openxmlformats.org/officeDocument/2006/relationships/hyperlink" Target="https://www.facebook.com/rapplerdotcom/posts/pfbid0TYP6syjYwznxJKdhWv9YMaXK9NvsSEhQ2cyyCQCPMvGapWXrQBHehywgT156wqNPl" TargetMode="External"/><Relationship Id="rId900" Type="http://schemas.openxmlformats.org/officeDocument/2006/relationships/hyperlink" Target="https://www.facebook.com/rapplerdotcom/photos/a.317154781638645/5597592673594803/" TargetMode="External"/><Relationship Id="rId1530" Type="http://schemas.openxmlformats.org/officeDocument/2006/relationships/hyperlink" Target="https://www.facebook.com/rapplerdotcom/photos/a.317154781638645/5597116770309060/" TargetMode="External"/><Relationship Id="rId4686" Type="http://schemas.openxmlformats.org/officeDocument/2006/relationships/hyperlink" Target="https://www.facebook.com/diego.bakulaw" TargetMode="External"/><Relationship Id="rId5737" Type="http://schemas.openxmlformats.org/officeDocument/2006/relationships/hyperlink" Target="https://www.facebook.com/rapplerdotcom/photos/a.317154781638645/5594453700575367/" TargetMode="External"/><Relationship Id="rId3288" Type="http://schemas.openxmlformats.org/officeDocument/2006/relationships/hyperlink" Target="https://www.facebook.com/rapplerdotcom/photos/a.317154781638645/5595372260483511/" TargetMode="External"/><Relationship Id="rId4339" Type="http://schemas.openxmlformats.org/officeDocument/2006/relationships/hyperlink" Target="https://www.facebook.com/rapplerdotcom/photos/a.317154781638645/5594954703858600/" TargetMode="External"/><Relationship Id="rId4753" Type="http://schemas.openxmlformats.org/officeDocument/2006/relationships/hyperlink" Target="https://www.facebook.com/watch/live/?ref=watch_permalink&amp;v=923735834984653" TargetMode="External"/><Relationship Id="rId5804" Type="http://schemas.openxmlformats.org/officeDocument/2006/relationships/hyperlink" Target="https://www.facebook.com/profile.php?id=100076456402720" TargetMode="External"/><Relationship Id="rId3355" Type="http://schemas.openxmlformats.org/officeDocument/2006/relationships/hyperlink" Target="https://www.facebook.com/kir.aguilar.cabasaan" TargetMode="External"/><Relationship Id="rId4406" Type="http://schemas.openxmlformats.org/officeDocument/2006/relationships/hyperlink" Target="https://www.facebook.com/priscila.serenoreyes" TargetMode="External"/><Relationship Id="rId276" Type="http://schemas.openxmlformats.org/officeDocument/2006/relationships/hyperlink" Target="https://www.facebook.com/profile.php?id=100078329061859" TargetMode="External"/><Relationship Id="rId690" Type="http://schemas.openxmlformats.org/officeDocument/2006/relationships/hyperlink" Target="https://www.facebook.com/rapplerdotcom/photos/a.317154781638645/5597612220259515/" TargetMode="External"/><Relationship Id="rId2371" Type="http://schemas.openxmlformats.org/officeDocument/2006/relationships/hyperlink" Target="https://www.facebook.com/profile.php?id=100078461366052" TargetMode="External"/><Relationship Id="rId3008" Type="http://schemas.openxmlformats.org/officeDocument/2006/relationships/hyperlink" Target="https://www.facebook.com/watch/live/?ref=watch_permalink&amp;v=360307549312104" TargetMode="External"/><Relationship Id="rId3422" Type="http://schemas.openxmlformats.org/officeDocument/2006/relationships/hyperlink" Target="https://www.facebook.com/rapplerdotcom/photos/a.317154781638645/5595372260483511/" TargetMode="External"/><Relationship Id="rId4820" Type="http://schemas.openxmlformats.org/officeDocument/2006/relationships/hyperlink" Target="https://www.facebook.com/MarjunRPh" TargetMode="External"/><Relationship Id="rId343" Type="http://schemas.openxmlformats.org/officeDocument/2006/relationships/hyperlink" Target="https://www.facebook.com/rapplerdotcom/photos/a.317154781638645/5598220220198715/" TargetMode="External"/><Relationship Id="rId2024" Type="http://schemas.openxmlformats.org/officeDocument/2006/relationships/hyperlink" Target="https://www.facebook.com/rapplerdotcom/photos/a.317154781638645/5596022273751843/" TargetMode="External"/><Relationship Id="rId1040" Type="http://schemas.openxmlformats.org/officeDocument/2006/relationships/hyperlink" Target="https://www.facebook.com/rapplerdotcom/photos/a.317154781638645/5597592673594803/" TargetMode="External"/><Relationship Id="rId4196" Type="http://schemas.openxmlformats.org/officeDocument/2006/relationships/hyperlink" Target="https://www.facebook.com/rapplerdotcom/photos/a.317154781638645/5594954703858600/" TargetMode="External"/><Relationship Id="rId5247" Type="http://schemas.openxmlformats.org/officeDocument/2006/relationships/hyperlink" Target="https://www.facebook.com/rapplerdotcom/photos/a.317154781638645/5594264657260938/" TargetMode="External"/><Relationship Id="rId5594" Type="http://schemas.openxmlformats.org/officeDocument/2006/relationships/hyperlink" Target="https://www.facebook.com/lorenzo.rianzares.7" TargetMode="External"/><Relationship Id="rId410" Type="http://schemas.openxmlformats.org/officeDocument/2006/relationships/hyperlink" Target="https://www.facebook.com/sweetverni" TargetMode="External"/><Relationship Id="rId5661" Type="http://schemas.openxmlformats.org/officeDocument/2006/relationships/hyperlink" Target="https://www.facebook.com/rapplerdotcom/photos/a.317154781638645/5594453700575367/" TargetMode="External"/><Relationship Id="rId1857" Type="http://schemas.openxmlformats.org/officeDocument/2006/relationships/hyperlink" Target="https://www.facebook.com/agodlessheathenagain" TargetMode="External"/><Relationship Id="rId2908" Type="http://schemas.openxmlformats.org/officeDocument/2006/relationships/hyperlink" Target="https://www.facebook.com/watch/live/?ref=watch_permalink&amp;v=360307549312104" TargetMode="External"/><Relationship Id="rId4263" Type="http://schemas.openxmlformats.org/officeDocument/2006/relationships/hyperlink" Target="https://www.facebook.com/rapplerdotcom/photos/a.317154781638645/5594954703858600/" TargetMode="External"/><Relationship Id="rId5314" Type="http://schemas.openxmlformats.org/officeDocument/2006/relationships/hyperlink" Target="https://www.facebook.com/anniedane.alfonso" TargetMode="External"/><Relationship Id="rId1924" Type="http://schemas.openxmlformats.org/officeDocument/2006/relationships/hyperlink" Target="https://www.facebook.com/rapplerdotcom/photos/a.317154781638645/5596043783749692/" TargetMode="External"/><Relationship Id="rId4330" Type="http://schemas.openxmlformats.org/officeDocument/2006/relationships/hyperlink" Target="https://www.facebook.com/edgar.basibas.1" TargetMode="External"/><Relationship Id="rId6088" Type="http://schemas.openxmlformats.org/officeDocument/2006/relationships/hyperlink" Target="https://www.facebook.com/antonio.yap.712" TargetMode="External"/><Relationship Id="rId2698" Type="http://schemas.openxmlformats.org/officeDocument/2006/relationships/hyperlink" Target="https://www.facebook.com/rapplerdotcom/photos/a.317154781638645/5595733810447356/" TargetMode="External"/><Relationship Id="rId6155" Type="http://schemas.openxmlformats.org/officeDocument/2006/relationships/hyperlink" Target="https://www.facebook.com/rapplerdotcom/posts/pfbid0JJW97xH5fR5tDSLUQ8AnEgkPMU9Aigs9CgcNy2Q7AzJY4R8mRoicBgu3PLdqpf2Tl" TargetMode="External"/><Relationship Id="rId3749" Type="http://schemas.openxmlformats.org/officeDocument/2006/relationships/hyperlink" Target="https://www.facebook.com/reymar.falcunaya" TargetMode="External"/><Relationship Id="rId5171" Type="http://schemas.openxmlformats.org/officeDocument/2006/relationships/hyperlink" Target="https://www.facebook.com/rapplerdotcom/photos/a.317154781638645/5594264657260938/" TargetMode="External"/><Relationship Id="rId6222" Type="http://schemas.openxmlformats.org/officeDocument/2006/relationships/hyperlink" Target="https://www.facebook.com/richard.saveron" TargetMode="External"/><Relationship Id="rId2765" Type="http://schemas.openxmlformats.org/officeDocument/2006/relationships/hyperlink" Target="https://www.facebook.com/taipan.shantel" TargetMode="External"/><Relationship Id="rId3816" Type="http://schemas.openxmlformats.org/officeDocument/2006/relationships/hyperlink" Target="https://www.facebook.com/rapplerdotcom/posts/pfbid0dyWpzxim3h4Z2SYriGakwQw85p7BCAgct7KU5EiMX1bmmgNHDD8nmES8rjrADsrPl" TargetMode="External"/><Relationship Id="rId737" Type="http://schemas.openxmlformats.org/officeDocument/2006/relationships/hyperlink" Target="https://www.facebook.com/babettemendelebar" TargetMode="External"/><Relationship Id="rId1367" Type="http://schemas.openxmlformats.org/officeDocument/2006/relationships/hyperlink" Target="https://www.facebook.com/mario.beroya" TargetMode="External"/><Relationship Id="rId1781" Type="http://schemas.openxmlformats.org/officeDocument/2006/relationships/hyperlink" Target="https://www.facebook.com/lair.gonzales" TargetMode="External"/><Relationship Id="rId2418" Type="http://schemas.openxmlformats.org/officeDocument/2006/relationships/hyperlink" Target="https://www.facebook.com/rapplerdotcom/posts/pfbid0TYP6syjYwznxJKdhWv9YMaXK9NvsSEhQ2cyyCQCPMvGapWXrQBHehywgT156wqNPl" TargetMode="External"/><Relationship Id="rId2832" Type="http://schemas.openxmlformats.org/officeDocument/2006/relationships/hyperlink" Target="https://www.facebook.com/watch/?v=570590637273208" TargetMode="External"/><Relationship Id="rId5988" Type="http://schemas.openxmlformats.org/officeDocument/2006/relationships/hyperlink" Target="https://www.facebook.com/mary.lasquety" TargetMode="External"/><Relationship Id="rId73" Type="http://schemas.openxmlformats.org/officeDocument/2006/relationships/hyperlink" Target="https://www.facebook.com/profile.php?id=100078059580817" TargetMode="External"/><Relationship Id="rId804" Type="http://schemas.openxmlformats.org/officeDocument/2006/relationships/hyperlink" Target="https://www.facebook.com/rapplerdotcom/photos/a.317154781638645/5597612220259515/" TargetMode="External"/><Relationship Id="rId1434" Type="http://schemas.openxmlformats.org/officeDocument/2006/relationships/hyperlink" Target="https://www.facebook.com/rapplerdotcom/photos/a.317154781638645/5597116770309060/" TargetMode="External"/><Relationship Id="rId1501" Type="http://schemas.openxmlformats.org/officeDocument/2006/relationships/hyperlink" Target="https://www.facebook.com/ralphanthony.edu" TargetMode="External"/><Relationship Id="rId4657" Type="http://schemas.openxmlformats.org/officeDocument/2006/relationships/hyperlink" Target="https://www.facebook.com/watch/live/?ref=watch_permalink&amp;v=923735834984653" TargetMode="External"/><Relationship Id="rId5708" Type="http://schemas.openxmlformats.org/officeDocument/2006/relationships/hyperlink" Target="https://www.facebook.com/may.atr.5623" TargetMode="External"/><Relationship Id="rId3259" Type="http://schemas.openxmlformats.org/officeDocument/2006/relationships/hyperlink" Target="https://www.facebook.com/jaime.gacusan.12" TargetMode="External"/><Relationship Id="rId594" Type="http://schemas.openxmlformats.org/officeDocument/2006/relationships/hyperlink" Target="https://www.facebook.com/rapplerdotcom/photos/a.317154781638645/5597874143566656" TargetMode="External"/><Relationship Id="rId2275" Type="http://schemas.openxmlformats.org/officeDocument/2006/relationships/hyperlink" Target="https://www.facebook.com/josh.riguer" TargetMode="External"/><Relationship Id="rId3326" Type="http://schemas.openxmlformats.org/officeDocument/2006/relationships/hyperlink" Target="https://www.facebook.com/rapplerdotcom/photos/a.317154781638645/5595372260483511/" TargetMode="External"/><Relationship Id="rId3673" Type="http://schemas.openxmlformats.org/officeDocument/2006/relationships/hyperlink" Target="https://www.facebook.com/celia.menaje" TargetMode="External"/><Relationship Id="rId4724" Type="http://schemas.openxmlformats.org/officeDocument/2006/relationships/hyperlink" Target="https://www.facebook.com/zenaida.pineda.75054" TargetMode="External"/><Relationship Id="rId247" Type="http://schemas.openxmlformats.org/officeDocument/2006/relationships/hyperlink" Target="https://www.facebook.com/rapplerdotcom/photos/a.317154781638645/5598220220198715/" TargetMode="External"/><Relationship Id="rId3740" Type="http://schemas.openxmlformats.org/officeDocument/2006/relationships/hyperlink" Target="https://www.facebook.com/rapplerdotcom/photos/a.317154781638645/5595162900504447/" TargetMode="External"/><Relationship Id="rId661" Type="http://schemas.openxmlformats.org/officeDocument/2006/relationships/hyperlink" Target="https://www.facebook.com/zandra.lim.3" TargetMode="External"/><Relationship Id="rId1291" Type="http://schemas.openxmlformats.org/officeDocument/2006/relationships/hyperlink" Target="https://www.facebook.com/nora.valenzuela.96742" TargetMode="External"/><Relationship Id="rId2342" Type="http://schemas.openxmlformats.org/officeDocument/2006/relationships/hyperlink" Target="https://www.facebook.com/rapplerdotcom/posts/pfbid0TYP6syjYwznxJKdhWv9YMaXK9NvsSEhQ2cyyCQCPMvGapWXrQBHehywgT156wqNPl" TargetMode="External"/><Relationship Id="rId5498" Type="http://schemas.openxmlformats.org/officeDocument/2006/relationships/hyperlink" Target="https://www.facebook.com/ed.balot" TargetMode="External"/><Relationship Id="rId314" Type="http://schemas.openxmlformats.org/officeDocument/2006/relationships/hyperlink" Target="https://www.facebook.com/christinefamulagan" TargetMode="External"/><Relationship Id="rId5565" Type="http://schemas.openxmlformats.org/officeDocument/2006/relationships/hyperlink" Target="https://www.facebook.com/rapplerdotcom/photos/a.317154781638645/5594453700575367/" TargetMode="External"/><Relationship Id="rId1011" Type="http://schemas.openxmlformats.org/officeDocument/2006/relationships/hyperlink" Target="https://www.facebook.com/abaco.charrie.3" TargetMode="External"/><Relationship Id="rId4167" Type="http://schemas.openxmlformats.org/officeDocument/2006/relationships/hyperlink" Target="https://www.facebook.com/aldo.lavingu" TargetMode="External"/><Relationship Id="rId4581" Type="http://schemas.openxmlformats.org/officeDocument/2006/relationships/hyperlink" Target="https://www.facebook.com/watch/live/?ref=watch_permalink&amp;v=923735834984653" TargetMode="External"/><Relationship Id="rId5218" Type="http://schemas.openxmlformats.org/officeDocument/2006/relationships/hyperlink" Target="https://www.facebook.com/ramondexter.tuason" TargetMode="External"/><Relationship Id="rId5632" Type="http://schemas.openxmlformats.org/officeDocument/2006/relationships/hyperlink" Target="https://www.facebook.com/cornelio.albino1" TargetMode="External"/><Relationship Id="rId3183" Type="http://schemas.openxmlformats.org/officeDocument/2006/relationships/hyperlink" Target="https://www.facebook.com/mar.freedom.35" TargetMode="External"/><Relationship Id="rId4234" Type="http://schemas.openxmlformats.org/officeDocument/2006/relationships/hyperlink" Target="https://www.facebook.com/marianne.bautista.543" TargetMode="External"/><Relationship Id="rId1828" Type="http://schemas.openxmlformats.org/officeDocument/2006/relationships/hyperlink" Target="https://www.facebook.com/rapplerdotcom/photos/a.317154781638645/5596043783749692/" TargetMode="External"/><Relationship Id="rId3250" Type="http://schemas.openxmlformats.org/officeDocument/2006/relationships/hyperlink" Target="https://www.facebook.com/rapplerdotcom/posts/pfbid035u2RhZvcYSiCeymgBfXLoFoq87y2V8v81A9xDtyoKJgzTGtotsEEoj2bH7Zd4mtzl" TargetMode="External"/><Relationship Id="rId171" Type="http://schemas.openxmlformats.org/officeDocument/2006/relationships/hyperlink" Target="https://www.facebook.com/mariaaya.dellosalozada" TargetMode="External"/><Relationship Id="rId4301" Type="http://schemas.openxmlformats.org/officeDocument/2006/relationships/hyperlink" Target="https://www.facebook.com/rapplerdotcom/photos/a.317154781638645/5594954703858600/" TargetMode="External"/><Relationship Id="rId6059" Type="http://schemas.openxmlformats.org/officeDocument/2006/relationships/hyperlink" Target="https://www.facebook.com/rapplerdotcom/photos/a.317154781638645/5594359700584767/" TargetMode="External"/><Relationship Id="rId988" Type="http://schemas.openxmlformats.org/officeDocument/2006/relationships/hyperlink" Target="https://www.facebook.com/rapplerdotcom/photos/a.317154781638645/5597592673594803/" TargetMode="External"/><Relationship Id="rId2669" Type="http://schemas.openxmlformats.org/officeDocument/2006/relationships/hyperlink" Target="https://www.facebook.com/celia.santos.397501" TargetMode="External"/><Relationship Id="rId5075" Type="http://schemas.openxmlformats.org/officeDocument/2006/relationships/hyperlink" Target="https://www.facebook.com/rapplerdotcom/posts/pfbid0231hbcbuKeQLDkPH8oZAdZbuU8MPPgRANx152V3xWpbjZ6EvfpohwQMvxHYAgrGPul" TargetMode="External"/><Relationship Id="rId6126" Type="http://schemas.openxmlformats.org/officeDocument/2006/relationships/hyperlink" Target="https://www.facebook.com/mariajovitzzz" TargetMode="External"/><Relationship Id="rId1685" Type="http://schemas.openxmlformats.org/officeDocument/2006/relationships/hyperlink" Target="https://www.facebook.com/kenneth.shinkim" TargetMode="External"/><Relationship Id="rId2736" Type="http://schemas.openxmlformats.org/officeDocument/2006/relationships/hyperlink" Target="https://www.facebook.com/rapplerdotcom/photos/a.317154781638645/5595733810447356/" TargetMode="External"/><Relationship Id="rId4091" Type="http://schemas.openxmlformats.org/officeDocument/2006/relationships/hyperlink" Target="https://www.facebook.com/carmen.tabarnilla" TargetMode="External"/><Relationship Id="rId5142" Type="http://schemas.openxmlformats.org/officeDocument/2006/relationships/hyperlink" Target="https://www.facebook.com/irma.gerardo" TargetMode="External"/><Relationship Id="rId708" Type="http://schemas.openxmlformats.org/officeDocument/2006/relationships/hyperlink" Target="https://www.facebook.com/rapplerdotcom/photos/a.317154781638645/5597612220259515/" TargetMode="External"/><Relationship Id="rId1338" Type="http://schemas.openxmlformats.org/officeDocument/2006/relationships/hyperlink" Target="https://www.facebook.com/rapplerdotcom/photos/a.317154781638645/5597116770309060/" TargetMode="External"/><Relationship Id="rId1405" Type="http://schemas.openxmlformats.org/officeDocument/2006/relationships/hyperlink" Target="https://www.facebook.com/rrtanales.7" TargetMode="External"/><Relationship Id="rId1752" Type="http://schemas.openxmlformats.org/officeDocument/2006/relationships/hyperlink" Target="https://www.facebook.com/rapplerdotcom/photos/a.317154781638645/5596043783749692/" TargetMode="External"/><Relationship Id="rId2803" Type="http://schemas.openxmlformats.org/officeDocument/2006/relationships/hyperlink" Target="https://www.facebook.com/alex.jaylo.7" TargetMode="External"/><Relationship Id="rId5959" Type="http://schemas.openxmlformats.org/officeDocument/2006/relationships/hyperlink" Target="https://www.facebook.com/rapplerdotcom/photos/a.317154781638645/5594359700584767/" TargetMode="External"/><Relationship Id="rId44" Type="http://schemas.openxmlformats.org/officeDocument/2006/relationships/hyperlink" Target="https://www.facebook.com/rapplerdotcom/posts/pfbid0DUh4iFcrxZuR1UbiGhcAHcMdzsaV29GSeHCY1HabtqcnUWkjStX9TDaVqzzt92GDl" TargetMode="External"/><Relationship Id="rId4975" Type="http://schemas.openxmlformats.org/officeDocument/2006/relationships/hyperlink" Target="https://www.facebook.com/rapplerdotcom/posts/pfbid02BCyyacWVuuu1bwX5PwYK8PvqDGTANxekqEMy7qyV9vMmaGKTbC8sBf7i5j3Wbx9Ll" TargetMode="External"/><Relationship Id="rId498" Type="http://schemas.openxmlformats.org/officeDocument/2006/relationships/hyperlink" Target="https://www.facebook.com/hotaru.izanami" TargetMode="External"/><Relationship Id="rId2179" Type="http://schemas.openxmlformats.org/officeDocument/2006/relationships/hyperlink" Target="https://www.facebook.com/almher.manalo" TargetMode="External"/><Relationship Id="rId3577" Type="http://schemas.openxmlformats.org/officeDocument/2006/relationships/hyperlink" Target="https://www.facebook.com/francisco.sabado.585" TargetMode="External"/><Relationship Id="rId3991" Type="http://schemas.openxmlformats.org/officeDocument/2006/relationships/hyperlink" Target="https://www.facebook.com/profile.php?id=100076726444381" TargetMode="External"/><Relationship Id="rId4628" Type="http://schemas.openxmlformats.org/officeDocument/2006/relationships/hyperlink" Target="https://www.facebook.com/millet.a.uy" TargetMode="External"/><Relationship Id="rId2593" Type="http://schemas.openxmlformats.org/officeDocument/2006/relationships/hyperlink" Target="https://www.facebook.com/vinz.jasareno" TargetMode="External"/><Relationship Id="rId3644" Type="http://schemas.openxmlformats.org/officeDocument/2006/relationships/hyperlink" Target="https://www.facebook.com/rapplerdotcom/photos/a.317154781638645/5595372260483511/" TargetMode="External"/><Relationship Id="rId6050" Type="http://schemas.openxmlformats.org/officeDocument/2006/relationships/hyperlink" Target="https://www.facebook.com/rodolfo.dampios.1" TargetMode="External"/><Relationship Id="rId565" Type="http://schemas.openxmlformats.org/officeDocument/2006/relationships/hyperlink" Target="https://www.facebook.com/erwina.bautista.1" TargetMode="External"/><Relationship Id="rId1195" Type="http://schemas.openxmlformats.org/officeDocument/2006/relationships/hyperlink" Target="https://www.facebook.com/undress.bonifacio.100" TargetMode="External"/><Relationship Id="rId2246" Type="http://schemas.openxmlformats.org/officeDocument/2006/relationships/hyperlink" Target="https://www.facebook.com/rapplerdotcom/photos/a.317154781638645/5596022273751843/" TargetMode="External"/><Relationship Id="rId2660" Type="http://schemas.openxmlformats.org/officeDocument/2006/relationships/hyperlink" Target="https://www.facebook.com/rapplerdotcom/photos/a.317154781638645/5595733810447356/" TargetMode="External"/><Relationship Id="rId3711" Type="http://schemas.openxmlformats.org/officeDocument/2006/relationships/hyperlink" Target="https://www.facebook.com/profile.php?id=100079524022087" TargetMode="External"/><Relationship Id="rId218" Type="http://schemas.openxmlformats.org/officeDocument/2006/relationships/hyperlink" Target="https://www.facebook.com/rapplerdotcom/posts/pfbid0DUh4iFcrxZuR1UbiGhcAHcMdzsaV29GSeHCY1HabtqcnUWkjStX9TDaVqzzt92GDl" TargetMode="External"/><Relationship Id="rId632" Type="http://schemas.openxmlformats.org/officeDocument/2006/relationships/hyperlink" Target="https://www.facebook.com/rapplerdotcom/photos/a.317154781638645/5597874143566656" TargetMode="External"/><Relationship Id="rId1262" Type="http://schemas.openxmlformats.org/officeDocument/2006/relationships/hyperlink" Target="https://www.facebook.com/rapplerdotcom/posts/pfbid023goEfA6e1ABSWYJFy8fQ5LFWDv4QTSTmAfzySGtMSpy12iqywB2MUZjiZ8GjCxrGl" TargetMode="External"/><Relationship Id="rId2313" Type="http://schemas.openxmlformats.org/officeDocument/2006/relationships/hyperlink" Target="https://www.facebook.com/leah.leonidas.9" TargetMode="External"/><Relationship Id="rId5469" Type="http://schemas.openxmlformats.org/officeDocument/2006/relationships/hyperlink" Target="https://www.facebook.com/watch/live/?ref=watch_permalink&amp;v=312865720941798" TargetMode="External"/><Relationship Id="rId4485" Type="http://schemas.openxmlformats.org/officeDocument/2006/relationships/hyperlink" Target="https://www.facebook.com/rapplerdotcom/photos/a.317154781638645/5594954703858600/" TargetMode="External"/><Relationship Id="rId5536" Type="http://schemas.openxmlformats.org/officeDocument/2006/relationships/hyperlink" Target="https://www.facebook.com/hellbladesxiii" TargetMode="External"/><Relationship Id="rId5883" Type="http://schemas.openxmlformats.org/officeDocument/2006/relationships/hyperlink" Target="https://www.facebook.com/rapplerdotcom/posts/pfbid0Kg1RoVj1WsJryHzrsA3oSrLQ6DJc4g1o3yMhcNHB9BrPu7fZV7ugtw1hYVefEPE9l" TargetMode="External"/><Relationship Id="rId3087" Type="http://schemas.openxmlformats.org/officeDocument/2006/relationships/hyperlink" Target="https://www.facebook.com/samantha.luiz.92" TargetMode="External"/><Relationship Id="rId4138" Type="http://schemas.openxmlformats.org/officeDocument/2006/relationships/hyperlink" Target="https://www.facebook.com/rapplerdotcom/photos/a.317154781638645/5594954703858600/" TargetMode="External"/><Relationship Id="rId5950" Type="http://schemas.openxmlformats.org/officeDocument/2006/relationships/hyperlink" Target="https://www.facebook.com/profile.php?id=100002846509290" TargetMode="External"/><Relationship Id="rId4552" Type="http://schemas.openxmlformats.org/officeDocument/2006/relationships/hyperlink" Target="https://www.facebook.com/emmanuel.villarba" TargetMode="External"/><Relationship Id="rId5603" Type="http://schemas.openxmlformats.org/officeDocument/2006/relationships/hyperlink" Target="https://www.facebook.com/rapplerdotcom/photos/a.317154781638645/5594453700575367/" TargetMode="External"/><Relationship Id="rId3154" Type="http://schemas.openxmlformats.org/officeDocument/2006/relationships/hyperlink" Target="https://www.facebook.com/watch/live/?ref=watch_permalink&amp;v=332681445500650" TargetMode="External"/><Relationship Id="rId4205" Type="http://schemas.openxmlformats.org/officeDocument/2006/relationships/hyperlink" Target="https://www.facebook.com/antonio.monteverdeiii" TargetMode="External"/><Relationship Id="rId2170" Type="http://schemas.openxmlformats.org/officeDocument/2006/relationships/hyperlink" Target="https://www.facebook.com/rapplerdotcom/photos/a.317154781638645/5596022273751843/" TargetMode="External"/><Relationship Id="rId3221" Type="http://schemas.openxmlformats.org/officeDocument/2006/relationships/hyperlink" Target="https://www.facebook.com/melanie.diomampo.7" TargetMode="External"/><Relationship Id="rId8" Type="http://schemas.openxmlformats.org/officeDocument/2006/relationships/hyperlink" Target="https://www.facebook.com/rapplerdotcom/posts/pfbid0DUh4iFcrxZuR1UbiGhcAHcMdzsaV29GSeHCY1HabtqcnUWkjStX9TDaVqzzt92GDl" TargetMode="External"/><Relationship Id="rId142" Type="http://schemas.openxmlformats.org/officeDocument/2006/relationships/hyperlink" Target="https://www.facebook.com/rapplerdotcom/posts/pfbid0DUh4iFcrxZuR1UbiGhcAHcMdzsaV29GSeHCY1HabtqcnUWkjStX9TDaVqzzt92GDl" TargetMode="External"/><Relationship Id="rId2987" Type="http://schemas.openxmlformats.org/officeDocument/2006/relationships/hyperlink" Target="https://www.facebook.com/babycoolette" TargetMode="External"/><Relationship Id="rId5393" Type="http://schemas.openxmlformats.org/officeDocument/2006/relationships/hyperlink" Target="https://www.facebook.com/watch/live/?ref=watch_permalink&amp;v=312865720941798" TargetMode="External"/><Relationship Id="rId959" Type="http://schemas.openxmlformats.org/officeDocument/2006/relationships/hyperlink" Target="https://www.facebook.com/christian.vicente.104" TargetMode="External"/><Relationship Id="rId1589" Type="http://schemas.openxmlformats.org/officeDocument/2006/relationships/hyperlink" Target="https://www.facebook.com/elie.cosep.75" TargetMode="External"/><Relationship Id="rId5046" Type="http://schemas.openxmlformats.org/officeDocument/2006/relationships/hyperlink" Target="https://www.facebook.com/lorenza.ito.33" TargetMode="External"/><Relationship Id="rId5460" Type="http://schemas.openxmlformats.org/officeDocument/2006/relationships/hyperlink" Target="https://www.facebook.com/profile.php?id=100074412862665" TargetMode="External"/><Relationship Id="rId4062" Type="http://schemas.openxmlformats.org/officeDocument/2006/relationships/hyperlink" Target="https://www.facebook.com/rapplerdotcom/posts/pfbid0231hbcbuKeQLDkPH8oZAdZbuU8MPPgRANx152V3xWpbjZ6EvfpohwQMvxHYAgrGPul" TargetMode="External"/><Relationship Id="rId5113" Type="http://schemas.openxmlformats.org/officeDocument/2006/relationships/hyperlink" Target="https://www.facebook.com/rapplerdotcom/photos/a.317154781638645/5594264657260938/" TargetMode="External"/><Relationship Id="rId1656" Type="http://schemas.openxmlformats.org/officeDocument/2006/relationships/hyperlink" Target="https://www.facebook.com/rapplerdotcom/posts/pfbid02AsSA4LQqjQ2Y8SVathQmtduoE3fhoGvQSNhvrzsMerDaJSQJ6jDvApCCiuaE7XCol" TargetMode="External"/><Relationship Id="rId2707" Type="http://schemas.openxmlformats.org/officeDocument/2006/relationships/hyperlink" Target="https://www.facebook.com/henry.daco" TargetMode="External"/><Relationship Id="rId1309" Type="http://schemas.openxmlformats.org/officeDocument/2006/relationships/hyperlink" Target="https://www.facebook.com/giljrmiranda" TargetMode="External"/><Relationship Id="rId1723" Type="http://schemas.openxmlformats.org/officeDocument/2006/relationships/hyperlink" Target="https://www.facebook.com/dhang.veritas" TargetMode="External"/><Relationship Id="rId4879" Type="http://schemas.openxmlformats.org/officeDocument/2006/relationships/hyperlink" Target="https://www.facebook.com/watch/live/?ref=watch_permalink&amp;v=923735834984653" TargetMode="External"/><Relationship Id="rId15" Type="http://schemas.openxmlformats.org/officeDocument/2006/relationships/hyperlink" Target="https://www.facebook.com/berlanie18" TargetMode="External"/><Relationship Id="rId3895" Type="http://schemas.openxmlformats.org/officeDocument/2006/relationships/hyperlink" Target="https://www.facebook.com/novalyn.cawilantangdol" TargetMode="External"/><Relationship Id="rId4946" Type="http://schemas.openxmlformats.org/officeDocument/2006/relationships/hyperlink" Target="https://www.facebook.com/dawatanpaulo" TargetMode="External"/><Relationship Id="rId2497" Type="http://schemas.openxmlformats.org/officeDocument/2006/relationships/hyperlink" Target="https://www.facebook.com/rachel.zamora.5680" TargetMode="External"/><Relationship Id="rId3548" Type="http://schemas.openxmlformats.org/officeDocument/2006/relationships/hyperlink" Target="https://www.facebook.com/rapplerdotcom/photos/a.317154781638645/5595372260483511/" TargetMode="External"/><Relationship Id="rId469" Type="http://schemas.openxmlformats.org/officeDocument/2006/relationships/hyperlink" Target="https://www.facebook.com/rapplerdotcom/photos/a.317154781638645/5598220220198715/" TargetMode="External"/><Relationship Id="rId883" Type="http://schemas.openxmlformats.org/officeDocument/2006/relationships/hyperlink" Target="https://www.facebook.com/ricardo.arayata" TargetMode="External"/><Relationship Id="rId1099" Type="http://schemas.openxmlformats.org/officeDocument/2006/relationships/hyperlink" Target="https://www.facebook.com/beng.decastro" TargetMode="External"/><Relationship Id="rId2564" Type="http://schemas.openxmlformats.org/officeDocument/2006/relationships/hyperlink" Target="https://www.facebook.com/rapplerdotcom/photos/a.317154781638645/5595733810447356/" TargetMode="External"/><Relationship Id="rId3615" Type="http://schemas.openxmlformats.org/officeDocument/2006/relationships/hyperlink" Target="https://www.facebook.com/pepe.ledesma.7140" TargetMode="External"/><Relationship Id="rId3962" Type="http://schemas.openxmlformats.org/officeDocument/2006/relationships/hyperlink" Target="https://www.facebook.com/rapplerdotcom/posts/pfbid0dyWpzxim3h4Z2SYriGakwQw85p7BCAgct7KU5EiMX1bmmgNHDD8nmES8rjrADsrPl" TargetMode="External"/><Relationship Id="rId6021" Type="http://schemas.openxmlformats.org/officeDocument/2006/relationships/hyperlink" Target="https://www.facebook.com/rapplerdotcom/photos/a.317154781638645/5594359700584767/" TargetMode="External"/><Relationship Id="rId536" Type="http://schemas.openxmlformats.org/officeDocument/2006/relationships/hyperlink" Target="https://www.facebook.com/PresLeni" TargetMode="External"/><Relationship Id="rId1166" Type="http://schemas.openxmlformats.org/officeDocument/2006/relationships/hyperlink" Target="https://www.facebook.com/rapplerdotcom/posts/pfbid02dNgAR64VTtp94Rus4o9MNbU55E2H9Wp7KMKzJGkk6u4UxRyHU8j2pPpwa5iwGcD3l" TargetMode="External"/><Relationship Id="rId2217" Type="http://schemas.openxmlformats.org/officeDocument/2006/relationships/hyperlink" Target="https://www.facebook.com/rmdsierra" TargetMode="External"/><Relationship Id="rId950" Type="http://schemas.openxmlformats.org/officeDocument/2006/relationships/hyperlink" Target="https://www.facebook.com/rapplerdotcom/photos/a.317154781638645/5597592673594803/" TargetMode="External"/><Relationship Id="rId1580" Type="http://schemas.openxmlformats.org/officeDocument/2006/relationships/hyperlink" Target="https://www.facebook.com/rapplerdotcom/photos/a.317154781638645/5597116770309060/" TargetMode="External"/><Relationship Id="rId2631" Type="http://schemas.openxmlformats.org/officeDocument/2006/relationships/hyperlink" Target="https://www.facebook.com/profile.php?id=100003506242168" TargetMode="External"/><Relationship Id="rId4389" Type="http://schemas.openxmlformats.org/officeDocument/2006/relationships/hyperlink" Target="https://www.facebook.com/rapplerdotcom/photos/a.317154781638645/5594954703858600/" TargetMode="External"/><Relationship Id="rId5787" Type="http://schemas.openxmlformats.org/officeDocument/2006/relationships/hyperlink" Target="https://www.facebook.com/rapplerdotcom/photos/a.317154781638645/5594453700575367/" TargetMode="External"/><Relationship Id="rId603" Type="http://schemas.openxmlformats.org/officeDocument/2006/relationships/hyperlink" Target="https://www.facebook.com/profile.php?id=100079300902365" TargetMode="External"/><Relationship Id="rId1233" Type="http://schemas.openxmlformats.org/officeDocument/2006/relationships/hyperlink" Target="https://www.facebook.com/patrick.bagaan.9" TargetMode="External"/><Relationship Id="rId5854" Type="http://schemas.openxmlformats.org/officeDocument/2006/relationships/hyperlink" Target="https://www.facebook.com/profile.php?id=100074886289403" TargetMode="External"/><Relationship Id="rId1300" Type="http://schemas.openxmlformats.org/officeDocument/2006/relationships/hyperlink" Target="https://www.facebook.com/rapplerdotcom/posts/pfbid023goEfA6e1ABSWYJFy8fQ5LFWDv4QTSTmAfzySGtMSpy12iqywB2MUZjiZ8GjCxrGl" TargetMode="External"/><Relationship Id="rId4456" Type="http://schemas.openxmlformats.org/officeDocument/2006/relationships/hyperlink" Target="https://www.facebook.com/ricoisaac.acido" TargetMode="External"/><Relationship Id="rId4870" Type="http://schemas.openxmlformats.org/officeDocument/2006/relationships/hyperlink" Target="https://www.facebook.com/nelia.forteza.1" TargetMode="External"/><Relationship Id="rId5507" Type="http://schemas.openxmlformats.org/officeDocument/2006/relationships/hyperlink" Target="https://www.facebook.com/rapplerdotcom/photos/a.317154781638645/5594453700575367/" TargetMode="External"/><Relationship Id="rId5921" Type="http://schemas.openxmlformats.org/officeDocument/2006/relationships/hyperlink" Target="https://www.facebook.com/rapplerdotcom/photos/a.317154781638645/5594359700584767/" TargetMode="External"/><Relationship Id="rId3058" Type="http://schemas.openxmlformats.org/officeDocument/2006/relationships/hyperlink" Target="https://www.facebook.com/watch/live/?ref=watch_permalink&amp;v=360307549312104" TargetMode="External"/><Relationship Id="rId3472" Type="http://schemas.openxmlformats.org/officeDocument/2006/relationships/hyperlink" Target="https://www.facebook.com/rapplerdotcom/photos/a.317154781638645/5595372260483511/" TargetMode="External"/><Relationship Id="rId4109" Type="http://schemas.openxmlformats.org/officeDocument/2006/relationships/hyperlink" Target="https://www.facebook.com/profile.php?id=100079181871183" TargetMode="External"/><Relationship Id="rId4523" Type="http://schemas.openxmlformats.org/officeDocument/2006/relationships/hyperlink" Target="https://www.facebook.com/rapplerdotcom/photos/a.317154781638645/5594954703858600/" TargetMode="External"/><Relationship Id="rId393" Type="http://schemas.openxmlformats.org/officeDocument/2006/relationships/hyperlink" Target="https://www.facebook.com/rapplerdotcom/photos/a.317154781638645/5598220220198715/" TargetMode="External"/><Relationship Id="rId2074" Type="http://schemas.openxmlformats.org/officeDocument/2006/relationships/hyperlink" Target="https://www.facebook.com/rapplerdotcom/photos/a.317154781638645/5596022273751843/" TargetMode="External"/><Relationship Id="rId3125" Type="http://schemas.openxmlformats.org/officeDocument/2006/relationships/hyperlink" Target="https://www.facebook.com/madonna.bagalayfulgar.3" TargetMode="External"/><Relationship Id="rId460" Type="http://schemas.openxmlformats.org/officeDocument/2006/relationships/hyperlink" Target="https://www.facebook.com/edclino" TargetMode="External"/><Relationship Id="rId1090" Type="http://schemas.openxmlformats.org/officeDocument/2006/relationships/hyperlink" Target="https://www.facebook.com/rapplerdotcom/posts/pfbid028Kg188FmebKa4aFvHZNp8zGTwjghWDDJuUmQ8agbSCvGAGJHZ7pBH9NmxLBmPZZdl" TargetMode="External"/><Relationship Id="rId2141" Type="http://schemas.openxmlformats.org/officeDocument/2006/relationships/hyperlink" Target="https://www.facebook.com/ruby.galura" TargetMode="External"/><Relationship Id="rId5297" Type="http://schemas.openxmlformats.org/officeDocument/2006/relationships/hyperlink" Target="https://www.facebook.com/rapplerdotcom/photos/a.317154781638645/5594264657260938/" TargetMode="External"/><Relationship Id="rId113" Type="http://schemas.openxmlformats.org/officeDocument/2006/relationships/hyperlink" Target="https://www.facebook.com/charisse.martinezcomoda" TargetMode="External"/><Relationship Id="rId2958" Type="http://schemas.openxmlformats.org/officeDocument/2006/relationships/hyperlink" Target="https://www.facebook.com/watch/live/?ref=watch_permalink&amp;v=360307549312104" TargetMode="External"/><Relationship Id="rId5017" Type="http://schemas.openxmlformats.org/officeDocument/2006/relationships/hyperlink" Target="https://www.facebook.com/rapplerdotcom/posts/pfbid02BCyyacWVuuu1bwX5PwYK8PvqDGTANxekqEMy7qyV9vMmaGKTbC8sBf7i5j3Wbx9Ll" TargetMode="External"/><Relationship Id="rId5364" Type="http://schemas.openxmlformats.org/officeDocument/2006/relationships/hyperlink" Target="https://www.facebook.com/lorelie.b.bondoc" TargetMode="External"/><Relationship Id="rId1974" Type="http://schemas.openxmlformats.org/officeDocument/2006/relationships/hyperlink" Target="https://www.facebook.com/rapplerdotcom/photos/a.317154781638645/5596022273751843/" TargetMode="External"/><Relationship Id="rId4380" Type="http://schemas.openxmlformats.org/officeDocument/2006/relationships/hyperlink" Target="https://www.facebook.com/johnny.collantes.37" TargetMode="External"/><Relationship Id="rId5431" Type="http://schemas.openxmlformats.org/officeDocument/2006/relationships/hyperlink" Target="https://www.facebook.com/watch/live/?ref=watch_permalink&amp;v=312865720941798" TargetMode="External"/><Relationship Id="rId1627" Type="http://schemas.openxmlformats.org/officeDocument/2006/relationships/hyperlink" Target="https://www.facebook.com/virgenia.estrada.1" TargetMode="External"/><Relationship Id="rId4033" Type="http://schemas.openxmlformats.org/officeDocument/2006/relationships/hyperlink" Target="https://www.facebook.com/mariacristina.umanito" TargetMode="External"/><Relationship Id="rId3799" Type="http://schemas.openxmlformats.org/officeDocument/2006/relationships/hyperlink" Target="https://www.facebook.com/emil.paragas" TargetMode="External"/><Relationship Id="rId4100" Type="http://schemas.openxmlformats.org/officeDocument/2006/relationships/hyperlink" Target="https://www.facebook.com/rapplerdotcom/posts/pfbid0231hbcbuKeQLDkPH8oZAdZbuU8MPPgRANx152V3xWpbjZ6EvfpohwQMvxHYAgrGPul" TargetMode="External"/><Relationship Id="rId3866" Type="http://schemas.openxmlformats.org/officeDocument/2006/relationships/hyperlink" Target="https://www.facebook.com/rapplerdotcom/posts/pfbid0dyWpzxim3h4Z2SYriGakwQw85p7BCAgct7KU5EiMX1bmmgNHDD8nmES8rjrADsrPl" TargetMode="External"/><Relationship Id="rId4917" Type="http://schemas.openxmlformats.org/officeDocument/2006/relationships/hyperlink" Target="https://www.facebook.com/rapplerdotcom/posts/pfbid02BCyyacWVuuu1bwX5PwYK8PvqDGTANxekqEMy7qyV9vMmaGKTbC8sBf7i5j3Wbx9Ll" TargetMode="External"/><Relationship Id="rId787" Type="http://schemas.openxmlformats.org/officeDocument/2006/relationships/hyperlink" Target="https://www.facebook.com/isidro.rentoy.5" TargetMode="External"/><Relationship Id="rId2468" Type="http://schemas.openxmlformats.org/officeDocument/2006/relationships/hyperlink" Target="https://www.facebook.com/rapplerdotcom/posts/pfbid0TYP6syjYwznxJKdhWv9YMaXK9NvsSEhQ2cyyCQCPMvGapWXrQBHehywgT156wqNPl" TargetMode="External"/><Relationship Id="rId2882" Type="http://schemas.openxmlformats.org/officeDocument/2006/relationships/hyperlink" Target="https://www.facebook.com/watch/live/?ref=watch_permalink&amp;v=360307549312104" TargetMode="External"/><Relationship Id="rId3519" Type="http://schemas.openxmlformats.org/officeDocument/2006/relationships/hyperlink" Target="https://www.facebook.com/michelle.v.gomonit" TargetMode="External"/><Relationship Id="rId3933" Type="http://schemas.openxmlformats.org/officeDocument/2006/relationships/hyperlink" Target="https://www.facebook.com/henardino" TargetMode="External"/><Relationship Id="rId854" Type="http://schemas.openxmlformats.org/officeDocument/2006/relationships/hyperlink" Target="https://www.facebook.com/rapplerdotcom/photos/a.317154781638645/5597612220259515/" TargetMode="External"/><Relationship Id="rId1484" Type="http://schemas.openxmlformats.org/officeDocument/2006/relationships/hyperlink" Target="https://www.facebook.com/rapplerdotcom/photos/a.317154781638645/5597116770309060/" TargetMode="External"/><Relationship Id="rId2535" Type="http://schemas.openxmlformats.org/officeDocument/2006/relationships/hyperlink" Target="https://www.facebook.com/johndiazcortez" TargetMode="External"/><Relationship Id="rId507" Type="http://schemas.openxmlformats.org/officeDocument/2006/relationships/hyperlink" Target="https://www.facebook.com/rapplerdotcom/photos/a.317154781638645/5598220220198715/" TargetMode="External"/><Relationship Id="rId921" Type="http://schemas.openxmlformats.org/officeDocument/2006/relationships/hyperlink" Target="https://www.facebook.com/geobert.osma" TargetMode="External"/><Relationship Id="rId1137" Type="http://schemas.openxmlformats.org/officeDocument/2006/relationships/hyperlink" Target="https://www.facebook.com/ronmsalvador" TargetMode="External"/><Relationship Id="rId1551" Type="http://schemas.openxmlformats.org/officeDocument/2006/relationships/hyperlink" Target="https://www.facebook.com/nato.basilio" TargetMode="External"/><Relationship Id="rId2602" Type="http://schemas.openxmlformats.org/officeDocument/2006/relationships/hyperlink" Target="https://www.facebook.com/rapplerdotcom/photos/a.317154781638645/5595733810447356/" TargetMode="External"/><Relationship Id="rId5758" Type="http://schemas.openxmlformats.org/officeDocument/2006/relationships/hyperlink" Target="https://www.facebook.com/antonio.fortes.3150807" TargetMode="External"/><Relationship Id="rId1204" Type="http://schemas.openxmlformats.org/officeDocument/2006/relationships/hyperlink" Target="https://www.facebook.com/rapplerdotcom/posts/pfbid023goEfA6e1ABSWYJFy8fQ5LFWDv4QTSTmAfzySGtMSpy12iqywB2MUZjiZ8GjCxrGl" TargetMode="External"/><Relationship Id="rId4774" Type="http://schemas.openxmlformats.org/officeDocument/2006/relationships/hyperlink" Target="https://www.facebook.com/gen.eslao" TargetMode="External"/><Relationship Id="rId5825" Type="http://schemas.openxmlformats.org/officeDocument/2006/relationships/hyperlink" Target="https://www.facebook.com/rapplerdotcom/photos/a.317154781638645/5594453700575367/" TargetMode="External"/><Relationship Id="rId3376" Type="http://schemas.openxmlformats.org/officeDocument/2006/relationships/hyperlink" Target="https://www.facebook.com/rapplerdotcom/photos/a.317154781638645/5595372260483511/" TargetMode="External"/><Relationship Id="rId4427" Type="http://schemas.openxmlformats.org/officeDocument/2006/relationships/hyperlink" Target="https://www.facebook.com/rapplerdotcom/photos/a.317154781638645/5594954703858600/" TargetMode="External"/><Relationship Id="rId297" Type="http://schemas.openxmlformats.org/officeDocument/2006/relationships/hyperlink" Target="https://www.facebook.com/rapplerdotcom/photos/a.317154781638645/5598220220198715/" TargetMode="External"/><Relationship Id="rId2392" Type="http://schemas.openxmlformats.org/officeDocument/2006/relationships/hyperlink" Target="https://www.facebook.com/rapplerdotcom/posts/pfbid0TYP6syjYwznxJKdhWv9YMaXK9NvsSEhQ2cyyCQCPMvGapWXrQBHehywgT156wqNPl" TargetMode="External"/><Relationship Id="rId3029" Type="http://schemas.openxmlformats.org/officeDocument/2006/relationships/hyperlink" Target="https://www.facebook.com/wilma.remobautista.9" TargetMode="External"/><Relationship Id="rId3790" Type="http://schemas.openxmlformats.org/officeDocument/2006/relationships/hyperlink" Target="https://www.facebook.com/rapplerdotcom/posts/pfbid0dyWpzxim3h4Z2SYriGakwQw85p7BCAgct7KU5EiMX1bmmgNHDD8nmES8rjrADsrPl" TargetMode="External"/><Relationship Id="rId4841" Type="http://schemas.openxmlformats.org/officeDocument/2006/relationships/hyperlink" Target="https://www.facebook.com/watch/live/?ref=watch_permalink&amp;v=923735834984653" TargetMode="External"/><Relationship Id="rId364" Type="http://schemas.openxmlformats.org/officeDocument/2006/relationships/hyperlink" Target="https://www.facebook.com/debby.martinez.gumban" TargetMode="External"/><Relationship Id="rId2045" Type="http://schemas.openxmlformats.org/officeDocument/2006/relationships/hyperlink" Target="https://www.facebook.com/arlene.buela.9" TargetMode="External"/><Relationship Id="rId3443" Type="http://schemas.openxmlformats.org/officeDocument/2006/relationships/hyperlink" Target="https://www.facebook.com/samuel.cajipe.9" TargetMode="External"/><Relationship Id="rId3510" Type="http://schemas.openxmlformats.org/officeDocument/2006/relationships/hyperlink" Target="https://www.facebook.com/rapplerdotcom/photos/a.317154781638645/5595372260483511/" TargetMode="External"/><Relationship Id="rId431" Type="http://schemas.openxmlformats.org/officeDocument/2006/relationships/hyperlink" Target="https://www.facebook.com/rapplerdotcom/photos/a.317154781638645/5598220220198715/" TargetMode="External"/><Relationship Id="rId1061" Type="http://schemas.openxmlformats.org/officeDocument/2006/relationships/hyperlink" Target="https://www.facebook.com/danilomorales.dan" TargetMode="External"/><Relationship Id="rId2112" Type="http://schemas.openxmlformats.org/officeDocument/2006/relationships/hyperlink" Target="https://www.facebook.com/rapplerdotcom/photos/a.317154781638645/5596022273751843/" TargetMode="External"/><Relationship Id="rId5268" Type="http://schemas.openxmlformats.org/officeDocument/2006/relationships/hyperlink" Target="https://www.facebook.com/ETHANAJMARK" TargetMode="External"/><Relationship Id="rId5682" Type="http://schemas.openxmlformats.org/officeDocument/2006/relationships/hyperlink" Target="https://www.facebook.com/dave.padilla.3348" TargetMode="External"/><Relationship Id="rId1878" Type="http://schemas.openxmlformats.org/officeDocument/2006/relationships/hyperlink" Target="https://www.facebook.com/rapplerdotcom/photos/a.317154781638645/5596043783749692/" TargetMode="External"/><Relationship Id="rId2929" Type="http://schemas.openxmlformats.org/officeDocument/2006/relationships/hyperlink" Target="https://www.facebook.com/emily.capistrano.5" TargetMode="External"/><Relationship Id="rId4284" Type="http://schemas.openxmlformats.org/officeDocument/2006/relationships/hyperlink" Target="https://www.facebook.com/terry.galanza" TargetMode="External"/><Relationship Id="rId5335" Type="http://schemas.openxmlformats.org/officeDocument/2006/relationships/hyperlink" Target="https://www.facebook.com/rapplerdotcom/photos/a.317154781638645/5594264657260938/" TargetMode="External"/><Relationship Id="rId4351" Type="http://schemas.openxmlformats.org/officeDocument/2006/relationships/hyperlink" Target="https://www.facebook.com/rapplerdotcom/photos/a.317154781638645/5594954703858600/" TargetMode="External"/><Relationship Id="rId5402" Type="http://schemas.openxmlformats.org/officeDocument/2006/relationships/hyperlink" Target="https://www.facebook.com/pepe.jacinto" TargetMode="External"/><Relationship Id="rId1945" Type="http://schemas.openxmlformats.org/officeDocument/2006/relationships/hyperlink" Target="https://www.facebook.com/yongcoonang" TargetMode="External"/><Relationship Id="rId4004" Type="http://schemas.openxmlformats.org/officeDocument/2006/relationships/hyperlink" Target="https://www.facebook.com/rapplerdotcom/posts/pfbid0dyWpzxim3h4Z2SYriGakwQw85p7BCAgct7KU5EiMX1bmmgNHDD8nmES8rjrADsrPl" TargetMode="External"/><Relationship Id="rId3020" Type="http://schemas.openxmlformats.org/officeDocument/2006/relationships/hyperlink" Target="https://www.facebook.com/watch/live/?ref=watch_permalink&amp;v=360307549312104" TargetMode="External"/><Relationship Id="rId6176" Type="http://schemas.openxmlformats.org/officeDocument/2006/relationships/hyperlink" Target="https://www.facebook.com/tony.deguzman.104" TargetMode="External"/><Relationship Id="rId2786" Type="http://schemas.openxmlformats.org/officeDocument/2006/relationships/hyperlink" Target="https://www.facebook.com/watch/?v=570590637273208" TargetMode="External"/><Relationship Id="rId3837" Type="http://schemas.openxmlformats.org/officeDocument/2006/relationships/hyperlink" Target="https://www.facebook.com/IZELMBG" TargetMode="External"/><Relationship Id="rId5192" Type="http://schemas.openxmlformats.org/officeDocument/2006/relationships/hyperlink" Target="https://www.facebook.com/gemrose.rescobactol" TargetMode="External"/><Relationship Id="rId758" Type="http://schemas.openxmlformats.org/officeDocument/2006/relationships/hyperlink" Target="https://www.facebook.com/rapplerdotcom/photos/a.317154781638645/5597612220259515/" TargetMode="External"/><Relationship Id="rId1388" Type="http://schemas.openxmlformats.org/officeDocument/2006/relationships/hyperlink" Target="https://www.facebook.com/rapplerdotcom/photos/a.317154781638645/5597116770309060/" TargetMode="External"/><Relationship Id="rId2439" Type="http://schemas.openxmlformats.org/officeDocument/2006/relationships/hyperlink" Target="https://www.facebook.com/maryjo.aragon.5" TargetMode="External"/><Relationship Id="rId2853" Type="http://schemas.openxmlformats.org/officeDocument/2006/relationships/hyperlink" Target="https://www.facebook.com/evangeline.cayabyab.79" TargetMode="External"/><Relationship Id="rId3904" Type="http://schemas.openxmlformats.org/officeDocument/2006/relationships/hyperlink" Target="https://www.facebook.com/rapplerdotcom/posts/pfbid0dyWpzxim3h4Z2SYriGakwQw85p7BCAgct7KU5EiMX1bmmgNHDD8nmES8rjrADsrPl" TargetMode="External"/><Relationship Id="rId94" Type="http://schemas.openxmlformats.org/officeDocument/2006/relationships/hyperlink" Target="https://www.facebook.com/rapplerdotcom/posts/pfbid0DUh4iFcrxZuR1UbiGhcAHcMdzsaV29GSeHCY1HabtqcnUWkjStX9TDaVqzzt92GDl" TargetMode="External"/><Relationship Id="rId825" Type="http://schemas.openxmlformats.org/officeDocument/2006/relationships/hyperlink" Target="https://www.facebook.com/noli.collao.3" TargetMode="External"/><Relationship Id="rId1455" Type="http://schemas.openxmlformats.org/officeDocument/2006/relationships/hyperlink" Target="https://www.facebook.com/profile.php?id=100075670464889" TargetMode="External"/><Relationship Id="rId2506" Type="http://schemas.openxmlformats.org/officeDocument/2006/relationships/hyperlink" Target="https://www.facebook.com/rapplerdotcom/posts/pfbid0TYP6syjYwznxJKdhWv9YMaXK9NvsSEhQ2cyyCQCPMvGapWXrQBHehywgT156wqNPl" TargetMode="External"/><Relationship Id="rId1108" Type="http://schemas.openxmlformats.org/officeDocument/2006/relationships/hyperlink" Target="https://www.facebook.com/rapplerdotcom/posts/pfbid028Kg188FmebKa4aFvHZNp8zGTwjghWDDJuUmQ8agbSCvGAGJHZ7pBH9NmxLBmPZZdl" TargetMode="External"/><Relationship Id="rId2920" Type="http://schemas.openxmlformats.org/officeDocument/2006/relationships/hyperlink" Target="https://www.facebook.com/watch/live/?ref=watch_permalink&amp;v=360307549312104" TargetMode="External"/><Relationship Id="rId4678" Type="http://schemas.openxmlformats.org/officeDocument/2006/relationships/hyperlink" Target="https://www.facebook.com/choba.dunato" TargetMode="External"/><Relationship Id="rId1522" Type="http://schemas.openxmlformats.org/officeDocument/2006/relationships/hyperlink" Target="https://www.facebook.com/rapplerdotcom/photos/a.317154781638645/5597116770309060/" TargetMode="External"/><Relationship Id="rId5729" Type="http://schemas.openxmlformats.org/officeDocument/2006/relationships/hyperlink" Target="https://www.facebook.com/rapplerdotcom/photos/a.317154781638645/5594453700575367/" TargetMode="External"/><Relationship Id="rId3694" Type="http://schemas.openxmlformats.org/officeDocument/2006/relationships/hyperlink" Target="https://www.facebook.com/rapplerdotcom/photos/a.317154781638645/5595162900504447/" TargetMode="External"/><Relationship Id="rId4745" Type="http://schemas.openxmlformats.org/officeDocument/2006/relationships/hyperlink" Target="https://www.facebook.com/watch/live/?ref=watch_permalink&amp;v=923735834984653" TargetMode="External"/><Relationship Id="rId2296" Type="http://schemas.openxmlformats.org/officeDocument/2006/relationships/hyperlink" Target="https://www.facebook.com/rapplerdotcom/photos/a.317154781638645/5596022273751843/" TargetMode="External"/><Relationship Id="rId3347" Type="http://schemas.openxmlformats.org/officeDocument/2006/relationships/hyperlink" Target="https://www.facebook.com/jessvillante" TargetMode="External"/><Relationship Id="rId3761" Type="http://schemas.openxmlformats.org/officeDocument/2006/relationships/hyperlink" Target="https://www.facebook.com/xyrinageneve.tulbe" TargetMode="External"/><Relationship Id="rId4812" Type="http://schemas.openxmlformats.org/officeDocument/2006/relationships/hyperlink" Target="https://www.facebook.com/profile.php?id=100074054030710" TargetMode="External"/><Relationship Id="rId268" Type="http://schemas.openxmlformats.org/officeDocument/2006/relationships/hyperlink" Target="https://www.facebook.com/ronfrias" TargetMode="External"/><Relationship Id="rId682" Type="http://schemas.openxmlformats.org/officeDocument/2006/relationships/hyperlink" Target="https://www.facebook.com/rapplerdotcom/photos/a.317154781638645/5597612220259515/" TargetMode="External"/><Relationship Id="rId2363" Type="http://schemas.openxmlformats.org/officeDocument/2006/relationships/hyperlink" Target="https://www.facebook.com/sweetverni" TargetMode="External"/><Relationship Id="rId3414" Type="http://schemas.openxmlformats.org/officeDocument/2006/relationships/hyperlink" Target="https://www.facebook.com/rapplerdotcom/photos/a.317154781638645/5595372260483511/" TargetMode="External"/><Relationship Id="rId335" Type="http://schemas.openxmlformats.org/officeDocument/2006/relationships/hyperlink" Target="https://www.facebook.com/rapplerdotcom/photos/a.317154781638645/5598220220198715/" TargetMode="External"/><Relationship Id="rId2016" Type="http://schemas.openxmlformats.org/officeDocument/2006/relationships/hyperlink" Target="https://www.facebook.com/rapplerdotcom/photos/a.317154781638645/5596022273751843/" TargetMode="External"/><Relationship Id="rId2430" Type="http://schemas.openxmlformats.org/officeDocument/2006/relationships/hyperlink" Target="https://www.facebook.com/rapplerdotcom/posts/pfbid0TYP6syjYwznxJKdhWv9YMaXK9NvsSEhQ2cyyCQCPMvGapWXrQBHehywgT156wqNPl" TargetMode="External"/><Relationship Id="rId5586" Type="http://schemas.openxmlformats.org/officeDocument/2006/relationships/hyperlink" Target="https://www.facebook.com/profile.php?id=100008642138032" TargetMode="External"/><Relationship Id="rId402" Type="http://schemas.openxmlformats.org/officeDocument/2006/relationships/hyperlink" Target="https://www.facebook.com/gonb.tibabs" TargetMode="External"/><Relationship Id="rId1032" Type="http://schemas.openxmlformats.org/officeDocument/2006/relationships/hyperlink" Target="https://www.facebook.com/rapplerdotcom/photos/a.317154781638645/5597592673594803/" TargetMode="External"/><Relationship Id="rId4188" Type="http://schemas.openxmlformats.org/officeDocument/2006/relationships/hyperlink" Target="https://www.facebook.com/rapplerdotcom/photos/a.317154781638645/5594954703858600/" TargetMode="External"/><Relationship Id="rId5239" Type="http://schemas.openxmlformats.org/officeDocument/2006/relationships/hyperlink" Target="https://www.facebook.com/rapplerdotcom/photos/a.317154781638645/5594264657260938/" TargetMode="External"/><Relationship Id="rId4255" Type="http://schemas.openxmlformats.org/officeDocument/2006/relationships/hyperlink" Target="https://www.facebook.com/rapplerdotcom/photos/a.317154781638645/5594954703858600/" TargetMode="External"/><Relationship Id="rId5306" Type="http://schemas.openxmlformats.org/officeDocument/2006/relationships/hyperlink" Target="https://www.facebook.com/ariel.alcantaraofficial.09" TargetMode="External"/><Relationship Id="rId5653" Type="http://schemas.openxmlformats.org/officeDocument/2006/relationships/hyperlink" Target="https://www.facebook.com/rapplerdotcom/photos/a.317154781638645/5594453700575367/" TargetMode="External"/><Relationship Id="rId1849" Type="http://schemas.openxmlformats.org/officeDocument/2006/relationships/hyperlink" Target="https://www.facebook.com/profile.php?id=100013881702356" TargetMode="External"/><Relationship Id="rId5720" Type="http://schemas.openxmlformats.org/officeDocument/2006/relationships/hyperlink" Target="https://www.facebook.com/melbie.carpentero.7" TargetMode="External"/><Relationship Id="rId192" Type="http://schemas.openxmlformats.org/officeDocument/2006/relationships/hyperlink" Target="https://www.facebook.com/rapplerdotcom/posts/pfbid0DUh4iFcrxZuR1UbiGhcAHcMdzsaV29GSeHCY1HabtqcnUWkjStX9TDaVqzzt92GDl" TargetMode="External"/><Relationship Id="rId1916" Type="http://schemas.openxmlformats.org/officeDocument/2006/relationships/hyperlink" Target="https://www.facebook.com/rapplerdotcom/photos/a.317154781638645/5596043783749692/" TargetMode="External"/><Relationship Id="rId3271" Type="http://schemas.openxmlformats.org/officeDocument/2006/relationships/hyperlink" Target="https://www.facebook.com/wyralin.fuentes" TargetMode="External"/><Relationship Id="rId4322" Type="http://schemas.openxmlformats.org/officeDocument/2006/relationships/hyperlink" Target="https://www.facebook.com/juliusryan.tuquero" TargetMode="External"/><Relationship Id="rId5096" Type="http://schemas.openxmlformats.org/officeDocument/2006/relationships/hyperlink" Target="https://www.facebook.com/ivee.villarinarnaiz" TargetMode="External"/><Relationship Id="rId6147" Type="http://schemas.openxmlformats.org/officeDocument/2006/relationships/hyperlink" Target="https://www.facebook.com/rapplerdotcom/posts/pfbid0JJW97xH5fR5tDSLUQ8AnEgkPMU9Aigs9CgcNy2Q7AzJY4R8mRoicBgu3PLdqpf2Tl" TargetMode="External"/><Relationship Id="rId5163" Type="http://schemas.openxmlformats.org/officeDocument/2006/relationships/hyperlink" Target="https://www.facebook.com/rapplerdotcom/photos/a.317154781638645/5594264657260938/" TargetMode="External"/><Relationship Id="rId6214" Type="http://schemas.openxmlformats.org/officeDocument/2006/relationships/hyperlink" Target="https://www.facebook.com/rolly.dejesus.18" TargetMode="External"/><Relationship Id="rId729" Type="http://schemas.openxmlformats.org/officeDocument/2006/relationships/hyperlink" Target="https://www.facebook.com/jovito.tamayo.7" TargetMode="External"/><Relationship Id="rId1359" Type="http://schemas.openxmlformats.org/officeDocument/2006/relationships/hyperlink" Target="https://www.facebook.com/pete.villena" TargetMode="External"/><Relationship Id="rId2757" Type="http://schemas.openxmlformats.org/officeDocument/2006/relationships/hyperlink" Target="https://www.facebook.com/profile.php?id=100074931561512" TargetMode="External"/><Relationship Id="rId3808" Type="http://schemas.openxmlformats.org/officeDocument/2006/relationships/hyperlink" Target="https://www.facebook.com/rapplerdotcom/posts/pfbid0dyWpzxim3h4Z2SYriGakwQw85p7BCAgct7KU5EiMX1bmmgNHDD8nmES8rjrADsrPl" TargetMode="External"/><Relationship Id="rId5230" Type="http://schemas.openxmlformats.org/officeDocument/2006/relationships/hyperlink" Target="https://www.facebook.com/jon.eleria" TargetMode="External"/><Relationship Id="rId1773" Type="http://schemas.openxmlformats.org/officeDocument/2006/relationships/hyperlink" Target="https://www.facebook.com/rainesantos123" TargetMode="External"/><Relationship Id="rId2824" Type="http://schemas.openxmlformats.org/officeDocument/2006/relationships/hyperlink" Target="https://www.facebook.com/watch/?v=570590637273208" TargetMode="External"/><Relationship Id="rId65" Type="http://schemas.openxmlformats.org/officeDocument/2006/relationships/hyperlink" Target="https://www.facebook.com/evelyn.ruiz.79230305" TargetMode="External"/><Relationship Id="rId1426" Type="http://schemas.openxmlformats.org/officeDocument/2006/relationships/hyperlink" Target="https://www.facebook.com/rapplerdotcom/photos/a.317154781638645/5597116770309060/" TargetMode="External"/><Relationship Id="rId1840" Type="http://schemas.openxmlformats.org/officeDocument/2006/relationships/hyperlink" Target="https://www.facebook.com/rapplerdotcom/photos/a.317154781638645/5596043783749692/" TargetMode="External"/><Relationship Id="rId4996" Type="http://schemas.openxmlformats.org/officeDocument/2006/relationships/hyperlink" Target="https://www.facebook.com/tiu.ag" TargetMode="External"/><Relationship Id="rId3598" Type="http://schemas.openxmlformats.org/officeDocument/2006/relationships/hyperlink" Target="https://www.facebook.com/rapplerdotcom/photos/a.317154781638645/5595372260483511/" TargetMode="External"/><Relationship Id="rId4649" Type="http://schemas.openxmlformats.org/officeDocument/2006/relationships/hyperlink" Target="https://www.facebook.com/watch/live/?ref=watch_permalink&amp;v=923735834984653" TargetMode="External"/><Relationship Id="rId3665" Type="http://schemas.openxmlformats.org/officeDocument/2006/relationships/hyperlink" Target="https://www.facebook.com/xtudie" TargetMode="External"/><Relationship Id="rId4716" Type="http://schemas.openxmlformats.org/officeDocument/2006/relationships/hyperlink" Target="https://www.facebook.com/profile.php?id=100068675928336" TargetMode="External"/><Relationship Id="rId6071" Type="http://schemas.openxmlformats.org/officeDocument/2006/relationships/hyperlink" Target="https://www.facebook.com/rapplerdotcom/photos/a.317154781638645/5594359700584767/" TargetMode="External"/><Relationship Id="rId586" Type="http://schemas.openxmlformats.org/officeDocument/2006/relationships/hyperlink" Target="https://www.facebook.com/rapplerdotcom/photos/a.317154781638645/5597874143566656" TargetMode="External"/><Relationship Id="rId2267" Type="http://schemas.openxmlformats.org/officeDocument/2006/relationships/hyperlink" Target="https://www.facebook.com/profile.php?id=100009111409816" TargetMode="External"/><Relationship Id="rId2681" Type="http://schemas.openxmlformats.org/officeDocument/2006/relationships/hyperlink" Target="https://www.facebook.com/profile.php?id=100073431611450" TargetMode="External"/><Relationship Id="rId3318" Type="http://schemas.openxmlformats.org/officeDocument/2006/relationships/hyperlink" Target="https://www.facebook.com/rapplerdotcom/photos/a.317154781638645/5595372260483511/" TargetMode="External"/><Relationship Id="rId239" Type="http://schemas.openxmlformats.org/officeDocument/2006/relationships/hyperlink" Target="https://www.facebook.com/rapplerdotcom/photos/a.317154781638645/5598220220198715/" TargetMode="External"/><Relationship Id="rId653" Type="http://schemas.openxmlformats.org/officeDocument/2006/relationships/hyperlink" Target="https://www.facebook.com/ricardo.borja.908" TargetMode="External"/><Relationship Id="rId1283" Type="http://schemas.openxmlformats.org/officeDocument/2006/relationships/hyperlink" Target="https://www.facebook.com/MrAndMrs.AlRenchie.Jumat" TargetMode="External"/><Relationship Id="rId2334" Type="http://schemas.openxmlformats.org/officeDocument/2006/relationships/hyperlink" Target="https://www.facebook.com/rapplerdotcom/posts/pfbid0TYP6syjYwznxJKdhWv9YMaXK9NvsSEhQ2cyyCQCPMvGapWXrQBHehywgT156wqNPl" TargetMode="External"/><Relationship Id="rId3732" Type="http://schemas.openxmlformats.org/officeDocument/2006/relationships/hyperlink" Target="https://www.facebook.com/rapplerdotcom/photos/a.317154781638645/5595162900504447/" TargetMode="External"/><Relationship Id="rId306" Type="http://schemas.openxmlformats.org/officeDocument/2006/relationships/hyperlink" Target="https://www.facebook.com/jolly.amaf" TargetMode="External"/><Relationship Id="rId720" Type="http://schemas.openxmlformats.org/officeDocument/2006/relationships/hyperlink" Target="https://www.facebook.com/rapplerdotcom/photos/a.317154781638645/5597612220259515/" TargetMode="External"/><Relationship Id="rId1350" Type="http://schemas.openxmlformats.org/officeDocument/2006/relationships/hyperlink" Target="https://www.facebook.com/rapplerdotcom/photos/a.317154781638645/5597116770309060/" TargetMode="External"/><Relationship Id="rId2401" Type="http://schemas.openxmlformats.org/officeDocument/2006/relationships/hyperlink" Target="https://www.facebook.com/alexa.glodo.75" TargetMode="External"/><Relationship Id="rId4159" Type="http://schemas.openxmlformats.org/officeDocument/2006/relationships/hyperlink" Target="https://www.facebook.com/pau.gaitan.33" TargetMode="External"/><Relationship Id="rId5557" Type="http://schemas.openxmlformats.org/officeDocument/2006/relationships/hyperlink" Target="https://www.facebook.com/rapplerdotcom/photos/a.317154781638645/5594453700575367/" TargetMode="External"/><Relationship Id="rId5971" Type="http://schemas.openxmlformats.org/officeDocument/2006/relationships/hyperlink" Target="https://www.facebook.com/rapplerdotcom/photos/a.317154781638645/5594359700584767/" TargetMode="External"/><Relationship Id="rId1003" Type="http://schemas.openxmlformats.org/officeDocument/2006/relationships/hyperlink" Target="https://www.facebook.com/profile.php?id=100079476013075" TargetMode="External"/><Relationship Id="rId4573" Type="http://schemas.openxmlformats.org/officeDocument/2006/relationships/hyperlink" Target="https://www.facebook.com/watch/live/?ref=watch_permalink&amp;v=923735834984653" TargetMode="External"/><Relationship Id="rId5624" Type="http://schemas.openxmlformats.org/officeDocument/2006/relationships/hyperlink" Target="https://www.facebook.com/close728/" TargetMode="External"/><Relationship Id="rId3175" Type="http://schemas.openxmlformats.org/officeDocument/2006/relationships/hyperlink" Target="https://www.facebook.com/marela.alinea" TargetMode="External"/><Relationship Id="rId3382" Type="http://schemas.openxmlformats.org/officeDocument/2006/relationships/hyperlink" Target="https://www.facebook.com/rapplerdotcom/photos/a.317154781638645/5595372260483511/" TargetMode="External"/><Relationship Id="rId4019" Type="http://schemas.openxmlformats.org/officeDocument/2006/relationships/hyperlink" Target="https://www.facebook.com/jubs.bravo" TargetMode="External"/><Relationship Id="rId4226" Type="http://schemas.openxmlformats.org/officeDocument/2006/relationships/hyperlink" Target="https://www.facebook.com/rapplerdotcom/photos/a.317154781638645/5594954703858600/" TargetMode="External"/><Relationship Id="rId4433" Type="http://schemas.openxmlformats.org/officeDocument/2006/relationships/hyperlink" Target="https://www.facebook.com/rapplerdotcom/photos/a.317154781638645/5594954703858600/" TargetMode="External"/><Relationship Id="rId4640" Type="http://schemas.openxmlformats.org/officeDocument/2006/relationships/hyperlink" Target="https://www.facebook.com/menchie.delrosario" TargetMode="External"/><Relationship Id="rId2191" Type="http://schemas.openxmlformats.org/officeDocument/2006/relationships/hyperlink" Target="https://www.facebook.com/litomn" TargetMode="External"/><Relationship Id="rId3035" Type="http://schemas.openxmlformats.org/officeDocument/2006/relationships/hyperlink" Target="https://www.facebook.com/maryjean.larion" TargetMode="External"/><Relationship Id="rId3242" Type="http://schemas.openxmlformats.org/officeDocument/2006/relationships/hyperlink" Target="https://www.facebook.com/rapplerdotcom/posts/pfbid035u2RhZvcYSiCeymgBfXLoFoq87y2V8v81A9xDtyoKJgzTGtotsEEoj2bH7Zd4mtzl" TargetMode="External"/><Relationship Id="rId4500" Type="http://schemas.openxmlformats.org/officeDocument/2006/relationships/hyperlink" Target="https://www.facebook.com/profile.php?id=100074949353472" TargetMode="External"/><Relationship Id="rId163" Type="http://schemas.openxmlformats.org/officeDocument/2006/relationships/hyperlink" Target="https://www.facebook.com/axljansantos" TargetMode="External"/><Relationship Id="rId370" Type="http://schemas.openxmlformats.org/officeDocument/2006/relationships/hyperlink" Target="https://www.facebook.com/angelita.villaflor.1" TargetMode="External"/><Relationship Id="rId2051" Type="http://schemas.openxmlformats.org/officeDocument/2006/relationships/hyperlink" Target="https://www.facebook.com/ramil.a.mendoza.3" TargetMode="External"/><Relationship Id="rId3102" Type="http://schemas.openxmlformats.org/officeDocument/2006/relationships/hyperlink" Target="https://www.facebook.com/watch/live/?ref=watch_permalink&amp;v=360307549312104" TargetMode="External"/><Relationship Id="rId230" Type="http://schemas.openxmlformats.org/officeDocument/2006/relationships/hyperlink" Target="https://www.facebook.com/profile.php?id=100078329061859" TargetMode="External"/><Relationship Id="rId5067" Type="http://schemas.openxmlformats.org/officeDocument/2006/relationships/hyperlink" Target="https://www.facebook.com/rapplerdotcom/posts/pfbid0231hbcbuKeQLDkPH8oZAdZbuU8MPPgRANx152V3xWpbjZ6EvfpohwQMvxHYAgrGPul" TargetMode="External"/><Relationship Id="rId5274" Type="http://schemas.openxmlformats.org/officeDocument/2006/relationships/hyperlink" Target="https://www.facebook.com/alex.calague" TargetMode="External"/><Relationship Id="rId6118" Type="http://schemas.openxmlformats.org/officeDocument/2006/relationships/hyperlink" Target="https://www.facebook.com/profile.php?id=100078424016875" TargetMode="External"/><Relationship Id="rId2868" Type="http://schemas.openxmlformats.org/officeDocument/2006/relationships/hyperlink" Target="https://www.facebook.com/watch/?v=570590637273208" TargetMode="External"/><Relationship Id="rId3919" Type="http://schemas.openxmlformats.org/officeDocument/2006/relationships/hyperlink" Target="https://www.facebook.com/iyos.bautistapilar" TargetMode="External"/><Relationship Id="rId4083" Type="http://schemas.openxmlformats.org/officeDocument/2006/relationships/hyperlink" Target="https://www.facebook.com/rgrino1" TargetMode="External"/><Relationship Id="rId5481" Type="http://schemas.openxmlformats.org/officeDocument/2006/relationships/hyperlink" Target="https://www.facebook.com/watch/live/?ref=watch_permalink&amp;v=312865720941798" TargetMode="External"/><Relationship Id="rId1677" Type="http://schemas.openxmlformats.org/officeDocument/2006/relationships/hyperlink" Target="https://www.facebook.com/jening.martinez" TargetMode="External"/><Relationship Id="rId1884" Type="http://schemas.openxmlformats.org/officeDocument/2006/relationships/hyperlink" Target="https://www.facebook.com/rapplerdotcom/photos/a.317154781638645/5596043783749692/" TargetMode="External"/><Relationship Id="rId2728" Type="http://schemas.openxmlformats.org/officeDocument/2006/relationships/hyperlink" Target="https://www.facebook.com/rapplerdotcom/photos/a.317154781638645/5595733810447356/" TargetMode="External"/><Relationship Id="rId2935" Type="http://schemas.openxmlformats.org/officeDocument/2006/relationships/hyperlink" Target="https://www.facebook.com/gil.cerin" TargetMode="External"/><Relationship Id="rId4290" Type="http://schemas.openxmlformats.org/officeDocument/2006/relationships/hyperlink" Target="https://www.facebook.com/joey.abella.507" TargetMode="External"/><Relationship Id="rId5134" Type="http://schemas.openxmlformats.org/officeDocument/2006/relationships/hyperlink" Target="https://www.facebook.com/profile.php?id=100018491727313" TargetMode="External"/><Relationship Id="rId5341" Type="http://schemas.openxmlformats.org/officeDocument/2006/relationships/hyperlink" Target="https://www.facebook.com/rapplerdotcom/photos/a.317154781638645/5594264657260938/" TargetMode="External"/><Relationship Id="rId907" Type="http://schemas.openxmlformats.org/officeDocument/2006/relationships/hyperlink" Target="https://www.facebook.com/jeth17" TargetMode="External"/><Relationship Id="rId1537" Type="http://schemas.openxmlformats.org/officeDocument/2006/relationships/hyperlink" Target="https://www.facebook.com/lito.sarmiento.129" TargetMode="External"/><Relationship Id="rId1744" Type="http://schemas.openxmlformats.org/officeDocument/2006/relationships/hyperlink" Target="https://www.facebook.com/rapplerdotcom/photos/a.317154781638645/5596043783749692/" TargetMode="External"/><Relationship Id="rId1951" Type="http://schemas.openxmlformats.org/officeDocument/2006/relationships/hyperlink" Target="https://www.facebook.com/deepblue69" TargetMode="External"/><Relationship Id="rId4150" Type="http://schemas.openxmlformats.org/officeDocument/2006/relationships/hyperlink" Target="https://www.facebook.com/rapplerdotcom/photos/a.317154781638645/5594954703858600/" TargetMode="External"/><Relationship Id="rId5201" Type="http://schemas.openxmlformats.org/officeDocument/2006/relationships/hyperlink" Target="https://www.facebook.com/rapplerdotcom/photos/a.317154781638645/5594264657260938/" TargetMode="External"/><Relationship Id="rId36" Type="http://schemas.openxmlformats.org/officeDocument/2006/relationships/hyperlink" Target="https://www.facebook.com/rapplerdotcom/posts/pfbid0DUh4iFcrxZuR1UbiGhcAHcMdzsaV29GSeHCY1HabtqcnUWkjStX9TDaVqzzt92GDl" TargetMode="External"/><Relationship Id="rId1604" Type="http://schemas.openxmlformats.org/officeDocument/2006/relationships/hyperlink" Target="https://www.facebook.com/rapplerdotcom/posts/pfbid02AsSA4LQqjQ2Y8SVathQmtduoE3fhoGvQSNhvrzsMerDaJSQJ6jDvApCCiuaE7XCol" TargetMode="External"/><Relationship Id="rId4010" Type="http://schemas.openxmlformats.org/officeDocument/2006/relationships/hyperlink" Target="https://www.facebook.com/rapplerdotcom/posts/pfbid02kmyrDmvYtHxz51VdR228sTCyvbHYDrwL4TgeoVAenoprSKkWhUFLyRmAuKBuGtXXl" TargetMode="External"/><Relationship Id="rId4967" Type="http://schemas.openxmlformats.org/officeDocument/2006/relationships/hyperlink" Target="https://www.facebook.com/rapplerdotcom/posts/pfbid02BCyyacWVuuu1bwX5PwYK8PvqDGTANxekqEMy7qyV9vMmaGKTbC8sBf7i5j3Wbx9Ll" TargetMode="External"/><Relationship Id="rId1811" Type="http://schemas.openxmlformats.org/officeDocument/2006/relationships/hyperlink" Target="https://www.facebook.com/yong.estrada" TargetMode="External"/><Relationship Id="rId3569" Type="http://schemas.openxmlformats.org/officeDocument/2006/relationships/hyperlink" Target="https://www.facebook.com/profile.php?id=100070381902310" TargetMode="External"/><Relationship Id="rId6182" Type="http://schemas.openxmlformats.org/officeDocument/2006/relationships/hyperlink" Target="https://www.facebook.com/geronima.hansen" TargetMode="External"/><Relationship Id="rId697" Type="http://schemas.openxmlformats.org/officeDocument/2006/relationships/hyperlink" Target="https://www.facebook.com/narciso.corvera.549" TargetMode="External"/><Relationship Id="rId2378" Type="http://schemas.openxmlformats.org/officeDocument/2006/relationships/hyperlink" Target="https://www.facebook.com/rapplerdotcom/posts/pfbid0TYP6syjYwznxJKdhWv9YMaXK9NvsSEhQ2cyyCQCPMvGapWXrQBHehywgT156wqNPl" TargetMode="External"/><Relationship Id="rId3429" Type="http://schemas.openxmlformats.org/officeDocument/2006/relationships/hyperlink" Target="https://www.facebook.com/olracyer.nadneba.3" TargetMode="External"/><Relationship Id="rId3776" Type="http://schemas.openxmlformats.org/officeDocument/2006/relationships/hyperlink" Target="https://www.facebook.com/rapplerdotcom/posts/pfbid0dyWpzxim3h4Z2SYriGakwQw85p7BCAgct7KU5EiMX1bmmgNHDD8nmES8rjrADsrPl" TargetMode="External"/><Relationship Id="rId3983" Type="http://schemas.openxmlformats.org/officeDocument/2006/relationships/hyperlink" Target="https://www.facebook.com/nathan.deguzman.520900" TargetMode="External"/><Relationship Id="rId4827" Type="http://schemas.openxmlformats.org/officeDocument/2006/relationships/hyperlink" Target="https://www.facebook.com/watch/live/?ref=watch_permalink&amp;v=923735834984653" TargetMode="External"/><Relationship Id="rId6042" Type="http://schemas.openxmlformats.org/officeDocument/2006/relationships/hyperlink" Target="https://www.facebook.com/fe.cordero1" TargetMode="External"/><Relationship Id="rId1187" Type="http://schemas.openxmlformats.org/officeDocument/2006/relationships/hyperlink" Target="https://www.facebook.com/steve.tamayo.18" TargetMode="External"/><Relationship Id="rId2585" Type="http://schemas.openxmlformats.org/officeDocument/2006/relationships/hyperlink" Target="https://www.facebook.com/profile.php?id=100009637215034" TargetMode="External"/><Relationship Id="rId2792" Type="http://schemas.openxmlformats.org/officeDocument/2006/relationships/hyperlink" Target="https://www.facebook.com/watch/?v=570590637273208" TargetMode="External"/><Relationship Id="rId3636" Type="http://schemas.openxmlformats.org/officeDocument/2006/relationships/hyperlink" Target="https://www.facebook.com/rapplerdotcom/photos/a.317154781638645/5595372260483511/" TargetMode="External"/><Relationship Id="rId3843" Type="http://schemas.openxmlformats.org/officeDocument/2006/relationships/hyperlink" Target="https://www.facebook.com/edimar.maneser" TargetMode="External"/><Relationship Id="rId557" Type="http://schemas.openxmlformats.org/officeDocument/2006/relationships/hyperlink" Target="https://www.facebook.com/jacqueline.reynado" TargetMode="External"/><Relationship Id="rId764" Type="http://schemas.openxmlformats.org/officeDocument/2006/relationships/hyperlink" Target="https://www.facebook.com/rapplerdotcom/photos/a.317154781638645/5597612220259515/" TargetMode="External"/><Relationship Id="rId971" Type="http://schemas.openxmlformats.org/officeDocument/2006/relationships/hyperlink" Target="https://www.facebook.com/chris.posiquit.3" TargetMode="External"/><Relationship Id="rId1394" Type="http://schemas.openxmlformats.org/officeDocument/2006/relationships/hyperlink" Target="https://www.facebook.com/rapplerdotcom/photos/a.317154781638645/5597116770309060/" TargetMode="External"/><Relationship Id="rId2238" Type="http://schemas.openxmlformats.org/officeDocument/2006/relationships/hyperlink" Target="https://www.facebook.com/rapplerdotcom/photos/a.317154781638645/5596022273751843/" TargetMode="External"/><Relationship Id="rId2445" Type="http://schemas.openxmlformats.org/officeDocument/2006/relationships/hyperlink" Target="https://www.facebook.com/reby.figueroa" TargetMode="External"/><Relationship Id="rId2652" Type="http://schemas.openxmlformats.org/officeDocument/2006/relationships/hyperlink" Target="https://www.facebook.com/rapplerdotcom/photos/a.317154781638645/5595733810447356/" TargetMode="External"/><Relationship Id="rId3703" Type="http://schemas.openxmlformats.org/officeDocument/2006/relationships/hyperlink" Target="https://www.facebook.com/smileydokie" TargetMode="External"/><Relationship Id="rId3910" Type="http://schemas.openxmlformats.org/officeDocument/2006/relationships/hyperlink" Target="https://www.facebook.com/rapplerdotcom/posts/pfbid0dyWpzxim3h4Z2SYriGakwQw85p7BCAgct7KU5EiMX1bmmgNHDD8nmES8rjrADsrPl" TargetMode="External"/><Relationship Id="rId417" Type="http://schemas.openxmlformats.org/officeDocument/2006/relationships/hyperlink" Target="https://www.facebook.com/rapplerdotcom/photos/a.317154781638645/5598220220198715/" TargetMode="External"/><Relationship Id="rId624" Type="http://schemas.openxmlformats.org/officeDocument/2006/relationships/hyperlink" Target="https://www.facebook.com/rapplerdotcom/photos/a.317154781638645/5597874143566656" TargetMode="External"/><Relationship Id="rId831" Type="http://schemas.openxmlformats.org/officeDocument/2006/relationships/hyperlink" Target="https://www.facebook.com/cesar.d.cueva" TargetMode="External"/><Relationship Id="rId1047" Type="http://schemas.openxmlformats.org/officeDocument/2006/relationships/hyperlink" Target="https://www.facebook.com/profile.php?id=100011366202531" TargetMode="External"/><Relationship Id="rId1254" Type="http://schemas.openxmlformats.org/officeDocument/2006/relationships/hyperlink" Target="https://www.facebook.com/rapplerdotcom/posts/pfbid023goEfA6e1ABSWYJFy8fQ5LFWDv4QTSTmAfzySGtMSpy12iqywB2MUZjiZ8GjCxrGl" TargetMode="External"/><Relationship Id="rId1461" Type="http://schemas.openxmlformats.org/officeDocument/2006/relationships/hyperlink" Target="https://www.facebook.com/eelnadyar" TargetMode="External"/><Relationship Id="rId2305" Type="http://schemas.openxmlformats.org/officeDocument/2006/relationships/hyperlink" Target="https://www.facebook.com/terrence.co" TargetMode="External"/><Relationship Id="rId2512" Type="http://schemas.openxmlformats.org/officeDocument/2006/relationships/hyperlink" Target="https://www.facebook.com/rapplerdotcom/posts/pfbid0TYP6syjYwznxJKdhWv9YMaXK9NvsSEhQ2cyyCQCPMvGapWXrQBHehywgT156wqNPl" TargetMode="External"/><Relationship Id="rId5668" Type="http://schemas.openxmlformats.org/officeDocument/2006/relationships/hyperlink" Target="https://www.facebook.com/jovito.tamayo.7" TargetMode="External"/><Relationship Id="rId5875" Type="http://schemas.openxmlformats.org/officeDocument/2006/relationships/hyperlink" Target="https://www.facebook.com/rapplerdotcom/posts/pfbid0Kg1RoVj1WsJryHzrsA3oSrLQ6DJc4g1o3yMhcNHB9BrPu7fZV7ugtw1hYVefEPE9l" TargetMode="External"/><Relationship Id="rId1114" Type="http://schemas.openxmlformats.org/officeDocument/2006/relationships/hyperlink" Target="https://www.facebook.com/rapplerdotcom/posts/pfbid02dNgAR64VTtp94Rus4o9MNbU55E2H9Wp7KMKzJGkk6u4UxRyHU8j2pPpwa5iwGcD3l" TargetMode="External"/><Relationship Id="rId1321" Type="http://schemas.openxmlformats.org/officeDocument/2006/relationships/hyperlink" Target="https://www.facebook.com/sec.anning" TargetMode="External"/><Relationship Id="rId4477" Type="http://schemas.openxmlformats.org/officeDocument/2006/relationships/hyperlink" Target="https://www.facebook.com/rapplerdotcom/photos/a.317154781638645/5594954703858600/" TargetMode="External"/><Relationship Id="rId4684" Type="http://schemas.openxmlformats.org/officeDocument/2006/relationships/hyperlink" Target="https://www.facebook.com/ding.lunar.9" TargetMode="External"/><Relationship Id="rId4891" Type="http://schemas.openxmlformats.org/officeDocument/2006/relationships/hyperlink" Target="https://www.facebook.com/watch/live/?ref=watch_permalink&amp;v=923735834984653" TargetMode="External"/><Relationship Id="rId5528" Type="http://schemas.openxmlformats.org/officeDocument/2006/relationships/hyperlink" Target="https://www.facebook.com/augustinatagaste" TargetMode="External"/><Relationship Id="rId5735" Type="http://schemas.openxmlformats.org/officeDocument/2006/relationships/hyperlink" Target="https://www.facebook.com/rapplerdotcom/photos/a.317154781638645/5594453700575367/" TargetMode="External"/><Relationship Id="rId3079" Type="http://schemas.openxmlformats.org/officeDocument/2006/relationships/hyperlink" Target="https://www.facebook.com/ayen.francisco.927" TargetMode="External"/><Relationship Id="rId3286" Type="http://schemas.openxmlformats.org/officeDocument/2006/relationships/hyperlink" Target="https://www.facebook.com/rapplerdotcom/photos/a.317154781638645/5595372260483511/" TargetMode="External"/><Relationship Id="rId3493" Type="http://schemas.openxmlformats.org/officeDocument/2006/relationships/hyperlink" Target="https://www.facebook.com/phoebe.delara.1" TargetMode="External"/><Relationship Id="rId4337" Type="http://schemas.openxmlformats.org/officeDocument/2006/relationships/hyperlink" Target="https://www.facebook.com/rapplerdotcom/photos/a.317154781638645/5594954703858600/" TargetMode="External"/><Relationship Id="rId4544" Type="http://schemas.openxmlformats.org/officeDocument/2006/relationships/hyperlink" Target="https://www.facebook.com/pepe.ledesma.7140" TargetMode="External"/><Relationship Id="rId5942" Type="http://schemas.openxmlformats.org/officeDocument/2006/relationships/hyperlink" Target="https://www.facebook.com/alvin.arellano.986" TargetMode="External"/><Relationship Id="rId2095" Type="http://schemas.openxmlformats.org/officeDocument/2006/relationships/hyperlink" Target="https://www.facebook.com/gorife.selas" TargetMode="External"/><Relationship Id="rId3146" Type="http://schemas.openxmlformats.org/officeDocument/2006/relationships/hyperlink" Target="https://www.facebook.com/watch/live/?ref=watch_permalink&amp;v=360307549312104" TargetMode="External"/><Relationship Id="rId3353" Type="http://schemas.openxmlformats.org/officeDocument/2006/relationships/hyperlink" Target="https://www.facebook.com/BabymetalxDesu" TargetMode="External"/><Relationship Id="rId4751" Type="http://schemas.openxmlformats.org/officeDocument/2006/relationships/hyperlink" Target="https://www.facebook.com/watch/live/?ref=watch_permalink&amp;v=923735834984653" TargetMode="External"/><Relationship Id="rId5802" Type="http://schemas.openxmlformats.org/officeDocument/2006/relationships/hyperlink" Target="https://www.facebook.com/profile.php?id=1300557137" TargetMode="External"/><Relationship Id="rId274" Type="http://schemas.openxmlformats.org/officeDocument/2006/relationships/hyperlink" Target="https://www.facebook.com/profile.php?id=100077975515176" TargetMode="External"/><Relationship Id="rId481" Type="http://schemas.openxmlformats.org/officeDocument/2006/relationships/hyperlink" Target="https://www.facebook.com/rapplerdotcom/photos/a.317154781638645/5598220220198715/" TargetMode="External"/><Relationship Id="rId2162" Type="http://schemas.openxmlformats.org/officeDocument/2006/relationships/hyperlink" Target="https://www.facebook.com/rapplerdotcom/photos/a.317154781638645/5596022273751843/" TargetMode="External"/><Relationship Id="rId3006" Type="http://schemas.openxmlformats.org/officeDocument/2006/relationships/hyperlink" Target="https://www.facebook.com/watch/live/?ref=watch_permalink&amp;v=360307549312104" TargetMode="External"/><Relationship Id="rId3560" Type="http://schemas.openxmlformats.org/officeDocument/2006/relationships/hyperlink" Target="https://www.facebook.com/rapplerdotcom/photos/a.317154781638645/5595372260483511/" TargetMode="External"/><Relationship Id="rId4404" Type="http://schemas.openxmlformats.org/officeDocument/2006/relationships/hyperlink" Target="https://www.facebook.com/arnold.austria.1" TargetMode="External"/><Relationship Id="rId4611" Type="http://schemas.openxmlformats.org/officeDocument/2006/relationships/hyperlink" Target="https://www.facebook.com/watch/live/?ref=watch_permalink&amp;v=923735834984653" TargetMode="External"/><Relationship Id="rId134" Type="http://schemas.openxmlformats.org/officeDocument/2006/relationships/hyperlink" Target="https://www.facebook.com/rapplerdotcom/posts/pfbid0DUh4iFcrxZuR1UbiGhcAHcMdzsaV29GSeHCY1HabtqcnUWkjStX9TDaVqzzt92GDl" TargetMode="External"/><Relationship Id="rId3213" Type="http://schemas.openxmlformats.org/officeDocument/2006/relationships/hyperlink" Target="https://www.facebook.com/ryutuc" TargetMode="External"/><Relationship Id="rId3420" Type="http://schemas.openxmlformats.org/officeDocument/2006/relationships/hyperlink" Target="https://www.facebook.com/rapplerdotcom/photos/a.317154781638645/5595372260483511/" TargetMode="External"/><Relationship Id="rId341" Type="http://schemas.openxmlformats.org/officeDocument/2006/relationships/hyperlink" Target="https://www.facebook.com/rapplerdotcom/photos/a.317154781638645/5598220220198715/" TargetMode="External"/><Relationship Id="rId2022" Type="http://schemas.openxmlformats.org/officeDocument/2006/relationships/hyperlink" Target="https://www.facebook.com/rapplerdotcom/photos/a.317154781638645/5596022273751843/" TargetMode="External"/><Relationship Id="rId2979" Type="http://schemas.openxmlformats.org/officeDocument/2006/relationships/hyperlink" Target="https://www.facebook.com/jerry.deguzman1" TargetMode="External"/><Relationship Id="rId5178" Type="http://schemas.openxmlformats.org/officeDocument/2006/relationships/hyperlink" Target="https://www.facebook.com/russel.hade" TargetMode="External"/><Relationship Id="rId5385" Type="http://schemas.openxmlformats.org/officeDocument/2006/relationships/hyperlink" Target="https://www.facebook.com/rapplerdotcom/photos/a.317154781638645/5594264657260938/" TargetMode="External"/><Relationship Id="rId5592" Type="http://schemas.openxmlformats.org/officeDocument/2006/relationships/hyperlink" Target="https://www.facebook.com/carmi.paulino1" TargetMode="External"/><Relationship Id="rId6229" Type="http://schemas.openxmlformats.org/officeDocument/2006/relationships/hyperlink" Target="https://www.facebook.com/watch/?v=684555919511830" TargetMode="External"/><Relationship Id="rId201" Type="http://schemas.openxmlformats.org/officeDocument/2006/relationships/hyperlink" Target="https://www.facebook.com/carlosjr.carreon" TargetMode="External"/><Relationship Id="rId1788" Type="http://schemas.openxmlformats.org/officeDocument/2006/relationships/hyperlink" Target="https://www.facebook.com/rapplerdotcom/photos/a.317154781638645/5596043783749692/" TargetMode="External"/><Relationship Id="rId1995" Type="http://schemas.openxmlformats.org/officeDocument/2006/relationships/hyperlink" Target="https://www.facebook.com/profile.php?id=100073327830652" TargetMode="External"/><Relationship Id="rId2839" Type="http://schemas.openxmlformats.org/officeDocument/2006/relationships/hyperlink" Target="https://www.facebook.com/ventura.mariejane" TargetMode="External"/><Relationship Id="rId4194" Type="http://schemas.openxmlformats.org/officeDocument/2006/relationships/hyperlink" Target="https://www.facebook.com/rapplerdotcom/photos/a.317154781638645/5594954703858600/" TargetMode="External"/><Relationship Id="rId5038" Type="http://schemas.openxmlformats.org/officeDocument/2006/relationships/hyperlink" Target="https://www.facebook.com/Overhauled12" TargetMode="External"/><Relationship Id="rId5245" Type="http://schemas.openxmlformats.org/officeDocument/2006/relationships/hyperlink" Target="https://www.facebook.com/rapplerdotcom/photos/a.317154781638645/5594264657260938/" TargetMode="External"/><Relationship Id="rId5452" Type="http://schemas.openxmlformats.org/officeDocument/2006/relationships/hyperlink" Target="https://www.facebook.com/gnilojake2" TargetMode="External"/><Relationship Id="rId1648" Type="http://schemas.openxmlformats.org/officeDocument/2006/relationships/hyperlink" Target="https://www.facebook.com/rapplerdotcom/posts/pfbid02AsSA4LQqjQ2Y8SVathQmtduoE3fhoGvQSNhvrzsMerDaJSQJ6jDvApCCiuaE7XCol" TargetMode="External"/><Relationship Id="rId4054" Type="http://schemas.openxmlformats.org/officeDocument/2006/relationships/hyperlink" Target="https://www.facebook.com/rapplerdotcom/posts/pfbid02kmyrDmvYtHxz51VdR228sTCyvbHYDrwL4TgeoVAenoprSKkWhUFLyRmAuKBuGtXXl" TargetMode="External"/><Relationship Id="rId4261" Type="http://schemas.openxmlformats.org/officeDocument/2006/relationships/hyperlink" Target="https://www.facebook.com/rapplerdotcom/photos/a.317154781638645/5594954703858600/" TargetMode="External"/><Relationship Id="rId5105" Type="http://schemas.openxmlformats.org/officeDocument/2006/relationships/hyperlink" Target="https://www.facebook.com/rapplerdotcom/photos/a.317154781638645/5594264657260938/" TargetMode="External"/><Relationship Id="rId5312" Type="http://schemas.openxmlformats.org/officeDocument/2006/relationships/hyperlink" Target="https://www.facebook.com/profile.php?id=100077657222039" TargetMode="External"/><Relationship Id="rId1508" Type="http://schemas.openxmlformats.org/officeDocument/2006/relationships/hyperlink" Target="https://www.facebook.com/rapplerdotcom/photos/a.317154781638645/5597116770309060/" TargetMode="External"/><Relationship Id="rId1855" Type="http://schemas.openxmlformats.org/officeDocument/2006/relationships/hyperlink" Target="https://www.facebook.com/champoybulletelbow" TargetMode="External"/><Relationship Id="rId2906" Type="http://schemas.openxmlformats.org/officeDocument/2006/relationships/hyperlink" Target="https://www.facebook.com/watch/live/?ref=watch_permalink&amp;v=360307549312104" TargetMode="External"/><Relationship Id="rId3070" Type="http://schemas.openxmlformats.org/officeDocument/2006/relationships/hyperlink" Target="https://www.facebook.com/watch/live/?ref=watch_permalink&amp;v=360307549312104" TargetMode="External"/><Relationship Id="rId4121" Type="http://schemas.openxmlformats.org/officeDocument/2006/relationships/hyperlink" Target="https://www.facebook.com/andrew.marfori.75" TargetMode="External"/><Relationship Id="rId1715" Type="http://schemas.openxmlformats.org/officeDocument/2006/relationships/hyperlink" Target="https://www.facebook.com/arizagabrielellaine" TargetMode="External"/><Relationship Id="rId1922" Type="http://schemas.openxmlformats.org/officeDocument/2006/relationships/hyperlink" Target="https://www.facebook.com/rapplerdotcom/photos/a.317154781638645/5596043783749692/" TargetMode="External"/><Relationship Id="rId6086" Type="http://schemas.openxmlformats.org/officeDocument/2006/relationships/hyperlink" Target="https://www.facebook.com/355wat" TargetMode="External"/><Relationship Id="rId3887" Type="http://schemas.openxmlformats.org/officeDocument/2006/relationships/hyperlink" Target="https://www.facebook.com/roman.rapido.5076" TargetMode="External"/><Relationship Id="rId4938" Type="http://schemas.openxmlformats.org/officeDocument/2006/relationships/hyperlink" Target="https://www.facebook.com/carlos.ligan" TargetMode="External"/><Relationship Id="rId2489" Type="http://schemas.openxmlformats.org/officeDocument/2006/relationships/hyperlink" Target="https://www.facebook.com/EdithaSeva" TargetMode="External"/><Relationship Id="rId2696" Type="http://schemas.openxmlformats.org/officeDocument/2006/relationships/hyperlink" Target="https://www.facebook.com/rapplerdotcom/photos/a.317154781638645/5595733810447356/" TargetMode="External"/><Relationship Id="rId3747" Type="http://schemas.openxmlformats.org/officeDocument/2006/relationships/hyperlink" Target="https://www.facebook.com/mabel.c.arboleda" TargetMode="External"/><Relationship Id="rId3954" Type="http://schemas.openxmlformats.org/officeDocument/2006/relationships/hyperlink" Target="https://www.facebook.com/rapplerdotcom/posts/pfbid0dyWpzxim3h4Z2SYriGakwQw85p7BCAgct7KU5EiMX1bmmgNHDD8nmES8rjrADsrPl" TargetMode="External"/><Relationship Id="rId6153" Type="http://schemas.openxmlformats.org/officeDocument/2006/relationships/hyperlink" Target="https://www.facebook.com/rapplerdotcom/posts/pfbid0JJW97xH5fR5tDSLUQ8AnEgkPMU9Aigs9CgcNy2Q7AzJY4R8mRoicBgu3PLdqpf2Tl" TargetMode="External"/><Relationship Id="rId668" Type="http://schemas.openxmlformats.org/officeDocument/2006/relationships/hyperlink" Target="https://www.facebook.com/rapplerdotcom/photos/a.317154781638645/5597612220259515/" TargetMode="External"/><Relationship Id="rId875" Type="http://schemas.openxmlformats.org/officeDocument/2006/relationships/hyperlink" Target="https://www.facebook.com/factolerin.e" TargetMode="External"/><Relationship Id="rId1298" Type="http://schemas.openxmlformats.org/officeDocument/2006/relationships/hyperlink" Target="https://www.facebook.com/rapplerdotcom/posts/pfbid023goEfA6e1ABSWYJFy8fQ5LFWDv4QTSTmAfzySGtMSpy12iqywB2MUZjiZ8GjCxrGl" TargetMode="External"/><Relationship Id="rId2349" Type="http://schemas.openxmlformats.org/officeDocument/2006/relationships/hyperlink" Target="https://www.facebook.com/christinejoy.cabrera.92" TargetMode="External"/><Relationship Id="rId2556" Type="http://schemas.openxmlformats.org/officeDocument/2006/relationships/hyperlink" Target="https://www.facebook.com/rapplerdotcom/photos/a.317154781638645/5595733810447356/" TargetMode="External"/><Relationship Id="rId2763" Type="http://schemas.openxmlformats.org/officeDocument/2006/relationships/hyperlink" Target="https://www.facebook.com/emeleen.17" TargetMode="External"/><Relationship Id="rId2970" Type="http://schemas.openxmlformats.org/officeDocument/2006/relationships/hyperlink" Target="https://www.facebook.com/watch/live/?ref=watch_permalink&amp;v=360307549312104" TargetMode="External"/><Relationship Id="rId3607" Type="http://schemas.openxmlformats.org/officeDocument/2006/relationships/hyperlink" Target="https://www.facebook.com/profile.php?id=100079481263558" TargetMode="External"/><Relationship Id="rId3814" Type="http://schemas.openxmlformats.org/officeDocument/2006/relationships/hyperlink" Target="https://www.facebook.com/rapplerdotcom/posts/pfbid0dyWpzxim3h4Z2SYriGakwQw85p7BCAgct7KU5EiMX1bmmgNHDD8nmES8rjrADsrPl" TargetMode="External"/><Relationship Id="rId6013" Type="http://schemas.openxmlformats.org/officeDocument/2006/relationships/hyperlink" Target="https://www.facebook.com/rapplerdotcom/photos/a.317154781638645/5594359700584767/" TargetMode="External"/><Relationship Id="rId6220" Type="http://schemas.openxmlformats.org/officeDocument/2006/relationships/hyperlink" Target="https://www.facebook.com/ivan.taneomoreno.9" TargetMode="External"/><Relationship Id="rId528" Type="http://schemas.openxmlformats.org/officeDocument/2006/relationships/hyperlink" Target="https://www.facebook.com/thomas.french.52" TargetMode="External"/><Relationship Id="rId735" Type="http://schemas.openxmlformats.org/officeDocument/2006/relationships/hyperlink" Target="https://www.facebook.com/ocir18" TargetMode="External"/><Relationship Id="rId942" Type="http://schemas.openxmlformats.org/officeDocument/2006/relationships/hyperlink" Target="https://www.facebook.com/rapplerdotcom/photos/a.317154781638645/5597592673594803/" TargetMode="External"/><Relationship Id="rId1158" Type="http://schemas.openxmlformats.org/officeDocument/2006/relationships/hyperlink" Target="https://www.facebook.com/rapplerdotcom/posts/pfbid02dNgAR64VTtp94Rus4o9MNbU55E2H9Wp7KMKzJGkk6u4UxRyHU8j2pPpwa5iwGcD3l" TargetMode="External"/><Relationship Id="rId1365" Type="http://schemas.openxmlformats.org/officeDocument/2006/relationships/hyperlink" Target="https://www.facebook.com/profile.php?id=100009111409816" TargetMode="External"/><Relationship Id="rId1572" Type="http://schemas.openxmlformats.org/officeDocument/2006/relationships/hyperlink" Target="https://www.facebook.com/rapplerdotcom/photos/a.317154781638645/5597116770309060/" TargetMode="External"/><Relationship Id="rId2209" Type="http://schemas.openxmlformats.org/officeDocument/2006/relationships/hyperlink" Target="https://www.facebook.com/lourdeseleanor.miranda" TargetMode="External"/><Relationship Id="rId2416" Type="http://schemas.openxmlformats.org/officeDocument/2006/relationships/hyperlink" Target="https://www.facebook.com/rapplerdotcom/posts/pfbid0TYP6syjYwznxJKdhWv9YMaXK9NvsSEhQ2cyyCQCPMvGapWXrQBHehywgT156wqNPl" TargetMode="External"/><Relationship Id="rId2623" Type="http://schemas.openxmlformats.org/officeDocument/2006/relationships/hyperlink" Target="https://www.facebook.com/edison.lagota.1" TargetMode="External"/><Relationship Id="rId5779" Type="http://schemas.openxmlformats.org/officeDocument/2006/relationships/hyperlink" Target="https://www.facebook.com/rapplerdotcom/photos/a.317154781638645/5594453700575367/" TargetMode="External"/><Relationship Id="rId1018" Type="http://schemas.openxmlformats.org/officeDocument/2006/relationships/hyperlink" Target="https://www.facebook.com/rapplerdotcom/photos/a.317154781638645/5597592673594803/" TargetMode="External"/><Relationship Id="rId1225" Type="http://schemas.openxmlformats.org/officeDocument/2006/relationships/hyperlink" Target="https://www.facebook.com/julio.quian" TargetMode="External"/><Relationship Id="rId1432" Type="http://schemas.openxmlformats.org/officeDocument/2006/relationships/hyperlink" Target="https://www.facebook.com/rapplerdotcom/photos/a.317154781638645/5597116770309060/" TargetMode="External"/><Relationship Id="rId2830" Type="http://schemas.openxmlformats.org/officeDocument/2006/relationships/hyperlink" Target="https://www.facebook.com/watch/?v=570590637273208" TargetMode="External"/><Relationship Id="rId4588" Type="http://schemas.openxmlformats.org/officeDocument/2006/relationships/hyperlink" Target="https://www.facebook.com/ram.bagsic" TargetMode="External"/><Relationship Id="rId5639" Type="http://schemas.openxmlformats.org/officeDocument/2006/relationships/hyperlink" Target="https://www.facebook.com/rapplerdotcom/photos/a.317154781638645/5594453700575367/" TargetMode="External"/><Relationship Id="rId5986" Type="http://schemas.openxmlformats.org/officeDocument/2006/relationships/hyperlink" Target="https://www.facebook.com/edwin.nabong.790" TargetMode="External"/><Relationship Id="rId71" Type="http://schemas.openxmlformats.org/officeDocument/2006/relationships/hyperlink" Target="https://www.facebook.com/profile.php?id=100070766584402" TargetMode="External"/><Relationship Id="rId802" Type="http://schemas.openxmlformats.org/officeDocument/2006/relationships/hyperlink" Target="https://www.facebook.com/rapplerdotcom/photos/a.317154781638645/5597612220259515/" TargetMode="External"/><Relationship Id="rId3397" Type="http://schemas.openxmlformats.org/officeDocument/2006/relationships/hyperlink" Target="https://www.facebook.com/eduardo.m.lombo" TargetMode="External"/><Relationship Id="rId4795" Type="http://schemas.openxmlformats.org/officeDocument/2006/relationships/hyperlink" Target="https://www.facebook.com/watch/live/?ref=watch_permalink&amp;v=923735834984653" TargetMode="External"/><Relationship Id="rId5846" Type="http://schemas.openxmlformats.org/officeDocument/2006/relationships/hyperlink" Target="https://www.facebook.com/nessmark.altar" TargetMode="External"/><Relationship Id="rId4448" Type="http://schemas.openxmlformats.org/officeDocument/2006/relationships/hyperlink" Target="https://www.facebook.com/hayl06" TargetMode="External"/><Relationship Id="rId4655" Type="http://schemas.openxmlformats.org/officeDocument/2006/relationships/hyperlink" Target="https://www.facebook.com/watch/live/?ref=watch_permalink&amp;v=923735834984653" TargetMode="External"/><Relationship Id="rId4862" Type="http://schemas.openxmlformats.org/officeDocument/2006/relationships/hyperlink" Target="https://www.facebook.com/mae.caampued.9" TargetMode="External"/><Relationship Id="rId5706" Type="http://schemas.openxmlformats.org/officeDocument/2006/relationships/hyperlink" Target="https://www.facebook.com/gloria.bumanglag.56" TargetMode="External"/><Relationship Id="rId5913" Type="http://schemas.openxmlformats.org/officeDocument/2006/relationships/hyperlink" Target="https://www.facebook.com/rapplerdotcom/photos/a.317154781638645/5594359700584767/" TargetMode="External"/><Relationship Id="rId178" Type="http://schemas.openxmlformats.org/officeDocument/2006/relationships/hyperlink" Target="https://www.facebook.com/rapplerdotcom/posts/pfbid0DUh4iFcrxZuR1UbiGhcAHcMdzsaV29GSeHCY1HabtqcnUWkjStX9TDaVqzzt92GDl" TargetMode="External"/><Relationship Id="rId3257" Type="http://schemas.openxmlformats.org/officeDocument/2006/relationships/hyperlink" Target="https://www.facebook.com/jayceeguspid" TargetMode="External"/><Relationship Id="rId3464" Type="http://schemas.openxmlformats.org/officeDocument/2006/relationships/hyperlink" Target="https://www.facebook.com/rapplerdotcom/photos/a.317154781638645/5595372260483511/" TargetMode="External"/><Relationship Id="rId3671" Type="http://schemas.openxmlformats.org/officeDocument/2006/relationships/hyperlink" Target="https://www.facebook.com/jimmy.ballesteros" TargetMode="External"/><Relationship Id="rId4308" Type="http://schemas.openxmlformats.org/officeDocument/2006/relationships/hyperlink" Target="https://www.facebook.com/alex.lanestosa.7" TargetMode="External"/><Relationship Id="rId4515" Type="http://schemas.openxmlformats.org/officeDocument/2006/relationships/hyperlink" Target="https://www.facebook.com/rapplerdotcom/photos/a.317154781638645/5594954703858600/" TargetMode="External"/><Relationship Id="rId4722" Type="http://schemas.openxmlformats.org/officeDocument/2006/relationships/hyperlink" Target="https://www.facebook.com/jaime.gacusan.12" TargetMode="External"/><Relationship Id="rId385" Type="http://schemas.openxmlformats.org/officeDocument/2006/relationships/hyperlink" Target="https://www.facebook.com/rapplerdotcom/photos/a.317154781638645/5598220220198715/" TargetMode="External"/><Relationship Id="rId592" Type="http://schemas.openxmlformats.org/officeDocument/2006/relationships/hyperlink" Target="https://www.facebook.com/rapplerdotcom/photos/a.317154781638645/5597874143566656" TargetMode="External"/><Relationship Id="rId2066" Type="http://schemas.openxmlformats.org/officeDocument/2006/relationships/hyperlink" Target="https://www.facebook.com/rapplerdotcom/photos/a.317154781638645/5596022273751843/" TargetMode="External"/><Relationship Id="rId2273" Type="http://schemas.openxmlformats.org/officeDocument/2006/relationships/hyperlink" Target="https://www.facebook.com/carie.tablismaaguila" TargetMode="External"/><Relationship Id="rId2480" Type="http://schemas.openxmlformats.org/officeDocument/2006/relationships/hyperlink" Target="https://www.facebook.com/rapplerdotcom/posts/pfbid0TYP6syjYwznxJKdhWv9YMaXK9NvsSEhQ2cyyCQCPMvGapWXrQBHehywgT156wqNPl" TargetMode="External"/><Relationship Id="rId3117" Type="http://schemas.openxmlformats.org/officeDocument/2006/relationships/hyperlink" Target="https://www.facebook.com/madonna.bagalayfulgar.3" TargetMode="External"/><Relationship Id="rId3324" Type="http://schemas.openxmlformats.org/officeDocument/2006/relationships/hyperlink" Target="https://www.facebook.com/rapplerdotcom/photos/a.317154781638645/5595372260483511/" TargetMode="External"/><Relationship Id="rId3531" Type="http://schemas.openxmlformats.org/officeDocument/2006/relationships/hyperlink" Target="https://www.facebook.com/edwin.portillo.100" TargetMode="External"/><Relationship Id="rId245" Type="http://schemas.openxmlformats.org/officeDocument/2006/relationships/hyperlink" Target="https://www.facebook.com/rapplerdotcom/photos/a.317154781638645/5598220220198715/" TargetMode="External"/><Relationship Id="rId452" Type="http://schemas.openxmlformats.org/officeDocument/2006/relationships/hyperlink" Target="https://www.facebook.com/geneilyn.amanduron" TargetMode="External"/><Relationship Id="rId1082" Type="http://schemas.openxmlformats.org/officeDocument/2006/relationships/hyperlink" Target="https://www.facebook.com/rapplerdotcom/posts/pfbid028Kg188FmebKa4aFvHZNp8zGTwjghWDDJuUmQ8agbSCvGAGJHZ7pBH9NmxLBmPZZdl" TargetMode="External"/><Relationship Id="rId2133" Type="http://schemas.openxmlformats.org/officeDocument/2006/relationships/hyperlink" Target="https://www.facebook.com/gem.lazaro" TargetMode="External"/><Relationship Id="rId2340" Type="http://schemas.openxmlformats.org/officeDocument/2006/relationships/hyperlink" Target="https://www.facebook.com/rapplerdotcom/posts/pfbid0TYP6syjYwznxJKdhWv9YMaXK9NvsSEhQ2cyyCQCPMvGapWXrQBHehywgT156wqNPl" TargetMode="External"/><Relationship Id="rId5289" Type="http://schemas.openxmlformats.org/officeDocument/2006/relationships/hyperlink" Target="https://www.facebook.com/rapplerdotcom/photos/a.317154781638645/5594264657260938/" TargetMode="External"/><Relationship Id="rId5496" Type="http://schemas.openxmlformats.org/officeDocument/2006/relationships/hyperlink" Target="https://www.facebook.com/carlos.marquez.5243" TargetMode="External"/><Relationship Id="rId105" Type="http://schemas.openxmlformats.org/officeDocument/2006/relationships/hyperlink" Target="https://www.facebook.com/alvin.quibilan" TargetMode="External"/><Relationship Id="rId312" Type="http://schemas.openxmlformats.org/officeDocument/2006/relationships/hyperlink" Target="https://www.facebook.com/frankanthony.pataueg.1" TargetMode="External"/><Relationship Id="rId2200" Type="http://schemas.openxmlformats.org/officeDocument/2006/relationships/hyperlink" Target="https://www.facebook.com/rapplerdotcom/photos/a.317154781638645/5596022273751843/" TargetMode="External"/><Relationship Id="rId4098" Type="http://schemas.openxmlformats.org/officeDocument/2006/relationships/hyperlink" Target="https://www.facebook.com/rapplerdotcom/posts/pfbid0231hbcbuKeQLDkPH8oZAdZbuU8MPPgRANx152V3xWpbjZ6EvfpohwQMvxHYAgrGPul" TargetMode="External"/><Relationship Id="rId5149" Type="http://schemas.openxmlformats.org/officeDocument/2006/relationships/hyperlink" Target="https://www.facebook.com/rapplerdotcom/photos/a.317154781638645/5594264657260938/" TargetMode="External"/><Relationship Id="rId5356" Type="http://schemas.openxmlformats.org/officeDocument/2006/relationships/hyperlink" Target="https://www.facebook.com/iamowenoliveros" TargetMode="External"/><Relationship Id="rId5563" Type="http://schemas.openxmlformats.org/officeDocument/2006/relationships/hyperlink" Target="https://www.facebook.com/rapplerdotcom/photos/a.317154781638645/5594453700575367/" TargetMode="External"/><Relationship Id="rId1899" Type="http://schemas.openxmlformats.org/officeDocument/2006/relationships/hyperlink" Target="https://www.facebook.com/kim.sioson" TargetMode="External"/><Relationship Id="rId4165" Type="http://schemas.openxmlformats.org/officeDocument/2006/relationships/hyperlink" Target="https://www.facebook.com/amaya.sabado" TargetMode="External"/><Relationship Id="rId4372" Type="http://schemas.openxmlformats.org/officeDocument/2006/relationships/hyperlink" Target="https://www.facebook.com/labicanefloraalday" TargetMode="External"/><Relationship Id="rId5009" Type="http://schemas.openxmlformats.org/officeDocument/2006/relationships/hyperlink" Target="https://www.facebook.com/rapplerdotcom/posts/pfbid02BCyyacWVuuu1bwX5PwYK8PvqDGTANxekqEMy7qyV9vMmaGKTbC8sBf7i5j3Wbx9Ll" TargetMode="External"/><Relationship Id="rId5216" Type="http://schemas.openxmlformats.org/officeDocument/2006/relationships/hyperlink" Target="https://www.facebook.com/leysillote" TargetMode="External"/><Relationship Id="rId5770" Type="http://schemas.openxmlformats.org/officeDocument/2006/relationships/hyperlink" Target="https://www.facebook.com/soledad.mariano.336" TargetMode="External"/><Relationship Id="rId1759" Type="http://schemas.openxmlformats.org/officeDocument/2006/relationships/hyperlink" Target="https://www.facebook.com/profile.php?id=100072698662337" TargetMode="External"/><Relationship Id="rId1966" Type="http://schemas.openxmlformats.org/officeDocument/2006/relationships/hyperlink" Target="https://www.facebook.com/rapplerdotcom/photos/a.317154781638645/5596043783749692/" TargetMode="External"/><Relationship Id="rId3181" Type="http://schemas.openxmlformats.org/officeDocument/2006/relationships/hyperlink" Target="https://www.facebook.com/steph.dannugcadelina" TargetMode="External"/><Relationship Id="rId4025" Type="http://schemas.openxmlformats.org/officeDocument/2006/relationships/hyperlink" Target="https://www.facebook.com/jubs.bravo" TargetMode="External"/><Relationship Id="rId5423" Type="http://schemas.openxmlformats.org/officeDocument/2006/relationships/hyperlink" Target="https://www.facebook.com/watch/live/?ref=watch_permalink&amp;v=312865720941798" TargetMode="External"/><Relationship Id="rId5630" Type="http://schemas.openxmlformats.org/officeDocument/2006/relationships/hyperlink" Target="https://www.facebook.com/narciso.corvera.549" TargetMode="External"/><Relationship Id="rId1619" Type="http://schemas.openxmlformats.org/officeDocument/2006/relationships/hyperlink" Target="https://www.facebook.com/helen.y.dizon" TargetMode="External"/><Relationship Id="rId1826" Type="http://schemas.openxmlformats.org/officeDocument/2006/relationships/hyperlink" Target="https://www.facebook.com/rapplerdotcom/photos/a.317154781638645/5596043783749692/" TargetMode="External"/><Relationship Id="rId4232" Type="http://schemas.openxmlformats.org/officeDocument/2006/relationships/hyperlink" Target="https://dilg.gov.ph/news/DILG-P3455-B-or-85-percent-Yolanda-funds-liquidated/NC-2019-1169" TargetMode="External"/><Relationship Id="rId3041" Type="http://schemas.openxmlformats.org/officeDocument/2006/relationships/hyperlink" Target="https://www.facebook.com/profile.php?id=100070893796485" TargetMode="External"/><Relationship Id="rId3998" Type="http://schemas.openxmlformats.org/officeDocument/2006/relationships/hyperlink" Target="https://www.facebook.com/rapplerdotcom/posts/pfbid0dyWpzxim3h4Z2SYriGakwQw85p7BCAgct7KU5EiMX1bmmgNHDD8nmES8rjrADsrPl" TargetMode="External"/><Relationship Id="rId6197" Type="http://schemas.openxmlformats.org/officeDocument/2006/relationships/hyperlink" Target="https://www.facebook.com/watch/?v=684555919511830" TargetMode="External"/><Relationship Id="rId3858" Type="http://schemas.openxmlformats.org/officeDocument/2006/relationships/hyperlink" Target="https://www.facebook.com/rapplerdotcom/posts/pfbid0dyWpzxim3h4Z2SYriGakwQw85p7BCAgct7KU5EiMX1bmmgNHDD8nmES8rjrADsrPl" TargetMode="External"/><Relationship Id="rId4909" Type="http://schemas.openxmlformats.org/officeDocument/2006/relationships/hyperlink" Target="https://www.facebook.com/rapplerdotcom/posts/pfbid02BCyyacWVuuu1bwX5PwYK8PvqDGTANxekqEMy7qyV9vMmaGKTbC8sBf7i5j3Wbx9Ll" TargetMode="External"/><Relationship Id="rId6057" Type="http://schemas.openxmlformats.org/officeDocument/2006/relationships/hyperlink" Target="https://www.facebook.com/rapplerdotcom/photos/a.317154781638645/5594359700584767/" TargetMode="External"/><Relationship Id="rId779" Type="http://schemas.openxmlformats.org/officeDocument/2006/relationships/hyperlink" Target="https://www.facebook.com/jorge.devenecia" TargetMode="External"/><Relationship Id="rId986" Type="http://schemas.openxmlformats.org/officeDocument/2006/relationships/hyperlink" Target="https://www.facebook.com/rapplerdotcom/photos/a.317154781638645/5597592673594803/" TargetMode="External"/><Relationship Id="rId2667" Type="http://schemas.openxmlformats.org/officeDocument/2006/relationships/hyperlink" Target="https://www.facebook.com/romel.palcis" TargetMode="External"/><Relationship Id="rId3718" Type="http://schemas.openxmlformats.org/officeDocument/2006/relationships/hyperlink" Target="https://www.facebook.com/rapplerdotcom/photos/a.317154781638645/5595162900504447/" TargetMode="External"/><Relationship Id="rId5073" Type="http://schemas.openxmlformats.org/officeDocument/2006/relationships/hyperlink" Target="https://www.facebook.com/rapplerdotcom/posts/pfbid0231hbcbuKeQLDkPH8oZAdZbuU8MPPgRANx152V3xWpbjZ6EvfpohwQMvxHYAgrGPul" TargetMode="External"/><Relationship Id="rId5280" Type="http://schemas.openxmlformats.org/officeDocument/2006/relationships/hyperlink" Target="https://www.facebook.com/TANSHAOILING" TargetMode="External"/><Relationship Id="rId6124" Type="http://schemas.openxmlformats.org/officeDocument/2006/relationships/hyperlink" Target="https://www.facebook.com/bin.abdulmalikimam" TargetMode="External"/><Relationship Id="rId639" Type="http://schemas.openxmlformats.org/officeDocument/2006/relationships/hyperlink" Target="https://www.facebook.com/jacqueline.reynado" TargetMode="External"/><Relationship Id="rId1269" Type="http://schemas.openxmlformats.org/officeDocument/2006/relationships/hyperlink" Target="https://www.facebook.com/cat.carrot.50" TargetMode="External"/><Relationship Id="rId1476" Type="http://schemas.openxmlformats.org/officeDocument/2006/relationships/hyperlink" Target="https://www.facebook.com/rapplerdotcom/photos/a.317154781638645/5597116770309060/" TargetMode="External"/><Relationship Id="rId2874" Type="http://schemas.openxmlformats.org/officeDocument/2006/relationships/hyperlink" Target="https://www.facebook.com/watch/?v=570590637273208" TargetMode="External"/><Relationship Id="rId3925" Type="http://schemas.openxmlformats.org/officeDocument/2006/relationships/hyperlink" Target="https://www.facebook.com/samuel.peralta310" TargetMode="External"/><Relationship Id="rId5140" Type="http://schemas.openxmlformats.org/officeDocument/2006/relationships/hyperlink" Target="https://www.facebook.com/sid.nazal.7" TargetMode="External"/><Relationship Id="rId846" Type="http://schemas.openxmlformats.org/officeDocument/2006/relationships/hyperlink" Target="https://www.facebook.com/rapplerdotcom/photos/a.317154781638645/5597612220259515/" TargetMode="External"/><Relationship Id="rId1129" Type="http://schemas.openxmlformats.org/officeDocument/2006/relationships/hyperlink" Target="https://www.facebook.com/j.aizen15" TargetMode="External"/><Relationship Id="rId1683" Type="http://schemas.openxmlformats.org/officeDocument/2006/relationships/hyperlink" Target="https://www.facebook.com/tony.deguzman.104" TargetMode="External"/><Relationship Id="rId1890" Type="http://schemas.openxmlformats.org/officeDocument/2006/relationships/hyperlink" Target="https://www.facebook.com/rapplerdotcom/photos/a.317154781638645/5596043783749692/" TargetMode="External"/><Relationship Id="rId2527" Type="http://schemas.openxmlformats.org/officeDocument/2006/relationships/hyperlink" Target="https://www.facebook.com/lucille.r.villanueva" TargetMode="External"/><Relationship Id="rId2734" Type="http://schemas.openxmlformats.org/officeDocument/2006/relationships/hyperlink" Target="https://www.facebook.com/rapplerdotcom/photos/a.317154781638645/5595733810447356/" TargetMode="External"/><Relationship Id="rId2941" Type="http://schemas.openxmlformats.org/officeDocument/2006/relationships/hyperlink" Target="https://www.facebook.com/mabeltamparong" TargetMode="External"/><Relationship Id="rId5000" Type="http://schemas.openxmlformats.org/officeDocument/2006/relationships/hyperlink" Target="https://www.facebook.com/profile.php?id=100041903862229" TargetMode="External"/><Relationship Id="rId706" Type="http://schemas.openxmlformats.org/officeDocument/2006/relationships/hyperlink" Target="https://www.facebook.com/rapplerdotcom/photos/a.317154781638645/5597612220259515/" TargetMode="External"/><Relationship Id="rId913" Type="http://schemas.openxmlformats.org/officeDocument/2006/relationships/hyperlink" Target="https://www.facebook.com/christian.vicente.104" TargetMode="External"/><Relationship Id="rId1336" Type="http://schemas.openxmlformats.org/officeDocument/2006/relationships/hyperlink" Target="https://www.facebook.com/rapplerdotcom/photos/a.317154781638645/5597116770309060/" TargetMode="External"/><Relationship Id="rId1543" Type="http://schemas.openxmlformats.org/officeDocument/2006/relationships/hyperlink" Target="https://www.facebook.com/josephine.ramos.376" TargetMode="External"/><Relationship Id="rId1750" Type="http://schemas.openxmlformats.org/officeDocument/2006/relationships/hyperlink" Target="https://www.facebook.com/rapplerdotcom/photos/a.317154781638645/5596043783749692/" TargetMode="External"/><Relationship Id="rId2801" Type="http://schemas.openxmlformats.org/officeDocument/2006/relationships/hyperlink" Target="https://www.facebook.com/juliedcpacheco" TargetMode="External"/><Relationship Id="rId4699" Type="http://schemas.openxmlformats.org/officeDocument/2006/relationships/hyperlink" Target="https://www.facebook.com/watch/live/?ref=watch_permalink&amp;v=923735834984653" TargetMode="External"/><Relationship Id="rId5957" Type="http://schemas.openxmlformats.org/officeDocument/2006/relationships/hyperlink" Target="https://www.facebook.com/rapplerdotcom/photos/a.317154781638645/5594359700584767/" TargetMode="External"/><Relationship Id="rId42" Type="http://schemas.openxmlformats.org/officeDocument/2006/relationships/hyperlink" Target="https://www.facebook.com/rapplerdotcom/posts/pfbid0DUh4iFcrxZuR1UbiGhcAHcMdzsaV29GSeHCY1HabtqcnUWkjStX9TDaVqzzt92GDl" TargetMode="External"/><Relationship Id="rId1403" Type="http://schemas.openxmlformats.org/officeDocument/2006/relationships/hyperlink" Target="https://www.facebook.com/rey.bartolome.16" TargetMode="External"/><Relationship Id="rId1610" Type="http://schemas.openxmlformats.org/officeDocument/2006/relationships/hyperlink" Target="https://www.facebook.com/rapplerdotcom/posts/pfbid02AsSA4LQqjQ2Y8SVathQmtduoE3fhoGvQSNhvrzsMerDaJSQJ6jDvApCCiuaE7XCol" TargetMode="External"/><Relationship Id="rId4559" Type="http://schemas.openxmlformats.org/officeDocument/2006/relationships/hyperlink" Target="https://www.facebook.com/watch/live/?ref=watch_permalink&amp;v=923735834984653" TargetMode="External"/><Relationship Id="rId4766" Type="http://schemas.openxmlformats.org/officeDocument/2006/relationships/hyperlink" Target="https://www.facebook.com/bert.naynes" TargetMode="External"/><Relationship Id="rId4973" Type="http://schemas.openxmlformats.org/officeDocument/2006/relationships/hyperlink" Target="https://www.facebook.com/rapplerdotcom/posts/pfbid02BCyyacWVuuu1bwX5PwYK8PvqDGTANxekqEMy7qyV9vMmaGKTbC8sBf7i5j3Wbx9Ll" TargetMode="External"/><Relationship Id="rId5817" Type="http://schemas.openxmlformats.org/officeDocument/2006/relationships/hyperlink" Target="https://www.facebook.com/rapplerdotcom/photos/a.317154781638645/5594453700575367/" TargetMode="External"/><Relationship Id="rId3368" Type="http://schemas.openxmlformats.org/officeDocument/2006/relationships/hyperlink" Target="https://www.facebook.com/rapplerdotcom/photos/a.317154781638645/5595372260483511/" TargetMode="External"/><Relationship Id="rId3575" Type="http://schemas.openxmlformats.org/officeDocument/2006/relationships/hyperlink" Target="https://www.facebook.com/louigie012" TargetMode="External"/><Relationship Id="rId3782" Type="http://schemas.openxmlformats.org/officeDocument/2006/relationships/hyperlink" Target="https://www.facebook.com/rapplerdotcom/posts/pfbid0dyWpzxim3h4Z2SYriGakwQw85p7BCAgct7KU5EiMX1bmmgNHDD8nmES8rjrADsrPl" TargetMode="External"/><Relationship Id="rId4419" Type="http://schemas.openxmlformats.org/officeDocument/2006/relationships/hyperlink" Target="https://www.facebook.com/rapplerdotcom/photos/a.317154781638645/5594954703858600/" TargetMode="External"/><Relationship Id="rId4626" Type="http://schemas.openxmlformats.org/officeDocument/2006/relationships/hyperlink" Target="https://www.facebook.com/javier.inanoria" TargetMode="External"/><Relationship Id="rId4833" Type="http://schemas.openxmlformats.org/officeDocument/2006/relationships/hyperlink" Target="https://www.facebook.com/watch/live/?ref=watch_permalink&amp;v=923735834984653" TargetMode="External"/><Relationship Id="rId289" Type="http://schemas.openxmlformats.org/officeDocument/2006/relationships/hyperlink" Target="https://www.facebook.com/rapplerdotcom/photos/a.317154781638645/5598220220198715/" TargetMode="External"/><Relationship Id="rId496" Type="http://schemas.openxmlformats.org/officeDocument/2006/relationships/hyperlink" Target="https://www.facebook.com/eugarnlise.garcia27" TargetMode="External"/><Relationship Id="rId2177" Type="http://schemas.openxmlformats.org/officeDocument/2006/relationships/hyperlink" Target="https://www.facebook.com/ofelia.guimbaolibot" TargetMode="External"/><Relationship Id="rId2384" Type="http://schemas.openxmlformats.org/officeDocument/2006/relationships/hyperlink" Target="https://www.facebook.com/rapplerdotcom/posts/pfbid0TYP6syjYwznxJKdhWv9YMaXK9NvsSEhQ2cyyCQCPMvGapWXrQBHehywgT156wqNPl" TargetMode="External"/><Relationship Id="rId2591" Type="http://schemas.openxmlformats.org/officeDocument/2006/relationships/hyperlink" Target="https://www.facebook.com/marlon.argonza" TargetMode="External"/><Relationship Id="rId3228" Type="http://schemas.openxmlformats.org/officeDocument/2006/relationships/hyperlink" Target="https://www.facebook.com/watch/live/?ref=watch_permalink&amp;v=332681445500650" TargetMode="External"/><Relationship Id="rId3435" Type="http://schemas.openxmlformats.org/officeDocument/2006/relationships/hyperlink" Target="https://www.facebook.com/rodelmadrid" TargetMode="External"/><Relationship Id="rId3642" Type="http://schemas.openxmlformats.org/officeDocument/2006/relationships/hyperlink" Target="https://www.facebook.com/rapplerdotcom/photos/a.317154781638645/5595372260483511/" TargetMode="External"/><Relationship Id="rId149" Type="http://schemas.openxmlformats.org/officeDocument/2006/relationships/hyperlink" Target="https://www.facebook.com/emely.cantomayor.3" TargetMode="External"/><Relationship Id="rId356" Type="http://schemas.openxmlformats.org/officeDocument/2006/relationships/hyperlink" Target="https://www.facebook.com/mariamila.barbasa" TargetMode="External"/><Relationship Id="rId563" Type="http://schemas.openxmlformats.org/officeDocument/2006/relationships/hyperlink" Target="https://www.facebook.com/profile.php?id=100079289963212" TargetMode="External"/><Relationship Id="rId770" Type="http://schemas.openxmlformats.org/officeDocument/2006/relationships/hyperlink" Target="https://www.facebook.com/rapplerdotcom/photos/a.317154781638645/5597612220259515/" TargetMode="External"/><Relationship Id="rId1193" Type="http://schemas.openxmlformats.org/officeDocument/2006/relationships/hyperlink" Target="https://www.facebook.com/gmanalotoco" TargetMode="External"/><Relationship Id="rId2037" Type="http://schemas.openxmlformats.org/officeDocument/2006/relationships/hyperlink" Target="https://www.facebook.com/susan.vitug.9480" TargetMode="External"/><Relationship Id="rId2244" Type="http://schemas.openxmlformats.org/officeDocument/2006/relationships/hyperlink" Target="https://www.facebook.com/rapplerdotcom/photos/a.317154781638645/5596022273751843/" TargetMode="External"/><Relationship Id="rId2451" Type="http://schemas.openxmlformats.org/officeDocument/2006/relationships/hyperlink" Target="https://www.facebook.com/profile.php?id=100021390940755" TargetMode="External"/><Relationship Id="rId4900" Type="http://schemas.openxmlformats.org/officeDocument/2006/relationships/hyperlink" Target="https://www.facebook.com/profile.php?id=100005160163120" TargetMode="External"/><Relationship Id="rId216" Type="http://schemas.openxmlformats.org/officeDocument/2006/relationships/hyperlink" Target="https://www.facebook.com/rapplerdotcom/posts/pfbid0DUh4iFcrxZuR1UbiGhcAHcMdzsaV29GSeHCY1HabtqcnUWkjStX9TDaVqzzt92GDl" TargetMode="External"/><Relationship Id="rId423" Type="http://schemas.openxmlformats.org/officeDocument/2006/relationships/hyperlink" Target="https://www.facebook.com/rapplerdotcom/photos/a.317154781638645/5598220220198715/" TargetMode="External"/><Relationship Id="rId1053" Type="http://schemas.openxmlformats.org/officeDocument/2006/relationships/hyperlink" Target="https://www.facebook.com/molinoqueensrowlenikikosupporters" TargetMode="External"/><Relationship Id="rId1260" Type="http://schemas.openxmlformats.org/officeDocument/2006/relationships/hyperlink" Target="https://www.facebook.com/rapplerdotcom/posts/pfbid023goEfA6e1ABSWYJFy8fQ5LFWDv4QTSTmAfzySGtMSpy12iqywB2MUZjiZ8GjCxrGl" TargetMode="External"/><Relationship Id="rId2104" Type="http://schemas.openxmlformats.org/officeDocument/2006/relationships/hyperlink" Target="https://www.facebook.com/rapplerdotcom/photos/a.317154781638645/5596022273751843/" TargetMode="External"/><Relationship Id="rId3502" Type="http://schemas.openxmlformats.org/officeDocument/2006/relationships/hyperlink" Target="https://www.facebook.com/rapplerdotcom/photos/a.317154781638645/5595372260483511/" TargetMode="External"/><Relationship Id="rId630" Type="http://schemas.openxmlformats.org/officeDocument/2006/relationships/hyperlink" Target="https://www.facebook.com/rapplerdotcom/photos/a.317154781638645/5597874143566656" TargetMode="External"/><Relationship Id="rId2311" Type="http://schemas.openxmlformats.org/officeDocument/2006/relationships/hyperlink" Target="https://www.facebook.com/profile.php?id=100077975515176" TargetMode="External"/><Relationship Id="rId4069" Type="http://schemas.openxmlformats.org/officeDocument/2006/relationships/hyperlink" Target="https://www.facebook.com/laura.coloma.7" TargetMode="External"/><Relationship Id="rId5467" Type="http://schemas.openxmlformats.org/officeDocument/2006/relationships/hyperlink" Target="https://www.facebook.com/watch/live/?ref=watch_permalink&amp;v=312865720941798" TargetMode="External"/><Relationship Id="rId5674" Type="http://schemas.openxmlformats.org/officeDocument/2006/relationships/hyperlink" Target="https://www.facebook.com/Ninja.Kugmo" TargetMode="External"/><Relationship Id="rId5881" Type="http://schemas.openxmlformats.org/officeDocument/2006/relationships/hyperlink" Target="https://www.facebook.com/rapplerdotcom/posts/pfbid0Kg1RoVj1WsJryHzrsA3oSrLQ6DJc4g1o3yMhcNHB9BrPu7fZV7ugtw1hYVefEPE9l" TargetMode="External"/><Relationship Id="rId1120" Type="http://schemas.openxmlformats.org/officeDocument/2006/relationships/hyperlink" Target="https://www.facebook.com/rapplerdotcom/posts/pfbid02dNgAR64VTtp94Rus4o9MNbU55E2H9Wp7KMKzJGkk6u4UxRyHU8j2pPpwa5iwGcD3l" TargetMode="External"/><Relationship Id="rId4276" Type="http://schemas.openxmlformats.org/officeDocument/2006/relationships/hyperlink" Target="https://www.facebook.com/nongbi" TargetMode="External"/><Relationship Id="rId4483" Type="http://schemas.openxmlformats.org/officeDocument/2006/relationships/hyperlink" Target="https://www.facebook.com/rapplerdotcom/photos/a.317154781638645/5594954703858600/" TargetMode="External"/><Relationship Id="rId4690" Type="http://schemas.openxmlformats.org/officeDocument/2006/relationships/hyperlink" Target="https://www.facebook.com/barry.ciloy.1" TargetMode="External"/><Relationship Id="rId5327" Type="http://schemas.openxmlformats.org/officeDocument/2006/relationships/hyperlink" Target="https://www.facebook.com/rapplerdotcom/photos/a.317154781638645/5594264657260938/" TargetMode="External"/><Relationship Id="rId5534" Type="http://schemas.openxmlformats.org/officeDocument/2006/relationships/hyperlink" Target="https://www.facebook.com/kimkimmy.bautista" TargetMode="External"/><Relationship Id="rId5741" Type="http://schemas.openxmlformats.org/officeDocument/2006/relationships/hyperlink" Target="https://www.facebook.com/rapplerdotcom/photos/a.317154781638645/5594453700575367/" TargetMode="External"/><Relationship Id="rId1937" Type="http://schemas.openxmlformats.org/officeDocument/2006/relationships/hyperlink" Target="https://www.facebook.com/kim.sioson" TargetMode="External"/><Relationship Id="rId3085" Type="http://schemas.openxmlformats.org/officeDocument/2006/relationships/hyperlink" Target="https://www.facebook.com/gin.elle.100" TargetMode="External"/><Relationship Id="rId3292" Type="http://schemas.openxmlformats.org/officeDocument/2006/relationships/hyperlink" Target="https://www.facebook.com/rapplerdotcom/photos/a.317154781638645/5595372260483511/" TargetMode="External"/><Relationship Id="rId4136" Type="http://schemas.openxmlformats.org/officeDocument/2006/relationships/hyperlink" Target="https://www.facebook.com/rapplerdotcom/photos/a.317154781638645/5594954703858600/" TargetMode="External"/><Relationship Id="rId4343" Type="http://schemas.openxmlformats.org/officeDocument/2006/relationships/hyperlink" Target="https://www.facebook.com/rapplerdotcom/photos/a.317154781638645/5594954703858600/" TargetMode="External"/><Relationship Id="rId4550" Type="http://schemas.openxmlformats.org/officeDocument/2006/relationships/hyperlink" Target="https://www.facebook.com/johndiazcortez" TargetMode="External"/><Relationship Id="rId5601" Type="http://schemas.openxmlformats.org/officeDocument/2006/relationships/hyperlink" Target="https://www.facebook.com/rapplerdotcom/photos/a.317154781638645/5594453700575367/" TargetMode="External"/><Relationship Id="rId3152" Type="http://schemas.openxmlformats.org/officeDocument/2006/relationships/hyperlink" Target="https://www.facebook.com/watch/live/?ref=watch_permalink&amp;v=332681445500650" TargetMode="External"/><Relationship Id="rId4203" Type="http://schemas.openxmlformats.org/officeDocument/2006/relationships/hyperlink" Target="https://www.facebook.com/epal.aco.56" TargetMode="External"/><Relationship Id="rId4410" Type="http://schemas.openxmlformats.org/officeDocument/2006/relationships/hyperlink" Target="https://www.facebook.com/profile.php?id=100007155289018" TargetMode="External"/><Relationship Id="rId280" Type="http://schemas.openxmlformats.org/officeDocument/2006/relationships/hyperlink" Target="https://www.facebook.com/profile.php?id=100078329061859" TargetMode="External"/><Relationship Id="rId3012" Type="http://schemas.openxmlformats.org/officeDocument/2006/relationships/hyperlink" Target="https://www.facebook.com/watch/live/?ref=watch_permalink&amp;v=360307549312104" TargetMode="External"/><Relationship Id="rId6168" Type="http://schemas.openxmlformats.org/officeDocument/2006/relationships/hyperlink" Target="https://www.facebook.com/mayette.miranda.9" TargetMode="External"/><Relationship Id="rId140" Type="http://schemas.openxmlformats.org/officeDocument/2006/relationships/hyperlink" Target="https://www.facebook.com/rapplerdotcom/posts/pfbid0DUh4iFcrxZuR1UbiGhcAHcMdzsaV29GSeHCY1HabtqcnUWkjStX9TDaVqzzt92GDl" TargetMode="External"/><Relationship Id="rId3969" Type="http://schemas.openxmlformats.org/officeDocument/2006/relationships/hyperlink" Target="https://www.facebook.com/profile.php?id=100074399225331" TargetMode="External"/><Relationship Id="rId5184" Type="http://schemas.openxmlformats.org/officeDocument/2006/relationships/hyperlink" Target="https://www.facebook.com/louie.m.quidlat" TargetMode="External"/><Relationship Id="rId5391" Type="http://schemas.openxmlformats.org/officeDocument/2006/relationships/hyperlink" Target="https://www.facebook.com/rapplerdotcom/photos/a.317154781638645/5594264657260938/" TargetMode="External"/><Relationship Id="rId6028" Type="http://schemas.openxmlformats.org/officeDocument/2006/relationships/hyperlink" Target="https://www.facebook.com/johnhenry.santos.3958" TargetMode="External"/><Relationship Id="rId6" Type="http://schemas.openxmlformats.org/officeDocument/2006/relationships/hyperlink" Target="https://www.facebook.com/rapplerdotcom/posts/pfbid0DUh4iFcrxZuR1UbiGhcAHcMdzsaV29GSeHCY1HabtqcnUWkjStX9TDaVqzzt92GDl" TargetMode="External"/><Relationship Id="rId2778" Type="http://schemas.openxmlformats.org/officeDocument/2006/relationships/hyperlink" Target="https://www.facebook.com/watch/?v=570590637273208" TargetMode="External"/><Relationship Id="rId2985" Type="http://schemas.openxmlformats.org/officeDocument/2006/relationships/hyperlink" Target="https://www.facebook.com/emily.c.luague" TargetMode="External"/><Relationship Id="rId3829" Type="http://schemas.openxmlformats.org/officeDocument/2006/relationships/hyperlink" Target="https://www.facebook.com/zanlie.ebarita" TargetMode="External"/><Relationship Id="rId5044" Type="http://schemas.openxmlformats.org/officeDocument/2006/relationships/hyperlink" Target="https://www.facebook.com/profile.php?id=100072240556659" TargetMode="External"/><Relationship Id="rId957" Type="http://schemas.openxmlformats.org/officeDocument/2006/relationships/hyperlink" Target="https://www.facebook.com/shirben.bensurto" TargetMode="External"/><Relationship Id="rId1587" Type="http://schemas.openxmlformats.org/officeDocument/2006/relationships/hyperlink" Target="https://www.facebook.com/docrly" TargetMode="External"/><Relationship Id="rId1794" Type="http://schemas.openxmlformats.org/officeDocument/2006/relationships/hyperlink" Target="https://www.facebook.com/rapplerdotcom/photos/a.317154781638645/5596043783749692/" TargetMode="External"/><Relationship Id="rId2638" Type="http://schemas.openxmlformats.org/officeDocument/2006/relationships/hyperlink" Target="https://www.facebook.com/rapplerdotcom/photos/a.317154781638645/5595733810447356/" TargetMode="External"/><Relationship Id="rId2845" Type="http://schemas.openxmlformats.org/officeDocument/2006/relationships/hyperlink" Target="https://www.facebook.com/chitocmorales" TargetMode="External"/><Relationship Id="rId5251" Type="http://schemas.openxmlformats.org/officeDocument/2006/relationships/hyperlink" Target="https://www.facebook.com/rapplerdotcom/photos/a.317154781638645/5594264657260938/" TargetMode="External"/><Relationship Id="rId86" Type="http://schemas.openxmlformats.org/officeDocument/2006/relationships/hyperlink" Target="https://www.facebook.com/rapplerdotcom/posts/pfbid0DUh4iFcrxZuR1UbiGhcAHcMdzsaV29GSeHCY1HabtqcnUWkjStX9TDaVqzzt92GDl" TargetMode="External"/><Relationship Id="rId817" Type="http://schemas.openxmlformats.org/officeDocument/2006/relationships/hyperlink" Target="https://www.facebook.com/steve.tamayo.18" TargetMode="External"/><Relationship Id="rId1447" Type="http://schemas.openxmlformats.org/officeDocument/2006/relationships/hyperlink" Target="https://www.facebook.com/profile.php?id=100077782688269" TargetMode="External"/><Relationship Id="rId1654" Type="http://schemas.openxmlformats.org/officeDocument/2006/relationships/hyperlink" Target="https://www.facebook.com/rapplerdotcom/posts/pfbid02AsSA4LQqjQ2Y8SVathQmtduoE3fhoGvQSNhvrzsMerDaJSQJ6jDvApCCiuaE7XCol" TargetMode="External"/><Relationship Id="rId1861" Type="http://schemas.openxmlformats.org/officeDocument/2006/relationships/hyperlink" Target="https://www.facebook.com/arlene.adamos" TargetMode="External"/><Relationship Id="rId2705" Type="http://schemas.openxmlformats.org/officeDocument/2006/relationships/hyperlink" Target="https://www.facebook.com/janerick.mendozaalarcon" TargetMode="External"/><Relationship Id="rId2912" Type="http://schemas.openxmlformats.org/officeDocument/2006/relationships/hyperlink" Target="https://www.facebook.com/watch/live/?ref=watch_permalink&amp;v=360307549312104" TargetMode="External"/><Relationship Id="rId4060" Type="http://schemas.openxmlformats.org/officeDocument/2006/relationships/hyperlink" Target="https://www.facebook.com/rapplerdotcom/posts/pfbid02e13StaPScJpokGyF13qCs6EvExmqrY1RRtBKf3tVEwKeP7fhsKEK5TgBCKEBBrE1l" TargetMode="External"/><Relationship Id="rId5111" Type="http://schemas.openxmlformats.org/officeDocument/2006/relationships/hyperlink" Target="https://www.facebook.com/rapplerdotcom/photos/a.317154781638645/5594264657260938/" TargetMode="External"/><Relationship Id="rId1307" Type="http://schemas.openxmlformats.org/officeDocument/2006/relationships/hyperlink" Target="https://www.facebook.com/profile.php?id=100071438692260" TargetMode="External"/><Relationship Id="rId1514" Type="http://schemas.openxmlformats.org/officeDocument/2006/relationships/hyperlink" Target="https://www.facebook.com/rapplerdotcom/photos/a.317154781638645/5597116770309060/" TargetMode="External"/><Relationship Id="rId1721" Type="http://schemas.openxmlformats.org/officeDocument/2006/relationships/hyperlink" Target="https://www.facebook.com/mhelay.ybanez" TargetMode="External"/><Relationship Id="rId4877" Type="http://schemas.openxmlformats.org/officeDocument/2006/relationships/hyperlink" Target="https://www.facebook.com/watch/live/?ref=watch_permalink&amp;v=923735834984653" TargetMode="External"/><Relationship Id="rId5928" Type="http://schemas.openxmlformats.org/officeDocument/2006/relationships/hyperlink" Target="https://www.facebook.com/tintin.radoc" TargetMode="External"/><Relationship Id="rId13" Type="http://schemas.openxmlformats.org/officeDocument/2006/relationships/hyperlink" Target="https://www.facebook.com/jellyanzerauj" TargetMode="External"/><Relationship Id="rId3479" Type="http://schemas.openxmlformats.org/officeDocument/2006/relationships/hyperlink" Target="https://www.facebook.com/profile.php?id=100012286893622" TargetMode="External"/><Relationship Id="rId3686" Type="http://schemas.openxmlformats.org/officeDocument/2006/relationships/hyperlink" Target="https://www.facebook.com/rapplerdotcom/photos/a.317154781638645/5595162900504447/" TargetMode="External"/><Relationship Id="rId6092" Type="http://schemas.openxmlformats.org/officeDocument/2006/relationships/hyperlink" Target="https://www.facebook.com/maribeth.algodon" TargetMode="External"/><Relationship Id="rId2288" Type="http://schemas.openxmlformats.org/officeDocument/2006/relationships/hyperlink" Target="https://www.facebook.com/rapplerdotcom/photos/a.317154781638645/5596022273751843/" TargetMode="External"/><Relationship Id="rId2495" Type="http://schemas.openxmlformats.org/officeDocument/2006/relationships/hyperlink" Target="https://www.facebook.com/rheajoycehernandez" TargetMode="External"/><Relationship Id="rId3339" Type="http://schemas.openxmlformats.org/officeDocument/2006/relationships/hyperlink" Target="https://www.facebook.com/profile.php?id=100078458811413" TargetMode="External"/><Relationship Id="rId3893" Type="http://schemas.openxmlformats.org/officeDocument/2006/relationships/hyperlink" Target="https://www.facebook.com/monroyfrancescaong" TargetMode="External"/><Relationship Id="rId4737" Type="http://schemas.openxmlformats.org/officeDocument/2006/relationships/hyperlink" Target="https://www.facebook.com/watch/live/?ref=watch_permalink&amp;v=923735834984653" TargetMode="External"/><Relationship Id="rId4944" Type="http://schemas.openxmlformats.org/officeDocument/2006/relationships/hyperlink" Target="https://www.facebook.com/pangetkoh30" TargetMode="External"/><Relationship Id="rId467" Type="http://schemas.openxmlformats.org/officeDocument/2006/relationships/hyperlink" Target="https://www.facebook.com/rapplerdotcom/photos/a.317154781638645/5598220220198715/" TargetMode="External"/><Relationship Id="rId1097" Type="http://schemas.openxmlformats.org/officeDocument/2006/relationships/hyperlink" Target="https://www.facebook.com/dulce.jainarmakinano" TargetMode="External"/><Relationship Id="rId2148" Type="http://schemas.openxmlformats.org/officeDocument/2006/relationships/hyperlink" Target="https://www.facebook.com/rapplerdotcom/photos/a.317154781638645/5596022273751843/" TargetMode="External"/><Relationship Id="rId3546" Type="http://schemas.openxmlformats.org/officeDocument/2006/relationships/hyperlink" Target="https://www.facebook.com/rapplerdotcom/photos/a.317154781638645/5595372260483511/" TargetMode="External"/><Relationship Id="rId3753" Type="http://schemas.openxmlformats.org/officeDocument/2006/relationships/hyperlink" Target="https://www.facebook.com/poli.lidi" TargetMode="External"/><Relationship Id="rId3960" Type="http://schemas.openxmlformats.org/officeDocument/2006/relationships/hyperlink" Target="https://www.facebook.com/rapplerdotcom/posts/pfbid0dyWpzxim3h4Z2SYriGakwQw85p7BCAgct7KU5EiMX1bmmgNHDD8nmES8rjrADsrPl" TargetMode="External"/><Relationship Id="rId4804" Type="http://schemas.openxmlformats.org/officeDocument/2006/relationships/hyperlink" Target="https://www.facebook.com/cherry.sarte.14" TargetMode="External"/><Relationship Id="rId674" Type="http://schemas.openxmlformats.org/officeDocument/2006/relationships/hyperlink" Target="https://www.facebook.com/rapplerdotcom/photos/a.317154781638645/5597612220259515/" TargetMode="External"/><Relationship Id="rId881" Type="http://schemas.openxmlformats.org/officeDocument/2006/relationships/hyperlink" Target="https://www.facebook.com/dean.loreto" TargetMode="External"/><Relationship Id="rId2355" Type="http://schemas.openxmlformats.org/officeDocument/2006/relationships/hyperlink" Target="https://www.facebook.com/winet.bautista" TargetMode="External"/><Relationship Id="rId2562" Type="http://schemas.openxmlformats.org/officeDocument/2006/relationships/hyperlink" Target="https://www.facebook.com/rapplerdotcom/photos/a.317154781638645/5595733810447356/" TargetMode="External"/><Relationship Id="rId3406" Type="http://schemas.openxmlformats.org/officeDocument/2006/relationships/hyperlink" Target="https://www.facebook.com/rapplerdotcom/photos/a.317154781638645/5595372260483511/" TargetMode="External"/><Relationship Id="rId3613" Type="http://schemas.openxmlformats.org/officeDocument/2006/relationships/hyperlink" Target="https://www.facebook.com/202angelocruz" TargetMode="External"/><Relationship Id="rId3820" Type="http://schemas.openxmlformats.org/officeDocument/2006/relationships/hyperlink" Target="https://www.facebook.com/rapplerdotcom/posts/pfbid0dyWpzxim3h4Z2SYriGakwQw85p7BCAgct7KU5EiMX1bmmgNHDD8nmES8rjrADsrPl" TargetMode="External"/><Relationship Id="rId327" Type="http://schemas.openxmlformats.org/officeDocument/2006/relationships/hyperlink" Target="https://www.facebook.com/rapplerdotcom/photos/a.317154781638645/5598220220198715/" TargetMode="External"/><Relationship Id="rId534" Type="http://schemas.openxmlformats.org/officeDocument/2006/relationships/hyperlink" Target="https://www.facebook.com/profile.php?id=100075736004218" TargetMode="External"/><Relationship Id="rId741" Type="http://schemas.openxmlformats.org/officeDocument/2006/relationships/hyperlink" Target="https://www.facebook.com/zenaida.laguio.75" TargetMode="External"/><Relationship Id="rId1164" Type="http://schemas.openxmlformats.org/officeDocument/2006/relationships/hyperlink" Target="https://www.facebook.com/rapplerdotcom/posts/pfbid02dNgAR64VTtp94Rus4o9MNbU55E2H9Wp7KMKzJGkk6u4UxRyHU8j2pPpwa5iwGcD3l" TargetMode="External"/><Relationship Id="rId1371" Type="http://schemas.openxmlformats.org/officeDocument/2006/relationships/hyperlink" Target="https://www.facebook.com/profile.php?id=100009111409816" TargetMode="External"/><Relationship Id="rId2008" Type="http://schemas.openxmlformats.org/officeDocument/2006/relationships/hyperlink" Target="https://www.facebook.com/rapplerdotcom/photos/a.317154781638645/5596022273751843/" TargetMode="External"/><Relationship Id="rId2215" Type="http://schemas.openxmlformats.org/officeDocument/2006/relationships/hyperlink" Target="https://www.facebook.com/johnraffy.patrocinio" TargetMode="External"/><Relationship Id="rId2422" Type="http://schemas.openxmlformats.org/officeDocument/2006/relationships/hyperlink" Target="https://www.facebook.com/rapplerdotcom/posts/pfbid0TYP6syjYwznxJKdhWv9YMaXK9NvsSEhQ2cyyCQCPMvGapWXrQBHehywgT156wqNPl" TargetMode="External"/><Relationship Id="rId5578" Type="http://schemas.openxmlformats.org/officeDocument/2006/relationships/hyperlink" Target="https://www.facebook.com/joshuadolor" TargetMode="External"/><Relationship Id="rId5785" Type="http://schemas.openxmlformats.org/officeDocument/2006/relationships/hyperlink" Target="https://www.facebook.com/rapplerdotcom/photos/a.317154781638645/5594453700575367/" TargetMode="External"/><Relationship Id="rId5992" Type="http://schemas.openxmlformats.org/officeDocument/2006/relationships/hyperlink" Target="https://www.facebook.com/profile.php?id=100004150696757" TargetMode="External"/><Relationship Id="rId601" Type="http://schemas.openxmlformats.org/officeDocument/2006/relationships/hyperlink" Target="https://www.facebook.com/honmichael.dy" TargetMode="External"/><Relationship Id="rId1024" Type="http://schemas.openxmlformats.org/officeDocument/2006/relationships/hyperlink" Target="https://www.facebook.com/rapplerdotcom/photos/a.317154781638645/5597592673594803/" TargetMode="External"/><Relationship Id="rId1231" Type="http://schemas.openxmlformats.org/officeDocument/2006/relationships/hyperlink" Target="https://www.facebook.com/lanie.luna.52" TargetMode="External"/><Relationship Id="rId4387" Type="http://schemas.openxmlformats.org/officeDocument/2006/relationships/hyperlink" Target="https://www.facebook.com/rapplerdotcom/photos/a.317154781638645/5594954703858600/" TargetMode="External"/><Relationship Id="rId4594" Type="http://schemas.openxmlformats.org/officeDocument/2006/relationships/hyperlink" Target="https://www.facebook.com/lariza.francisco" TargetMode="External"/><Relationship Id="rId5438" Type="http://schemas.openxmlformats.org/officeDocument/2006/relationships/hyperlink" Target="https://www.facebook.com/arnel.atienza.984" TargetMode="External"/><Relationship Id="rId5645" Type="http://schemas.openxmlformats.org/officeDocument/2006/relationships/hyperlink" Target="https://www.facebook.com/rapplerdotcom/photos/a.317154781638645/5594453700575367/" TargetMode="External"/><Relationship Id="rId5852" Type="http://schemas.openxmlformats.org/officeDocument/2006/relationships/hyperlink" Target="https://www.facebook.com/cecilia.bucong" TargetMode="External"/><Relationship Id="rId3196" Type="http://schemas.openxmlformats.org/officeDocument/2006/relationships/hyperlink" Target="https://www.facebook.com/watch/live/?ref=watch_permalink&amp;v=332681445500650" TargetMode="External"/><Relationship Id="rId4247" Type="http://schemas.openxmlformats.org/officeDocument/2006/relationships/hyperlink" Target="https://www.facebook.com/rapplerdotcom/photos/a.317154781638645/5594954703858600/" TargetMode="External"/><Relationship Id="rId4454" Type="http://schemas.openxmlformats.org/officeDocument/2006/relationships/hyperlink" Target="https://www.facebook.com/profile.php?id=100070347279389" TargetMode="External"/><Relationship Id="rId4661" Type="http://schemas.openxmlformats.org/officeDocument/2006/relationships/hyperlink" Target="https://www.facebook.com/watch/live/?ref=watch_permalink&amp;v=923735834984653" TargetMode="External"/><Relationship Id="rId5505" Type="http://schemas.openxmlformats.org/officeDocument/2006/relationships/hyperlink" Target="https://www.facebook.com/rapplerdotcom/photos/a.317154781638645/5594453700575367/" TargetMode="External"/><Relationship Id="rId3056" Type="http://schemas.openxmlformats.org/officeDocument/2006/relationships/hyperlink" Target="https://www.facebook.com/watch/live/?ref=watch_permalink&amp;v=360307549312104" TargetMode="External"/><Relationship Id="rId3263" Type="http://schemas.openxmlformats.org/officeDocument/2006/relationships/hyperlink" Target="https://www.facebook.com/airajoyces" TargetMode="External"/><Relationship Id="rId3470" Type="http://schemas.openxmlformats.org/officeDocument/2006/relationships/hyperlink" Target="https://www.facebook.com/rapplerdotcom/photos/a.317154781638645/5595372260483511/" TargetMode="External"/><Relationship Id="rId4107" Type="http://schemas.openxmlformats.org/officeDocument/2006/relationships/hyperlink" Target="https://www.facebook.com/depazngt" TargetMode="External"/><Relationship Id="rId4314" Type="http://schemas.openxmlformats.org/officeDocument/2006/relationships/hyperlink" Target="https://www.facebook.com/ulyssesleodegario.lim" TargetMode="External"/><Relationship Id="rId5712" Type="http://schemas.openxmlformats.org/officeDocument/2006/relationships/hyperlink" Target="https://www.facebook.com/juliusryan.tuquero" TargetMode="External"/><Relationship Id="rId184" Type="http://schemas.openxmlformats.org/officeDocument/2006/relationships/hyperlink" Target="https://www.facebook.com/rapplerdotcom/posts/pfbid0DUh4iFcrxZuR1UbiGhcAHcMdzsaV29GSeHCY1HabtqcnUWkjStX9TDaVqzzt92GDl" TargetMode="External"/><Relationship Id="rId391" Type="http://schemas.openxmlformats.org/officeDocument/2006/relationships/hyperlink" Target="https://www.facebook.com/rapplerdotcom/photos/a.317154781638645/5598220220198715/" TargetMode="External"/><Relationship Id="rId1908" Type="http://schemas.openxmlformats.org/officeDocument/2006/relationships/hyperlink" Target="https://www.facebook.com/rapplerdotcom/photos/a.317154781638645/5596043783749692/" TargetMode="External"/><Relationship Id="rId2072" Type="http://schemas.openxmlformats.org/officeDocument/2006/relationships/hyperlink" Target="https://www.facebook.com/rapplerdotcom/photos/a.317154781638645/5596022273751843/" TargetMode="External"/><Relationship Id="rId3123" Type="http://schemas.openxmlformats.org/officeDocument/2006/relationships/hyperlink" Target="https://www.facebook.com/madonna.bagalayfulgar.3" TargetMode="External"/><Relationship Id="rId4521" Type="http://schemas.openxmlformats.org/officeDocument/2006/relationships/hyperlink" Target="https://www.facebook.com/rapplerdotcom/photos/a.317154781638645/5594954703858600/" TargetMode="External"/><Relationship Id="rId251" Type="http://schemas.openxmlformats.org/officeDocument/2006/relationships/hyperlink" Target="https://www.facebook.com/rapplerdotcom/photos/a.317154781638645/5598220220198715/" TargetMode="External"/><Relationship Id="rId3330" Type="http://schemas.openxmlformats.org/officeDocument/2006/relationships/hyperlink" Target="https://www.facebook.com/rapplerdotcom/photos/a.317154781638645/5595372260483511/" TargetMode="External"/><Relationship Id="rId5088" Type="http://schemas.openxmlformats.org/officeDocument/2006/relationships/hyperlink" Target="https://www.facebook.com/kristine.r.nueva" TargetMode="External"/><Relationship Id="rId6139" Type="http://schemas.openxmlformats.org/officeDocument/2006/relationships/hyperlink" Target="https://www.facebook.com/rapplerdotcom/posts/pfbid0JJW97xH5fR5tDSLUQ8AnEgkPMU9Aigs9CgcNy2Q7AzJY4R8mRoicBgu3PLdqpf2Tl" TargetMode="External"/><Relationship Id="rId2889" Type="http://schemas.openxmlformats.org/officeDocument/2006/relationships/hyperlink" Target="https://www.facebook.com/mheldzkie.jean.1" TargetMode="External"/><Relationship Id="rId5295" Type="http://schemas.openxmlformats.org/officeDocument/2006/relationships/hyperlink" Target="https://www.facebook.com/rapplerdotcom/photos/a.317154781638645/5594264657260938/" TargetMode="External"/><Relationship Id="rId111" Type="http://schemas.openxmlformats.org/officeDocument/2006/relationships/hyperlink" Target="https://www.facebook.com/juanito.espiritu.16" TargetMode="External"/><Relationship Id="rId1698" Type="http://schemas.openxmlformats.org/officeDocument/2006/relationships/hyperlink" Target="https://www.facebook.com/rapplerdotcom/photos/a.317154781638645/5596043783749692/" TargetMode="External"/><Relationship Id="rId2749" Type="http://schemas.openxmlformats.org/officeDocument/2006/relationships/hyperlink" Target="https://www.facebook.com/profile.php?id=100074931561512" TargetMode="External"/><Relationship Id="rId2956" Type="http://schemas.openxmlformats.org/officeDocument/2006/relationships/hyperlink" Target="https://www.facebook.com/watch/live/?ref=watch_permalink&amp;v=360307549312104" TargetMode="External"/><Relationship Id="rId5155" Type="http://schemas.openxmlformats.org/officeDocument/2006/relationships/hyperlink" Target="https://www.facebook.com/rapplerdotcom/photos/a.317154781638645/5594264657260938/" TargetMode="External"/><Relationship Id="rId5362" Type="http://schemas.openxmlformats.org/officeDocument/2006/relationships/hyperlink" Target="https://www.facebook.com/yspuj" TargetMode="External"/><Relationship Id="rId6206" Type="http://schemas.openxmlformats.org/officeDocument/2006/relationships/hyperlink" Target="https://www.facebook.com/ryan.ampasu.9" TargetMode="External"/><Relationship Id="rId928" Type="http://schemas.openxmlformats.org/officeDocument/2006/relationships/hyperlink" Target="https://www.facebook.com/rapplerdotcom/photos/a.317154781638645/5597592673594803/" TargetMode="External"/><Relationship Id="rId1558" Type="http://schemas.openxmlformats.org/officeDocument/2006/relationships/hyperlink" Target="https://www.facebook.com/rapplerdotcom/photos/a.317154781638645/5597116770309060/" TargetMode="External"/><Relationship Id="rId1765" Type="http://schemas.openxmlformats.org/officeDocument/2006/relationships/hyperlink" Target="https://www.facebook.com/yongcoonang" TargetMode="External"/><Relationship Id="rId2609" Type="http://schemas.openxmlformats.org/officeDocument/2006/relationships/hyperlink" Target="https://www.facebook.com/cat.carrot.50" TargetMode="External"/><Relationship Id="rId4171" Type="http://schemas.openxmlformats.org/officeDocument/2006/relationships/hyperlink" Target="https://www.facebook.com/ronald.andallo.52" TargetMode="External"/><Relationship Id="rId5015" Type="http://schemas.openxmlformats.org/officeDocument/2006/relationships/hyperlink" Target="https://www.facebook.com/rapplerdotcom/posts/pfbid02BCyyacWVuuu1bwX5PwYK8PvqDGTANxekqEMy7qyV9vMmaGKTbC8sBf7i5j3Wbx9Ll" TargetMode="External"/><Relationship Id="rId5222" Type="http://schemas.openxmlformats.org/officeDocument/2006/relationships/hyperlink" Target="https://www.facebook.com/DBTunacao" TargetMode="External"/><Relationship Id="rId57" Type="http://schemas.openxmlformats.org/officeDocument/2006/relationships/hyperlink" Target="https://www.facebook.com/rico.sanyo.7" TargetMode="External"/><Relationship Id="rId1418" Type="http://schemas.openxmlformats.org/officeDocument/2006/relationships/hyperlink" Target="https://www.facebook.com/rapplerdotcom/photos/a.317154781638645/5597116770309060/" TargetMode="External"/><Relationship Id="rId1972" Type="http://schemas.openxmlformats.org/officeDocument/2006/relationships/hyperlink" Target="https://www.facebook.com/rapplerdotcom/photos/a.317154781638645/5596043783749692/" TargetMode="External"/><Relationship Id="rId2816" Type="http://schemas.openxmlformats.org/officeDocument/2006/relationships/hyperlink" Target="https://www.facebook.com/watch/?v=570590637273208" TargetMode="External"/><Relationship Id="rId4031" Type="http://schemas.openxmlformats.org/officeDocument/2006/relationships/hyperlink" Target="https://www.facebook.com/man.arellano.12" TargetMode="External"/><Relationship Id="rId1625" Type="http://schemas.openxmlformats.org/officeDocument/2006/relationships/hyperlink" Target="https://www.facebook.com/profile.php?id=100007389911616" TargetMode="External"/><Relationship Id="rId1832" Type="http://schemas.openxmlformats.org/officeDocument/2006/relationships/hyperlink" Target="https://www.facebook.com/rapplerdotcom/photos/a.317154781638645/5596043783749692/" TargetMode="External"/><Relationship Id="rId4988" Type="http://schemas.openxmlformats.org/officeDocument/2006/relationships/hyperlink" Target="https://www.facebook.com/roldan.lago.75" TargetMode="External"/><Relationship Id="rId3797" Type="http://schemas.openxmlformats.org/officeDocument/2006/relationships/hyperlink" Target="https://www.facebook.com/emil.paragas" TargetMode="External"/><Relationship Id="rId4848" Type="http://schemas.openxmlformats.org/officeDocument/2006/relationships/hyperlink" Target="https://www.facebook.com/profile.php?id=100078786653080" TargetMode="External"/><Relationship Id="rId6063" Type="http://schemas.openxmlformats.org/officeDocument/2006/relationships/hyperlink" Target="https://www.facebook.com/rapplerdotcom/photos/a.317154781638645/5594359700584767/" TargetMode="External"/><Relationship Id="rId2399" Type="http://schemas.openxmlformats.org/officeDocument/2006/relationships/hyperlink" Target="https://www.facebook.com/mitzinorona" TargetMode="External"/><Relationship Id="rId3657" Type="http://schemas.openxmlformats.org/officeDocument/2006/relationships/hyperlink" Target="https://www.facebook.com/dale.paypa" TargetMode="External"/><Relationship Id="rId3864" Type="http://schemas.openxmlformats.org/officeDocument/2006/relationships/hyperlink" Target="https://www.facebook.com/rapplerdotcom/posts/pfbid0dyWpzxim3h4Z2SYriGakwQw85p7BCAgct7KU5EiMX1bmmgNHDD8nmES8rjrADsrPl" TargetMode="External"/><Relationship Id="rId4708" Type="http://schemas.openxmlformats.org/officeDocument/2006/relationships/hyperlink" Target="https://www.facebook.com/lhord.symphatico" TargetMode="External"/><Relationship Id="rId4915" Type="http://schemas.openxmlformats.org/officeDocument/2006/relationships/hyperlink" Target="https://www.facebook.com/rapplerdotcom/posts/pfbid02BCyyacWVuuu1bwX5PwYK8PvqDGTANxekqEMy7qyV9vMmaGKTbC8sBf7i5j3Wbx9Ll" TargetMode="External"/><Relationship Id="rId578" Type="http://schemas.openxmlformats.org/officeDocument/2006/relationships/hyperlink" Target="https://www.facebook.com/rapplerdotcom/photos/a.317154781638645/5597874143566656" TargetMode="External"/><Relationship Id="rId785" Type="http://schemas.openxmlformats.org/officeDocument/2006/relationships/hyperlink" Target="https://www.facebook.com/egtic.anton" TargetMode="External"/><Relationship Id="rId992" Type="http://schemas.openxmlformats.org/officeDocument/2006/relationships/hyperlink" Target="https://www.facebook.com/rapplerdotcom/photos/a.317154781638645/5597592673594803/" TargetMode="External"/><Relationship Id="rId2259" Type="http://schemas.openxmlformats.org/officeDocument/2006/relationships/hyperlink" Target="https://www.facebook.com/yonehl.inasor" TargetMode="External"/><Relationship Id="rId2466" Type="http://schemas.openxmlformats.org/officeDocument/2006/relationships/hyperlink" Target="https://www.facebook.com/rapplerdotcom/posts/pfbid0TYP6syjYwznxJKdhWv9YMaXK9NvsSEhQ2cyyCQCPMvGapWXrQBHehywgT156wqNPl" TargetMode="External"/><Relationship Id="rId2673" Type="http://schemas.openxmlformats.org/officeDocument/2006/relationships/hyperlink" Target="https://www.facebook.com/profile.php?id=100078911753810" TargetMode="External"/><Relationship Id="rId2880" Type="http://schemas.openxmlformats.org/officeDocument/2006/relationships/hyperlink" Target="https://www.facebook.com/watch/?v=570590637273208" TargetMode="External"/><Relationship Id="rId3517" Type="http://schemas.openxmlformats.org/officeDocument/2006/relationships/hyperlink" Target="https://www.facebook.com/profile.php?id=100078937432698" TargetMode="External"/><Relationship Id="rId3724" Type="http://schemas.openxmlformats.org/officeDocument/2006/relationships/hyperlink" Target="https://www.facebook.com/rapplerdotcom/photos/a.317154781638645/5595162900504447/" TargetMode="External"/><Relationship Id="rId3931" Type="http://schemas.openxmlformats.org/officeDocument/2006/relationships/hyperlink" Target="https://www.facebook.com/Valladoresjude1988" TargetMode="External"/><Relationship Id="rId6130" Type="http://schemas.openxmlformats.org/officeDocument/2006/relationships/hyperlink" Target="https://www.facebook.com/profile.php?id=100075805955471" TargetMode="External"/><Relationship Id="rId438" Type="http://schemas.openxmlformats.org/officeDocument/2006/relationships/hyperlink" Target="https://www.facebook.com/palos.reblando" TargetMode="External"/><Relationship Id="rId645" Type="http://schemas.openxmlformats.org/officeDocument/2006/relationships/hyperlink" Target="https://www.facebook.com/edson.l.sion" TargetMode="External"/><Relationship Id="rId852" Type="http://schemas.openxmlformats.org/officeDocument/2006/relationships/hyperlink" Target="https://www.facebook.com/rapplerdotcom/photos/a.317154781638645/5597612220259515/" TargetMode="External"/><Relationship Id="rId1068" Type="http://schemas.openxmlformats.org/officeDocument/2006/relationships/hyperlink" Target="https://www.facebook.com/rapplerdotcom/posts/pfbid028Kg188FmebKa4aFvHZNp8zGTwjghWDDJuUmQ8agbSCvGAGJHZ7pBH9NmxLBmPZZdl" TargetMode="External"/><Relationship Id="rId1275" Type="http://schemas.openxmlformats.org/officeDocument/2006/relationships/hyperlink" Target="https://www.facebook.com/xhianglee" TargetMode="External"/><Relationship Id="rId1482" Type="http://schemas.openxmlformats.org/officeDocument/2006/relationships/hyperlink" Target="https://www.facebook.com/rapplerdotcom/photos/a.317154781638645/5597116770309060/" TargetMode="External"/><Relationship Id="rId2119" Type="http://schemas.openxmlformats.org/officeDocument/2006/relationships/hyperlink" Target="https://www.facebook.com/maceciliamf" TargetMode="External"/><Relationship Id="rId2326" Type="http://schemas.openxmlformats.org/officeDocument/2006/relationships/hyperlink" Target="https://www.facebook.com/rapplerdotcom/posts/pfbid0TYP6syjYwznxJKdhWv9YMaXK9NvsSEhQ2cyyCQCPMvGapWXrQBHehywgT156wqNPl" TargetMode="External"/><Relationship Id="rId2533" Type="http://schemas.openxmlformats.org/officeDocument/2006/relationships/hyperlink" Target="https://www.facebook.com/emman.montenegro.1" TargetMode="External"/><Relationship Id="rId2740" Type="http://schemas.openxmlformats.org/officeDocument/2006/relationships/hyperlink" Target="https://www.facebook.com/rapplerdotcom/photos/a.317154781638645/5595733810447356/" TargetMode="External"/><Relationship Id="rId5689" Type="http://schemas.openxmlformats.org/officeDocument/2006/relationships/hyperlink" Target="https://www.facebook.com/rapplerdotcom/photos/a.317154781638645/5594453700575367/" TargetMode="External"/><Relationship Id="rId5896" Type="http://schemas.openxmlformats.org/officeDocument/2006/relationships/hyperlink" Target="https://www.facebook.com/marilyn.a.ferrer" TargetMode="External"/><Relationship Id="rId505" Type="http://schemas.openxmlformats.org/officeDocument/2006/relationships/hyperlink" Target="https://www.facebook.com/rapplerdotcom/photos/a.317154781638645/5598220220198715/" TargetMode="External"/><Relationship Id="rId712" Type="http://schemas.openxmlformats.org/officeDocument/2006/relationships/hyperlink" Target="https://www.facebook.com/rapplerdotcom/photos/a.317154781638645/5597612220259515/" TargetMode="External"/><Relationship Id="rId1135" Type="http://schemas.openxmlformats.org/officeDocument/2006/relationships/hyperlink" Target="https://www.facebook.com/smileatmeliz" TargetMode="External"/><Relationship Id="rId1342" Type="http://schemas.openxmlformats.org/officeDocument/2006/relationships/hyperlink" Target="https://www.facebook.com/rapplerdotcom/photos/a.317154781638645/5597116770309060/" TargetMode="External"/><Relationship Id="rId4498" Type="http://schemas.openxmlformats.org/officeDocument/2006/relationships/hyperlink" Target="https://www.facebook.com/jetskipogi019" TargetMode="External"/><Relationship Id="rId5549" Type="http://schemas.openxmlformats.org/officeDocument/2006/relationships/hyperlink" Target="https://www.facebook.com/rapplerdotcom/photos/a.317154781638645/5594453700575367/" TargetMode="External"/><Relationship Id="rId1202" Type="http://schemas.openxmlformats.org/officeDocument/2006/relationships/hyperlink" Target="https://www.facebook.com/rapplerdotcom/posts/pfbid023goEfA6e1ABSWYJFy8fQ5LFWDv4QTSTmAfzySGtMSpy12iqywB2MUZjiZ8GjCxrGl" TargetMode="External"/><Relationship Id="rId2600" Type="http://schemas.openxmlformats.org/officeDocument/2006/relationships/hyperlink" Target="https://www.facebook.com/rapplerdotcom/photos/a.317154781638645/5595733810447356/" TargetMode="External"/><Relationship Id="rId4358" Type="http://schemas.openxmlformats.org/officeDocument/2006/relationships/hyperlink" Target="https://www.facebook.com/janice.arroyo.98837" TargetMode="External"/><Relationship Id="rId5409" Type="http://schemas.openxmlformats.org/officeDocument/2006/relationships/hyperlink" Target="https://www.facebook.com/watch/live/?ref=watch_permalink&amp;v=312865720941798" TargetMode="External"/><Relationship Id="rId5756" Type="http://schemas.openxmlformats.org/officeDocument/2006/relationships/hyperlink" Target="https://www.facebook.com/enrico.valentin" TargetMode="External"/><Relationship Id="rId5963" Type="http://schemas.openxmlformats.org/officeDocument/2006/relationships/hyperlink" Target="https://www.facebook.com/rapplerdotcom/photos/a.317154781638645/5594359700584767/" TargetMode="External"/><Relationship Id="rId3167" Type="http://schemas.openxmlformats.org/officeDocument/2006/relationships/hyperlink" Target="https://www.facebook.com/madz.flores.18" TargetMode="External"/><Relationship Id="rId4565" Type="http://schemas.openxmlformats.org/officeDocument/2006/relationships/hyperlink" Target="https://www.facebook.com/watch/live/?ref=watch_permalink&amp;v=923735834984653" TargetMode="External"/><Relationship Id="rId4772" Type="http://schemas.openxmlformats.org/officeDocument/2006/relationships/hyperlink" Target="https://www.facebook.com/micoleizon" TargetMode="External"/><Relationship Id="rId5616" Type="http://schemas.openxmlformats.org/officeDocument/2006/relationships/hyperlink" Target="https://www.facebook.com/milanituda" TargetMode="External"/><Relationship Id="rId5823" Type="http://schemas.openxmlformats.org/officeDocument/2006/relationships/hyperlink" Target="https://www.facebook.com/rapplerdotcom/photos/a.317154781638645/5594453700575367/" TargetMode="External"/><Relationship Id="rId295" Type="http://schemas.openxmlformats.org/officeDocument/2006/relationships/hyperlink" Target="https://www.facebook.com/rapplerdotcom/photos/a.317154781638645/5598220220198715/" TargetMode="External"/><Relationship Id="rId3374" Type="http://schemas.openxmlformats.org/officeDocument/2006/relationships/hyperlink" Target="https://www.facebook.com/rapplerdotcom/photos/a.317154781638645/5595372260483511/" TargetMode="External"/><Relationship Id="rId3581" Type="http://schemas.openxmlformats.org/officeDocument/2006/relationships/hyperlink" Target="https://www.facebook.com/sham.cunanan.7" TargetMode="External"/><Relationship Id="rId4218" Type="http://schemas.openxmlformats.org/officeDocument/2006/relationships/hyperlink" Target="https://www.facebook.com/rapplerdotcom/photos/a.317154781638645/5594954703858600/" TargetMode="External"/><Relationship Id="rId4425" Type="http://schemas.openxmlformats.org/officeDocument/2006/relationships/hyperlink" Target="https://www.facebook.com/rapplerdotcom/photos/a.317154781638645/5594954703858600/" TargetMode="External"/><Relationship Id="rId4632" Type="http://schemas.openxmlformats.org/officeDocument/2006/relationships/hyperlink" Target="https://www.facebook.com/marcelyn.arcellano" TargetMode="External"/><Relationship Id="rId2183" Type="http://schemas.openxmlformats.org/officeDocument/2006/relationships/hyperlink" Target="https://www.facebook.com/arlene.buela.9" TargetMode="External"/><Relationship Id="rId2390" Type="http://schemas.openxmlformats.org/officeDocument/2006/relationships/hyperlink" Target="https://www.facebook.com/rapplerdotcom/posts/pfbid0TYP6syjYwznxJKdhWv9YMaXK9NvsSEhQ2cyyCQCPMvGapWXrQBHehywgT156wqNPl" TargetMode="External"/><Relationship Id="rId3027" Type="http://schemas.openxmlformats.org/officeDocument/2006/relationships/hyperlink" Target="https://www.facebook.com/gin.elle.100" TargetMode="External"/><Relationship Id="rId3234" Type="http://schemas.openxmlformats.org/officeDocument/2006/relationships/hyperlink" Target="https://www.facebook.com/watch/live/?ref=watch_permalink&amp;v=332681445500650" TargetMode="External"/><Relationship Id="rId3441" Type="http://schemas.openxmlformats.org/officeDocument/2006/relationships/hyperlink" Target="https://www.facebook.com/lily.maglalang" TargetMode="External"/><Relationship Id="rId155" Type="http://schemas.openxmlformats.org/officeDocument/2006/relationships/hyperlink" Target="https://www.facebook.com/kristian.arceo" TargetMode="External"/><Relationship Id="rId362" Type="http://schemas.openxmlformats.org/officeDocument/2006/relationships/hyperlink" Target="https://www.facebook.com/champoybulletelbow" TargetMode="External"/><Relationship Id="rId2043" Type="http://schemas.openxmlformats.org/officeDocument/2006/relationships/hyperlink" Target="https://www.facebook.com/micdyguevarra" TargetMode="External"/><Relationship Id="rId2250" Type="http://schemas.openxmlformats.org/officeDocument/2006/relationships/hyperlink" Target="https://www.facebook.com/rapplerdotcom/photos/a.317154781638645/5596022273751843/" TargetMode="External"/><Relationship Id="rId3301" Type="http://schemas.openxmlformats.org/officeDocument/2006/relationships/hyperlink" Target="https://www.facebook.com/nel.almira.1" TargetMode="External"/><Relationship Id="rId5199" Type="http://schemas.openxmlformats.org/officeDocument/2006/relationships/hyperlink" Target="https://www.facebook.com/rapplerdotcom/photos/a.317154781638645/5594264657260938/" TargetMode="External"/><Relationship Id="rId222" Type="http://schemas.openxmlformats.org/officeDocument/2006/relationships/hyperlink" Target="https://www.facebook.com/rapplerdotcom/posts/pfbid0DUh4iFcrxZuR1UbiGhcAHcMdzsaV29GSeHCY1HabtqcnUWkjStX9TDaVqzzt92GDl" TargetMode="External"/><Relationship Id="rId2110" Type="http://schemas.openxmlformats.org/officeDocument/2006/relationships/hyperlink" Target="https://www.facebook.com/rapplerdotcom/photos/a.317154781638645/5596022273751843/" TargetMode="External"/><Relationship Id="rId5059" Type="http://schemas.openxmlformats.org/officeDocument/2006/relationships/hyperlink" Target="https://www.facebook.com/rapplerdotcom/posts/pfbid0231hbcbuKeQLDkPH8oZAdZbuU8MPPgRANx152V3xWpbjZ6EvfpohwQMvxHYAgrGPul" TargetMode="External"/><Relationship Id="rId5266" Type="http://schemas.openxmlformats.org/officeDocument/2006/relationships/hyperlink" Target="https://www.facebook.com/melchor.serawom" TargetMode="External"/><Relationship Id="rId5473" Type="http://schemas.openxmlformats.org/officeDocument/2006/relationships/hyperlink" Target="https://www.facebook.com/watch/live/?ref=watch_permalink&amp;v=312865720941798" TargetMode="External"/><Relationship Id="rId5680" Type="http://schemas.openxmlformats.org/officeDocument/2006/relationships/hyperlink" Target="https://www.facebook.com/lalang.uv.3" TargetMode="External"/><Relationship Id="rId4075" Type="http://schemas.openxmlformats.org/officeDocument/2006/relationships/hyperlink" Target="https://www.facebook.com/alma.bautista.148" TargetMode="External"/><Relationship Id="rId4282" Type="http://schemas.openxmlformats.org/officeDocument/2006/relationships/hyperlink" Target="https://www.facebook.com/ronald.lojares" TargetMode="External"/><Relationship Id="rId5126" Type="http://schemas.openxmlformats.org/officeDocument/2006/relationships/hyperlink" Target="https://www.facebook.com/ching8ramon" TargetMode="External"/><Relationship Id="rId5333" Type="http://schemas.openxmlformats.org/officeDocument/2006/relationships/hyperlink" Target="https://www.facebook.com/rapplerdotcom/photos/a.317154781638645/5594264657260938/" TargetMode="External"/><Relationship Id="rId1669" Type="http://schemas.openxmlformats.org/officeDocument/2006/relationships/hyperlink" Target="https://www.facebook.com/eddie.d.cruz.7" TargetMode="External"/><Relationship Id="rId1876" Type="http://schemas.openxmlformats.org/officeDocument/2006/relationships/hyperlink" Target="https://www.facebook.com/rapplerdotcom/photos/a.317154781638645/5596043783749692/" TargetMode="External"/><Relationship Id="rId2927" Type="http://schemas.openxmlformats.org/officeDocument/2006/relationships/hyperlink" Target="https://www.facebook.com/nathann.delacruz.1" TargetMode="External"/><Relationship Id="rId3091" Type="http://schemas.openxmlformats.org/officeDocument/2006/relationships/hyperlink" Target="https://www.facebook.com/romer.carredo" TargetMode="External"/><Relationship Id="rId4142" Type="http://schemas.openxmlformats.org/officeDocument/2006/relationships/hyperlink" Target="https://www.facebook.com/rapplerdotcom/photos/a.317154781638645/5594954703858600/" TargetMode="External"/><Relationship Id="rId5540" Type="http://schemas.openxmlformats.org/officeDocument/2006/relationships/hyperlink" Target="https://www.facebook.com/TheWillsanity" TargetMode="External"/><Relationship Id="rId1529" Type="http://schemas.openxmlformats.org/officeDocument/2006/relationships/hyperlink" Target="https://www.facebook.com/profile.php?id=100078611073162" TargetMode="External"/><Relationship Id="rId1736" Type="http://schemas.openxmlformats.org/officeDocument/2006/relationships/hyperlink" Target="https://www.facebook.com/rapplerdotcom/photos/a.317154781638645/5596043783749692/" TargetMode="External"/><Relationship Id="rId1943" Type="http://schemas.openxmlformats.org/officeDocument/2006/relationships/hyperlink" Target="https://www.facebook.com/cherrylynyapchapco.diaz" TargetMode="External"/><Relationship Id="rId5400" Type="http://schemas.openxmlformats.org/officeDocument/2006/relationships/hyperlink" Target="https://www.facebook.com/lanimasangkay" TargetMode="External"/><Relationship Id="rId28" Type="http://schemas.openxmlformats.org/officeDocument/2006/relationships/hyperlink" Target="https://www.facebook.com/rapplerdotcom/posts/pfbid0DUh4iFcrxZuR1UbiGhcAHcMdzsaV29GSeHCY1HabtqcnUWkjStX9TDaVqzzt92GDl" TargetMode="External"/><Relationship Id="rId1803" Type="http://schemas.openxmlformats.org/officeDocument/2006/relationships/hyperlink" Target="https://www.facebook.com/kathrenkaye" TargetMode="External"/><Relationship Id="rId4002" Type="http://schemas.openxmlformats.org/officeDocument/2006/relationships/hyperlink" Target="https://www.facebook.com/rapplerdotcom/posts/pfbid0dyWpzxim3h4Z2SYriGakwQw85p7BCAgct7KU5EiMX1bmmgNHDD8nmES8rjrADsrPl" TargetMode="External"/><Relationship Id="rId4959" Type="http://schemas.openxmlformats.org/officeDocument/2006/relationships/hyperlink" Target="https://www.facebook.com/rapplerdotcom/posts/pfbid02BCyyacWVuuu1bwX5PwYK8PvqDGTANxekqEMy7qyV9vMmaGKTbC8sBf7i5j3Wbx9Ll" TargetMode="External"/><Relationship Id="rId3768" Type="http://schemas.openxmlformats.org/officeDocument/2006/relationships/hyperlink" Target="https://www.facebook.com/rapplerdotcom/posts/pfbid0dyWpzxim3h4Z2SYriGakwQw85p7BCAgct7KU5EiMX1bmmgNHDD8nmES8rjrADsrPl" TargetMode="External"/><Relationship Id="rId3975" Type="http://schemas.openxmlformats.org/officeDocument/2006/relationships/hyperlink" Target="https://www.facebook.com/profile.php?id=100007917738516" TargetMode="External"/><Relationship Id="rId4819" Type="http://schemas.openxmlformats.org/officeDocument/2006/relationships/hyperlink" Target="https://www.facebook.com/watch/live/?ref=watch_permalink&amp;v=923735834984653" TargetMode="External"/><Relationship Id="rId6174" Type="http://schemas.openxmlformats.org/officeDocument/2006/relationships/hyperlink" Target="https://www.facebook.com/addie.arano" TargetMode="External"/><Relationship Id="rId689" Type="http://schemas.openxmlformats.org/officeDocument/2006/relationships/hyperlink" Target="https://www.facebook.com/mean.agustin" TargetMode="External"/><Relationship Id="rId896" Type="http://schemas.openxmlformats.org/officeDocument/2006/relationships/hyperlink" Target="https://www.facebook.com/rapplerdotcom/photos/a.317154781638645/5597592673594803/" TargetMode="External"/><Relationship Id="rId2577" Type="http://schemas.openxmlformats.org/officeDocument/2006/relationships/hyperlink" Target="https://www.facebook.com/profile.php?id=100011150311111" TargetMode="External"/><Relationship Id="rId2784" Type="http://schemas.openxmlformats.org/officeDocument/2006/relationships/hyperlink" Target="https://www.facebook.com/watch/?v=570590637273208" TargetMode="External"/><Relationship Id="rId3628" Type="http://schemas.openxmlformats.org/officeDocument/2006/relationships/hyperlink" Target="https://www.facebook.com/rapplerdotcom/photos/a.317154781638645/5595372260483511/" TargetMode="External"/><Relationship Id="rId5190" Type="http://schemas.openxmlformats.org/officeDocument/2006/relationships/hyperlink" Target="https://www.facebook.com/reniel.carandang.56" TargetMode="External"/><Relationship Id="rId6034" Type="http://schemas.openxmlformats.org/officeDocument/2006/relationships/hyperlink" Target="https://www.facebook.com/julsrey.nioko" TargetMode="External"/><Relationship Id="rId549" Type="http://schemas.openxmlformats.org/officeDocument/2006/relationships/hyperlink" Target="https://www.facebook.com/ken.chiz.393" TargetMode="External"/><Relationship Id="rId756" Type="http://schemas.openxmlformats.org/officeDocument/2006/relationships/hyperlink" Target="https://www.facebook.com/rapplerdotcom/photos/a.317154781638645/5597612220259515/" TargetMode="External"/><Relationship Id="rId1179" Type="http://schemas.openxmlformats.org/officeDocument/2006/relationships/hyperlink" Target="https://www.facebook.com/paye.dionisio" TargetMode="External"/><Relationship Id="rId1386" Type="http://schemas.openxmlformats.org/officeDocument/2006/relationships/hyperlink" Target="https://www.facebook.com/rapplerdotcom/photos/a.317154781638645/5597116770309060/" TargetMode="External"/><Relationship Id="rId1593" Type="http://schemas.openxmlformats.org/officeDocument/2006/relationships/hyperlink" Target="https://www.facebook.com/DBTunacao" TargetMode="External"/><Relationship Id="rId2437" Type="http://schemas.openxmlformats.org/officeDocument/2006/relationships/hyperlink" Target="https://www.facebook.com/aprillyn.factor" TargetMode="External"/><Relationship Id="rId2991" Type="http://schemas.openxmlformats.org/officeDocument/2006/relationships/hyperlink" Target="https://www.facebook.com/sandra.siaton" TargetMode="External"/><Relationship Id="rId3835" Type="http://schemas.openxmlformats.org/officeDocument/2006/relationships/hyperlink" Target="https://www.facebook.com/vhen.ayupan" TargetMode="External"/><Relationship Id="rId5050" Type="http://schemas.openxmlformats.org/officeDocument/2006/relationships/hyperlink" Target="https://www.facebook.com/profile.php?id=100011366202531" TargetMode="External"/><Relationship Id="rId6101" Type="http://schemas.openxmlformats.org/officeDocument/2006/relationships/hyperlink" Target="https://www.facebook.com/rapplerdotcom/photos/a.317154781638645/5594359700584767/" TargetMode="External"/><Relationship Id="rId409" Type="http://schemas.openxmlformats.org/officeDocument/2006/relationships/hyperlink" Target="https://www.facebook.com/rapplerdotcom/photos/a.317154781638645/5598220220198715/" TargetMode="External"/><Relationship Id="rId963" Type="http://schemas.openxmlformats.org/officeDocument/2006/relationships/hyperlink" Target="https://www.facebook.com/jun.pereo" TargetMode="External"/><Relationship Id="rId1039" Type="http://schemas.openxmlformats.org/officeDocument/2006/relationships/hyperlink" Target="https://www.facebook.com/danielle.jacque.5" TargetMode="External"/><Relationship Id="rId1246" Type="http://schemas.openxmlformats.org/officeDocument/2006/relationships/hyperlink" Target="https://www.facebook.com/rapplerdotcom/posts/pfbid023goEfA6e1ABSWYJFy8fQ5LFWDv4QTSTmAfzySGtMSpy12iqywB2MUZjiZ8GjCxrGl" TargetMode="External"/><Relationship Id="rId2644" Type="http://schemas.openxmlformats.org/officeDocument/2006/relationships/hyperlink" Target="https://www.facebook.com/rapplerdotcom/photos/a.317154781638645/5595733810447356/" TargetMode="External"/><Relationship Id="rId2851" Type="http://schemas.openxmlformats.org/officeDocument/2006/relationships/hyperlink" Target="https://www.facebook.com/lizaabrigos" TargetMode="External"/><Relationship Id="rId3902" Type="http://schemas.openxmlformats.org/officeDocument/2006/relationships/hyperlink" Target="https://www.facebook.com/rapplerdotcom/posts/pfbid0dyWpzxim3h4Z2SYriGakwQw85p7BCAgct7KU5EiMX1bmmgNHDD8nmES8rjrADsrPl" TargetMode="External"/><Relationship Id="rId92" Type="http://schemas.openxmlformats.org/officeDocument/2006/relationships/hyperlink" Target="https://www.facebook.com/rapplerdotcom/posts/pfbid0DUh4iFcrxZuR1UbiGhcAHcMdzsaV29GSeHCY1HabtqcnUWkjStX9TDaVqzzt92GDl" TargetMode="External"/><Relationship Id="rId616" Type="http://schemas.openxmlformats.org/officeDocument/2006/relationships/hyperlink" Target="https://www.facebook.com/rapplerdotcom/photos/a.317154781638645/5597874143566656" TargetMode="External"/><Relationship Id="rId823" Type="http://schemas.openxmlformats.org/officeDocument/2006/relationships/hyperlink" Target="https://www.facebook.com/jedmichael.ognayon" TargetMode="External"/><Relationship Id="rId1453" Type="http://schemas.openxmlformats.org/officeDocument/2006/relationships/hyperlink" Target="https://www.facebook.com/jayfox73" TargetMode="External"/><Relationship Id="rId1660" Type="http://schemas.openxmlformats.org/officeDocument/2006/relationships/hyperlink" Target="https://www.facebook.com/rapplerdotcom/posts/pfbid02AsSA4LQqjQ2Y8SVathQmtduoE3fhoGvQSNhvrzsMerDaJSQJ6jDvApCCiuaE7XCol" TargetMode="External"/><Relationship Id="rId2504" Type="http://schemas.openxmlformats.org/officeDocument/2006/relationships/hyperlink" Target="https://www.facebook.com/rapplerdotcom/posts/pfbid0TYP6syjYwznxJKdhWv9YMaXK9NvsSEhQ2cyyCQCPMvGapWXrQBHehywgT156wqNPl" TargetMode="External"/><Relationship Id="rId2711" Type="http://schemas.openxmlformats.org/officeDocument/2006/relationships/hyperlink" Target="https://www.facebook.com/davidlacsina4" TargetMode="External"/><Relationship Id="rId5867" Type="http://schemas.openxmlformats.org/officeDocument/2006/relationships/hyperlink" Target="https://www.facebook.com/rapplerdotcom/photos/a.317154781638645/5594453700575367/" TargetMode="External"/><Relationship Id="rId1106" Type="http://schemas.openxmlformats.org/officeDocument/2006/relationships/hyperlink" Target="https://www.facebook.com/rapplerdotcom/posts/pfbid028Kg188FmebKa4aFvHZNp8zGTwjghWDDJuUmQ8agbSCvGAGJHZ7pBH9NmxLBmPZZdl" TargetMode="External"/><Relationship Id="rId1313" Type="http://schemas.openxmlformats.org/officeDocument/2006/relationships/hyperlink" Target="https://www.facebook.com/ronilo.tamares.5" TargetMode="External"/><Relationship Id="rId1520" Type="http://schemas.openxmlformats.org/officeDocument/2006/relationships/hyperlink" Target="https://www.facebook.com/rapplerdotcom/photos/a.317154781638645/5597116770309060/" TargetMode="External"/><Relationship Id="rId4469" Type="http://schemas.openxmlformats.org/officeDocument/2006/relationships/hyperlink" Target="https://www.facebook.com/rapplerdotcom/photos/a.317154781638645/5594954703858600/" TargetMode="External"/><Relationship Id="rId4676" Type="http://schemas.openxmlformats.org/officeDocument/2006/relationships/hyperlink" Target="https://www.facebook.com/lodi.malupet.79" TargetMode="External"/><Relationship Id="rId4883" Type="http://schemas.openxmlformats.org/officeDocument/2006/relationships/hyperlink" Target="https://www.facebook.com/watch/live/?ref=watch_permalink&amp;v=923735834984653" TargetMode="External"/><Relationship Id="rId5727" Type="http://schemas.openxmlformats.org/officeDocument/2006/relationships/hyperlink" Target="https://www.facebook.com/rapplerdotcom/photos/a.317154781638645/5594453700575367/" TargetMode="External"/><Relationship Id="rId5934" Type="http://schemas.openxmlformats.org/officeDocument/2006/relationships/hyperlink" Target="https://www.facebook.com/bong.nicdao.3" TargetMode="External"/><Relationship Id="rId3278" Type="http://schemas.openxmlformats.org/officeDocument/2006/relationships/hyperlink" Target="https://www.facebook.com/rapplerdotcom/photos/a.317154781638645/5595372260483511/" TargetMode="External"/><Relationship Id="rId3485" Type="http://schemas.openxmlformats.org/officeDocument/2006/relationships/hyperlink" Target="https://www.facebook.com/cyrilljoy.baldera.3" TargetMode="External"/><Relationship Id="rId3692" Type="http://schemas.openxmlformats.org/officeDocument/2006/relationships/hyperlink" Target="https://www.facebook.com/rapplerdotcom/photos/a.317154781638645/5595162900504447/" TargetMode="External"/><Relationship Id="rId4329" Type="http://schemas.openxmlformats.org/officeDocument/2006/relationships/hyperlink" Target="https://www.facebook.com/rapplerdotcom/photos/a.317154781638645/5594954703858600/" TargetMode="External"/><Relationship Id="rId4536" Type="http://schemas.openxmlformats.org/officeDocument/2006/relationships/hyperlink" Target="https://www.facebook.com/profile.php?id=100070149226427" TargetMode="External"/><Relationship Id="rId4743" Type="http://schemas.openxmlformats.org/officeDocument/2006/relationships/hyperlink" Target="https://www.facebook.com/watch/live/?ref=watch_permalink&amp;v=923735834984653" TargetMode="External"/><Relationship Id="rId4950" Type="http://schemas.openxmlformats.org/officeDocument/2006/relationships/hyperlink" Target="https://www.facebook.com/melinda.santelices" TargetMode="External"/><Relationship Id="rId199" Type="http://schemas.openxmlformats.org/officeDocument/2006/relationships/hyperlink" Target="https://www.facebook.com/axljansantos" TargetMode="External"/><Relationship Id="rId2087" Type="http://schemas.openxmlformats.org/officeDocument/2006/relationships/hyperlink" Target="https://www.facebook.com/Theresa074" TargetMode="External"/><Relationship Id="rId2294" Type="http://schemas.openxmlformats.org/officeDocument/2006/relationships/hyperlink" Target="https://www.facebook.com/rapplerdotcom/photos/a.317154781638645/5596022273751843/" TargetMode="External"/><Relationship Id="rId3138" Type="http://schemas.openxmlformats.org/officeDocument/2006/relationships/hyperlink" Target="https://www.facebook.com/watch/live/?ref=watch_permalink&amp;v=360307549312104" TargetMode="External"/><Relationship Id="rId3345" Type="http://schemas.openxmlformats.org/officeDocument/2006/relationships/hyperlink" Target="https://www.facebook.com/junior.pontongan" TargetMode="External"/><Relationship Id="rId3552" Type="http://schemas.openxmlformats.org/officeDocument/2006/relationships/hyperlink" Target="https://www.facebook.com/rapplerdotcom/photos/a.317154781638645/5595372260483511/" TargetMode="External"/><Relationship Id="rId4603" Type="http://schemas.openxmlformats.org/officeDocument/2006/relationships/hyperlink" Target="https://www.facebook.com/watch/live/?ref=watch_permalink&amp;v=923735834984653" TargetMode="External"/><Relationship Id="rId266" Type="http://schemas.openxmlformats.org/officeDocument/2006/relationships/hyperlink" Target="https://www.facebook.com/elizabeth.bondad" TargetMode="External"/><Relationship Id="rId473" Type="http://schemas.openxmlformats.org/officeDocument/2006/relationships/hyperlink" Target="https://www.facebook.com/rapplerdotcom/photos/a.317154781638645/5598220220198715/" TargetMode="External"/><Relationship Id="rId680" Type="http://schemas.openxmlformats.org/officeDocument/2006/relationships/hyperlink" Target="https://www.facebook.com/rapplerdotcom/photos/a.317154781638645/5597612220259515/" TargetMode="External"/><Relationship Id="rId2154" Type="http://schemas.openxmlformats.org/officeDocument/2006/relationships/hyperlink" Target="https://www.facebook.com/rapplerdotcom/photos/a.317154781638645/5596022273751843/" TargetMode="External"/><Relationship Id="rId2361" Type="http://schemas.openxmlformats.org/officeDocument/2006/relationships/hyperlink" Target="https://www.facebook.com/ligaya.acsay" TargetMode="External"/><Relationship Id="rId3205" Type="http://schemas.openxmlformats.org/officeDocument/2006/relationships/hyperlink" Target="https://www.facebook.com/istib.sabater.3" TargetMode="External"/><Relationship Id="rId3412" Type="http://schemas.openxmlformats.org/officeDocument/2006/relationships/hyperlink" Target="https://www.facebook.com/rapplerdotcom/photos/a.317154781638645/5595372260483511/" TargetMode="External"/><Relationship Id="rId4810" Type="http://schemas.openxmlformats.org/officeDocument/2006/relationships/hyperlink" Target="https://www.facebook.com/nelia.forteza.1" TargetMode="External"/><Relationship Id="rId126" Type="http://schemas.openxmlformats.org/officeDocument/2006/relationships/hyperlink" Target="https://www.facebook.com/rapplerdotcom/posts/pfbid0DUh4iFcrxZuR1UbiGhcAHcMdzsaV29GSeHCY1HabtqcnUWkjStX9TDaVqzzt92GDl" TargetMode="External"/><Relationship Id="rId333" Type="http://schemas.openxmlformats.org/officeDocument/2006/relationships/hyperlink" Target="https://www.facebook.com/rapplerdotcom/photos/a.317154781638645/5598220220198715/" TargetMode="External"/><Relationship Id="rId540" Type="http://schemas.openxmlformats.org/officeDocument/2006/relationships/hyperlink" Target="https://www.facebook.com/pipip.tan" TargetMode="External"/><Relationship Id="rId1170" Type="http://schemas.openxmlformats.org/officeDocument/2006/relationships/hyperlink" Target="https://www.facebook.com/rapplerdotcom/posts/pfbid02dNgAR64VTtp94Rus4o9MNbU55E2H9Wp7KMKzJGkk6u4UxRyHU8j2pPpwa5iwGcD3l" TargetMode="External"/><Relationship Id="rId2014" Type="http://schemas.openxmlformats.org/officeDocument/2006/relationships/hyperlink" Target="https://www.facebook.com/rapplerdotcom/photos/a.317154781638645/5596022273751843/" TargetMode="External"/><Relationship Id="rId2221" Type="http://schemas.openxmlformats.org/officeDocument/2006/relationships/hyperlink" Target="https://www.facebook.com/rmdsierra" TargetMode="External"/><Relationship Id="rId5377" Type="http://schemas.openxmlformats.org/officeDocument/2006/relationships/hyperlink" Target="https://www.facebook.com/rapplerdotcom/photos/a.317154781638645/5594264657260938/" TargetMode="External"/><Relationship Id="rId1030" Type="http://schemas.openxmlformats.org/officeDocument/2006/relationships/hyperlink" Target="https://www.facebook.com/rapplerdotcom/photos/a.317154781638645/5597592673594803/" TargetMode="External"/><Relationship Id="rId4186" Type="http://schemas.openxmlformats.org/officeDocument/2006/relationships/hyperlink" Target="https://www.facebook.com/rapplerdotcom/photos/a.317154781638645/5594954703858600/" TargetMode="External"/><Relationship Id="rId5584" Type="http://schemas.openxmlformats.org/officeDocument/2006/relationships/hyperlink" Target="https://www.facebook.com/azucena.dumaop" TargetMode="External"/><Relationship Id="rId5791" Type="http://schemas.openxmlformats.org/officeDocument/2006/relationships/hyperlink" Target="https://www.facebook.com/rapplerdotcom/photos/a.317154781638645/5594453700575367/" TargetMode="External"/><Relationship Id="rId400" Type="http://schemas.openxmlformats.org/officeDocument/2006/relationships/hyperlink" Target="https://www.facebook.com/gonb.tibabs" TargetMode="External"/><Relationship Id="rId1987" Type="http://schemas.openxmlformats.org/officeDocument/2006/relationships/hyperlink" Target="https://www.facebook.com/terrence.co" TargetMode="External"/><Relationship Id="rId4393" Type="http://schemas.openxmlformats.org/officeDocument/2006/relationships/hyperlink" Target="https://www.facebook.com/rapplerdotcom/photos/a.317154781638645/5594954703858600/" TargetMode="External"/><Relationship Id="rId5237" Type="http://schemas.openxmlformats.org/officeDocument/2006/relationships/hyperlink" Target="https://www.facebook.com/rapplerdotcom/photos/a.317154781638645/5594264657260938/" TargetMode="External"/><Relationship Id="rId5444" Type="http://schemas.openxmlformats.org/officeDocument/2006/relationships/hyperlink" Target="https://www.facebook.com/profile.php?id=100070842512295" TargetMode="External"/><Relationship Id="rId5651" Type="http://schemas.openxmlformats.org/officeDocument/2006/relationships/hyperlink" Target="https://www.facebook.com/rapplerdotcom/photos/a.317154781638645/5594453700575367/" TargetMode="External"/><Relationship Id="rId1847" Type="http://schemas.openxmlformats.org/officeDocument/2006/relationships/hyperlink" Target="https://www.facebook.com/sonny.marano.3" TargetMode="External"/><Relationship Id="rId4046" Type="http://schemas.openxmlformats.org/officeDocument/2006/relationships/hyperlink" Target="https://www.facebook.com/rapplerdotcom/posts/pfbid02kmyrDmvYtHxz51VdR228sTCyvbHYDrwL4TgeoVAenoprSKkWhUFLyRmAuKBuGtXXl" TargetMode="External"/><Relationship Id="rId4253" Type="http://schemas.openxmlformats.org/officeDocument/2006/relationships/hyperlink" Target="https://www.facebook.com/rapplerdotcom/photos/a.317154781638645/5594954703858600/" TargetMode="External"/><Relationship Id="rId4460" Type="http://schemas.openxmlformats.org/officeDocument/2006/relationships/hyperlink" Target="https://www.facebook.com/gina.besinga" TargetMode="External"/><Relationship Id="rId5304" Type="http://schemas.openxmlformats.org/officeDocument/2006/relationships/hyperlink" Target="https://www.facebook.com/tochie.gray.5" TargetMode="External"/><Relationship Id="rId5511" Type="http://schemas.openxmlformats.org/officeDocument/2006/relationships/hyperlink" Target="https://www.facebook.com/rapplerdotcom/photos/a.317154781638645/5594453700575367/" TargetMode="External"/><Relationship Id="rId1707" Type="http://schemas.openxmlformats.org/officeDocument/2006/relationships/hyperlink" Target="https://www.facebook.com/profile.php?id=100013008619170" TargetMode="External"/><Relationship Id="rId3062" Type="http://schemas.openxmlformats.org/officeDocument/2006/relationships/hyperlink" Target="https://www.facebook.com/watch/live/?ref=watch_permalink&amp;v=360307549312104" TargetMode="External"/><Relationship Id="rId4113" Type="http://schemas.openxmlformats.org/officeDocument/2006/relationships/hyperlink" Target="https://www.facebook.com/profile.php?id=100077976516349" TargetMode="External"/><Relationship Id="rId4320" Type="http://schemas.openxmlformats.org/officeDocument/2006/relationships/hyperlink" Target="https://www.facebook.com/CornerPrinter.ph" TargetMode="External"/><Relationship Id="rId190" Type="http://schemas.openxmlformats.org/officeDocument/2006/relationships/hyperlink" Target="https://www.facebook.com/rapplerdotcom/posts/pfbid0DUh4iFcrxZuR1UbiGhcAHcMdzsaV29GSeHCY1HabtqcnUWkjStX9TDaVqzzt92GDl" TargetMode="External"/><Relationship Id="rId1914" Type="http://schemas.openxmlformats.org/officeDocument/2006/relationships/hyperlink" Target="https://www.facebook.com/rapplerdotcom/photos/a.317154781638645/5596043783749692/" TargetMode="External"/><Relationship Id="rId6078" Type="http://schemas.openxmlformats.org/officeDocument/2006/relationships/hyperlink" Target="https://www.facebook.com/ragrag.alb" TargetMode="External"/><Relationship Id="rId3879" Type="http://schemas.openxmlformats.org/officeDocument/2006/relationships/hyperlink" Target="https://www.facebook.com/kaesi.katakamu" TargetMode="External"/><Relationship Id="rId5094" Type="http://schemas.openxmlformats.org/officeDocument/2006/relationships/hyperlink" Target="https://www.facebook.com/kram.nia.5" TargetMode="External"/><Relationship Id="rId6145" Type="http://schemas.openxmlformats.org/officeDocument/2006/relationships/hyperlink" Target="https://www.facebook.com/rapplerdotcom/posts/pfbid0JJW97xH5fR5tDSLUQ8AnEgkPMU9Aigs9CgcNy2Q7AzJY4R8mRoicBgu3PLdqpf2Tl" TargetMode="External"/><Relationship Id="rId2688" Type="http://schemas.openxmlformats.org/officeDocument/2006/relationships/hyperlink" Target="https://www.facebook.com/rapplerdotcom/photos/a.317154781638645/5595733810447356/" TargetMode="External"/><Relationship Id="rId2895" Type="http://schemas.openxmlformats.org/officeDocument/2006/relationships/hyperlink" Target="https://www.facebook.com/adelfa.abuda" TargetMode="External"/><Relationship Id="rId3739" Type="http://schemas.openxmlformats.org/officeDocument/2006/relationships/hyperlink" Target="https://www.facebook.com/profile.php?id=100009351123949" TargetMode="External"/><Relationship Id="rId3946" Type="http://schemas.openxmlformats.org/officeDocument/2006/relationships/hyperlink" Target="https://www.facebook.com/rapplerdotcom/posts/pfbid0dyWpzxim3h4Z2SYriGakwQw85p7BCAgct7KU5EiMX1bmmgNHDD8nmES8rjrADsrPl" TargetMode="External"/><Relationship Id="rId5161" Type="http://schemas.openxmlformats.org/officeDocument/2006/relationships/hyperlink" Target="https://www.facebook.com/rapplerdotcom/photos/a.317154781638645/5594264657260938/" TargetMode="External"/><Relationship Id="rId6005" Type="http://schemas.openxmlformats.org/officeDocument/2006/relationships/hyperlink" Target="https://www.facebook.com/rapplerdotcom/photos/a.317154781638645/5594359700584767/" TargetMode="External"/><Relationship Id="rId867" Type="http://schemas.openxmlformats.org/officeDocument/2006/relationships/hyperlink" Target="https://www.facebook.com/dubchaetzu1230" TargetMode="External"/><Relationship Id="rId1497" Type="http://schemas.openxmlformats.org/officeDocument/2006/relationships/hyperlink" Target="https://www.facebook.com/ferdinand.pacleb.37" TargetMode="External"/><Relationship Id="rId2548" Type="http://schemas.openxmlformats.org/officeDocument/2006/relationships/hyperlink" Target="https://www.facebook.com/rapplerdotcom/photos/a.317154781638645/5595733810447356/" TargetMode="External"/><Relationship Id="rId2755" Type="http://schemas.openxmlformats.org/officeDocument/2006/relationships/hyperlink" Target="https://www.facebook.com/roland.somera.129" TargetMode="External"/><Relationship Id="rId2962" Type="http://schemas.openxmlformats.org/officeDocument/2006/relationships/hyperlink" Target="https://www.facebook.com/watch/live/?ref=watch_permalink&amp;v=360307549312104" TargetMode="External"/><Relationship Id="rId3806" Type="http://schemas.openxmlformats.org/officeDocument/2006/relationships/hyperlink" Target="https://www.facebook.com/rapplerdotcom/posts/pfbid0dyWpzxim3h4Z2SYriGakwQw85p7BCAgct7KU5EiMX1bmmgNHDD8nmES8rjrADsrPl" TargetMode="External"/><Relationship Id="rId6212" Type="http://schemas.openxmlformats.org/officeDocument/2006/relationships/hyperlink" Target="https://www.facebook.com/profile.php?id=100069544954062" TargetMode="External"/><Relationship Id="rId727" Type="http://schemas.openxmlformats.org/officeDocument/2006/relationships/hyperlink" Target="https://www.facebook.com/gene.oarde" TargetMode="External"/><Relationship Id="rId934" Type="http://schemas.openxmlformats.org/officeDocument/2006/relationships/hyperlink" Target="https://www.facebook.com/rapplerdotcom/photos/a.317154781638645/5597592673594803/" TargetMode="External"/><Relationship Id="rId1357" Type="http://schemas.openxmlformats.org/officeDocument/2006/relationships/hyperlink" Target="https://www.facebook.com/liezl.malinao.1" TargetMode="External"/><Relationship Id="rId1564" Type="http://schemas.openxmlformats.org/officeDocument/2006/relationships/hyperlink" Target="https://www.facebook.com/rapplerdotcom/photos/a.317154781638645/5597116770309060/" TargetMode="External"/><Relationship Id="rId1771" Type="http://schemas.openxmlformats.org/officeDocument/2006/relationships/hyperlink" Target="https://www.facebook.com/profile.php?id=100009486210065" TargetMode="External"/><Relationship Id="rId2408" Type="http://schemas.openxmlformats.org/officeDocument/2006/relationships/hyperlink" Target="https://www.facebook.com/rapplerdotcom/posts/pfbid0TYP6syjYwznxJKdhWv9YMaXK9NvsSEhQ2cyyCQCPMvGapWXrQBHehywgT156wqNPl" TargetMode="External"/><Relationship Id="rId2615" Type="http://schemas.openxmlformats.org/officeDocument/2006/relationships/hyperlink" Target="https://www.facebook.com/sunday.dugong" TargetMode="External"/><Relationship Id="rId2822" Type="http://schemas.openxmlformats.org/officeDocument/2006/relationships/hyperlink" Target="https://www.facebook.com/watch/?v=570590637273208" TargetMode="External"/><Relationship Id="rId5021" Type="http://schemas.openxmlformats.org/officeDocument/2006/relationships/hyperlink" Target="https://www.facebook.com/rapplerdotcom/posts/pfbid02BCyyacWVuuu1bwX5PwYK8PvqDGTANxekqEMy7qyV9vMmaGKTbC8sBf7i5j3Wbx9Ll" TargetMode="External"/><Relationship Id="rId5978" Type="http://schemas.openxmlformats.org/officeDocument/2006/relationships/hyperlink" Target="https://www.facebook.com/neil.torreon.7" TargetMode="External"/><Relationship Id="rId63" Type="http://schemas.openxmlformats.org/officeDocument/2006/relationships/hyperlink" Target="https://www.facebook.com/berlanie18" TargetMode="External"/><Relationship Id="rId1217" Type="http://schemas.openxmlformats.org/officeDocument/2006/relationships/hyperlink" Target="https://www.facebook.com/imee.francia" TargetMode="External"/><Relationship Id="rId1424" Type="http://schemas.openxmlformats.org/officeDocument/2006/relationships/hyperlink" Target="https://www.facebook.com/rapplerdotcom/photos/a.317154781638645/5597116770309060/" TargetMode="External"/><Relationship Id="rId1631" Type="http://schemas.openxmlformats.org/officeDocument/2006/relationships/hyperlink" Target="https://www.facebook.com/rapkarl04" TargetMode="External"/><Relationship Id="rId4787" Type="http://schemas.openxmlformats.org/officeDocument/2006/relationships/hyperlink" Target="https://www.facebook.com/watch/live/?ref=watch_permalink&amp;v=923735834984653" TargetMode="External"/><Relationship Id="rId4994" Type="http://schemas.openxmlformats.org/officeDocument/2006/relationships/hyperlink" Target="https://www.facebook.com/john.p.garsula" TargetMode="External"/><Relationship Id="rId5838" Type="http://schemas.openxmlformats.org/officeDocument/2006/relationships/hyperlink" Target="https://www.facebook.com/beth.n.luna" TargetMode="External"/><Relationship Id="rId3389" Type="http://schemas.openxmlformats.org/officeDocument/2006/relationships/hyperlink" Target="https://www.facebook.com/eduardo.m.lombo" TargetMode="External"/><Relationship Id="rId3596" Type="http://schemas.openxmlformats.org/officeDocument/2006/relationships/hyperlink" Target="https://www.facebook.com/rapplerdotcom/photos/a.317154781638645/5595372260483511/" TargetMode="External"/><Relationship Id="rId4647" Type="http://schemas.openxmlformats.org/officeDocument/2006/relationships/hyperlink" Target="https://www.facebook.com/watch/live/?ref=watch_permalink&amp;v=923735834984653" TargetMode="External"/><Relationship Id="rId2198" Type="http://schemas.openxmlformats.org/officeDocument/2006/relationships/hyperlink" Target="https://www.facebook.com/rapplerdotcom/photos/a.317154781638645/5596022273751843/" TargetMode="External"/><Relationship Id="rId3249" Type="http://schemas.openxmlformats.org/officeDocument/2006/relationships/hyperlink" Target="https://www.facebook.com/eden.lara" TargetMode="External"/><Relationship Id="rId3456" Type="http://schemas.openxmlformats.org/officeDocument/2006/relationships/hyperlink" Target="https://www.facebook.com/rapplerdotcom/photos/a.317154781638645/5595372260483511/" TargetMode="External"/><Relationship Id="rId4854" Type="http://schemas.openxmlformats.org/officeDocument/2006/relationships/hyperlink" Target="https://www.facebook.com/canlas.adonis" TargetMode="External"/><Relationship Id="rId5905" Type="http://schemas.openxmlformats.org/officeDocument/2006/relationships/hyperlink" Target="https://www.facebook.com/rapplerdotcom/photos/a.317154781638645/5594359700584767/" TargetMode="External"/><Relationship Id="rId377" Type="http://schemas.openxmlformats.org/officeDocument/2006/relationships/hyperlink" Target="https://www.facebook.com/rapplerdotcom/photos/a.317154781638645/5598220220198715/" TargetMode="External"/><Relationship Id="rId584" Type="http://schemas.openxmlformats.org/officeDocument/2006/relationships/hyperlink" Target="https://www.facebook.com/rapplerdotcom/photos/a.317154781638645/5597874143566656" TargetMode="External"/><Relationship Id="rId2058" Type="http://schemas.openxmlformats.org/officeDocument/2006/relationships/hyperlink" Target="https://www.facebook.com/rapplerdotcom/photos/a.317154781638645/5596022273751843/" TargetMode="External"/><Relationship Id="rId2265" Type="http://schemas.openxmlformats.org/officeDocument/2006/relationships/hyperlink" Target="https://www.facebook.com/jianson" TargetMode="External"/><Relationship Id="rId3109" Type="http://schemas.openxmlformats.org/officeDocument/2006/relationships/hyperlink" Target="https://www.facebook.com/maryjean.larion" TargetMode="External"/><Relationship Id="rId3663" Type="http://schemas.openxmlformats.org/officeDocument/2006/relationships/hyperlink" Target="https://www.facebook.com/yvic.delapena" TargetMode="External"/><Relationship Id="rId3870" Type="http://schemas.openxmlformats.org/officeDocument/2006/relationships/hyperlink" Target="https://www.facebook.com/rapplerdotcom/posts/pfbid0dyWpzxim3h4Z2SYriGakwQw85p7BCAgct7KU5EiMX1bmmgNHDD8nmES8rjrADsrPl" TargetMode="External"/><Relationship Id="rId4507" Type="http://schemas.openxmlformats.org/officeDocument/2006/relationships/hyperlink" Target="https://www.facebook.com/rapplerdotcom/photos/a.317154781638645/5594954703858600/" TargetMode="External"/><Relationship Id="rId4714" Type="http://schemas.openxmlformats.org/officeDocument/2006/relationships/hyperlink" Target="https://www.facebook.com/vergie.bustamante.7" TargetMode="External"/><Relationship Id="rId4921" Type="http://schemas.openxmlformats.org/officeDocument/2006/relationships/hyperlink" Target="https://www.facebook.com/rapplerdotcom/posts/pfbid02BCyyacWVuuu1bwX5PwYK8PvqDGTANxekqEMy7qyV9vMmaGKTbC8sBf7i5j3Wbx9Ll" TargetMode="External"/><Relationship Id="rId237" Type="http://schemas.openxmlformats.org/officeDocument/2006/relationships/hyperlink" Target="https://www.facebook.com/rapplerdotcom/photos/a.317154781638645/5598220220198715/" TargetMode="External"/><Relationship Id="rId791" Type="http://schemas.openxmlformats.org/officeDocument/2006/relationships/hyperlink" Target="https://www.facebook.com/RogeJrJobLaura" TargetMode="External"/><Relationship Id="rId1074" Type="http://schemas.openxmlformats.org/officeDocument/2006/relationships/hyperlink" Target="https://www.facebook.com/rapplerdotcom/posts/pfbid028Kg188FmebKa4aFvHZNp8zGTwjghWDDJuUmQ8agbSCvGAGJHZ7pBH9NmxLBmPZZdl" TargetMode="External"/><Relationship Id="rId2472" Type="http://schemas.openxmlformats.org/officeDocument/2006/relationships/hyperlink" Target="https://www.facebook.com/rapplerdotcom/posts/pfbid0TYP6syjYwznxJKdhWv9YMaXK9NvsSEhQ2cyyCQCPMvGapWXrQBHehywgT156wqNPl" TargetMode="External"/><Relationship Id="rId3316" Type="http://schemas.openxmlformats.org/officeDocument/2006/relationships/hyperlink" Target="https://www.facebook.com/rapplerdotcom/photos/a.317154781638645/5595372260483511/" TargetMode="External"/><Relationship Id="rId3523" Type="http://schemas.openxmlformats.org/officeDocument/2006/relationships/hyperlink" Target="https://www.facebook.com/eveloren.gulla" TargetMode="External"/><Relationship Id="rId3730" Type="http://schemas.openxmlformats.org/officeDocument/2006/relationships/hyperlink" Target="https://www.facebook.com/rapplerdotcom/photos/a.317154781638645/5595162900504447/" TargetMode="External"/><Relationship Id="rId444" Type="http://schemas.openxmlformats.org/officeDocument/2006/relationships/hyperlink" Target="https://www.facebook.com/thomas.french.52" TargetMode="External"/><Relationship Id="rId651" Type="http://schemas.openxmlformats.org/officeDocument/2006/relationships/hyperlink" Target="https://www.facebook.com/reynold.galamiton" TargetMode="External"/><Relationship Id="rId1281" Type="http://schemas.openxmlformats.org/officeDocument/2006/relationships/hyperlink" Target="https://www.facebook.com/ADATL02" TargetMode="External"/><Relationship Id="rId2125" Type="http://schemas.openxmlformats.org/officeDocument/2006/relationships/hyperlink" Target="https://www.facebook.com/nonoy.tan.7" TargetMode="External"/><Relationship Id="rId2332" Type="http://schemas.openxmlformats.org/officeDocument/2006/relationships/hyperlink" Target="https://www.facebook.com/rapplerdotcom/posts/pfbid0TYP6syjYwznxJKdhWv9YMaXK9NvsSEhQ2cyyCQCPMvGapWXrQBHehywgT156wqNPl" TargetMode="External"/><Relationship Id="rId5488" Type="http://schemas.openxmlformats.org/officeDocument/2006/relationships/hyperlink" Target="https://www.facebook.com/arthur.purugganan" TargetMode="External"/><Relationship Id="rId5695" Type="http://schemas.openxmlformats.org/officeDocument/2006/relationships/hyperlink" Target="https://www.facebook.com/rapplerdotcom/photos/a.317154781638645/5594453700575367/" TargetMode="External"/><Relationship Id="rId304" Type="http://schemas.openxmlformats.org/officeDocument/2006/relationships/hyperlink" Target="https://www.facebook.com/irene.s.mangubat" TargetMode="External"/><Relationship Id="rId511" Type="http://schemas.openxmlformats.org/officeDocument/2006/relationships/hyperlink" Target="https://www.facebook.com/rapplerdotcom/photos/a.317154781638645/5598220220198715/" TargetMode="External"/><Relationship Id="rId1141" Type="http://schemas.openxmlformats.org/officeDocument/2006/relationships/hyperlink" Target="https://www.facebook.com/ronmsalvador" TargetMode="External"/><Relationship Id="rId4297" Type="http://schemas.openxmlformats.org/officeDocument/2006/relationships/hyperlink" Target="https://www.facebook.com/rapplerdotcom/photos/a.317154781638645/5594954703858600/" TargetMode="External"/><Relationship Id="rId5348" Type="http://schemas.openxmlformats.org/officeDocument/2006/relationships/hyperlink" Target="https://www.facebook.com/kharen.salazar.37" TargetMode="External"/><Relationship Id="rId5555" Type="http://schemas.openxmlformats.org/officeDocument/2006/relationships/hyperlink" Target="https://www.facebook.com/rapplerdotcom/photos/a.317154781638645/5594453700575367/" TargetMode="External"/><Relationship Id="rId5762" Type="http://schemas.openxmlformats.org/officeDocument/2006/relationships/hyperlink" Target="https://www.facebook.com/teresita.gonzales.31337" TargetMode="External"/><Relationship Id="rId1001" Type="http://schemas.openxmlformats.org/officeDocument/2006/relationships/hyperlink" Target="https://www.facebook.com/profile.php?id=100079476013075" TargetMode="External"/><Relationship Id="rId4157" Type="http://schemas.openxmlformats.org/officeDocument/2006/relationships/hyperlink" Target="https://www.facebook.com/ronald.andallo.52" TargetMode="External"/><Relationship Id="rId4364" Type="http://schemas.openxmlformats.org/officeDocument/2006/relationships/hyperlink" Target="https://www.facebook.com/rick.capunihan" TargetMode="External"/><Relationship Id="rId4571" Type="http://schemas.openxmlformats.org/officeDocument/2006/relationships/hyperlink" Target="https://www.facebook.com/watch/live/?ref=watch_permalink&amp;v=923735834984653" TargetMode="External"/><Relationship Id="rId5208" Type="http://schemas.openxmlformats.org/officeDocument/2006/relationships/hyperlink" Target="https://www.facebook.com/vivien.griego" TargetMode="External"/><Relationship Id="rId5415" Type="http://schemas.openxmlformats.org/officeDocument/2006/relationships/hyperlink" Target="https://www.facebook.com/watch/live/?ref=watch_permalink&amp;v=312865720941798" TargetMode="External"/><Relationship Id="rId5622" Type="http://schemas.openxmlformats.org/officeDocument/2006/relationships/hyperlink" Target="https://www.facebook.com/carina.constantino.754" TargetMode="External"/><Relationship Id="rId1958" Type="http://schemas.openxmlformats.org/officeDocument/2006/relationships/hyperlink" Target="https://www.facebook.com/rapplerdotcom/photos/a.317154781638645/5596043783749692/" TargetMode="External"/><Relationship Id="rId3173" Type="http://schemas.openxmlformats.org/officeDocument/2006/relationships/hyperlink" Target="https://www.facebook.com/profile.php?id=100077975515176" TargetMode="External"/><Relationship Id="rId3380" Type="http://schemas.openxmlformats.org/officeDocument/2006/relationships/hyperlink" Target="https://www.facebook.com/rapplerdotcom/photos/a.317154781638645/5595372260483511/" TargetMode="External"/><Relationship Id="rId4017" Type="http://schemas.openxmlformats.org/officeDocument/2006/relationships/hyperlink" Target="https://www.facebook.com/christopher.m.perey" TargetMode="External"/><Relationship Id="rId4224" Type="http://schemas.openxmlformats.org/officeDocument/2006/relationships/hyperlink" Target="https://www.facebook.com/rapplerdotcom/photos/a.317154781638645/5594954703858600/" TargetMode="External"/><Relationship Id="rId4431" Type="http://schemas.openxmlformats.org/officeDocument/2006/relationships/hyperlink" Target="https://www.facebook.com/rapplerdotcom/photos/a.317154781638645/5594954703858600/" TargetMode="External"/><Relationship Id="rId1818" Type="http://schemas.openxmlformats.org/officeDocument/2006/relationships/hyperlink" Target="https://www.facebook.com/rapplerdotcom/photos/a.317154781638645/5596043783749692/" TargetMode="External"/><Relationship Id="rId3033" Type="http://schemas.openxmlformats.org/officeDocument/2006/relationships/hyperlink" Target="https://www.facebook.com/ester.manlisic" TargetMode="External"/><Relationship Id="rId3240" Type="http://schemas.openxmlformats.org/officeDocument/2006/relationships/hyperlink" Target="https://www.facebook.com/rapplerdotcom/posts/pfbid035u2RhZvcYSiCeymgBfXLoFoq87y2V8v81A9xDtyoKJgzTGtotsEEoj2bH7Zd4mtzl" TargetMode="External"/><Relationship Id="rId6189" Type="http://schemas.openxmlformats.org/officeDocument/2006/relationships/hyperlink" Target="https://www.facebook.com/watch/?v=684555919511830" TargetMode="External"/><Relationship Id="rId161" Type="http://schemas.openxmlformats.org/officeDocument/2006/relationships/hyperlink" Target="https://www.facebook.com/Tell-Tale-Tweet-103754798693384/" TargetMode="External"/><Relationship Id="rId6049" Type="http://schemas.openxmlformats.org/officeDocument/2006/relationships/hyperlink" Target="https://www.facebook.com/rapplerdotcom/photos/a.317154781638645/5594359700584767/" TargetMode="External"/><Relationship Id="rId2799" Type="http://schemas.openxmlformats.org/officeDocument/2006/relationships/hyperlink" Target="https://www.facebook.com/gil.d.berino" TargetMode="External"/><Relationship Id="rId3100" Type="http://schemas.openxmlformats.org/officeDocument/2006/relationships/hyperlink" Target="https://www.facebook.com/watch/live/?ref=watch_permalink&amp;v=360307549312104" TargetMode="External"/><Relationship Id="rId978" Type="http://schemas.openxmlformats.org/officeDocument/2006/relationships/hyperlink" Target="https://www.facebook.com/rapplerdotcom/photos/a.317154781638645/5597592673594803/" TargetMode="External"/><Relationship Id="rId2659" Type="http://schemas.openxmlformats.org/officeDocument/2006/relationships/hyperlink" Target="https://www.facebook.com/christina.aranda.188" TargetMode="External"/><Relationship Id="rId2866" Type="http://schemas.openxmlformats.org/officeDocument/2006/relationships/hyperlink" Target="https://www.facebook.com/watch/?v=570590637273208" TargetMode="External"/><Relationship Id="rId3917" Type="http://schemas.openxmlformats.org/officeDocument/2006/relationships/hyperlink" Target="https://www.facebook.com/noel.buhia" TargetMode="External"/><Relationship Id="rId5065" Type="http://schemas.openxmlformats.org/officeDocument/2006/relationships/hyperlink" Target="https://www.facebook.com/rapplerdotcom/posts/pfbid0231hbcbuKeQLDkPH8oZAdZbuU8MPPgRANx152V3xWpbjZ6EvfpohwQMvxHYAgrGPul" TargetMode="External"/><Relationship Id="rId5272" Type="http://schemas.openxmlformats.org/officeDocument/2006/relationships/hyperlink" Target="https://www.facebook.com/alectv07" TargetMode="External"/><Relationship Id="rId6116" Type="http://schemas.openxmlformats.org/officeDocument/2006/relationships/hyperlink" Target="https://www.facebook.com/profile.php?id=100078704860464" TargetMode="External"/><Relationship Id="rId838" Type="http://schemas.openxmlformats.org/officeDocument/2006/relationships/hyperlink" Target="https://www.facebook.com/rapplerdotcom/photos/a.317154781638645/5597612220259515/" TargetMode="External"/><Relationship Id="rId1468" Type="http://schemas.openxmlformats.org/officeDocument/2006/relationships/hyperlink" Target="https://www.facebook.com/rapplerdotcom/photos/a.317154781638645/5597116770309060/" TargetMode="External"/><Relationship Id="rId1675" Type="http://schemas.openxmlformats.org/officeDocument/2006/relationships/hyperlink" Target="https://www.facebook.com/pepe.ledesma.7140" TargetMode="External"/><Relationship Id="rId1882" Type="http://schemas.openxmlformats.org/officeDocument/2006/relationships/hyperlink" Target="https://www.facebook.com/rapplerdotcom/photos/a.317154781638645/5596043783749692/" TargetMode="External"/><Relationship Id="rId2519" Type="http://schemas.openxmlformats.org/officeDocument/2006/relationships/hyperlink" Target="https://www.facebook.com/tommy.o.chua" TargetMode="External"/><Relationship Id="rId2726" Type="http://schemas.openxmlformats.org/officeDocument/2006/relationships/hyperlink" Target="https://www.facebook.com/rapplerdotcom/photos/a.317154781638645/5595733810447356/" TargetMode="External"/><Relationship Id="rId4081" Type="http://schemas.openxmlformats.org/officeDocument/2006/relationships/hyperlink" Target="https://www.facebook.com/arnel.bernardino.9" TargetMode="External"/><Relationship Id="rId5132" Type="http://schemas.openxmlformats.org/officeDocument/2006/relationships/hyperlink" Target="https://www.facebook.com/profile.php?id=100069339588430" TargetMode="External"/><Relationship Id="rId1328" Type="http://schemas.openxmlformats.org/officeDocument/2006/relationships/hyperlink" Target="https://www.facebook.com/rapplerdotcom/photos/a.317154781638645/5597116770309060/" TargetMode="External"/><Relationship Id="rId1535" Type="http://schemas.openxmlformats.org/officeDocument/2006/relationships/hyperlink" Target="https://www.facebook.com/paul.gatmaitan" TargetMode="External"/><Relationship Id="rId2933" Type="http://schemas.openxmlformats.org/officeDocument/2006/relationships/hyperlink" Target="https://www.facebook.com/gem.hernan" TargetMode="External"/><Relationship Id="rId905" Type="http://schemas.openxmlformats.org/officeDocument/2006/relationships/hyperlink" Target="https://www.facebook.com/jeanette6881" TargetMode="External"/><Relationship Id="rId1742" Type="http://schemas.openxmlformats.org/officeDocument/2006/relationships/hyperlink" Target="https://www.facebook.com/rapplerdotcom/photos/a.317154781638645/5596043783749692/" TargetMode="External"/><Relationship Id="rId4898" Type="http://schemas.openxmlformats.org/officeDocument/2006/relationships/hyperlink" Target="https://www.facebook.com/profile.php?id=100005160163120" TargetMode="External"/><Relationship Id="rId5949" Type="http://schemas.openxmlformats.org/officeDocument/2006/relationships/hyperlink" Target="https://www.facebook.com/rapplerdotcom/photos/a.317154781638645/5594359700584767/" TargetMode="External"/><Relationship Id="rId34" Type="http://schemas.openxmlformats.org/officeDocument/2006/relationships/hyperlink" Target="https://www.facebook.com/rapplerdotcom/posts/pfbid0DUh4iFcrxZuR1UbiGhcAHcMdzsaV29GSeHCY1HabtqcnUWkjStX9TDaVqzzt92GDl" TargetMode="External"/><Relationship Id="rId1602" Type="http://schemas.openxmlformats.org/officeDocument/2006/relationships/hyperlink" Target="https://www.facebook.com/rapplerdotcom/posts/pfbid02AsSA4LQqjQ2Y8SVathQmtduoE3fhoGvQSNhvrzsMerDaJSQJ6jDvApCCiuaE7XCol" TargetMode="External"/><Relationship Id="rId4758" Type="http://schemas.openxmlformats.org/officeDocument/2006/relationships/hyperlink" Target="https://www.facebook.com/shirley.n.patriarca" TargetMode="External"/><Relationship Id="rId4965" Type="http://schemas.openxmlformats.org/officeDocument/2006/relationships/hyperlink" Target="https://www.facebook.com/rapplerdotcom/posts/pfbid02BCyyacWVuuu1bwX5PwYK8PvqDGTANxekqEMy7qyV9vMmaGKTbC8sBf7i5j3Wbx9Ll" TargetMode="External"/><Relationship Id="rId5809" Type="http://schemas.openxmlformats.org/officeDocument/2006/relationships/hyperlink" Target="https://www.facebook.com/rapplerdotcom/photos/a.317154781638645/5594453700575367/" TargetMode="External"/><Relationship Id="rId6180" Type="http://schemas.openxmlformats.org/officeDocument/2006/relationships/hyperlink" Target="https://www.facebook.com/irisbadinas" TargetMode="External"/><Relationship Id="rId3567" Type="http://schemas.openxmlformats.org/officeDocument/2006/relationships/hyperlink" Target="https://www.facebook.com/bautista.jimmy.98" TargetMode="External"/><Relationship Id="rId3774" Type="http://schemas.openxmlformats.org/officeDocument/2006/relationships/hyperlink" Target="https://www.facebook.com/rapplerdotcom/posts/pfbid0dyWpzxim3h4Z2SYriGakwQw85p7BCAgct7KU5EiMX1bmmgNHDD8nmES8rjrADsrPl" TargetMode="External"/><Relationship Id="rId3981" Type="http://schemas.openxmlformats.org/officeDocument/2006/relationships/hyperlink" Target="https://www.facebook.com/heng.shield" TargetMode="External"/><Relationship Id="rId4618" Type="http://schemas.openxmlformats.org/officeDocument/2006/relationships/hyperlink" Target="https://www.facebook.com/profile.php?id=100070655991563" TargetMode="External"/><Relationship Id="rId4825" Type="http://schemas.openxmlformats.org/officeDocument/2006/relationships/hyperlink" Target="https://www.facebook.com/watch/live/?ref=watch_permalink&amp;v=923735834984653" TargetMode="External"/><Relationship Id="rId488" Type="http://schemas.openxmlformats.org/officeDocument/2006/relationships/hyperlink" Target="https://www.facebook.com/rodelio.cohay.3" TargetMode="External"/><Relationship Id="rId695" Type="http://schemas.openxmlformats.org/officeDocument/2006/relationships/hyperlink" Target="https://www.facebook.com/jocelyn.domingotorres" TargetMode="External"/><Relationship Id="rId2169" Type="http://schemas.openxmlformats.org/officeDocument/2006/relationships/hyperlink" Target="https://www.facebook.com/haidi.lim" TargetMode="External"/><Relationship Id="rId2376" Type="http://schemas.openxmlformats.org/officeDocument/2006/relationships/hyperlink" Target="https://www.facebook.com/rapplerdotcom/posts/pfbid0TYP6syjYwznxJKdhWv9YMaXK9NvsSEhQ2cyyCQCPMvGapWXrQBHehywgT156wqNPl" TargetMode="External"/><Relationship Id="rId2583" Type="http://schemas.openxmlformats.org/officeDocument/2006/relationships/hyperlink" Target="https://www.facebook.com/IamRoselleBaltazar" TargetMode="External"/><Relationship Id="rId2790" Type="http://schemas.openxmlformats.org/officeDocument/2006/relationships/hyperlink" Target="https://www.facebook.com/watch/?v=570590637273208" TargetMode="External"/><Relationship Id="rId3427" Type="http://schemas.openxmlformats.org/officeDocument/2006/relationships/hyperlink" Target="https://www.facebook.com/jaye.jackson.5" TargetMode="External"/><Relationship Id="rId3634" Type="http://schemas.openxmlformats.org/officeDocument/2006/relationships/hyperlink" Target="https://www.facebook.com/rapplerdotcom/photos/a.317154781638645/5595372260483511/" TargetMode="External"/><Relationship Id="rId3841" Type="http://schemas.openxmlformats.org/officeDocument/2006/relationships/hyperlink" Target="https://www.facebook.com/angatbuhayplantlovers/" TargetMode="External"/><Relationship Id="rId6040" Type="http://schemas.openxmlformats.org/officeDocument/2006/relationships/hyperlink" Target="https://www.facebook.com/rebecca.serato.9" TargetMode="External"/><Relationship Id="rId348" Type="http://schemas.openxmlformats.org/officeDocument/2006/relationships/hyperlink" Target="https://www.facebook.com/ofelia529" TargetMode="External"/><Relationship Id="rId555" Type="http://schemas.openxmlformats.org/officeDocument/2006/relationships/hyperlink" Target="https://www.facebook.com/jace.susara" TargetMode="External"/><Relationship Id="rId762" Type="http://schemas.openxmlformats.org/officeDocument/2006/relationships/hyperlink" Target="https://www.facebook.com/rapplerdotcom/photos/a.317154781638645/5597612220259515/" TargetMode="External"/><Relationship Id="rId1185" Type="http://schemas.openxmlformats.org/officeDocument/2006/relationships/hyperlink" Target="https://www.facebook.com/claude.garcia.161" TargetMode="External"/><Relationship Id="rId1392" Type="http://schemas.openxmlformats.org/officeDocument/2006/relationships/hyperlink" Target="https://www.facebook.com/rapplerdotcom/photos/a.317154781638645/5597116770309060/" TargetMode="External"/><Relationship Id="rId2029" Type="http://schemas.openxmlformats.org/officeDocument/2006/relationships/hyperlink" Target="https://www.facebook.com/budsky.pabalinas" TargetMode="External"/><Relationship Id="rId2236" Type="http://schemas.openxmlformats.org/officeDocument/2006/relationships/hyperlink" Target="https://www.facebook.com/rapplerdotcom/photos/a.317154781638645/5596022273751843/" TargetMode="External"/><Relationship Id="rId2443" Type="http://schemas.openxmlformats.org/officeDocument/2006/relationships/hyperlink" Target="https://www.facebook.com/zeke.santos.581" TargetMode="External"/><Relationship Id="rId2650" Type="http://schemas.openxmlformats.org/officeDocument/2006/relationships/hyperlink" Target="https://www.facebook.com/rapplerdotcom/photos/a.317154781638645/5595733810447356/" TargetMode="External"/><Relationship Id="rId3701" Type="http://schemas.openxmlformats.org/officeDocument/2006/relationships/hyperlink" Target="https://www.facebook.com/profile.php?id=100070542605397" TargetMode="External"/><Relationship Id="rId5599" Type="http://schemas.openxmlformats.org/officeDocument/2006/relationships/hyperlink" Target="https://www.facebook.com/rapplerdotcom/photos/a.317154781638645/5594453700575367/" TargetMode="External"/><Relationship Id="rId208" Type="http://schemas.openxmlformats.org/officeDocument/2006/relationships/hyperlink" Target="https://www.facebook.com/rapplerdotcom/posts/pfbid0DUh4iFcrxZuR1UbiGhcAHcMdzsaV29GSeHCY1HabtqcnUWkjStX9TDaVqzzt92GDl" TargetMode="External"/><Relationship Id="rId415" Type="http://schemas.openxmlformats.org/officeDocument/2006/relationships/hyperlink" Target="https://www.facebook.com/rapplerdotcom/photos/a.317154781638645/5598220220198715/" TargetMode="External"/><Relationship Id="rId622" Type="http://schemas.openxmlformats.org/officeDocument/2006/relationships/hyperlink" Target="https://www.facebook.com/rapplerdotcom/photos/a.317154781638645/5597874143566656" TargetMode="External"/><Relationship Id="rId1045" Type="http://schemas.openxmlformats.org/officeDocument/2006/relationships/hyperlink" Target="https://www.facebook.com/julia.seminio" TargetMode="External"/><Relationship Id="rId1252" Type="http://schemas.openxmlformats.org/officeDocument/2006/relationships/hyperlink" Target="https://www.facebook.com/rapplerdotcom/posts/pfbid023goEfA6e1ABSWYJFy8fQ5LFWDv4QTSTmAfzySGtMSpy12iqywB2MUZjiZ8GjCxrGl" TargetMode="External"/><Relationship Id="rId2303" Type="http://schemas.openxmlformats.org/officeDocument/2006/relationships/hyperlink" Target="https://www.facebook.com/alfredofabro.boking" TargetMode="External"/><Relationship Id="rId2510" Type="http://schemas.openxmlformats.org/officeDocument/2006/relationships/hyperlink" Target="https://www.facebook.com/rapplerdotcom/posts/pfbid0TYP6syjYwznxJKdhWv9YMaXK9NvsSEhQ2cyyCQCPMvGapWXrQBHehywgT156wqNPl" TargetMode="External"/><Relationship Id="rId5459" Type="http://schemas.openxmlformats.org/officeDocument/2006/relationships/hyperlink" Target="https://www.facebook.com/watch/live/?ref=watch_permalink&amp;v=312865720941798" TargetMode="External"/><Relationship Id="rId5666" Type="http://schemas.openxmlformats.org/officeDocument/2006/relationships/hyperlink" Target="https://www.facebook.com/sam.zamudio.946" TargetMode="External"/><Relationship Id="rId1112" Type="http://schemas.openxmlformats.org/officeDocument/2006/relationships/hyperlink" Target="https://www.facebook.com/rapplerdotcom/posts/pfbid02dNgAR64VTtp94Rus4o9MNbU55E2H9Wp7KMKzJGkk6u4UxRyHU8j2pPpwa5iwGcD3l" TargetMode="External"/><Relationship Id="rId4268" Type="http://schemas.openxmlformats.org/officeDocument/2006/relationships/hyperlink" Target="https://www.facebook.com/razelett.sape" TargetMode="External"/><Relationship Id="rId4475" Type="http://schemas.openxmlformats.org/officeDocument/2006/relationships/hyperlink" Target="https://www.facebook.com/rapplerdotcom/photos/a.317154781638645/5594954703858600/" TargetMode="External"/><Relationship Id="rId5319" Type="http://schemas.openxmlformats.org/officeDocument/2006/relationships/hyperlink" Target="https://www.facebook.com/rapplerdotcom/photos/a.317154781638645/5594264657260938/" TargetMode="External"/><Relationship Id="rId5873" Type="http://schemas.openxmlformats.org/officeDocument/2006/relationships/hyperlink" Target="https://www.facebook.com/rapplerdotcom/posts/pfbid0Kg1RoVj1WsJryHzrsA3oSrLQ6DJc4g1o3yMhcNHB9BrPu7fZV7ugtw1hYVefEPE9l" TargetMode="External"/><Relationship Id="rId3077" Type="http://schemas.openxmlformats.org/officeDocument/2006/relationships/hyperlink" Target="https://www.facebook.com/materesa.villa.9" TargetMode="External"/><Relationship Id="rId3284" Type="http://schemas.openxmlformats.org/officeDocument/2006/relationships/hyperlink" Target="https://www.facebook.com/rapplerdotcom/photos/a.317154781638645/5595372260483511/" TargetMode="External"/><Relationship Id="rId4128" Type="http://schemas.openxmlformats.org/officeDocument/2006/relationships/hyperlink" Target="https://www.facebook.com/rapplerdotcom/photos/a.317154781638645/5594954703858600/" TargetMode="External"/><Relationship Id="rId4682" Type="http://schemas.openxmlformats.org/officeDocument/2006/relationships/hyperlink" Target="https://www.facebook.com/ding.lunar.9" TargetMode="External"/><Relationship Id="rId5526" Type="http://schemas.openxmlformats.org/officeDocument/2006/relationships/hyperlink" Target="https://www.facebook.com/ampleidle" TargetMode="External"/><Relationship Id="rId5733" Type="http://schemas.openxmlformats.org/officeDocument/2006/relationships/hyperlink" Target="https://www.facebook.com/rapplerdotcom/photos/a.317154781638645/5594453700575367/" TargetMode="External"/><Relationship Id="rId5940" Type="http://schemas.openxmlformats.org/officeDocument/2006/relationships/hyperlink" Target="https://www.facebook.com/mariatheresa.ooyama" TargetMode="External"/><Relationship Id="rId1929" Type="http://schemas.openxmlformats.org/officeDocument/2006/relationships/hyperlink" Target="https://www.facebook.com/sharmaine.ramos.3950" TargetMode="External"/><Relationship Id="rId2093" Type="http://schemas.openxmlformats.org/officeDocument/2006/relationships/hyperlink" Target="https://www.facebook.com/davefrancis.ybalig" TargetMode="External"/><Relationship Id="rId3491" Type="http://schemas.openxmlformats.org/officeDocument/2006/relationships/hyperlink" Target="https://www.facebook.com/icarro1821" TargetMode="External"/><Relationship Id="rId4335" Type="http://schemas.openxmlformats.org/officeDocument/2006/relationships/hyperlink" Target="https://www.facebook.com/rapplerdotcom/photos/a.317154781638645/5594954703858600/" TargetMode="External"/><Relationship Id="rId4542" Type="http://schemas.openxmlformats.org/officeDocument/2006/relationships/hyperlink" Target="https://www.facebook.com/dr.julius.uy" TargetMode="External"/><Relationship Id="rId5800" Type="http://schemas.openxmlformats.org/officeDocument/2006/relationships/hyperlink" Target="https://www.facebook.com/ogie.fernandez.731" TargetMode="External"/><Relationship Id="rId3144" Type="http://schemas.openxmlformats.org/officeDocument/2006/relationships/hyperlink" Target="https://www.facebook.com/watch/live/?ref=watch_permalink&amp;v=360307549312104" TargetMode="External"/><Relationship Id="rId3351" Type="http://schemas.openxmlformats.org/officeDocument/2006/relationships/hyperlink" Target="https://www.facebook.com/julio.quian" TargetMode="External"/><Relationship Id="rId4402" Type="http://schemas.openxmlformats.org/officeDocument/2006/relationships/hyperlink" Target="https://www.facebook.com/solito.barana.86" TargetMode="External"/><Relationship Id="rId272" Type="http://schemas.openxmlformats.org/officeDocument/2006/relationships/hyperlink" Target="https://www.facebook.com/profile.php?id=100078772872933" TargetMode="External"/><Relationship Id="rId2160" Type="http://schemas.openxmlformats.org/officeDocument/2006/relationships/hyperlink" Target="https://www.facebook.com/rapplerdotcom/photos/a.317154781638645/5596022273751843/" TargetMode="External"/><Relationship Id="rId3004" Type="http://schemas.openxmlformats.org/officeDocument/2006/relationships/hyperlink" Target="https://www.facebook.com/watch/live/?ref=watch_permalink&amp;v=360307549312104" TargetMode="External"/><Relationship Id="rId3211" Type="http://schemas.openxmlformats.org/officeDocument/2006/relationships/hyperlink" Target="https://www.facebook.com/sonia.t.cruz" TargetMode="External"/><Relationship Id="rId132" Type="http://schemas.openxmlformats.org/officeDocument/2006/relationships/hyperlink" Target="https://www.facebook.com/rapplerdotcom/posts/pfbid0DUh4iFcrxZuR1UbiGhcAHcMdzsaV29GSeHCY1HabtqcnUWkjStX9TDaVqzzt92GDl" TargetMode="External"/><Relationship Id="rId2020" Type="http://schemas.openxmlformats.org/officeDocument/2006/relationships/hyperlink" Target="https://www.facebook.com/rapplerdotcom/photos/a.317154781638645/5596022273751843/" TargetMode="External"/><Relationship Id="rId5176" Type="http://schemas.openxmlformats.org/officeDocument/2006/relationships/hyperlink" Target="https://www.facebook.com/aj.dadivas.7" TargetMode="External"/><Relationship Id="rId5383" Type="http://schemas.openxmlformats.org/officeDocument/2006/relationships/hyperlink" Target="https://www.facebook.com/rapplerdotcom/photos/a.317154781638645/5594264657260938/" TargetMode="External"/><Relationship Id="rId5590" Type="http://schemas.openxmlformats.org/officeDocument/2006/relationships/hyperlink" Target="https://www.facebook.com/rudysalazar61" TargetMode="External"/><Relationship Id="rId6227" Type="http://schemas.openxmlformats.org/officeDocument/2006/relationships/hyperlink" Target="https://www.facebook.com/watch/?v=684555919511830" TargetMode="External"/><Relationship Id="rId1579" Type="http://schemas.openxmlformats.org/officeDocument/2006/relationships/hyperlink" Target="https://www.facebook.com/holaissa.jaboneta" TargetMode="External"/><Relationship Id="rId2977" Type="http://schemas.openxmlformats.org/officeDocument/2006/relationships/hyperlink" Target="https://www.facebook.com/profile.php?id=100011473596628" TargetMode="External"/><Relationship Id="rId4192" Type="http://schemas.openxmlformats.org/officeDocument/2006/relationships/hyperlink" Target="https://www.facebook.com/rapplerdotcom/photos/a.317154781638645/5594954703858600/" TargetMode="External"/><Relationship Id="rId5036" Type="http://schemas.openxmlformats.org/officeDocument/2006/relationships/hyperlink" Target="https://www.facebook.com/chazper21" TargetMode="External"/><Relationship Id="rId5243" Type="http://schemas.openxmlformats.org/officeDocument/2006/relationships/hyperlink" Target="https://www.facebook.com/rapplerdotcom/photos/a.317154781638645/5594264657260938/" TargetMode="External"/><Relationship Id="rId5450" Type="http://schemas.openxmlformats.org/officeDocument/2006/relationships/hyperlink" Target="https://www.facebook.com/arvin.palomar" TargetMode="External"/><Relationship Id="rId949" Type="http://schemas.openxmlformats.org/officeDocument/2006/relationships/hyperlink" Target="https://www.facebook.com/profile.php?id=100075263366177" TargetMode="External"/><Relationship Id="rId1786" Type="http://schemas.openxmlformats.org/officeDocument/2006/relationships/hyperlink" Target="https://www.facebook.com/rapplerdotcom/photos/a.317154781638645/5596043783749692/" TargetMode="External"/><Relationship Id="rId1993" Type="http://schemas.openxmlformats.org/officeDocument/2006/relationships/hyperlink" Target="https://www.facebook.com/chie.abracosa" TargetMode="External"/><Relationship Id="rId2837" Type="http://schemas.openxmlformats.org/officeDocument/2006/relationships/hyperlink" Target="https://www.facebook.com/roberto.como.14" TargetMode="External"/><Relationship Id="rId4052" Type="http://schemas.openxmlformats.org/officeDocument/2006/relationships/hyperlink" Target="https://www.facebook.com/rapplerdotcom/posts/pfbid02kmyrDmvYtHxz51VdR228sTCyvbHYDrwL4TgeoVAenoprSKkWhUFLyRmAuKBuGtXXl" TargetMode="External"/><Relationship Id="rId5103" Type="http://schemas.openxmlformats.org/officeDocument/2006/relationships/hyperlink" Target="https://www.facebook.com/rapplerdotcom/photos/a.317154781638645/5594264657260938/" TargetMode="External"/><Relationship Id="rId78" Type="http://schemas.openxmlformats.org/officeDocument/2006/relationships/hyperlink" Target="https://www.facebook.com/rapplerdotcom/posts/pfbid0DUh4iFcrxZuR1UbiGhcAHcMdzsaV29GSeHCY1HabtqcnUWkjStX9TDaVqzzt92GDl" TargetMode="External"/><Relationship Id="rId809" Type="http://schemas.openxmlformats.org/officeDocument/2006/relationships/hyperlink" Target="https://www.facebook.com/cielo.dupayamendiola" TargetMode="External"/><Relationship Id="rId1439" Type="http://schemas.openxmlformats.org/officeDocument/2006/relationships/hyperlink" Target="https://www.facebook.com/nylezdrain1708" TargetMode="External"/><Relationship Id="rId1646" Type="http://schemas.openxmlformats.org/officeDocument/2006/relationships/hyperlink" Target="https://www.facebook.com/rapplerdotcom/posts/pfbid02AsSA4LQqjQ2Y8SVathQmtduoE3fhoGvQSNhvrzsMerDaJSQJ6jDvApCCiuaE7XCol" TargetMode="External"/><Relationship Id="rId1853" Type="http://schemas.openxmlformats.org/officeDocument/2006/relationships/hyperlink" Target="https://www.facebook.com/samuel.mamauag" TargetMode="External"/><Relationship Id="rId2904" Type="http://schemas.openxmlformats.org/officeDocument/2006/relationships/hyperlink" Target="https://www.facebook.com/watch/live/?ref=watch_permalink&amp;v=360307549312104" TargetMode="External"/><Relationship Id="rId5310" Type="http://schemas.openxmlformats.org/officeDocument/2006/relationships/hyperlink" Target="https://www.facebook.com/anniedane.alfonso" TargetMode="External"/><Relationship Id="rId1506" Type="http://schemas.openxmlformats.org/officeDocument/2006/relationships/hyperlink" Target="https://www.facebook.com/rapplerdotcom/photos/a.317154781638645/5597116770309060/" TargetMode="External"/><Relationship Id="rId1713" Type="http://schemas.openxmlformats.org/officeDocument/2006/relationships/hyperlink" Target="https://www.facebook.com/maripaz.mira" TargetMode="External"/><Relationship Id="rId1920" Type="http://schemas.openxmlformats.org/officeDocument/2006/relationships/hyperlink" Target="https://www.facebook.com/rapplerdotcom/photos/a.317154781638645/5596043783749692/" TargetMode="External"/><Relationship Id="rId4869" Type="http://schemas.openxmlformats.org/officeDocument/2006/relationships/hyperlink" Target="https://www.facebook.com/watch/live/?ref=watch_permalink&amp;v=923735834984653" TargetMode="External"/><Relationship Id="rId3678" Type="http://schemas.openxmlformats.org/officeDocument/2006/relationships/hyperlink" Target="https://www.facebook.com/rapplerdotcom/photos/a.317154781638645/5595162900504447/" TargetMode="External"/><Relationship Id="rId3885" Type="http://schemas.openxmlformats.org/officeDocument/2006/relationships/hyperlink" Target="https://www.facebook.com/anabelma.abrera" TargetMode="External"/><Relationship Id="rId4729" Type="http://schemas.openxmlformats.org/officeDocument/2006/relationships/hyperlink" Target="https://www.facebook.com/watch/live/?ref=watch_permalink&amp;v=923735834984653" TargetMode="External"/><Relationship Id="rId4936" Type="http://schemas.openxmlformats.org/officeDocument/2006/relationships/hyperlink" Target="https://www.facebook.com/abetsuarez" TargetMode="External"/><Relationship Id="rId6084" Type="http://schemas.openxmlformats.org/officeDocument/2006/relationships/hyperlink" Target="https://www.facebook.com/profile.php?id=100005251668716" TargetMode="External"/><Relationship Id="rId599" Type="http://schemas.openxmlformats.org/officeDocument/2006/relationships/hyperlink" Target="https://www.facebook.com/hidalgojohnmark99" TargetMode="External"/><Relationship Id="rId2487" Type="http://schemas.openxmlformats.org/officeDocument/2006/relationships/hyperlink" Target="https://www.facebook.com/profile.php?id=1669143901" TargetMode="External"/><Relationship Id="rId2694" Type="http://schemas.openxmlformats.org/officeDocument/2006/relationships/hyperlink" Target="https://www.facebook.com/rapplerdotcom/photos/a.317154781638645/5595733810447356/" TargetMode="External"/><Relationship Id="rId3538" Type="http://schemas.openxmlformats.org/officeDocument/2006/relationships/hyperlink" Target="https://www.facebook.com/rapplerdotcom/photos/a.317154781638645/5595372260483511/" TargetMode="External"/><Relationship Id="rId3745" Type="http://schemas.openxmlformats.org/officeDocument/2006/relationships/hyperlink" Target="https://www.facebook.com/benjo.albano" TargetMode="External"/><Relationship Id="rId6151" Type="http://schemas.openxmlformats.org/officeDocument/2006/relationships/hyperlink" Target="https://www.facebook.com/rapplerdotcom/posts/pfbid0JJW97xH5fR5tDSLUQ8AnEgkPMU9Aigs9CgcNy2Q7AzJY4R8mRoicBgu3PLdqpf2Tl" TargetMode="External"/><Relationship Id="rId459" Type="http://schemas.openxmlformats.org/officeDocument/2006/relationships/hyperlink" Target="https://www.facebook.com/rapplerdotcom/photos/a.317154781638645/5598220220198715/" TargetMode="External"/><Relationship Id="rId666" Type="http://schemas.openxmlformats.org/officeDocument/2006/relationships/hyperlink" Target="https://www.facebook.com/rapplerdotcom/photos/a.317154781638645/5597612220259515/" TargetMode="External"/><Relationship Id="rId873" Type="http://schemas.openxmlformats.org/officeDocument/2006/relationships/hyperlink" Target="https://www.facebook.com/factolerin.e" TargetMode="External"/><Relationship Id="rId1089" Type="http://schemas.openxmlformats.org/officeDocument/2006/relationships/hyperlink" Target="https://www.facebook.com/beng.decastro" TargetMode="External"/><Relationship Id="rId1296" Type="http://schemas.openxmlformats.org/officeDocument/2006/relationships/hyperlink" Target="https://www.facebook.com/rapplerdotcom/posts/pfbid023goEfA6e1ABSWYJFy8fQ5LFWDv4QTSTmAfzySGtMSpy12iqywB2MUZjiZ8GjCxrGl" TargetMode="External"/><Relationship Id="rId2347" Type="http://schemas.openxmlformats.org/officeDocument/2006/relationships/hyperlink" Target="https://www.facebook.com/ajejejejejelly" TargetMode="External"/><Relationship Id="rId2554" Type="http://schemas.openxmlformats.org/officeDocument/2006/relationships/hyperlink" Target="https://www.facebook.com/rapplerdotcom/photos/a.317154781638645/5595733810447356/" TargetMode="External"/><Relationship Id="rId3952" Type="http://schemas.openxmlformats.org/officeDocument/2006/relationships/hyperlink" Target="https://www.facebook.com/rapplerdotcom/posts/pfbid0dyWpzxim3h4Z2SYriGakwQw85p7BCAgct7KU5EiMX1bmmgNHDD8nmES8rjrADsrPl" TargetMode="External"/><Relationship Id="rId6011" Type="http://schemas.openxmlformats.org/officeDocument/2006/relationships/hyperlink" Target="https://www.facebook.com/rapplerdotcom/photos/a.317154781638645/5594359700584767/" TargetMode="External"/><Relationship Id="rId319" Type="http://schemas.openxmlformats.org/officeDocument/2006/relationships/hyperlink" Target="https://www.facebook.com/rapplerdotcom/photos/a.317154781638645/5598220220198715/" TargetMode="External"/><Relationship Id="rId526" Type="http://schemas.openxmlformats.org/officeDocument/2006/relationships/hyperlink" Target="https://www.facebook.com/ryan.beltran.73" TargetMode="External"/><Relationship Id="rId1156" Type="http://schemas.openxmlformats.org/officeDocument/2006/relationships/hyperlink" Target="https://www.facebook.com/rapplerdotcom/posts/pfbid02dNgAR64VTtp94Rus4o9MNbU55E2H9Wp7KMKzJGkk6u4UxRyHU8j2pPpwa5iwGcD3l" TargetMode="External"/><Relationship Id="rId1363" Type="http://schemas.openxmlformats.org/officeDocument/2006/relationships/hyperlink" Target="https://www.facebook.com/denis.sahagon" TargetMode="External"/><Relationship Id="rId2207" Type="http://schemas.openxmlformats.org/officeDocument/2006/relationships/hyperlink" Target="https://www.facebook.com/arlene.buela.9" TargetMode="External"/><Relationship Id="rId2761" Type="http://schemas.openxmlformats.org/officeDocument/2006/relationships/hyperlink" Target="https://www.facebook.com/june.vicentino.11" TargetMode="External"/><Relationship Id="rId3605" Type="http://schemas.openxmlformats.org/officeDocument/2006/relationships/hyperlink" Target="https://www.facebook.com/marlon.pumicpic" TargetMode="External"/><Relationship Id="rId3812" Type="http://schemas.openxmlformats.org/officeDocument/2006/relationships/hyperlink" Target="https://www.facebook.com/rapplerdotcom/posts/pfbid0dyWpzxim3h4Z2SYriGakwQw85p7BCAgct7KU5EiMX1bmmgNHDD8nmES8rjrADsrPl" TargetMode="External"/><Relationship Id="rId733" Type="http://schemas.openxmlformats.org/officeDocument/2006/relationships/hyperlink" Target="https://www.facebook.com/angelo.amistoso.5" TargetMode="External"/><Relationship Id="rId940" Type="http://schemas.openxmlformats.org/officeDocument/2006/relationships/hyperlink" Target="https://www.facebook.com/rapplerdotcom/photos/a.317154781638645/5597592673594803/" TargetMode="External"/><Relationship Id="rId1016" Type="http://schemas.openxmlformats.org/officeDocument/2006/relationships/hyperlink" Target="https://www.facebook.com/rapplerdotcom/photos/a.317154781638645/5597592673594803/" TargetMode="External"/><Relationship Id="rId1570" Type="http://schemas.openxmlformats.org/officeDocument/2006/relationships/hyperlink" Target="https://www.facebook.com/rapplerdotcom/photos/a.317154781638645/5597116770309060/" TargetMode="External"/><Relationship Id="rId2414" Type="http://schemas.openxmlformats.org/officeDocument/2006/relationships/hyperlink" Target="https://www.facebook.com/rapplerdotcom/posts/pfbid0TYP6syjYwznxJKdhWv9YMaXK9NvsSEhQ2cyyCQCPMvGapWXrQBHehywgT156wqNPl" TargetMode="External"/><Relationship Id="rId2621" Type="http://schemas.openxmlformats.org/officeDocument/2006/relationships/hyperlink" Target="https://www.facebook.com/sunday.dugong" TargetMode="External"/><Relationship Id="rId5777" Type="http://schemas.openxmlformats.org/officeDocument/2006/relationships/hyperlink" Target="https://www.facebook.com/rapplerdotcom/photos/a.317154781638645/5594453700575367/" TargetMode="External"/><Relationship Id="rId5984" Type="http://schemas.openxmlformats.org/officeDocument/2006/relationships/hyperlink" Target="https://www.facebook.com/jeac2016" TargetMode="External"/><Relationship Id="rId800" Type="http://schemas.openxmlformats.org/officeDocument/2006/relationships/hyperlink" Target="https://www.facebook.com/rapplerdotcom/photos/a.317154781638645/5597612220259515/" TargetMode="External"/><Relationship Id="rId1223" Type="http://schemas.openxmlformats.org/officeDocument/2006/relationships/hyperlink" Target="https://www.facebook.com/pamela.plamenco" TargetMode="External"/><Relationship Id="rId1430" Type="http://schemas.openxmlformats.org/officeDocument/2006/relationships/hyperlink" Target="https://www.facebook.com/rapplerdotcom/photos/a.317154781638645/5597116770309060/" TargetMode="External"/><Relationship Id="rId4379" Type="http://schemas.openxmlformats.org/officeDocument/2006/relationships/hyperlink" Target="https://www.facebook.com/rapplerdotcom/photos/a.317154781638645/5594954703858600/" TargetMode="External"/><Relationship Id="rId4586" Type="http://schemas.openxmlformats.org/officeDocument/2006/relationships/hyperlink" Target="https://www.facebook.com/crispina.pin.35" TargetMode="External"/><Relationship Id="rId4793" Type="http://schemas.openxmlformats.org/officeDocument/2006/relationships/hyperlink" Target="https://www.facebook.com/watch/live/?ref=watch_permalink&amp;v=923735834984653" TargetMode="External"/><Relationship Id="rId5637" Type="http://schemas.openxmlformats.org/officeDocument/2006/relationships/hyperlink" Target="https://www.facebook.com/rapplerdotcom/photos/a.317154781638645/5594453700575367/" TargetMode="External"/><Relationship Id="rId5844" Type="http://schemas.openxmlformats.org/officeDocument/2006/relationships/hyperlink" Target="https://www.facebook.com/profile.php?id=100008034378748" TargetMode="External"/><Relationship Id="rId3188" Type="http://schemas.openxmlformats.org/officeDocument/2006/relationships/hyperlink" Target="https://www.facebook.com/watch/live/?ref=watch_permalink&amp;v=332681445500650" TargetMode="External"/><Relationship Id="rId3395" Type="http://schemas.openxmlformats.org/officeDocument/2006/relationships/hyperlink" Target="https://www.facebook.com/deanny.magana" TargetMode="External"/><Relationship Id="rId4239" Type="http://schemas.openxmlformats.org/officeDocument/2006/relationships/hyperlink" Target="https://www.facebook.com/rapplerdotcom/photos/a.317154781638645/5594954703858600/" TargetMode="External"/><Relationship Id="rId4446" Type="http://schemas.openxmlformats.org/officeDocument/2006/relationships/hyperlink" Target="https://www.facebook.com/rapkarl04" TargetMode="External"/><Relationship Id="rId4653" Type="http://schemas.openxmlformats.org/officeDocument/2006/relationships/hyperlink" Target="https://www.facebook.com/watch/live/?ref=watch_permalink&amp;v=923735834984653" TargetMode="External"/><Relationship Id="rId4860" Type="http://schemas.openxmlformats.org/officeDocument/2006/relationships/hyperlink" Target="https://www.facebook.com/robert.reforsado.98" TargetMode="External"/><Relationship Id="rId5704" Type="http://schemas.openxmlformats.org/officeDocument/2006/relationships/hyperlink" Target="https://www.facebook.com/profile.php?id=100075535575222" TargetMode="External"/><Relationship Id="rId5911" Type="http://schemas.openxmlformats.org/officeDocument/2006/relationships/hyperlink" Target="https://www.facebook.com/rapplerdotcom/photos/a.317154781638645/5594359700584767/" TargetMode="External"/><Relationship Id="rId3048" Type="http://schemas.openxmlformats.org/officeDocument/2006/relationships/hyperlink" Target="https://www.facebook.com/watch/live/?ref=watch_permalink&amp;v=360307549312104" TargetMode="External"/><Relationship Id="rId3255" Type="http://schemas.openxmlformats.org/officeDocument/2006/relationships/hyperlink" Target="https://www.facebook.com/mayumi.cruz.90" TargetMode="External"/><Relationship Id="rId3462" Type="http://schemas.openxmlformats.org/officeDocument/2006/relationships/hyperlink" Target="https://www.facebook.com/rapplerdotcom/photos/a.317154781638645/5595372260483511/" TargetMode="External"/><Relationship Id="rId4306" Type="http://schemas.openxmlformats.org/officeDocument/2006/relationships/hyperlink" Target="https://www.facebook.com/yolanda.villegas.92167" TargetMode="External"/><Relationship Id="rId4513" Type="http://schemas.openxmlformats.org/officeDocument/2006/relationships/hyperlink" Target="https://www.facebook.com/rapplerdotcom/photos/a.317154781638645/5594954703858600/" TargetMode="External"/><Relationship Id="rId4720" Type="http://schemas.openxmlformats.org/officeDocument/2006/relationships/hyperlink" Target="https://www.facebook.com/ester.lualhati19" TargetMode="External"/><Relationship Id="rId176" Type="http://schemas.openxmlformats.org/officeDocument/2006/relationships/hyperlink" Target="https://www.facebook.com/rapplerdotcom/posts/pfbid0DUh4iFcrxZuR1UbiGhcAHcMdzsaV29GSeHCY1HabtqcnUWkjStX9TDaVqzzt92GDl" TargetMode="External"/><Relationship Id="rId383" Type="http://schemas.openxmlformats.org/officeDocument/2006/relationships/hyperlink" Target="https://www.facebook.com/rapplerdotcom/photos/a.317154781638645/5598220220198715/" TargetMode="External"/><Relationship Id="rId590" Type="http://schemas.openxmlformats.org/officeDocument/2006/relationships/hyperlink" Target="https://www.facebook.com/rapplerdotcom/photos/a.317154781638645/5597874143566656" TargetMode="External"/><Relationship Id="rId2064" Type="http://schemas.openxmlformats.org/officeDocument/2006/relationships/hyperlink" Target="https://www.facebook.com/rapplerdotcom/photos/a.317154781638645/5596022273751843/" TargetMode="External"/><Relationship Id="rId2271" Type="http://schemas.openxmlformats.org/officeDocument/2006/relationships/hyperlink" Target="https://www.facebook.com/nissan.urvan.779" TargetMode="External"/><Relationship Id="rId3115" Type="http://schemas.openxmlformats.org/officeDocument/2006/relationships/hyperlink" Target="https://www.facebook.com/maryjean.larion" TargetMode="External"/><Relationship Id="rId3322" Type="http://schemas.openxmlformats.org/officeDocument/2006/relationships/hyperlink" Target="https://www.facebook.com/rapplerdotcom/photos/a.317154781638645/5595372260483511/" TargetMode="External"/><Relationship Id="rId243" Type="http://schemas.openxmlformats.org/officeDocument/2006/relationships/hyperlink" Target="https://www.facebook.com/rapplerdotcom/photos/a.317154781638645/5598220220198715/" TargetMode="External"/><Relationship Id="rId450" Type="http://schemas.openxmlformats.org/officeDocument/2006/relationships/hyperlink" Target="https://www.facebook.com/profile.php?id=100007771848864" TargetMode="External"/><Relationship Id="rId1080" Type="http://schemas.openxmlformats.org/officeDocument/2006/relationships/hyperlink" Target="https://www.facebook.com/rapplerdotcom/posts/pfbid028Kg188FmebKa4aFvHZNp8zGTwjghWDDJuUmQ8agbSCvGAGJHZ7pBH9NmxLBmPZZdl" TargetMode="External"/><Relationship Id="rId2131" Type="http://schemas.openxmlformats.org/officeDocument/2006/relationships/hyperlink" Target="https://www.facebook.com/guenkisses" TargetMode="External"/><Relationship Id="rId5287" Type="http://schemas.openxmlformats.org/officeDocument/2006/relationships/hyperlink" Target="https://www.facebook.com/rapplerdotcom/photos/a.317154781638645/5594264657260938/" TargetMode="External"/><Relationship Id="rId5494" Type="http://schemas.openxmlformats.org/officeDocument/2006/relationships/hyperlink" Target="https://www.facebook.com/soliviocheryl" TargetMode="External"/><Relationship Id="rId103" Type="http://schemas.openxmlformats.org/officeDocument/2006/relationships/hyperlink" Target="https://www.facebook.com/akr.bebelynpond" TargetMode="External"/><Relationship Id="rId310" Type="http://schemas.openxmlformats.org/officeDocument/2006/relationships/hyperlink" Target="https://www.facebook.com/olracyer.nadneba.3" TargetMode="External"/><Relationship Id="rId4096" Type="http://schemas.openxmlformats.org/officeDocument/2006/relationships/hyperlink" Target="https://www.facebook.com/rapplerdotcom/posts/pfbid0231hbcbuKeQLDkPH8oZAdZbuU8MPPgRANx152V3xWpbjZ6EvfpohwQMvxHYAgrGPul" TargetMode="External"/><Relationship Id="rId5147" Type="http://schemas.openxmlformats.org/officeDocument/2006/relationships/hyperlink" Target="https://www.facebook.com/rapplerdotcom/photos/a.317154781638645/5594264657260938/" TargetMode="External"/><Relationship Id="rId1897" Type="http://schemas.openxmlformats.org/officeDocument/2006/relationships/hyperlink" Target="https://www.facebook.com/Aprilche888" TargetMode="External"/><Relationship Id="rId2948" Type="http://schemas.openxmlformats.org/officeDocument/2006/relationships/hyperlink" Target="https://www.facebook.com/watch/live/?ref=watch_permalink&amp;v=360307549312104" TargetMode="External"/><Relationship Id="rId5354" Type="http://schemas.openxmlformats.org/officeDocument/2006/relationships/hyperlink" Target="https://www.facebook.com/lyn.cobajada" TargetMode="External"/><Relationship Id="rId5561" Type="http://schemas.openxmlformats.org/officeDocument/2006/relationships/hyperlink" Target="https://www.facebook.com/rapplerdotcom/photos/a.317154781638645/5594453700575367/" TargetMode="External"/><Relationship Id="rId1757" Type="http://schemas.openxmlformats.org/officeDocument/2006/relationships/hyperlink" Target="https://www.facebook.com/arnie.puertollano" TargetMode="External"/><Relationship Id="rId1964" Type="http://schemas.openxmlformats.org/officeDocument/2006/relationships/hyperlink" Target="https://www.facebook.com/rapplerdotcom/photos/a.317154781638645/5596043783749692/" TargetMode="External"/><Relationship Id="rId2808" Type="http://schemas.openxmlformats.org/officeDocument/2006/relationships/hyperlink" Target="https://www.facebook.com/watch/?v=570590637273208" TargetMode="External"/><Relationship Id="rId4163" Type="http://schemas.openxmlformats.org/officeDocument/2006/relationships/hyperlink" Target="https://www.facebook.com/jude.romero.14" TargetMode="External"/><Relationship Id="rId4370" Type="http://schemas.openxmlformats.org/officeDocument/2006/relationships/hyperlink" Target="https://www.facebook.com/onie.abon.98" TargetMode="External"/><Relationship Id="rId5007" Type="http://schemas.openxmlformats.org/officeDocument/2006/relationships/hyperlink" Target="https://www.facebook.com/rapplerdotcom/posts/pfbid02BCyyacWVuuu1bwX5PwYK8PvqDGTANxekqEMy7qyV9vMmaGKTbC8sBf7i5j3Wbx9Ll" TargetMode="External"/><Relationship Id="rId5214" Type="http://schemas.openxmlformats.org/officeDocument/2006/relationships/hyperlink" Target="https://www.facebook.com/jenessa.dano.1" TargetMode="External"/><Relationship Id="rId5421" Type="http://schemas.openxmlformats.org/officeDocument/2006/relationships/hyperlink" Target="https://www.facebook.com/watch/live/?ref=watch_permalink&amp;v=312865720941798" TargetMode="External"/><Relationship Id="rId49" Type="http://schemas.openxmlformats.org/officeDocument/2006/relationships/hyperlink" Target="https://www.facebook.com/pauljeric.queipo.1" TargetMode="External"/><Relationship Id="rId1617" Type="http://schemas.openxmlformats.org/officeDocument/2006/relationships/hyperlink" Target="https://www.facebook.com/profile.php?id=100077412090788" TargetMode="External"/><Relationship Id="rId1824" Type="http://schemas.openxmlformats.org/officeDocument/2006/relationships/hyperlink" Target="https://www.facebook.com/rapplerdotcom/photos/a.317154781638645/5596043783749692/" TargetMode="External"/><Relationship Id="rId4023" Type="http://schemas.openxmlformats.org/officeDocument/2006/relationships/hyperlink" Target="https://www.facebook.com/jubs.bravo" TargetMode="External"/><Relationship Id="rId4230" Type="http://schemas.openxmlformats.org/officeDocument/2006/relationships/hyperlink" Target="https://www.facebook.com/rapplerdotcom/photos/a.317154781638645/5594954703858600/" TargetMode="External"/><Relationship Id="rId3789" Type="http://schemas.openxmlformats.org/officeDocument/2006/relationships/hyperlink" Target="https://www.facebook.com/emil.paragas" TargetMode="External"/><Relationship Id="rId6195" Type="http://schemas.openxmlformats.org/officeDocument/2006/relationships/hyperlink" Target="https://www.facebook.com/watch/?v=684555919511830" TargetMode="External"/><Relationship Id="rId2598" Type="http://schemas.openxmlformats.org/officeDocument/2006/relationships/hyperlink" Target="https://www.facebook.com/rapplerdotcom/photos/a.317154781638645/5595733810447356/" TargetMode="External"/><Relationship Id="rId3996" Type="http://schemas.openxmlformats.org/officeDocument/2006/relationships/hyperlink" Target="https://www.facebook.com/rapplerdotcom/posts/pfbid0dyWpzxim3h4Z2SYriGakwQw85p7BCAgct7KU5EiMX1bmmgNHDD8nmES8rjrADsrPl" TargetMode="External"/><Relationship Id="rId6055" Type="http://schemas.openxmlformats.org/officeDocument/2006/relationships/hyperlink" Target="https://www.facebook.com/rapplerdotcom/photos/a.317154781638645/5594359700584767/" TargetMode="External"/><Relationship Id="rId3649" Type="http://schemas.openxmlformats.org/officeDocument/2006/relationships/hyperlink" Target="https://www.facebook.com/davidlacsina4" TargetMode="External"/><Relationship Id="rId3856" Type="http://schemas.openxmlformats.org/officeDocument/2006/relationships/hyperlink" Target="https://www.facebook.com/rapplerdotcom/posts/pfbid0dyWpzxim3h4Z2SYriGakwQw85p7BCAgct7KU5EiMX1bmmgNHDD8nmES8rjrADsrPl" TargetMode="External"/><Relationship Id="rId4907" Type="http://schemas.openxmlformats.org/officeDocument/2006/relationships/hyperlink" Target="https://www.facebook.com/rapplerdotcom/posts/pfbid02BCyyacWVuuu1bwX5PwYK8PvqDGTANxekqEMy7qyV9vMmaGKTbC8sBf7i5j3Wbx9Ll" TargetMode="External"/><Relationship Id="rId5071" Type="http://schemas.openxmlformats.org/officeDocument/2006/relationships/hyperlink" Target="https://www.facebook.com/rapplerdotcom/posts/pfbid0231hbcbuKeQLDkPH8oZAdZbuU8MPPgRANx152V3xWpbjZ6EvfpohwQMvxHYAgrGPul" TargetMode="External"/><Relationship Id="rId6122" Type="http://schemas.openxmlformats.org/officeDocument/2006/relationships/hyperlink" Target="https://www.facebook.com/vsalmario" TargetMode="External"/><Relationship Id="rId777" Type="http://schemas.openxmlformats.org/officeDocument/2006/relationships/hyperlink" Target="https://www.facebook.com/reynaldo.villarama" TargetMode="External"/><Relationship Id="rId984" Type="http://schemas.openxmlformats.org/officeDocument/2006/relationships/hyperlink" Target="https://www.facebook.com/rapplerdotcom/photos/a.317154781638645/5597592673594803/" TargetMode="External"/><Relationship Id="rId2458" Type="http://schemas.openxmlformats.org/officeDocument/2006/relationships/hyperlink" Target="https://www.facebook.com/rapplerdotcom/posts/pfbid0TYP6syjYwznxJKdhWv9YMaXK9NvsSEhQ2cyyCQCPMvGapWXrQBHehywgT156wqNPl" TargetMode="External"/><Relationship Id="rId2665" Type="http://schemas.openxmlformats.org/officeDocument/2006/relationships/hyperlink" Target="https://www.facebook.com/saldy.herrera.73" TargetMode="External"/><Relationship Id="rId2872" Type="http://schemas.openxmlformats.org/officeDocument/2006/relationships/hyperlink" Target="https://www.facebook.com/watch/?v=570590637273208" TargetMode="External"/><Relationship Id="rId3509" Type="http://schemas.openxmlformats.org/officeDocument/2006/relationships/hyperlink" Target="https://www.facebook.com/cezar.borja.96" TargetMode="External"/><Relationship Id="rId3716" Type="http://schemas.openxmlformats.org/officeDocument/2006/relationships/hyperlink" Target="https://www.facebook.com/rapplerdotcom/photos/a.317154781638645/5595162900504447/" TargetMode="External"/><Relationship Id="rId3923" Type="http://schemas.openxmlformats.org/officeDocument/2006/relationships/hyperlink" Target="https://www.facebook.com/ellessir.setnallude" TargetMode="External"/><Relationship Id="rId637" Type="http://schemas.openxmlformats.org/officeDocument/2006/relationships/hyperlink" Target="https://www.facebook.com/haissam.suarez" TargetMode="External"/><Relationship Id="rId844" Type="http://schemas.openxmlformats.org/officeDocument/2006/relationships/hyperlink" Target="https://www.facebook.com/rapplerdotcom/photos/a.317154781638645/5597612220259515/" TargetMode="External"/><Relationship Id="rId1267" Type="http://schemas.openxmlformats.org/officeDocument/2006/relationships/hyperlink" Target="https://www.facebook.com/michael.elarmo.35" TargetMode="External"/><Relationship Id="rId1474" Type="http://schemas.openxmlformats.org/officeDocument/2006/relationships/hyperlink" Target="https://www.facebook.com/rapplerdotcom/photos/a.317154781638645/5597116770309060/" TargetMode="External"/><Relationship Id="rId1681" Type="http://schemas.openxmlformats.org/officeDocument/2006/relationships/hyperlink" Target="https://www.facebook.com/nedned.anobla" TargetMode="External"/><Relationship Id="rId2318" Type="http://schemas.openxmlformats.org/officeDocument/2006/relationships/hyperlink" Target="https://www.facebook.com/rapplerdotcom/posts/pfbid0TYP6syjYwznxJKdhWv9YMaXK9NvsSEhQ2cyyCQCPMvGapWXrQBHehywgT156wqNPl" TargetMode="External"/><Relationship Id="rId2525" Type="http://schemas.openxmlformats.org/officeDocument/2006/relationships/hyperlink" Target="https://www.facebook.com/mariaashley.rigos.3" TargetMode="External"/><Relationship Id="rId2732" Type="http://schemas.openxmlformats.org/officeDocument/2006/relationships/hyperlink" Target="https://www.facebook.com/rapplerdotcom/photos/a.317154781638645/5595733810447356/" TargetMode="External"/><Relationship Id="rId5888" Type="http://schemas.openxmlformats.org/officeDocument/2006/relationships/hyperlink" Target="https://www.facebook.com/pandoy.malabanan" TargetMode="External"/><Relationship Id="rId704" Type="http://schemas.openxmlformats.org/officeDocument/2006/relationships/hyperlink" Target="https://www.facebook.com/rapplerdotcom/photos/a.317154781638645/5597612220259515/" TargetMode="External"/><Relationship Id="rId911" Type="http://schemas.openxmlformats.org/officeDocument/2006/relationships/hyperlink" Target="https://www.facebook.com/jantenmoto" TargetMode="External"/><Relationship Id="rId1127" Type="http://schemas.openxmlformats.org/officeDocument/2006/relationships/hyperlink" Target="https://www.facebook.com/dan.mendoza.5602" TargetMode="External"/><Relationship Id="rId1334" Type="http://schemas.openxmlformats.org/officeDocument/2006/relationships/hyperlink" Target="https://www.facebook.com/rapplerdotcom/photos/a.317154781638645/5597116770309060/" TargetMode="External"/><Relationship Id="rId1541" Type="http://schemas.openxmlformats.org/officeDocument/2006/relationships/hyperlink" Target="https://www.facebook.com/profile.php?id=100076601927157" TargetMode="External"/><Relationship Id="rId4697" Type="http://schemas.openxmlformats.org/officeDocument/2006/relationships/hyperlink" Target="https://www.facebook.com/watch/live/?ref=watch_permalink&amp;v=923735834984653" TargetMode="External"/><Relationship Id="rId5748" Type="http://schemas.openxmlformats.org/officeDocument/2006/relationships/hyperlink" Target="https://www.facebook.com/melbie.carpentero.7" TargetMode="External"/><Relationship Id="rId5955" Type="http://schemas.openxmlformats.org/officeDocument/2006/relationships/hyperlink" Target="https://www.facebook.com/rapplerdotcom/photos/a.317154781638645/5594359700584767/" TargetMode="External"/><Relationship Id="rId40" Type="http://schemas.openxmlformats.org/officeDocument/2006/relationships/hyperlink" Target="https://www.facebook.com/rapplerdotcom/posts/pfbid0DUh4iFcrxZuR1UbiGhcAHcMdzsaV29GSeHCY1HabtqcnUWkjStX9TDaVqzzt92GDl" TargetMode="External"/><Relationship Id="rId1401" Type="http://schemas.openxmlformats.org/officeDocument/2006/relationships/hyperlink" Target="https://www.facebook.com/romulo.augustine" TargetMode="External"/><Relationship Id="rId3299" Type="http://schemas.openxmlformats.org/officeDocument/2006/relationships/hyperlink" Target="https://www.facebook.com/vicky.v.quiachon" TargetMode="External"/><Relationship Id="rId4557" Type="http://schemas.openxmlformats.org/officeDocument/2006/relationships/hyperlink" Target="https://www.facebook.com/watch/live/?ref=watch_permalink&amp;v=923735834984653" TargetMode="External"/><Relationship Id="rId4764" Type="http://schemas.openxmlformats.org/officeDocument/2006/relationships/hyperlink" Target="https://www.facebook.com/profile.php?id=100070807127692" TargetMode="External"/><Relationship Id="rId5608" Type="http://schemas.openxmlformats.org/officeDocument/2006/relationships/hyperlink" Target="https://www.facebook.com/rocky.romero.1042" TargetMode="External"/><Relationship Id="rId3159" Type="http://schemas.openxmlformats.org/officeDocument/2006/relationships/hyperlink" Target="https://www.facebook.com/profile.php?id=100011366202531" TargetMode="External"/><Relationship Id="rId3366" Type="http://schemas.openxmlformats.org/officeDocument/2006/relationships/hyperlink" Target="https://www.facebook.com/rapplerdotcom/photos/a.317154781638645/5595372260483511/" TargetMode="External"/><Relationship Id="rId3573" Type="http://schemas.openxmlformats.org/officeDocument/2006/relationships/hyperlink" Target="https://www.facebook.com/profile.php?id=100072514314651" TargetMode="External"/><Relationship Id="rId4417" Type="http://schemas.openxmlformats.org/officeDocument/2006/relationships/hyperlink" Target="https://www.facebook.com/rapplerdotcom/photos/a.317154781638645/5594954703858600/" TargetMode="External"/><Relationship Id="rId4971" Type="http://schemas.openxmlformats.org/officeDocument/2006/relationships/hyperlink" Target="https://www.facebook.com/rapplerdotcom/posts/pfbid02BCyyacWVuuu1bwX5PwYK8PvqDGTANxekqEMy7qyV9vMmaGKTbC8sBf7i5j3Wbx9Ll" TargetMode="External"/><Relationship Id="rId5815" Type="http://schemas.openxmlformats.org/officeDocument/2006/relationships/hyperlink" Target="https://www.facebook.com/rapplerdotcom/photos/a.317154781638645/5594453700575367/" TargetMode="External"/><Relationship Id="rId287" Type="http://schemas.openxmlformats.org/officeDocument/2006/relationships/hyperlink" Target="https://www.facebook.com/rapplerdotcom/photos/a.317154781638645/5598220220198715/" TargetMode="External"/><Relationship Id="rId494" Type="http://schemas.openxmlformats.org/officeDocument/2006/relationships/hyperlink" Target="https://www.facebook.com/federico.condesa" TargetMode="External"/><Relationship Id="rId2175" Type="http://schemas.openxmlformats.org/officeDocument/2006/relationships/hyperlink" Target="https://www.facebook.com/dynah.ferrer.1" TargetMode="External"/><Relationship Id="rId2382" Type="http://schemas.openxmlformats.org/officeDocument/2006/relationships/hyperlink" Target="https://www.facebook.com/rapplerdotcom/posts/pfbid0TYP6syjYwznxJKdhWv9YMaXK9NvsSEhQ2cyyCQCPMvGapWXrQBHehywgT156wqNPl" TargetMode="External"/><Relationship Id="rId3019" Type="http://schemas.openxmlformats.org/officeDocument/2006/relationships/hyperlink" Target="https://www.facebook.com/albert.erebito" TargetMode="External"/><Relationship Id="rId3226" Type="http://schemas.openxmlformats.org/officeDocument/2006/relationships/hyperlink" Target="https://www.facebook.com/watch/live/?ref=watch_permalink&amp;v=332681445500650" TargetMode="External"/><Relationship Id="rId3780" Type="http://schemas.openxmlformats.org/officeDocument/2006/relationships/hyperlink" Target="https://www.facebook.com/rapplerdotcom/posts/pfbid0dyWpzxim3h4Z2SYriGakwQw85p7BCAgct7KU5EiMX1bmmgNHDD8nmES8rjrADsrPl" TargetMode="External"/><Relationship Id="rId4624" Type="http://schemas.openxmlformats.org/officeDocument/2006/relationships/hyperlink" Target="https://www.facebook.com/profile.php?id=100078330409843" TargetMode="External"/><Relationship Id="rId4831" Type="http://schemas.openxmlformats.org/officeDocument/2006/relationships/hyperlink" Target="https://www.facebook.com/watch/live/?ref=watch_permalink&amp;v=923735834984653" TargetMode="External"/><Relationship Id="rId147" Type="http://schemas.openxmlformats.org/officeDocument/2006/relationships/hyperlink" Target="https://www.facebook.com/maylalyn.pagatpatanbiador" TargetMode="External"/><Relationship Id="rId354" Type="http://schemas.openxmlformats.org/officeDocument/2006/relationships/hyperlink" Target="https://www.facebook.com/benedicta.cesistarosapa" TargetMode="External"/><Relationship Id="rId1191" Type="http://schemas.openxmlformats.org/officeDocument/2006/relationships/hyperlink" Target="https://www.facebook.com/flor.caimen" TargetMode="External"/><Relationship Id="rId2035" Type="http://schemas.openxmlformats.org/officeDocument/2006/relationships/hyperlink" Target="https://www.facebook.com/profile.php?id=100064286552498" TargetMode="External"/><Relationship Id="rId3433" Type="http://schemas.openxmlformats.org/officeDocument/2006/relationships/hyperlink" Target="https://www.facebook.com/jonathan.biwit" TargetMode="External"/><Relationship Id="rId3640" Type="http://schemas.openxmlformats.org/officeDocument/2006/relationships/hyperlink" Target="https://www.facebook.com/rapplerdotcom/photos/a.317154781638645/5595372260483511/" TargetMode="External"/><Relationship Id="rId561" Type="http://schemas.openxmlformats.org/officeDocument/2006/relationships/hyperlink" Target="https://www.facebook.com/nedned.anobla" TargetMode="External"/><Relationship Id="rId2242" Type="http://schemas.openxmlformats.org/officeDocument/2006/relationships/hyperlink" Target="https://www.facebook.com/rapplerdotcom/photos/a.317154781638645/5596022273751843/" TargetMode="External"/><Relationship Id="rId3500" Type="http://schemas.openxmlformats.org/officeDocument/2006/relationships/hyperlink" Target="https://www.facebook.com/rapplerdotcom/photos/a.317154781638645/5595372260483511/" TargetMode="External"/><Relationship Id="rId5398" Type="http://schemas.openxmlformats.org/officeDocument/2006/relationships/hyperlink" Target="https://www.facebook.com/nancy.grageda" TargetMode="External"/><Relationship Id="rId214" Type="http://schemas.openxmlformats.org/officeDocument/2006/relationships/hyperlink" Target="https://www.facebook.com/rapplerdotcom/posts/pfbid0DUh4iFcrxZuR1UbiGhcAHcMdzsaV29GSeHCY1HabtqcnUWkjStX9TDaVqzzt92GDl" TargetMode="External"/><Relationship Id="rId421" Type="http://schemas.openxmlformats.org/officeDocument/2006/relationships/hyperlink" Target="https://www.facebook.com/rapplerdotcom/photos/a.317154781638645/5598220220198715/" TargetMode="External"/><Relationship Id="rId1051" Type="http://schemas.openxmlformats.org/officeDocument/2006/relationships/hyperlink" Target="https://www.facebook.com/marc.sagad.1" TargetMode="External"/><Relationship Id="rId2102" Type="http://schemas.openxmlformats.org/officeDocument/2006/relationships/hyperlink" Target="https://www.facebook.com/rapplerdotcom/photos/a.317154781638645/5596022273751843/" TargetMode="External"/><Relationship Id="rId5258" Type="http://schemas.openxmlformats.org/officeDocument/2006/relationships/hyperlink" Target="https://www.facebook.com/ryanjay.gil" TargetMode="External"/><Relationship Id="rId5465" Type="http://schemas.openxmlformats.org/officeDocument/2006/relationships/hyperlink" Target="https://www.facebook.com/watch/live/?ref=watch_permalink&amp;v=312865720941798" TargetMode="External"/><Relationship Id="rId5672" Type="http://schemas.openxmlformats.org/officeDocument/2006/relationships/hyperlink" Target="https://www.facebook.com/dennisdheus" TargetMode="External"/><Relationship Id="rId1868" Type="http://schemas.openxmlformats.org/officeDocument/2006/relationships/hyperlink" Target="https://www.facebook.com/rapplerdotcom/photos/a.317154781638645/5596043783749692/" TargetMode="External"/><Relationship Id="rId4067" Type="http://schemas.openxmlformats.org/officeDocument/2006/relationships/hyperlink" Target="https://www.facebook.com/profile.php?id=100004103093312" TargetMode="External"/><Relationship Id="rId4274" Type="http://schemas.openxmlformats.org/officeDocument/2006/relationships/hyperlink" Target="https://www.facebook.com/frechy.ebas" TargetMode="External"/><Relationship Id="rId4481" Type="http://schemas.openxmlformats.org/officeDocument/2006/relationships/hyperlink" Target="https://www.facebook.com/rapplerdotcom/photos/a.317154781638645/5594954703858600/" TargetMode="External"/><Relationship Id="rId5118" Type="http://schemas.openxmlformats.org/officeDocument/2006/relationships/hyperlink" Target="https://www.facebook.com/armi.prieto" TargetMode="External"/><Relationship Id="rId5325" Type="http://schemas.openxmlformats.org/officeDocument/2006/relationships/hyperlink" Target="https://www.facebook.com/rapplerdotcom/photos/a.317154781638645/5594264657260938/" TargetMode="External"/><Relationship Id="rId5532" Type="http://schemas.openxmlformats.org/officeDocument/2006/relationships/hyperlink" Target="https://www.facebook.com/januario.pascua.3" TargetMode="External"/><Relationship Id="rId2919" Type="http://schemas.openxmlformats.org/officeDocument/2006/relationships/hyperlink" Target="https://www.facebook.com/mheldzkie.jean.1" TargetMode="External"/><Relationship Id="rId3083" Type="http://schemas.openxmlformats.org/officeDocument/2006/relationships/hyperlink" Target="https://www.facebook.com/nenita.nino.37" TargetMode="External"/><Relationship Id="rId3290" Type="http://schemas.openxmlformats.org/officeDocument/2006/relationships/hyperlink" Target="https://www.facebook.com/rapplerdotcom/photos/a.317154781638645/5595372260483511/" TargetMode="External"/><Relationship Id="rId4134" Type="http://schemas.openxmlformats.org/officeDocument/2006/relationships/hyperlink" Target="https://www.facebook.com/rapplerdotcom/photos/a.317154781638645/5594954703858600/" TargetMode="External"/><Relationship Id="rId4341" Type="http://schemas.openxmlformats.org/officeDocument/2006/relationships/hyperlink" Target="https://www.facebook.com/rapplerdotcom/photos/a.317154781638645/5594954703858600/" TargetMode="External"/><Relationship Id="rId1728" Type="http://schemas.openxmlformats.org/officeDocument/2006/relationships/hyperlink" Target="https://www.facebook.com/rapplerdotcom/photos/a.317154781638645/5596043783749692/" TargetMode="External"/><Relationship Id="rId1935" Type="http://schemas.openxmlformats.org/officeDocument/2006/relationships/hyperlink" Target="https://www.facebook.com/lorenza.ito.33" TargetMode="External"/><Relationship Id="rId3150" Type="http://schemas.openxmlformats.org/officeDocument/2006/relationships/hyperlink" Target="https://www.facebook.com/watch/live/?ref=watch_permalink&amp;v=360307549312104" TargetMode="External"/><Relationship Id="rId4201" Type="http://schemas.openxmlformats.org/officeDocument/2006/relationships/hyperlink" Target="https://www.facebook.com/profile.php?id=100009202957672" TargetMode="External"/><Relationship Id="rId6099" Type="http://schemas.openxmlformats.org/officeDocument/2006/relationships/hyperlink" Target="https://www.facebook.com/rapplerdotcom/photos/a.317154781638645/5594359700584767/" TargetMode="External"/><Relationship Id="rId3010" Type="http://schemas.openxmlformats.org/officeDocument/2006/relationships/hyperlink" Target="https://www.facebook.com/watch/live/?ref=watch_permalink&amp;v=360307549312104" TargetMode="External"/><Relationship Id="rId6166" Type="http://schemas.openxmlformats.org/officeDocument/2006/relationships/hyperlink" Target="https://www.facebook.com/honesto.pabilando.7" TargetMode="External"/><Relationship Id="rId3967" Type="http://schemas.openxmlformats.org/officeDocument/2006/relationships/hyperlink" Target="https://www.facebook.com/lemrah91" TargetMode="External"/><Relationship Id="rId4" Type="http://schemas.openxmlformats.org/officeDocument/2006/relationships/hyperlink" Target="https://www.facebook.com/rapplerdotcom/posts/pfbid0DUh4iFcrxZuR1UbiGhcAHcMdzsaV29GSeHCY1HabtqcnUWkjStX9TDaVqzzt92GDl" TargetMode="External"/><Relationship Id="rId888" Type="http://schemas.openxmlformats.org/officeDocument/2006/relationships/hyperlink" Target="https://www.facebook.com/rapplerdotcom/photos/a.317154781638645/5597612220259515/" TargetMode="External"/><Relationship Id="rId2569" Type="http://schemas.openxmlformats.org/officeDocument/2006/relationships/hyperlink" Target="https://www.facebook.com/pulubeng.kabute" TargetMode="External"/><Relationship Id="rId2776" Type="http://schemas.openxmlformats.org/officeDocument/2006/relationships/hyperlink" Target="https://www.facebook.com/watch/?v=570590637273208" TargetMode="External"/><Relationship Id="rId2983" Type="http://schemas.openxmlformats.org/officeDocument/2006/relationships/hyperlink" Target="https://www.facebook.com/rowena.o.alvarez" TargetMode="External"/><Relationship Id="rId3827" Type="http://schemas.openxmlformats.org/officeDocument/2006/relationships/hyperlink" Target="https://www.facebook.com/vchua1" TargetMode="External"/><Relationship Id="rId5182" Type="http://schemas.openxmlformats.org/officeDocument/2006/relationships/hyperlink" Target="https://www.facebook.com/anjadonis11" TargetMode="External"/><Relationship Id="rId6026" Type="http://schemas.openxmlformats.org/officeDocument/2006/relationships/hyperlink" Target="https://www.facebook.com/pipo.anos.5" TargetMode="External"/><Relationship Id="rId748" Type="http://schemas.openxmlformats.org/officeDocument/2006/relationships/hyperlink" Target="https://www.facebook.com/rapplerdotcom/photos/a.317154781638645/5597612220259515/" TargetMode="External"/><Relationship Id="rId955" Type="http://schemas.openxmlformats.org/officeDocument/2006/relationships/hyperlink" Target="https://www.facebook.com/rubysegurado.daculan" TargetMode="External"/><Relationship Id="rId1378" Type="http://schemas.openxmlformats.org/officeDocument/2006/relationships/hyperlink" Target="https://www.facebook.com/rapplerdotcom/photos/a.317154781638645/5597116770309060/" TargetMode="External"/><Relationship Id="rId1585" Type="http://schemas.openxmlformats.org/officeDocument/2006/relationships/hyperlink" Target="https://www.facebook.com/profile.php?id=100009152090546" TargetMode="External"/><Relationship Id="rId1792" Type="http://schemas.openxmlformats.org/officeDocument/2006/relationships/hyperlink" Target="https://www.facebook.com/rapplerdotcom/photos/a.317154781638645/5596043783749692/" TargetMode="External"/><Relationship Id="rId2429" Type="http://schemas.openxmlformats.org/officeDocument/2006/relationships/hyperlink" Target="https://www.facebook.com/Krislenakate" TargetMode="External"/><Relationship Id="rId2636" Type="http://schemas.openxmlformats.org/officeDocument/2006/relationships/hyperlink" Target="https://www.facebook.com/rapplerdotcom/photos/a.317154781638645/5595733810447356/" TargetMode="External"/><Relationship Id="rId2843" Type="http://schemas.openxmlformats.org/officeDocument/2006/relationships/hyperlink" Target="https://www.facebook.com/argie.salo" TargetMode="External"/><Relationship Id="rId5042" Type="http://schemas.openxmlformats.org/officeDocument/2006/relationships/hyperlink" Target="https://www.facebook.com/josefina.nalcot" TargetMode="External"/><Relationship Id="rId5999" Type="http://schemas.openxmlformats.org/officeDocument/2006/relationships/hyperlink" Target="https://www.facebook.com/rapplerdotcom/photos/a.317154781638645/5594359700584767/" TargetMode="External"/><Relationship Id="rId84" Type="http://schemas.openxmlformats.org/officeDocument/2006/relationships/hyperlink" Target="https://www.facebook.com/rapplerdotcom/posts/pfbid0DUh4iFcrxZuR1UbiGhcAHcMdzsaV29GSeHCY1HabtqcnUWkjStX9TDaVqzzt92GDl" TargetMode="External"/><Relationship Id="rId608" Type="http://schemas.openxmlformats.org/officeDocument/2006/relationships/hyperlink" Target="https://www.facebook.com/rapplerdotcom/photos/a.317154781638645/5597874143566656" TargetMode="External"/><Relationship Id="rId815" Type="http://schemas.openxmlformats.org/officeDocument/2006/relationships/hyperlink" Target="https://www.facebook.com/profile.php?id=100063521917527" TargetMode="External"/><Relationship Id="rId1238" Type="http://schemas.openxmlformats.org/officeDocument/2006/relationships/hyperlink" Target="https://www.facebook.com/rapplerdotcom/posts/pfbid023goEfA6e1ABSWYJFy8fQ5LFWDv4QTSTmAfzySGtMSpy12iqywB2MUZjiZ8GjCxrGl" TargetMode="External"/><Relationship Id="rId1445" Type="http://schemas.openxmlformats.org/officeDocument/2006/relationships/hyperlink" Target="https://www.facebook.com/johntheo.antog.1" TargetMode="External"/><Relationship Id="rId1652" Type="http://schemas.openxmlformats.org/officeDocument/2006/relationships/hyperlink" Target="https://www.facebook.com/rapplerdotcom/posts/pfbid02AsSA4LQqjQ2Y8SVathQmtduoE3fhoGvQSNhvrzsMerDaJSQJ6jDvApCCiuaE7XCol" TargetMode="External"/><Relationship Id="rId1305" Type="http://schemas.openxmlformats.org/officeDocument/2006/relationships/hyperlink" Target="https://www.facebook.com/israelflores.acesheart" TargetMode="External"/><Relationship Id="rId2703" Type="http://schemas.openxmlformats.org/officeDocument/2006/relationships/hyperlink" Target="https://www.facebook.com/cirilobalong.lapaz" TargetMode="External"/><Relationship Id="rId2910" Type="http://schemas.openxmlformats.org/officeDocument/2006/relationships/hyperlink" Target="https://www.facebook.com/watch/live/?ref=watch_permalink&amp;v=360307549312104" TargetMode="External"/><Relationship Id="rId5859" Type="http://schemas.openxmlformats.org/officeDocument/2006/relationships/hyperlink" Target="https://www.facebook.com/rapplerdotcom/photos/a.317154781638645/5594453700575367/" TargetMode="External"/><Relationship Id="rId1512" Type="http://schemas.openxmlformats.org/officeDocument/2006/relationships/hyperlink" Target="https://www.facebook.com/rapplerdotcom/photos/a.317154781638645/5597116770309060/" TargetMode="External"/><Relationship Id="rId4668" Type="http://schemas.openxmlformats.org/officeDocument/2006/relationships/hyperlink" Target="https://www.facebook.com/josephine.delavin.16" TargetMode="External"/><Relationship Id="rId4875" Type="http://schemas.openxmlformats.org/officeDocument/2006/relationships/hyperlink" Target="https://www.facebook.com/watch/live/?ref=watch_permalink&amp;v=923735834984653" TargetMode="External"/><Relationship Id="rId5719" Type="http://schemas.openxmlformats.org/officeDocument/2006/relationships/hyperlink" Target="https://www.facebook.com/rapplerdotcom/photos/a.317154781638645/5594453700575367/" TargetMode="External"/><Relationship Id="rId5926" Type="http://schemas.openxmlformats.org/officeDocument/2006/relationships/hyperlink" Target="https://www.facebook.com/nievestampis" TargetMode="External"/><Relationship Id="rId6090" Type="http://schemas.openxmlformats.org/officeDocument/2006/relationships/hyperlink" Target="https://www.facebook.com/perryjun.agustin" TargetMode="External"/><Relationship Id="rId11" Type="http://schemas.openxmlformats.org/officeDocument/2006/relationships/hyperlink" Target="https://www.facebook.com/profile.php?id=100073334618156" TargetMode="External"/><Relationship Id="rId398" Type="http://schemas.openxmlformats.org/officeDocument/2006/relationships/hyperlink" Target="https://www.facebook.com/steve.tamayo.18" TargetMode="External"/><Relationship Id="rId2079" Type="http://schemas.openxmlformats.org/officeDocument/2006/relationships/hyperlink" Target="https://www.facebook.com/marite513" TargetMode="External"/><Relationship Id="rId3477" Type="http://schemas.openxmlformats.org/officeDocument/2006/relationships/hyperlink" Target="https://www.facebook.com/ttanchanco" TargetMode="External"/><Relationship Id="rId3684" Type="http://schemas.openxmlformats.org/officeDocument/2006/relationships/hyperlink" Target="https://www.facebook.com/rapplerdotcom/photos/a.317154781638645/5595162900504447/" TargetMode="External"/><Relationship Id="rId3891" Type="http://schemas.openxmlformats.org/officeDocument/2006/relationships/hyperlink" Target="https://www.facebook.com/akosimark" TargetMode="External"/><Relationship Id="rId4528" Type="http://schemas.openxmlformats.org/officeDocument/2006/relationships/hyperlink" Target="https://www.facebook.com/profile.php?id=100079181871183" TargetMode="External"/><Relationship Id="rId4735" Type="http://schemas.openxmlformats.org/officeDocument/2006/relationships/hyperlink" Target="https://www.facebook.com/watch/live/?ref=watch_permalink&amp;v=923735834984653" TargetMode="External"/><Relationship Id="rId4942" Type="http://schemas.openxmlformats.org/officeDocument/2006/relationships/hyperlink" Target="https://www.facebook.com/pinedaRuda" TargetMode="External"/><Relationship Id="rId2286" Type="http://schemas.openxmlformats.org/officeDocument/2006/relationships/hyperlink" Target="https://www.facebook.com/rapplerdotcom/photos/a.317154781638645/5596022273751843/" TargetMode="External"/><Relationship Id="rId2493" Type="http://schemas.openxmlformats.org/officeDocument/2006/relationships/hyperlink" Target="https://www.facebook.com/midsayap.vines.9" TargetMode="External"/><Relationship Id="rId3337" Type="http://schemas.openxmlformats.org/officeDocument/2006/relationships/hyperlink" Target="https://www.facebook.com/mariajesusa.menor" TargetMode="External"/><Relationship Id="rId3544" Type="http://schemas.openxmlformats.org/officeDocument/2006/relationships/hyperlink" Target="https://www.facebook.com/rapplerdotcom/photos/a.317154781638645/5595372260483511/" TargetMode="External"/><Relationship Id="rId3751" Type="http://schemas.openxmlformats.org/officeDocument/2006/relationships/hyperlink" Target="https://www.facebook.com/cecile.agobian" TargetMode="External"/><Relationship Id="rId4802" Type="http://schemas.openxmlformats.org/officeDocument/2006/relationships/hyperlink" Target="https://www.facebook.com/vic.montero.9" TargetMode="External"/><Relationship Id="rId258" Type="http://schemas.openxmlformats.org/officeDocument/2006/relationships/hyperlink" Target="https://www.facebook.com/profile.php?id=100078504654734" TargetMode="External"/><Relationship Id="rId465" Type="http://schemas.openxmlformats.org/officeDocument/2006/relationships/hyperlink" Target="https://www.facebook.com/rapplerdotcom/photos/a.317154781638645/5598220220198715/" TargetMode="External"/><Relationship Id="rId672" Type="http://schemas.openxmlformats.org/officeDocument/2006/relationships/hyperlink" Target="https://www.facebook.com/rapplerdotcom/photos/a.317154781638645/5597612220259515/" TargetMode="External"/><Relationship Id="rId1095" Type="http://schemas.openxmlformats.org/officeDocument/2006/relationships/hyperlink" Target="https://www.facebook.com/virginia.bongalosa" TargetMode="External"/><Relationship Id="rId2146" Type="http://schemas.openxmlformats.org/officeDocument/2006/relationships/hyperlink" Target="https://www.facebook.com/rapplerdotcom/photos/a.317154781638645/5596022273751843/" TargetMode="External"/><Relationship Id="rId2353" Type="http://schemas.openxmlformats.org/officeDocument/2006/relationships/hyperlink" Target="https://www.facebook.com/jeremiasmoronjr" TargetMode="External"/><Relationship Id="rId2560" Type="http://schemas.openxmlformats.org/officeDocument/2006/relationships/hyperlink" Target="https://www.facebook.com/rapplerdotcom/photos/a.317154781638645/5595733810447356/" TargetMode="External"/><Relationship Id="rId3404" Type="http://schemas.openxmlformats.org/officeDocument/2006/relationships/hyperlink" Target="https://www.facebook.com/rapplerdotcom/photos/a.317154781638645/5595372260483511/" TargetMode="External"/><Relationship Id="rId3611" Type="http://schemas.openxmlformats.org/officeDocument/2006/relationships/hyperlink" Target="https://www.facebook.com/irisjem.sanidad.9" TargetMode="External"/><Relationship Id="rId118" Type="http://schemas.openxmlformats.org/officeDocument/2006/relationships/hyperlink" Target="https://www.facebook.com/rapplerdotcom/posts/pfbid0DUh4iFcrxZuR1UbiGhcAHcMdzsaV29GSeHCY1HabtqcnUWkjStX9TDaVqzzt92GDl" TargetMode="External"/><Relationship Id="rId325" Type="http://schemas.openxmlformats.org/officeDocument/2006/relationships/hyperlink" Target="https://www.facebook.com/rapplerdotcom/photos/a.317154781638645/5598220220198715/" TargetMode="External"/><Relationship Id="rId532" Type="http://schemas.openxmlformats.org/officeDocument/2006/relationships/hyperlink" Target="https://www.facebook.com/antonio.amparado.52" TargetMode="External"/><Relationship Id="rId1162" Type="http://schemas.openxmlformats.org/officeDocument/2006/relationships/hyperlink" Target="https://www.facebook.com/rapplerdotcom/posts/pfbid02dNgAR64VTtp94Rus4o9MNbU55E2H9Wp7KMKzJGkk6u4UxRyHU8j2pPpwa5iwGcD3l" TargetMode="External"/><Relationship Id="rId2006" Type="http://schemas.openxmlformats.org/officeDocument/2006/relationships/hyperlink" Target="https://www.facebook.com/rapplerdotcom/photos/a.317154781638645/5596022273751843/" TargetMode="External"/><Relationship Id="rId2213" Type="http://schemas.openxmlformats.org/officeDocument/2006/relationships/hyperlink" Target="https://www.facebook.com/noel.ahadan" TargetMode="External"/><Relationship Id="rId2420" Type="http://schemas.openxmlformats.org/officeDocument/2006/relationships/hyperlink" Target="https://www.facebook.com/rapplerdotcom/posts/pfbid0TYP6syjYwznxJKdhWv9YMaXK9NvsSEhQ2cyyCQCPMvGapWXrQBHehywgT156wqNPl" TargetMode="External"/><Relationship Id="rId5369" Type="http://schemas.openxmlformats.org/officeDocument/2006/relationships/hyperlink" Target="https://www.facebook.com/rapplerdotcom/photos/a.317154781638645/5594264657260938/" TargetMode="External"/><Relationship Id="rId5576" Type="http://schemas.openxmlformats.org/officeDocument/2006/relationships/hyperlink" Target="https://www.facebook.com/markjoseph.vercial" TargetMode="External"/><Relationship Id="rId5783" Type="http://schemas.openxmlformats.org/officeDocument/2006/relationships/hyperlink" Target="https://www.facebook.com/rapplerdotcom/photos/a.317154781638645/5594453700575367/" TargetMode="External"/><Relationship Id="rId1022" Type="http://schemas.openxmlformats.org/officeDocument/2006/relationships/hyperlink" Target="https://www.facebook.com/rapplerdotcom/photos/a.317154781638645/5597592673594803/" TargetMode="External"/><Relationship Id="rId4178" Type="http://schemas.openxmlformats.org/officeDocument/2006/relationships/hyperlink" Target="https://www.facebook.com/rapplerdotcom/photos/a.317154781638645/5594954703858600/" TargetMode="External"/><Relationship Id="rId4385" Type="http://schemas.openxmlformats.org/officeDocument/2006/relationships/hyperlink" Target="https://www.facebook.com/rapplerdotcom/photos/a.317154781638645/5594954703858600/" TargetMode="External"/><Relationship Id="rId4592" Type="http://schemas.openxmlformats.org/officeDocument/2006/relationships/hyperlink" Target="https://www.facebook.com/lariza.francisco" TargetMode="External"/><Relationship Id="rId5229" Type="http://schemas.openxmlformats.org/officeDocument/2006/relationships/hyperlink" Target="https://www.facebook.com/rapplerdotcom/photos/a.317154781638645/5594264657260938/" TargetMode="External"/><Relationship Id="rId5436" Type="http://schemas.openxmlformats.org/officeDocument/2006/relationships/hyperlink" Target="https://www.facebook.com/jasper.aravi" TargetMode="External"/><Relationship Id="rId5990" Type="http://schemas.openxmlformats.org/officeDocument/2006/relationships/hyperlink" Target="https://www.facebook.com/profile.php?id=100070491889329" TargetMode="External"/><Relationship Id="rId1979" Type="http://schemas.openxmlformats.org/officeDocument/2006/relationships/hyperlink" Target="https://www.facebook.com/beverlyfrias" TargetMode="External"/><Relationship Id="rId3194" Type="http://schemas.openxmlformats.org/officeDocument/2006/relationships/hyperlink" Target="https://www.facebook.com/watch/live/?ref=watch_permalink&amp;v=332681445500650" TargetMode="External"/><Relationship Id="rId4038" Type="http://schemas.openxmlformats.org/officeDocument/2006/relationships/hyperlink" Target="https://www.facebook.com/rapplerdotcom/posts/pfbid02kmyrDmvYtHxz51VdR228sTCyvbHYDrwL4TgeoVAenoprSKkWhUFLyRmAuKBuGtXXl" TargetMode="External"/><Relationship Id="rId4245" Type="http://schemas.openxmlformats.org/officeDocument/2006/relationships/hyperlink" Target="https://www.facebook.com/rapplerdotcom/photos/a.317154781638645/5594954703858600/" TargetMode="External"/><Relationship Id="rId5643" Type="http://schemas.openxmlformats.org/officeDocument/2006/relationships/hyperlink" Target="https://www.facebook.com/rapplerdotcom/photos/a.317154781638645/5594453700575367/" TargetMode="External"/><Relationship Id="rId5850" Type="http://schemas.openxmlformats.org/officeDocument/2006/relationships/hyperlink" Target="https://www.facebook.com/julie.arenas143" TargetMode="External"/><Relationship Id="rId1839" Type="http://schemas.openxmlformats.org/officeDocument/2006/relationships/hyperlink" Target="https://www.facebook.com/liza.mallorca.501" TargetMode="External"/><Relationship Id="rId3054" Type="http://schemas.openxmlformats.org/officeDocument/2006/relationships/hyperlink" Target="https://www.facebook.com/watch/live/?ref=watch_permalink&amp;v=360307549312104" TargetMode="External"/><Relationship Id="rId4452" Type="http://schemas.openxmlformats.org/officeDocument/2006/relationships/hyperlink" Target="https://www.facebook.com/profile.php?id=100004913538639" TargetMode="External"/><Relationship Id="rId5503" Type="http://schemas.openxmlformats.org/officeDocument/2006/relationships/hyperlink" Target="https://www.facebook.com/rapplerdotcom/photos/a.317154781638645/5594453700575367/" TargetMode="External"/><Relationship Id="rId5710" Type="http://schemas.openxmlformats.org/officeDocument/2006/relationships/hyperlink" Target="https://www.facebook.com/jojo.lagaya.9" TargetMode="External"/><Relationship Id="rId182" Type="http://schemas.openxmlformats.org/officeDocument/2006/relationships/hyperlink" Target="https://www.facebook.com/rapplerdotcom/posts/pfbid0DUh4iFcrxZuR1UbiGhcAHcMdzsaV29GSeHCY1HabtqcnUWkjStX9TDaVqzzt92GDl" TargetMode="External"/><Relationship Id="rId1906" Type="http://schemas.openxmlformats.org/officeDocument/2006/relationships/hyperlink" Target="https://www.facebook.com/rapplerdotcom/photos/a.317154781638645/5596043783749692/" TargetMode="External"/><Relationship Id="rId3261" Type="http://schemas.openxmlformats.org/officeDocument/2006/relationships/hyperlink" Target="https://www.facebook.com/wallye.napua" TargetMode="External"/><Relationship Id="rId4105" Type="http://schemas.openxmlformats.org/officeDocument/2006/relationships/hyperlink" Target="https://www.facebook.com/kram.nia.5" TargetMode="External"/><Relationship Id="rId4312" Type="http://schemas.openxmlformats.org/officeDocument/2006/relationships/hyperlink" Target="https://www.facebook.com/nrgatdula" TargetMode="External"/><Relationship Id="rId2070" Type="http://schemas.openxmlformats.org/officeDocument/2006/relationships/hyperlink" Target="https://www.facebook.com/rapplerdotcom/photos/a.317154781638645/5596022273751843/" TargetMode="External"/><Relationship Id="rId3121" Type="http://schemas.openxmlformats.org/officeDocument/2006/relationships/hyperlink" Target="https://www.facebook.com/madonna.bagalayfulgar.3" TargetMode="External"/><Relationship Id="rId999" Type="http://schemas.openxmlformats.org/officeDocument/2006/relationships/hyperlink" Target="https://www.facebook.com/profile.php?id=100074718165514" TargetMode="External"/><Relationship Id="rId2887" Type="http://schemas.openxmlformats.org/officeDocument/2006/relationships/hyperlink" Target="https://www.facebook.com/RitaAvilaBooksforChildren" TargetMode="External"/><Relationship Id="rId5086" Type="http://schemas.openxmlformats.org/officeDocument/2006/relationships/hyperlink" Target="https://www.facebook.com/gregorio.deo" TargetMode="External"/><Relationship Id="rId5293" Type="http://schemas.openxmlformats.org/officeDocument/2006/relationships/hyperlink" Target="https://www.facebook.com/rapplerdotcom/photos/a.317154781638645/5594264657260938/" TargetMode="External"/><Relationship Id="rId6137" Type="http://schemas.openxmlformats.org/officeDocument/2006/relationships/hyperlink" Target="https://www.facebook.com/rapplerdotcom/posts/pfbid0JJW97xH5fR5tDSLUQ8AnEgkPMU9Aigs9CgcNy2Q7AzJY4R8mRoicBgu3PLdqpf2Tl" TargetMode="External"/><Relationship Id="rId859" Type="http://schemas.openxmlformats.org/officeDocument/2006/relationships/hyperlink" Target="https://www.facebook.com/michelle.delosnieves" TargetMode="External"/><Relationship Id="rId1489" Type="http://schemas.openxmlformats.org/officeDocument/2006/relationships/hyperlink" Target="https://www.facebook.com/rafaelfelicia.equipado" TargetMode="External"/><Relationship Id="rId1696" Type="http://schemas.openxmlformats.org/officeDocument/2006/relationships/hyperlink" Target="https://www.facebook.com/rapplerdotcom/photos/a.317154781638645/5596043783749692/" TargetMode="External"/><Relationship Id="rId3938" Type="http://schemas.openxmlformats.org/officeDocument/2006/relationships/hyperlink" Target="https://www.facebook.com/rapplerdotcom/posts/pfbid0dyWpzxim3h4Z2SYriGakwQw85p7BCAgct7KU5EiMX1bmmgNHDD8nmES8rjrADsrPl" TargetMode="External"/><Relationship Id="rId5153" Type="http://schemas.openxmlformats.org/officeDocument/2006/relationships/hyperlink" Target="https://www.facebook.com/rapplerdotcom/photos/a.317154781638645/5594264657260938/" TargetMode="External"/><Relationship Id="rId5360" Type="http://schemas.openxmlformats.org/officeDocument/2006/relationships/hyperlink" Target="https://www.facebook.com/holaissa.jaboneta" TargetMode="External"/><Relationship Id="rId6204" Type="http://schemas.openxmlformats.org/officeDocument/2006/relationships/hyperlink" Target="https://www.facebook.com/profile.php?id=100010628258142" TargetMode="External"/><Relationship Id="rId1349" Type="http://schemas.openxmlformats.org/officeDocument/2006/relationships/hyperlink" Target="https://www.facebook.com/celyn.guazon" TargetMode="External"/><Relationship Id="rId2747" Type="http://schemas.openxmlformats.org/officeDocument/2006/relationships/hyperlink" Target="https://www.facebook.com/profile.php?id=100076809421771" TargetMode="External"/><Relationship Id="rId2954" Type="http://schemas.openxmlformats.org/officeDocument/2006/relationships/hyperlink" Target="https://www.facebook.com/watch/live/?ref=watch_permalink&amp;v=360307549312104" TargetMode="External"/><Relationship Id="rId5013" Type="http://schemas.openxmlformats.org/officeDocument/2006/relationships/hyperlink" Target="https://www.facebook.com/rapplerdotcom/posts/pfbid02BCyyacWVuuu1bwX5PwYK8PvqDGTANxekqEMy7qyV9vMmaGKTbC8sBf7i5j3Wbx9Ll" TargetMode="External"/><Relationship Id="rId5220" Type="http://schemas.openxmlformats.org/officeDocument/2006/relationships/hyperlink" Target="https://www.facebook.com/emman.bantad" TargetMode="External"/><Relationship Id="rId719" Type="http://schemas.openxmlformats.org/officeDocument/2006/relationships/hyperlink" Target="https://www.facebook.com/christinefamulagan" TargetMode="External"/><Relationship Id="rId926" Type="http://schemas.openxmlformats.org/officeDocument/2006/relationships/hyperlink" Target="https://www.facebook.com/rapplerdotcom/photos/a.317154781638645/5597592673594803/" TargetMode="External"/><Relationship Id="rId1556" Type="http://schemas.openxmlformats.org/officeDocument/2006/relationships/hyperlink" Target="https://www.facebook.com/rapplerdotcom/photos/a.317154781638645/5597116770309060/" TargetMode="External"/><Relationship Id="rId1763" Type="http://schemas.openxmlformats.org/officeDocument/2006/relationships/hyperlink" Target="https://www.facebook.com/nigeltan.ph" TargetMode="External"/><Relationship Id="rId1970" Type="http://schemas.openxmlformats.org/officeDocument/2006/relationships/hyperlink" Target="https://www.facebook.com/rapplerdotcom/photos/a.317154781638645/5596043783749692/" TargetMode="External"/><Relationship Id="rId2607" Type="http://schemas.openxmlformats.org/officeDocument/2006/relationships/hyperlink" Target="https://www.facebook.com/profile.php?id=100009637215034" TargetMode="External"/><Relationship Id="rId2814" Type="http://schemas.openxmlformats.org/officeDocument/2006/relationships/hyperlink" Target="https://www.facebook.com/watch/?v=570590637273208" TargetMode="External"/><Relationship Id="rId55" Type="http://schemas.openxmlformats.org/officeDocument/2006/relationships/hyperlink" Target="https://www.facebook.com/aqoucii.makmak" TargetMode="External"/><Relationship Id="rId1209" Type="http://schemas.openxmlformats.org/officeDocument/2006/relationships/hyperlink" Target="https://www.facebook.com/nimfa.p.delrosario" TargetMode="External"/><Relationship Id="rId1416" Type="http://schemas.openxmlformats.org/officeDocument/2006/relationships/hyperlink" Target="https://www.facebook.com/rapplerdotcom/photos/a.317154781638645/5597116770309060/" TargetMode="External"/><Relationship Id="rId1623" Type="http://schemas.openxmlformats.org/officeDocument/2006/relationships/hyperlink" Target="https://www.facebook.com/virgenia.estrada.1" TargetMode="External"/><Relationship Id="rId1830" Type="http://schemas.openxmlformats.org/officeDocument/2006/relationships/hyperlink" Target="https://www.facebook.com/rapplerdotcom/photos/a.317154781638645/5596043783749692/" TargetMode="External"/><Relationship Id="rId4779" Type="http://schemas.openxmlformats.org/officeDocument/2006/relationships/hyperlink" Target="https://www.facebook.com/watch/live/?ref=watch_permalink&amp;v=923735834984653" TargetMode="External"/><Relationship Id="rId4986" Type="http://schemas.openxmlformats.org/officeDocument/2006/relationships/hyperlink" Target="https://www.facebook.com/roldan.lago.75" TargetMode="External"/><Relationship Id="rId3588" Type="http://schemas.openxmlformats.org/officeDocument/2006/relationships/hyperlink" Target="https://www.facebook.com/rapplerdotcom/photos/a.317154781638645/5595372260483511/" TargetMode="External"/><Relationship Id="rId3795" Type="http://schemas.openxmlformats.org/officeDocument/2006/relationships/hyperlink" Target="https://www.facebook.com/babie.canete" TargetMode="External"/><Relationship Id="rId4639" Type="http://schemas.openxmlformats.org/officeDocument/2006/relationships/hyperlink" Target="https://www.facebook.com/watch/live/?ref=watch_permalink&amp;v=923735834984653" TargetMode="External"/><Relationship Id="rId4846" Type="http://schemas.openxmlformats.org/officeDocument/2006/relationships/hyperlink" Target="https://www.facebook.com/profile.php?id=100078777143189" TargetMode="External"/><Relationship Id="rId2397" Type="http://schemas.openxmlformats.org/officeDocument/2006/relationships/hyperlink" Target="https://www.facebook.com/profile.php?id=100004736566728" TargetMode="External"/><Relationship Id="rId3448" Type="http://schemas.openxmlformats.org/officeDocument/2006/relationships/hyperlink" Target="https://www.facebook.com/rapplerdotcom/photos/a.317154781638645/5595372260483511/" TargetMode="External"/><Relationship Id="rId3655" Type="http://schemas.openxmlformats.org/officeDocument/2006/relationships/hyperlink" Target="https://www.facebook.com/cherryl.manjares.14" TargetMode="External"/><Relationship Id="rId3862" Type="http://schemas.openxmlformats.org/officeDocument/2006/relationships/hyperlink" Target="https://www.facebook.com/rapplerdotcom/posts/pfbid0dyWpzxim3h4Z2SYriGakwQw85p7BCAgct7KU5EiMX1bmmgNHDD8nmES8rjrADsrPl" TargetMode="External"/><Relationship Id="rId4706" Type="http://schemas.openxmlformats.org/officeDocument/2006/relationships/hyperlink" Target="https://www.facebook.com/raymund.pasman.754" TargetMode="External"/><Relationship Id="rId6061" Type="http://schemas.openxmlformats.org/officeDocument/2006/relationships/hyperlink" Target="https://www.facebook.com/rapplerdotcom/photos/a.317154781638645/5594359700584767/" TargetMode="External"/><Relationship Id="rId369" Type="http://schemas.openxmlformats.org/officeDocument/2006/relationships/hyperlink" Target="https://www.facebook.com/rapplerdotcom/photos/a.317154781638645/5598220220198715/" TargetMode="External"/><Relationship Id="rId576" Type="http://schemas.openxmlformats.org/officeDocument/2006/relationships/hyperlink" Target="https://www.facebook.com/rapplerdotcom/photos/a.317154781638645/5597874143566656" TargetMode="External"/><Relationship Id="rId783" Type="http://schemas.openxmlformats.org/officeDocument/2006/relationships/hyperlink" Target="https://www.facebook.com/simeona.stevens" TargetMode="External"/><Relationship Id="rId990" Type="http://schemas.openxmlformats.org/officeDocument/2006/relationships/hyperlink" Target="https://www.facebook.com/rapplerdotcom/photos/a.317154781638645/5597592673594803/" TargetMode="External"/><Relationship Id="rId2257" Type="http://schemas.openxmlformats.org/officeDocument/2006/relationships/hyperlink" Target="https://www.facebook.com/NelvieParilla" TargetMode="External"/><Relationship Id="rId2464" Type="http://schemas.openxmlformats.org/officeDocument/2006/relationships/hyperlink" Target="https://www.facebook.com/rapplerdotcom/posts/pfbid0TYP6syjYwznxJKdhWv9YMaXK9NvsSEhQ2cyyCQCPMvGapWXrQBHehywgT156wqNPl" TargetMode="External"/><Relationship Id="rId2671" Type="http://schemas.openxmlformats.org/officeDocument/2006/relationships/hyperlink" Target="https://www.facebook.com/geobert.osma" TargetMode="External"/><Relationship Id="rId3308" Type="http://schemas.openxmlformats.org/officeDocument/2006/relationships/hyperlink" Target="https://www.facebook.com/rapplerdotcom/photos/a.317154781638645/5595372260483511/" TargetMode="External"/><Relationship Id="rId3515" Type="http://schemas.openxmlformats.org/officeDocument/2006/relationships/hyperlink" Target="https://www.facebook.com/pamilyado" TargetMode="External"/><Relationship Id="rId4913" Type="http://schemas.openxmlformats.org/officeDocument/2006/relationships/hyperlink" Target="https://www.facebook.com/rapplerdotcom/posts/pfbid02BCyyacWVuuu1bwX5PwYK8PvqDGTANxekqEMy7qyV9vMmaGKTbC8sBf7i5j3Wbx9Ll" TargetMode="External"/><Relationship Id="rId229" Type="http://schemas.openxmlformats.org/officeDocument/2006/relationships/hyperlink" Target="https://www.facebook.com/rapplerdotcom/photos/a.317154781638645/5598220220198715/" TargetMode="External"/><Relationship Id="rId436" Type="http://schemas.openxmlformats.org/officeDocument/2006/relationships/hyperlink" Target="https://www.facebook.com/palos.reblando" TargetMode="External"/><Relationship Id="rId643" Type="http://schemas.openxmlformats.org/officeDocument/2006/relationships/hyperlink" Target="https://www.facebook.com/dexter.pavia" TargetMode="External"/><Relationship Id="rId1066" Type="http://schemas.openxmlformats.org/officeDocument/2006/relationships/hyperlink" Target="https://www.facebook.com/rapplerdotcom/posts/pfbid028Kg188FmebKa4aFvHZNp8zGTwjghWDDJuUmQ8agbSCvGAGJHZ7pBH9NmxLBmPZZdl" TargetMode="External"/><Relationship Id="rId1273" Type="http://schemas.openxmlformats.org/officeDocument/2006/relationships/hyperlink" Target="https://www.facebook.com/ADATL02" TargetMode="External"/><Relationship Id="rId1480" Type="http://schemas.openxmlformats.org/officeDocument/2006/relationships/hyperlink" Target="https://www.facebook.com/rapplerdotcom/photos/a.317154781638645/5597116770309060/" TargetMode="External"/><Relationship Id="rId2117" Type="http://schemas.openxmlformats.org/officeDocument/2006/relationships/hyperlink" Target="https://www.facebook.com/jenniebee.hempisao" TargetMode="External"/><Relationship Id="rId2324" Type="http://schemas.openxmlformats.org/officeDocument/2006/relationships/hyperlink" Target="https://www.facebook.com/rapplerdotcom/posts/pfbid0TYP6syjYwznxJKdhWv9YMaXK9NvsSEhQ2cyyCQCPMvGapWXrQBHehywgT156wqNPl" TargetMode="External"/><Relationship Id="rId3722" Type="http://schemas.openxmlformats.org/officeDocument/2006/relationships/hyperlink" Target="https://www.facebook.com/rapplerdotcom/photos/a.317154781638645/5595162900504447/" TargetMode="External"/><Relationship Id="rId850" Type="http://schemas.openxmlformats.org/officeDocument/2006/relationships/hyperlink" Target="https://www.facebook.com/rapplerdotcom/photos/a.317154781638645/5597612220259515/" TargetMode="External"/><Relationship Id="rId1133" Type="http://schemas.openxmlformats.org/officeDocument/2006/relationships/hyperlink" Target="https://www.facebook.com/julie.quintela" TargetMode="External"/><Relationship Id="rId2531" Type="http://schemas.openxmlformats.org/officeDocument/2006/relationships/hyperlink" Target="https://www.facebook.com/Gheniirose" TargetMode="External"/><Relationship Id="rId4289" Type="http://schemas.openxmlformats.org/officeDocument/2006/relationships/hyperlink" Target="https://www.facebook.com/rapplerdotcom/photos/a.317154781638645/5594954703858600/" TargetMode="External"/><Relationship Id="rId5687" Type="http://schemas.openxmlformats.org/officeDocument/2006/relationships/hyperlink" Target="https://www.facebook.com/rapplerdotcom/photos/a.317154781638645/5594453700575367/" TargetMode="External"/><Relationship Id="rId5894" Type="http://schemas.openxmlformats.org/officeDocument/2006/relationships/hyperlink" Target="https://www.facebook.com/fatima.dy" TargetMode="External"/><Relationship Id="rId503" Type="http://schemas.openxmlformats.org/officeDocument/2006/relationships/hyperlink" Target="https://www.facebook.com/rapplerdotcom/photos/a.317154781638645/5598220220198715/" TargetMode="External"/><Relationship Id="rId710" Type="http://schemas.openxmlformats.org/officeDocument/2006/relationships/hyperlink" Target="https://www.facebook.com/rapplerdotcom/photos/a.317154781638645/5597612220259515/" TargetMode="External"/><Relationship Id="rId1340" Type="http://schemas.openxmlformats.org/officeDocument/2006/relationships/hyperlink" Target="https://www.facebook.com/rapplerdotcom/photos/a.317154781638645/5597116770309060/" TargetMode="External"/><Relationship Id="rId3098" Type="http://schemas.openxmlformats.org/officeDocument/2006/relationships/hyperlink" Target="https://www.facebook.com/watch/live/?ref=watch_permalink&amp;v=360307549312104" TargetMode="External"/><Relationship Id="rId4496" Type="http://schemas.openxmlformats.org/officeDocument/2006/relationships/hyperlink" Target="https://www.facebook.com/profile.php?id=100013497646924" TargetMode="External"/><Relationship Id="rId5547" Type="http://schemas.openxmlformats.org/officeDocument/2006/relationships/hyperlink" Target="https://www.facebook.com/rapplerdotcom/photos/a.317154781638645/5594453700575367/" TargetMode="External"/><Relationship Id="rId5754" Type="http://schemas.openxmlformats.org/officeDocument/2006/relationships/hyperlink" Target="https://www.facebook.com/blesilda.santiago.7" TargetMode="External"/><Relationship Id="rId5961" Type="http://schemas.openxmlformats.org/officeDocument/2006/relationships/hyperlink" Target="https://www.facebook.com/rapplerdotcom/photos/a.317154781638645/5594359700584767/" TargetMode="External"/><Relationship Id="rId1200" Type="http://schemas.openxmlformats.org/officeDocument/2006/relationships/hyperlink" Target="https://www.facebook.com/rapplerdotcom/posts/pfbid023goEfA6e1ABSWYJFy8fQ5LFWDv4QTSTmAfzySGtMSpy12iqywB2MUZjiZ8GjCxrGl" TargetMode="External"/><Relationship Id="rId4149" Type="http://schemas.openxmlformats.org/officeDocument/2006/relationships/hyperlink" Target="https://www.facebook.com/augustus.diaz.77" TargetMode="External"/><Relationship Id="rId4356" Type="http://schemas.openxmlformats.org/officeDocument/2006/relationships/hyperlink" Target="https://www.facebook.com/josie.salas.731" TargetMode="External"/><Relationship Id="rId4563" Type="http://schemas.openxmlformats.org/officeDocument/2006/relationships/hyperlink" Target="https://www.facebook.com/watch/live/?ref=watch_permalink&amp;v=923735834984653" TargetMode="External"/><Relationship Id="rId4770" Type="http://schemas.openxmlformats.org/officeDocument/2006/relationships/hyperlink" Target="https://www.facebook.com/alfredojun.castro" TargetMode="External"/><Relationship Id="rId5407" Type="http://schemas.openxmlformats.org/officeDocument/2006/relationships/hyperlink" Target="https://www.facebook.com/watch/live/?ref=watch_permalink&amp;v=312865720941798" TargetMode="External"/><Relationship Id="rId5614" Type="http://schemas.openxmlformats.org/officeDocument/2006/relationships/hyperlink" Target="https://www.facebook.com/BimBirimBimBim" TargetMode="External"/><Relationship Id="rId5821" Type="http://schemas.openxmlformats.org/officeDocument/2006/relationships/hyperlink" Target="https://www.facebook.com/rapplerdotcom/photos/a.317154781638645/5594453700575367/" TargetMode="External"/><Relationship Id="rId3165" Type="http://schemas.openxmlformats.org/officeDocument/2006/relationships/hyperlink" Target="https://www.facebook.com/williambilly.kwong" TargetMode="External"/><Relationship Id="rId3372" Type="http://schemas.openxmlformats.org/officeDocument/2006/relationships/hyperlink" Target="https://www.facebook.com/rapplerdotcom/photos/a.317154781638645/5595372260483511/" TargetMode="External"/><Relationship Id="rId4009" Type="http://schemas.openxmlformats.org/officeDocument/2006/relationships/hyperlink" Target="https://www.facebook.com/christopher.m.perey" TargetMode="External"/><Relationship Id="rId4216" Type="http://schemas.openxmlformats.org/officeDocument/2006/relationships/hyperlink" Target="https://www.facebook.com/rapplerdotcom/photos/a.317154781638645/5594954703858600/" TargetMode="External"/><Relationship Id="rId4423" Type="http://schemas.openxmlformats.org/officeDocument/2006/relationships/hyperlink" Target="https://www.facebook.com/rapplerdotcom/photos/a.317154781638645/5594954703858600/" TargetMode="External"/><Relationship Id="rId4630" Type="http://schemas.openxmlformats.org/officeDocument/2006/relationships/hyperlink" Target="https://www.facebook.com/ester.rodrigo.75" TargetMode="External"/><Relationship Id="rId293" Type="http://schemas.openxmlformats.org/officeDocument/2006/relationships/hyperlink" Target="https://www.facebook.com/rapplerdotcom/photos/a.317154781638645/5598220220198715/" TargetMode="External"/><Relationship Id="rId2181" Type="http://schemas.openxmlformats.org/officeDocument/2006/relationships/hyperlink" Target="https://www.facebook.com/marygracie.tamayo" TargetMode="External"/><Relationship Id="rId3025" Type="http://schemas.openxmlformats.org/officeDocument/2006/relationships/hyperlink" Target="https://www.facebook.com/profile.php?id=100071111743897" TargetMode="External"/><Relationship Id="rId3232" Type="http://schemas.openxmlformats.org/officeDocument/2006/relationships/hyperlink" Target="https://www.facebook.com/watch/live/?ref=watch_permalink&amp;v=332681445500650" TargetMode="External"/><Relationship Id="rId153" Type="http://schemas.openxmlformats.org/officeDocument/2006/relationships/hyperlink" Target="https://www.facebook.com/oteng.gai" TargetMode="External"/><Relationship Id="rId360" Type="http://schemas.openxmlformats.org/officeDocument/2006/relationships/hyperlink" Target="https://www.facebook.com/tinapacura" TargetMode="External"/><Relationship Id="rId2041" Type="http://schemas.openxmlformats.org/officeDocument/2006/relationships/hyperlink" Target="https://www.facebook.com/henry.so09" TargetMode="External"/><Relationship Id="rId5197" Type="http://schemas.openxmlformats.org/officeDocument/2006/relationships/hyperlink" Target="https://www.facebook.com/rapplerdotcom/photos/a.317154781638645/5594264657260938/" TargetMode="External"/><Relationship Id="rId220" Type="http://schemas.openxmlformats.org/officeDocument/2006/relationships/hyperlink" Target="https://www.facebook.com/rapplerdotcom/posts/pfbid0DUh4iFcrxZuR1UbiGhcAHcMdzsaV29GSeHCY1HabtqcnUWkjStX9TDaVqzzt92GDl" TargetMode="External"/><Relationship Id="rId2998" Type="http://schemas.openxmlformats.org/officeDocument/2006/relationships/hyperlink" Target="https://www.facebook.com/watch/live/?ref=watch_permalink&amp;v=360307549312104" TargetMode="External"/><Relationship Id="rId5057" Type="http://schemas.openxmlformats.org/officeDocument/2006/relationships/hyperlink" Target="https://www.facebook.com/rapplerdotcom/posts/pfbid0231hbcbuKeQLDkPH8oZAdZbuU8MPPgRANx152V3xWpbjZ6EvfpohwQMvxHYAgrGPul" TargetMode="External"/><Relationship Id="rId5264" Type="http://schemas.openxmlformats.org/officeDocument/2006/relationships/hyperlink" Target="https://www.facebook.com/eavonnemurielle.baltazar" TargetMode="External"/><Relationship Id="rId6108" Type="http://schemas.openxmlformats.org/officeDocument/2006/relationships/hyperlink" Target="https://www.facebook.com/merly.vederas" TargetMode="External"/><Relationship Id="rId2858" Type="http://schemas.openxmlformats.org/officeDocument/2006/relationships/hyperlink" Target="https://www.facebook.com/watch/?v=570590637273208" TargetMode="External"/><Relationship Id="rId3909" Type="http://schemas.openxmlformats.org/officeDocument/2006/relationships/hyperlink" Target="https://www.facebook.com/mbaliat" TargetMode="External"/><Relationship Id="rId4073" Type="http://schemas.openxmlformats.org/officeDocument/2006/relationships/hyperlink" Target="https://www.facebook.com/esting.cabrerazaAaAaA" TargetMode="External"/><Relationship Id="rId5471" Type="http://schemas.openxmlformats.org/officeDocument/2006/relationships/hyperlink" Target="https://www.facebook.com/watch/live/?ref=watch_permalink&amp;v=312865720941798" TargetMode="External"/><Relationship Id="rId99" Type="http://schemas.openxmlformats.org/officeDocument/2006/relationships/hyperlink" Target="https://www.facebook.com/alvin.quibilan" TargetMode="External"/><Relationship Id="rId1667" Type="http://schemas.openxmlformats.org/officeDocument/2006/relationships/hyperlink" Target="https://www.facebook.com/carlreyes09" TargetMode="External"/><Relationship Id="rId1874" Type="http://schemas.openxmlformats.org/officeDocument/2006/relationships/hyperlink" Target="https://www.facebook.com/rapplerdotcom/photos/a.317154781638645/5596043783749692/" TargetMode="External"/><Relationship Id="rId2718" Type="http://schemas.openxmlformats.org/officeDocument/2006/relationships/hyperlink" Target="https://www.facebook.com/rapplerdotcom/photos/a.317154781638645/5595733810447356/" TargetMode="External"/><Relationship Id="rId2925" Type="http://schemas.openxmlformats.org/officeDocument/2006/relationships/hyperlink" Target="https://www.facebook.com/nathann.delacruz.1" TargetMode="External"/><Relationship Id="rId4280" Type="http://schemas.openxmlformats.org/officeDocument/2006/relationships/hyperlink" Target="https://www.facebook.com/ronald.lojares" TargetMode="External"/><Relationship Id="rId5124" Type="http://schemas.openxmlformats.org/officeDocument/2006/relationships/hyperlink" Target="https://www.facebook.com/gemrose.rescobactol" TargetMode="External"/><Relationship Id="rId5331" Type="http://schemas.openxmlformats.org/officeDocument/2006/relationships/hyperlink" Target="https://www.facebook.com/rapplerdotcom/photos/a.317154781638645/5594264657260938/" TargetMode="External"/><Relationship Id="rId1527" Type="http://schemas.openxmlformats.org/officeDocument/2006/relationships/hyperlink" Target="https://www.facebook.com/profile.php?id=100069088022643" TargetMode="External"/><Relationship Id="rId1734" Type="http://schemas.openxmlformats.org/officeDocument/2006/relationships/hyperlink" Target="https://www.facebook.com/rapplerdotcom/photos/a.317154781638645/5596043783749692/" TargetMode="External"/><Relationship Id="rId1941" Type="http://schemas.openxmlformats.org/officeDocument/2006/relationships/hyperlink" Target="https://www.facebook.com/icecaramel.macchiato.908" TargetMode="External"/><Relationship Id="rId4140" Type="http://schemas.openxmlformats.org/officeDocument/2006/relationships/hyperlink" Target="https://www.facebook.com/rapplerdotcom/photos/a.317154781638645/5594954703858600/" TargetMode="External"/><Relationship Id="rId26" Type="http://schemas.openxmlformats.org/officeDocument/2006/relationships/hyperlink" Target="https://www.facebook.com/rapplerdotcom/posts/pfbid0DUh4iFcrxZuR1UbiGhcAHcMdzsaV29GSeHCY1HabtqcnUWkjStX9TDaVqzzt92GDl" TargetMode="External"/><Relationship Id="rId3699" Type="http://schemas.openxmlformats.org/officeDocument/2006/relationships/hyperlink" Target="https://www.facebook.com/jimmy.ballesteros" TargetMode="External"/><Relationship Id="rId4000" Type="http://schemas.openxmlformats.org/officeDocument/2006/relationships/hyperlink" Target="https://www.facebook.com/rapplerdotcom/posts/pfbid0dyWpzxim3h4Z2SYriGakwQw85p7BCAgct7KU5EiMX1bmmgNHDD8nmES8rjrADsrPl" TargetMode="External"/><Relationship Id="rId1801" Type="http://schemas.openxmlformats.org/officeDocument/2006/relationships/hyperlink" Target="https://www.facebook.com/Ed.the.Great.13" TargetMode="External"/><Relationship Id="rId3559" Type="http://schemas.openxmlformats.org/officeDocument/2006/relationships/hyperlink" Target="https://www.facebook.com/bautista.jimmy.98" TargetMode="External"/><Relationship Id="rId4957" Type="http://schemas.openxmlformats.org/officeDocument/2006/relationships/hyperlink" Target="https://www.facebook.com/rapplerdotcom/posts/pfbid02BCyyacWVuuu1bwX5PwYK8PvqDGTANxekqEMy7qyV9vMmaGKTbC8sBf7i5j3Wbx9Ll" TargetMode="External"/><Relationship Id="rId6172" Type="http://schemas.openxmlformats.org/officeDocument/2006/relationships/hyperlink" Target="https://www.facebook.com/mary.magaling.583" TargetMode="External"/><Relationship Id="rId687" Type="http://schemas.openxmlformats.org/officeDocument/2006/relationships/hyperlink" Target="https://www.facebook.com/profile.php?id=100070178707772" TargetMode="External"/><Relationship Id="rId2368" Type="http://schemas.openxmlformats.org/officeDocument/2006/relationships/hyperlink" Target="https://www.facebook.com/rapplerdotcom/posts/pfbid0TYP6syjYwznxJKdhWv9YMaXK9NvsSEhQ2cyyCQCPMvGapWXrQBHehywgT156wqNPl" TargetMode="External"/><Relationship Id="rId3766" Type="http://schemas.openxmlformats.org/officeDocument/2006/relationships/hyperlink" Target="https://www.facebook.com/rapplerdotcom/posts/pfbid0dyWpzxim3h4Z2SYriGakwQw85p7BCAgct7KU5EiMX1bmmgNHDD8nmES8rjrADsrPl" TargetMode="External"/><Relationship Id="rId3973" Type="http://schemas.openxmlformats.org/officeDocument/2006/relationships/hyperlink" Target="https://www.facebook.com/manny.crisostomo" TargetMode="External"/><Relationship Id="rId4817" Type="http://schemas.openxmlformats.org/officeDocument/2006/relationships/hyperlink" Target="https://www.facebook.com/watch/live/?ref=watch_permalink&amp;v=923735834984653" TargetMode="External"/><Relationship Id="rId6032" Type="http://schemas.openxmlformats.org/officeDocument/2006/relationships/hyperlink" Target="https://www.facebook.com/maxbrunofranco" TargetMode="External"/><Relationship Id="rId894" Type="http://schemas.openxmlformats.org/officeDocument/2006/relationships/hyperlink" Target="https://www.facebook.com/rapplerdotcom/photos/a.317154781638645/5597612220259515/" TargetMode="External"/><Relationship Id="rId1177" Type="http://schemas.openxmlformats.org/officeDocument/2006/relationships/hyperlink" Target="https://www.facebook.com/makatoldrrmo" TargetMode="External"/><Relationship Id="rId2575" Type="http://schemas.openxmlformats.org/officeDocument/2006/relationships/hyperlink" Target="https://www.facebook.com/lorenztumamao1980" TargetMode="External"/><Relationship Id="rId2782" Type="http://schemas.openxmlformats.org/officeDocument/2006/relationships/hyperlink" Target="https://www.facebook.com/watch/?v=570590637273208" TargetMode="External"/><Relationship Id="rId3419" Type="http://schemas.openxmlformats.org/officeDocument/2006/relationships/hyperlink" Target="https://www.facebook.com/eduardo.m.lombo" TargetMode="External"/><Relationship Id="rId3626" Type="http://schemas.openxmlformats.org/officeDocument/2006/relationships/hyperlink" Target="https://www.facebook.com/rapplerdotcom/photos/a.317154781638645/5595372260483511/" TargetMode="External"/><Relationship Id="rId3833" Type="http://schemas.openxmlformats.org/officeDocument/2006/relationships/hyperlink" Target="https://www.facebook.com/rosalie.lozada.1" TargetMode="External"/><Relationship Id="rId547" Type="http://schemas.openxmlformats.org/officeDocument/2006/relationships/hyperlink" Target="https://www.facebook.com/violeta.bodino" TargetMode="External"/><Relationship Id="rId754" Type="http://schemas.openxmlformats.org/officeDocument/2006/relationships/hyperlink" Target="https://www.facebook.com/rapplerdotcom/photos/a.317154781638645/5597612220259515/" TargetMode="External"/><Relationship Id="rId961" Type="http://schemas.openxmlformats.org/officeDocument/2006/relationships/hyperlink" Target="https://www.facebook.com/silvino.lingan" TargetMode="External"/><Relationship Id="rId1384" Type="http://schemas.openxmlformats.org/officeDocument/2006/relationships/hyperlink" Target="https://www.facebook.com/rapplerdotcom/photos/a.317154781638645/5597116770309060/" TargetMode="External"/><Relationship Id="rId1591" Type="http://schemas.openxmlformats.org/officeDocument/2006/relationships/hyperlink" Target="https://www.facebook.com/amjad.lacman" TargetMode="External"/><Relationship Id="rId2228" Type="http://schemas.openxmlformats.org/officeDocument/2006/relationships/hyperlink" Target="https://www.facebook.com/rapplerdotcom/photos/a.317154781638645/5596022273751843/" TargetMode="External"/><Relationship Id="rId2435" Type="http://schemas.openxmlformats.org/officeDocument/2006/relationships/hyperlink" Target="https://www.facebook.com/eternal.swordsman" TargetMode="External"/><Relationship Id="rId2642" Type="http://schemas.openxmlformats.org/officeDocument/2006/relationships/hyperlink" Target="https://www.facebook.com/rapplerdotcom/photos/a.317154781638645/5595733810447356/" TargetMode="External"/><Relationship Id="rId3900" Type="http://schemas.openxmlformats.org/officeDocument/2006/relationships/hyperlink" Target="https://www.facebook.com/rapplerdotcom/posts/pfbid0dyWpzxim3h4Z2SYriGakwQw85p7BCAgct7KU5EiMX1bmmgNHDD8nmES8rjrADsrPl" TargetMode="External"/><Relationship Id="rId5798" Type="http://schemas.openxmlformats.org/officeDocument/2006/relationships/hyperlink" Target="https://www.facebook.com/jimmy.pascua.5" TargetMode="External"/><Relationship Id="rId90" Type="http://schemas.openxmlformats.org/officeDocument/2006/relationships/hyperlink" Target="https://www.facebook.com/rapplerdotcom/posts/pfbid0DUh4iFcrxZuR1UbiGhcAHcMdzsaV29GSeHCY1HabtqcnUWkjStX9TDaVqzzt92GDl" TargetMode="External"/><Relationship Id="rId407" Type="http://schemas.openxmlformats.org/officeDocument/2006/relationships/hyperlink" Target="https://www.facebook.com/rapplerdotcom/photos/a.317154781638645/5598220220198715/" TargetMode="External"/><Relationship Id="rId614" Type="http://schemas.openxmlformats.org/officeDocument/2006/relationships/hyperlink" Target="https://www.facebook.com/rapplerdotcom/photos/a.317154781638645/5597874143566656" TargetMode="External"/><Relationship Id="rId821" Type="http://schemas.openxmlformats.org/officeDocument/2006/relationships/hyperlink" Target="https://www.facebook.com/menchu.gamilla" TargetMode="External"/><Relationship Id="rId1037" Type="http://schemas.openxmlformats.org/officeDocument/2006/relationships/hyperlink" Target="https://www.facebook.com/angelitoljaojr" TargetMode="External"/><Relationship Id="rId1244" Type="http://schemas.openxmlformats.org/officeDocument/2006/relationships/hyperlink" Target="https://www.facebook.com/rapplerdotcom/posts/pfbid023goEfA6e1ABSWYJFy8fQ5LFWDv4QTSTmAfzySGtMSpy12iqywB2MUZjiZ8GjCxrGl" TargetMode="External"/><Relationship Id="rId1451" Type="http://schemas.openxmlformats.org/officeDocument/2006/relationships/hyperlink" Target="https://www.facebook.com/profile.php?id=100075670464889" TargetMode="External"/><Relationship Id="rId2502" Type="http://schemas.openxmlformats.org/officeDocument/2006/relationships/hyperlink" Target="https://www.facebook.com/rapplerdotcom/posts/pfbid0TYP6syjYwznxJKdhWv9YMaXK9NvsSEhQ2cyyCQCPMvGapWXrQBHehywgT156wqNPl" TargetMode="External"/><Relationship Id="rId5658" Type="http://schemas.openxmlformats.org/officeDocument/2006/relationships/hyperlink" Target="https://www.facebook.com/fepilia.giron.31" TargetMode="External"/><Relationship Id="rId5865" Type="http://schemas.openxmlformats.org/officeDocument/2006/relationships/hyperlink" Target="https://www.facebook.com/rapplerdotcom/photos/a.317154781638645/5594453700575367/" TargetMode="External"/><Relationship Id="rId1104" Type="http://schemas.openxmlformats.org/officeDocument/2006/relationships/hyperlink" Target="https://www.facebook.com/rapplerdotcom/posts/pfbid028Kg188FmebKa4aFvHZNp8zGTwjghWDDJuUmQ8agbSCvGAGJHZ7pBH9NmxLBmPZZdl" TargetMode="External"/><Relationship Id="rId1311" Type="http://schemas.openxmlformats.org/officeDocument/2006/relationships/hyperlink" Target="https://www.facebook.com/lou.arsenio" TargetMode="External"/><Relationship Id="rId4467" Type="http://schemas.openxmlformats.org/officeDocument/2006/relationships/hyperlink" Target="https://www.facebook.com/rapplerdotcom/photos/a.317154781638645/5594954703858600/" TargetMode="External"/><Relationship Id="rId4674" Type="http://schemas.openxmlformats.org/officeDocument/2006/relationships/hyperlink" Target="https://www.facebook.com/profile.php?id=100055630160451" TargetMode="External"/><Relationship Id="rId4881" Type="http://schemas.openxmlformats.org/officeDocument/2006/relationships/hyperlink" Target="https://www.facebook.com/watch/live/?ref=watch_permalink&amp;v=923735834984653" TargetMode="External"/><Relationship Id="rId5518" Type="http://schemas.openxmlformats.org/officeDocument/2006/relationships/hyperlink" Target="https://www.facebook.com/agnes.sanbuenaventura.9" TargetMode="External"/><Relationship Id="rId5725" Type="http://schemas.openxmlformats.org/officeDocument/2006/relationships/hyperlink" Target="https://www.facebook.com/rapplerdotcom/photos/a.317154781638645/5594453700575367/" TargetMode="External"/><Relationship Id="rId3069" Type="http://schemas.openxmlformats.org/officeDocument/2006/relationships/hyperlink" Target="https://www.facebook.com/ayen.francisco.927" TargetMode="External"/><Relationship Id="rId3276" Type="http://schemas.openxmlformats.org/officeDocument/2006/relationships/hyperlink" Target="https://www.facebook.com/rapplerdotcom/photos/a.317154781638645/5595372260483511/" TargetMode="External"/><Relationship Id="rId3483" Type="http://schemas.openxmlformats.org/officeDocument/2006/relationships/hyperlink" Target="https://www.facebook.com/ann070694" TargetMode="External"/><Relationship Id="rId3690" Type="http://schemas.openxmlformats.org/officeDocument/2006/relationships/hyperlink" Target="https://www.facebook.com/rapplerdotcom/photos/a.317154781638645/5595162900504447/" TargetMode="External"/><Relationship Id="rId4327" Type="http://schemas.openxmlformats.org/officeDocument/2006/relationships/hyperlink" Target="https://www.facebook.com/rapplerdotcom/photos/a.317154781638645/5594954703858600/" TargetMode="External"/><Relationship Id="rId4534" Type="http://schemas.openxmlformats.org/officeDocument/2006/relationships/hyperlink" Target="https://www.facebook.com/kyric.sirving01" TargetMode="External"/><Relationship Id="rId5932" Type="http://schemas.openxmlformats.org/officeDocument/2006/relationships/hyperlink" Target="https://www.facebook.com/chris.lim.946" TargetMode="External"/><Relationship Id="rId197" Type="http://schemas.openxmlformats.org/officeDocument/2006/relationships/hyperlink" Target="https://www.facebook.com/jovi.laganding" TargetMode="External"/><Relationship Id="rId2085" Type="http://schemas.openxmlformats.org/officeDocument/2006/relationships/hyperlink" Target="https://www.facebook.com/rhob.mercado" TargetMode="External"/><Relationship Id="rId2292" Type="http://schemas.openxmlformats.org/officeDocument/2006/relationships/hyperlink" Target="https://www.facebook.com/rapplerdotcom/photos/a.317154781638645/5596022273751843/" TargetMode="External"/><Relationship Id="rId3136" Type="http://schemas.openxmlformats.org/officeDocument/2006/relationships/hyperlink" Target="https://www.facebook.com/watch/live/?ref=watch_permalink&amp;v=360307549312104" TargetMode="External"/><Relationship Id="rId3343" Type="http://schemas.openxmlformats.org/officeDocument/2006/relationships/hyperlink" Target="https://www.facebook.com/markvincent.almanzor" TargetMode="External"/><Relationship Id="rId4741" Type="http://schemas.openxmlformats.org/officeDocument/2006/relationships/hyperlink" Target="https://www.facebook.com/watch/live/?ref=watch_permalink&amp;v=923735834984653" TargetMode="External"/><Relationship Id="rId264" Type="http://schemas.openxmlformats.org/officeDocument/2006/relationships/hyperlink" Target="https://www.facebook.com/profile.php?id=100078329061859" TargetMode="External"/><Relationship Id="rId471" Type="http://schemas.openxmlformats.org/officeDocument/2006/relationships/hyperlink" Target="https://www.facebook.com/rapplerdotcom/photos/a.317154781638645/5598220220198715/" TargetMode="External"/><Relationship Id="rId2152" Type="http://schemas.openxmlformats.org/officeDocument/2006/relationships/hyperlink" Target="https://www.facebook.com/rapplerdotcom/photos/a.317154781638645/5596022273751843/" TargetMode="External"/><Relationship Id="rId3550" Type="http://schemas.openxmlformats.org/officeDocument/2006/relationships/hyperlink" Target="https://www.facebook.com/rapplerdotcom/photos/a.317154781638645/5595372260483511/" TargetMode="External"/><Relationship Id="rId4601" Type="http://schemas.openxmlformats.org/officeDocument/2006/relationships/hyperlink" Target="https://www.facebook.com/watch/live/?ref=watch_permalink&amp;v=923735834984653" TargetMode="External"/><Relationship Id="rId124" Type="http://schemas.openxmlformats.org/officeDocument/2006/relationships/hyperlink" Target="https://www.facebook.com/rapplerdotcom/posts/pfbid0DUh4iFcrxZuR1UbiGhcAHcMdzsaV29GSeHCY1HabtqcnUWkjStX9TDaVqzzt92GDl" TargetMode="External"/><Relationship Id="rId3203" Type="http://schemas.openxmlformats.org/officeDocument/2006/relationships/hyperlink" Target="https://www.facebook.com/profile.php?id=100007622536597" TargetMode="External"/><Relationship Id="rId3410" Type="http://schemas.openxmlformats.org/officeDocument/2006/relationships/hyperlink" Target="https://www.facebook.com/rapplerdotcom/photos/a.317154781638645/5595372260483511/" TargetMode="External"/><Relationship Id="rId331" Type="http://schemas.openxmlformats.org/officeDocument/2006/relationships/hyperlink" Target="https://www.facebook.com/rapplerdotcom/photos/a.317154781638645/5598220220198715/" TargetMode="External"/><Relationship Id="rId2012" Type="http://schemas.openxmlformats.org/officeDocument/2006/relationships/hyperlink" Target="https://www.facebook.com/rapplerdotcom/photos/a.317154781638645/5596022273751843/" TargetMode="External"/><Relationship Id="rId2969" Type="http://schemas.openxmlformats.org/officeDocument/2006/relationships/hyperlink" Target="https://www.facebook.com/adelfa.abuda" TargetMode="External"/><Relationship Id="rId5168" Type="http://schemas.openxmlformats.org/officeDocument/2006/relationships/hyperlink" Target="https://www.facebook.com/RheamaePineda.15" TargetMode="External"/><Relationship Id="rId5375" Type="http://schemas.openxmlformats.org/officeDocument/2006/relationships/hyperlink" Target="https://www.facebook.com/rapplerdotcom/photos/a.317154781638645/5594264657260938/" TargetMode="External"/><Relationship Id="rId5582" Type="http://schemas.openxmlformats.org/officeDocument/2006/relationships/hyperlink" Target="https://www.facebook.com/joshuadolor" TargetMode="External"/><Relationship Id="rId6219" Type="http://schemas.openxmlformats.org/officeDocument/2006/relationships/hyperlink" Target="https://www.facebook.com/watch/?v=684555919511830" TargetMode="External"/><Relationship Id="rId1778" Type="http://schemas.openxmlformats.org/officeDocument/2006/relationships/hyperlink" Target="https://www.facebook.com/rapplerdotcom/photos/a.317154781638645/5596043783749692/" TargetMode="External"/><Relationship Id="rId1985" Type="http://schemas.openxmlformats.org/officeDocument/2006/relationships/hyperlink" Target="https://www.facebook.com/profile.php?id=100078504654734" TargetMode="External"/><Relationship Id="rId2829" Type="http://schemas.openxmlformats.org/officeDocument/2006/relationships/hyperlink" Target="https://www.facebook.com/profile.php?id=100076125252754" TargetMode="External"/><Relationship Id="rId4184" Type="http://schemas.openxmlformats.org/officeDocument/2006/relationships/hyperlink" Target="https://www.facebook.com/rapplerdotcom/photos/a.317154781638645/5594954703858600/" TargetMode="External"/><Relationship Id="rId4391" Type="http://schemas.openxmlformats.org/officeDocument/2006/relationships/hyperlink" Target="https://www.facebook.com/rapplerdotcom/photos/a.317154781638645/5594954703858600/" TargetMode="External"/><Relationship Id="rId5028" Type="http://schemas.openxmlformats.org/officeDocument/2006/relationships/hyperlink" Target="https://www.facebook.com/glark.yaranon" TargetMode="External"/><Relationship Id="rId5235" Type="http://schemas.openxmlformats.org/officeDocument/2006/relationships/hyperlink" Target="https://www.facebook.com/rapplerdotcom/photos/a.317154781638645/5594264657260938/" TargetMode="External"/><Relationship Id="rId5442" Type="http://schemas.openxmlformats.org/officeDocument/2006/relationships/hyperlink" Target="https://www.facebook.com/angelita.magnaye.39" TargetMode="External"/><Relationship Id="rId1638" Type="http://schemas.openxmlformats.org/officeDocument/2006/relationships/hyperlink" Target="https://www.facebook.com/rapplerdotcom/posts/pfbid02AsSA4LQqjQ2Y8SVathQmtduoE3fhoGvQSNhvrzsMerDaJSQJ6jDvApCCiuaE7XCol" TargetMode="External"/><Relationship Id="rId4044" Type="http://schemas.openxmlformats.org/officeDocument/2006/relationships/hyperlink" Target="https://www.facebook.com/rapplerdotcom/posts/pfbid02kmyrDmvYtHxz51VdR228sTCyvbHYDrwL4TgeoVAenoprSKkWhUFLyRmAuKBuGtXXl" TargetMode="External"/><Relationship Id="rId4251" Type="http://schemas.openxmlformats.org/officeDocument/2006/relationships/hyperlink" Target="https://www.facebook.com/rapplerdotcom/photos/a.317154781638645/5594954703858600/" TargetMode="External"/><Relationship Id="rId5302" Type="http://schemas.openxmlformats.org/officeDocument/2006/relationships/hyperlink" Target="https://www.facebook.com/gemrose.rescobactol" TargetMode="External"/><Relationship Id="rId1845" Type="http://schemas.openxmlformats.org/officeDocument/2006/relationships/hyperlink" Target="https://www.facebook.com/sonny.marano.3" TargetMode="External"/><Relationship Id="rId3060" Type="http://schemas.openxmlformats.org/officeDocument/2006/relationships/hyperlink" Target="https://www.facebook.com/watch/live/?ref=watch_permalink&amp;v=360307549312104" TargetMode="External"/><Relationship Id="rId4111" Type="http://schemas.openxmlformats.org/officeDocument/2006/relationships/hyperlink" Target="https://www.facebook.com/aldo.lavingu" TargetMode="External"/><Relationship Id="rId1705" Type="http://schemas.openxmlformats.org/officeDocument/2006/relationships/hyperlink" Target="https://www.facebook.com/leon.leyoww" TargetMode="External"/><Relationship Id="rId1912" Type="http://schemas.openxmlformats.org/officeDocument/2006/relationships/hyperlink" Target="https://www.facebook.com/rapplerdotcom/photos/a.317154781638645/5596043783749692/" TargetMode="External"/><Relationship Id="rId6076" Type="http://schemas.openxmlformats.org/officeDocument/2006/relationships/hyperlink" Target="https://www.facebook.com/ngaela" TargetMode="External"/><Relationship Id="rId3877" Type="http://schemas.openxmlformats.org/officeDocument/2006/relationships/hyperlink" Target="https://www.facebook.com/melanie.marquez.39395" TargetMode="External"/><Relationship Id="rId4928" Type="http://schemas.openxmlformats.org/officeDocument/2006/relationships/hyperlink" Target="https://www.facebook.com/violet.panuringan" TargetMode="External"/><Relationship Id="rId5092" Type="http://schemas.openxmlformats.org/officeDocument/2006/relationships/hyperlink" Target="https://www.facebook.com/jheys.lupet" TargetMode="External"/><Relationship Id="rId798" Type="http://schemas.openxmlformats.org/officeDocument/2006/relationships/hyperlink" Target="https://www.facebook.com/rapplerdotcom/photos/a.317154781638645/5597612220259515/" TargetMode="External"/><Relationship Id="rId2479" Type="http://schemas.openxmlformats.org/officeDocument/2006/relationships/hyperlink" Target="https://www.facebook.com/jnardcurvy" TargetMode="External"/><Relationship Id="rId2686" Type="http://schemas.openxmlformats.org/officeDocument/2006/relationships/hyperlink" Target="https://www.facebook.com/rapplerdotcom/photos/a.317154781638645/5595733810447356/" TargetMode="External"/><Relationship Id="rId2893" Type="http://schemas.openxmlformats.org/officeDocument/2006/relationships/hyperlink" Target="https://www.facebook.com/RitaAvilaBooksforChildren" TargetMode="External"/><Relationship Id="rId3737" Type="http://schemas.openxmlformats.org/officeDocument/2006/relationships/hyperlink" Target="https://www.facebook.com/ferdy.romualdez" TargetMode="External"/><Relationship Id="rId3944" Type="http://schemas.openxmlformats.org/officeDocument/2006/relationships/hyperlink" Target="https://www.facebook.com/rapplerdotcom/posts/pfbid0dyWpzxim3h4Z2SYriGakwQw85p7BCAgct7KU5EiMX1bmmgNHDD8nmES8rjrADsrPl" TargetMode="External"/><Relationship Id="rId6143" Type="http://schemas.openxmlformats.org/officeDocument/2006/relationships/hyperlink" Target="https://www.facebook.com/rapplerdotcom/posts/pfbid0JJW97xH5fR5tDSLUQ8AnEgkPMU9Aigs9CgcNy2Q7AzJY4R8mRoicBgu3PLdqpf2Tl" TargetMode="External"/><Relationship Id="rId658" Type="http://schemas.openxmlformats.org/officeDocument/2006/relationships/hyperlink" Target="https://www.facebook.com/rapplerdotcom/photos/a.317154781638645/5597874143566656" TargetMode="External"/><Relationship Id="rId865" Type="http://schemas.openxmlformats.org/officeDocument/2006/relationships/hyperlink" Target="https://www.facebook.com/factolerin.e" TargetMode="External"/><Relationship Id="rId1288" Type="http://schemas.openxmlformats.org/officeDocument/2006/relationships/hyperlink" Target="https://www.facebook.com/rapplerdotcom/posts/pfbid023goEfA6e1ABSWYJFy8fQ5LFWDv4QTSTmAfzySGtMSpy12iqywB2MUZjiZ8GjCxrGl" TargetMode="External"/><Relationship Id="rId1495" Type="http://schemas.openxmlformats.org/officeDocument/2006/relationships/hyperlink" Target="https://www.facebook.com/vlademir.peraja" TargetMode="External"/><Relationship Id="rId2339" Type="http://schemas.openxmlformats.org/officeDocument/2006/relationships/hyperlink" Target="https://www.facebook.com/myyaJrosales" TargetMode="External"/><Relationship Id="rId2546" Type="http://schemas.openxmlformats.org/officeDocument/2006/relationships/hyperlink" Target="https://www.facebook.com/rapplerdotcom/photos/a.317154781638645/5595733810447356/" TargetMode="External"/><Relationship Id="rId2753" Type="http://schemas.openxmlformats.org/officeDocument/2006/relationships/hyperlink" Target="https://www.facebook.com/profile.php?id=100074931561512" TargetMode="External"/><Relationship Id="rId2960" Type="http://schemas.openxmlformats.org/officeDocument/2006/relationships/hyperlink" Target="https://www.facebook.com/watch/live/?ref=watch_permalink&amp;v=360307549312104" TargetMode="External"/><Relationship Id="rId3804" Type="http://schemas.openxmlformats.org/officeDocument/2006/relationships/hyperlink" Target="https://www.facebook.com/rapplerdotcom/posts/pfbid0dyWpzxim3h4Z2SYriGakwQw85p7BCAgct7KU5EiMX1bmmgNHDD8nmES8rjrADsrPl" TargetMode="External"/><Relationship Id="rId6003" Type="http://schemas.openxmlformats.org/officeDocument/2006/relationships/hyperlink" Target="https://www.facebook.com/rapplerdotcom/photos/a.317154781638645/5594359700584767/" TargetMode="External"/><Relationship Id="rId6210" Type="http://schemas.openxmlformats.org/officeDocument/2006/relationships/hyperlink" Target="https://www.facebook.com/donna.arepiso" TargetMode="External"/><Relationship Id="rId518" Type="http://schemas.openxmlformats.org/officeDocument/2006/relationships/hyperlink" Target="https://www.facebook.com/abegail.bisabis" TargetMode="External"/><Relationship Id="rId725" Type="http://schemas.openxmlformats.org/officeDocument/2006/relationships/hyperlink" Target="https://www.facebook.com/judema.cruz" TargetMode="External"/><Relationship Id="rId932" Type="http://schemas.openxmlformats.org/officeDocument/2006/relationships/hyperlink" Target="https://www.facebook.com/rapplerdotcom/photos/a.317154781638645/5597592673594803/" TargetMode="External"/><Relationship Id="rId1148" Type="http://schemas.openxmlformats.org/officeDocument/2006/relationships/hyperlink" Target="https://www.facebook.com/rapplerdotcom/posts/pfbid02dNgAR64VTtp94Rus4o9MNbU55E2H9Wp7KMKzJGkk6u4UxRyHU8j2pPpwa5iwGcD3l" TargetMode="External"/><Relationship Id="rId1355" Type="http://schemas.openxmlformats.org/officeDocument/2006/relationships/hyperlink" Target="https://www.facebook.com/concesa.orecul" TargetMode="External"/><Relationship Id="rId1562" Type="http://schemas.openxmlformats.org/officeDocument/2006/relationships/hyperlink" Target="https://www.facebook.com/rapplerdotcom/photos/a.317154781638645/5597116770309060/" TargetMode="External"/><Relationship Id="rId2406" Type="http://schemas.openxmlformats.org/officeDocument/2006/relationships/hyperlink" Target="https://www.facebook.com/rapplerdotcom/posts/pfbid0TYP6syjYwznxJKdhWv9YMaXK9NvsSEhQ2cyyCQCPMvGapWXrQBHehywgT156wqNPl" TargetMode="External"/><Relationship Id="rId2613" Type="http://schemas.openxmlformats.org/officeDocument/2006/relationships/hyperlink" Target="https://www.facebook.com/pulubeng.kabute" TargetMode="External"/><Relationship Id="rId5769" Type="http://schemas.openxmlformats.org/officeDocument/2006/relationships/hyperlink" Target="https://www.facebook.com/rapplerdotcom/photos/a.317154781638645/5594453700575367/" TargetMode="External"/><Relationship Id="rId1008" Type="http://schemas.openxmlformats.org/officeDocument/2006/relationships/hyperlink" Target="https://www.facebook.com/rapplerdotcom/photos/a.317154781638645/5597592673594803/" TargetMode="External"/><Relationship Id="rId1215" Type="http://schemas.openxmlformats.org/officeDocument/2006/relationships/hyperlink" Target="https://www.facebook.com/alicia.arcales" TargetMode="External"/><Relationship Id="rId1422" Type="http://schemas.openxmlformats.org/officeDocument/2006/relationships/hyperlink" Target="https://www.facebook.com/rapplerdotcom/photos/a.317154781638645/5597116770309060/" TargetMode="External"/><Relationship Id="rId2820" Type="http://schemas.openxmlformats.org/officeDocument/2006/relationships/hyperlink" Target="https://www.facebook.com/watch/?v=570590637273208" TargetMode="External"/><Relationship Id="rId4578" Type="http://schemas.openxmlformats.org/officeDocument/2006/relationships/hyperlink" Target="https://www.facebook.com/tisay.quevedo" TargetMode="External"/><Relationship Id="rId5976" Type="http://schemas.openxmlformats.org/officeDocument/2006/relationships/hyperlink" Target="https://www.facebook.com/profile.php?id=1321814894" TargetMode="External"/><Relationship Id="rId61" Type="http://schemas.openxmlformats.org/officeDocument/2006/relationships/hyperlink" Target="https://www.facebook.com/chris.bugasto" TargetMode="External"/><Relationship Id="rId3387" Type="http://schemas.openxmlformats.org/officeDocument/2006/relationships/hyperlink" Target="https://www.facebook.com/kenneth.cauntay" TargetMode="External"/><Relationship Id="rId4785" Type="http://schemas.openxmlformats.org/officeDocument/2006/relationships/hyperlink" Target="https://www.facebook.com/watch/live/?ref=watch_permalink&amp;v=923735834984653" TargetMode="External"/><Relationship Id="rId4992" Type="http://schemas.openxmlformats.org/officeDocument/2006/relationships/hyperlink" Target="https://www.facebook.com/Bosx.Mikel" TargetMode="External"/><Relationship Id="rId5629" Type="http://schemas.openxmlformats.org/officeDocument/2006/relationships/hyperlink" Target="https://www.facebook.com/rapplerdotcom/photos/a.317154781638645/5594453700575367/" TargetMode="External"/><Relationship Id="rId5836" Type="http://schemas.openxmlformats.org/officeDocument/2006/relationships/hyperlink" Target="https://www.facebook.com/irma.rubio.735" TargetMode="External"/><Relationship Id="rId2196" Type="http://schemas.openxmlformats.org/officeDocument/2006/relationships/hyperlink" Target="https://www.facebook.com/rapplerdotcom/photos/a.317154781638645/5596022273751843/" TargetMode="External"/><Relationship Id="rId3594" Type="http://schemas.openxmlformats.org/officeDocument/2006/relationships/hyperlink" Target="https://www.facebook.com/rapplerdotcom/photos/a.317154781638645/5595372260483511/" TargetMode="External"/><Relationship Id="rId4438" Type="http://schemas.openxmlformats.org/officeDocument/2006/relationships/hyperlink" Target="https://www.facebook.com/CornerPrinter.ph" TargetMode="External"/><Relationship Id="rId4645" Type="http://schemas.openxmlformats.org/officeDocument/2006/relationships/hyperlink" Target="https://www.facebook.com/watch/live/?ref=watch_permalink&amp;v=923735834984653" TargetMode="External"/><Relationship Id="rId4852" Type="http://schemas.openxmlformats.org/officeDocument/2006/relationships/hyperlink" Target="https://www.facebook.com/luzviminda.tanedo.3" TargetMode="External"/><Relationship Id="rId5903" Type="http://schemas.openxmlformats.org/officeDocument/2006/relationships/hyperlink" Target="https://www.facebook.com/rapplerdotcom/photos/a.317154781638645/5594359700584767/" TargetMode="External"/><Relationship Id="rId168" Type="http://schemas.openxmlformats.org/officeDocument/2006/relationships/hyperlink" Target="https://www.facebook.com/rapplerdotcom/posts/pfbid0DUh4iFcrxZuR1UbiGhcAHcMdzsaV29GSeHCY1HabtqcnUWkjStX9TDaVqzzt92GDl" TargetMode="External"/><Relationship Id="rId3247" Type="http://schemas.openxmlformats.org/officeDocument/2006/relationships/hyperlink" Target="https://www.facebook.com/profile.php?id=100078582816731" TargetMode="External"/><Relationship Id="rId3454" Type="http://schemas.openxmlformats.org/officeDocument/2006/relationships/hyperlink" Target="https://www.facebook.com/rapplerdotcom/photos/a.317154781638645/5595372260483511/" TargetMode="External"/><Relationship Id="rId3661" Type="http://schemas.openxmlformats.org/officeDocument/2006/relationships/hyperlink" Target="https://www.facebook.com/malikbin6.581730" TargetMode="External"/><Relationship Id="rId4505" Type="http://schemas.openxmlformats.org/officeDocument/2006/relationships/hyperlink" Target="https://www.facebook.com/rapplerdotcom/photos/a.317154781638645/5594954703858600/" TargetMode="External"/><Relationship Id="rId4712" Type="http://schemas.openxmlformats.org/officeDocument/2006/relationships/hyperlink" Target="https://www.facebook.com/marie.diot1" TargetMode="External"/><Relationship Id="rId375" Type="http://schemas.openxmlformats.org/officeDocument/2006/relationships/hyperlink" Target="https://www.facebook.com/rapplerdotcom/photos/a.317154781638645/5598220220198715/" TargetMode="External"/><Relationship Id="rId582" Type="http://schemas.openxmlformats.org/officeDocument/2006/relationships/hyperlink" Target="https://www.facebook.com/rapplerdotcom/photos/a.317154781638645/5597874143566656" TargetMode="External"/><Relationship Id="rId2056" Type="http://schemas.openxmlformats.org/officeDocument/2006/relationships/hyperlink" Target="https://www.facebook.com/rapplerdotcom/photos/a.317154781638645/5596022273751843/" TargetMode="External"/><Relationship Id="rId2263" Type="http://schemas.openxmlformats.org/officeDocument/2006/relationships/hyperlink" Target="https://www.facebook.com/ronnie.mangaoang.1" TargetMode="External"/><Relationship Id="rId2470" Type="http://schemas.openxmlformats.org/officeDocument/2006/relationships/hyperlink" Target="https://www.facebook.com/rapplerdotcom/posts/pfbid0TYP6syjYwznxJKdhWv9YMaXK9NvsSEhQ2cyyCQCPMvGapWXrQBHehywgT156wqNPl" TargetMode="External"/><Relationship Id="rId3107" Type="http://schemas.openxmlformats.org/officeDocument/2006/relationships/hyperlink" Target="https://www.facebook.com/maryjean.larion" TargetMode="External"/><Relationship Id="rId3314" Type="http://schemas.openxmlformats.org/officeDocument/2006/relationships/hyperlink" Target="https://www.facebook.com/rapplerdotcom/photos/a.317154781638645/5595372260483511/" TargetMode="External"/><Relationship Id="rId3521" Type="http://schemas.openxmlformats.org/officeDocument/2006/relationships/hyperlink" Target="https://www.facebook.com/icmayordo" TargetMode="External"/><Relationship Id="rId235" Type="http://schemas.openxmlformats.org/officeDocument/2006/relationships/hyperlink" Target="https://www.facebook.com/rapplerdotcom/photos/a.317154781638645/5598220220198715/" TargetMode="External"/><Relationship Id="rId442" Type="http://schemas.openxmlformats.org/officeDocument/2006/relationships/hyperlink" Target="https://www.facebook.com/jameson.beljica" TargetMode="External"/><Relationship Id="rId1072" Type="http://schemas.openxmlformats.org/officeDocument/2006/relationships/hyperlink" Target="https://www.facebook.com/rapplerdotcom/posts/pfbid028Kg188FmebKa4aFvHZNp8zGTwjghWDDJuUmQ8agbSCvGAGJHZ7pBH9NmxLBmPZZdl" TargetMode="External"/><Relationship Id="rId2123" Type="http://schemas.openxmlformats.org/officeDocument/2006/relationships/hyperlink" Target="https://www.facebook.com/gilbert.barbacena.7" TargetMode="External"/><Relationship Id="rId2330" Type="http://schemas.openxmlformats.org/officeDocument/2006/relationships/hyperlink" Target="https://www.facebook.com/rapplerdotcom/posts/pfbid0TYP6syjYwznxJKdhWv9YMaXK9NvsSEhQ2cyyCQCPMvGapWXrQBHehywgT156wqNPl" TargetMode="External"/><Relationship Id="rId5279" Type="http://schemas.openxmlformats.org/officeDocument/2006/relationships/hyperlink" Target="https://www.facebook.com/rapplerdotcom/photos/a.317154781638645/5594264657260938/" TargetMode="External"/><Relationship Id="rId5486" Type="http://schemas.openxmlformats.org/officeDocument/2006/relationships/hyperlink" Target="https://www.facebook.com/arthur.purugganan" TargetMode="External"/><Relationship Id="rId5693" Type="http://schemas.openxmlformats.org/officeDocument/2006/relationships/hyperlink" Target="https://www.facebook.com/rapplerdotcom/photos/a.317154781638645/5594453700575367/" TargetMode="External"/><Relationship Id="rId302" Type="http://schemas.openxmlformats.org/officeDocument/2006/relationships/hyperlink" Target="https://www.facebook.com/meann.garcia.brubelle" TargetMode="External"/><Relationship Id="rId4088" Type="http://schemas.openxmlformats.org/officeDocument/2006/relationships/hyperlink" Target="https://www.facebook.com/rapplerdotcom/posts/pfbid0231hbcbuKeQLDkPH8oZAdZbuU8MPPgRANx152V3xWpbjZ6EvfpohwQMvxHYAgrGPul" TargetMode="External"/><Relationship Id="rId4295" Type="http://schemas.openxmlformats.org/officeDocument/2006/relationships/hyperlink" Target="https://www.facebook.com/rapplerdotcom/photos/a.317154781638645/5594954703858600/" TargetMode="External"/><Relationship Id="rId5139" Type="http://schemas.openxmlformats.org/officeDocument/2006/relationships/hyperlink" Target="https://www.facebook.com/rapplerdotcom/photos/a.317154781638645/5594264657260938/" TargetMode="External"/><Relationship Id="rId5346" Type="http://schemas.openxmlformats.org/officeDocument/2006/relationships/hyperlink" Target="https://www.facebook.com/profile.php?id=100012422146329" TargetMode="External"/><Relationship Id="rId5553" Type="http://schemas.openxmlformats.org/officeDocument/2006/relationships/hyperlink" Target="https://www.facebook.com/rapplerdotcom/photos/a.317154781638645/5594453700575367/" TargetMode="External"/><Relationship Id="rId1889" Type="http://schemas.openxmlformats.org/officeDocument/2006/relationships/hyperlink" Target="https://www.facebook.com/tapic.pagsuguiron" TargetMode="External"/><Relationship Id="rId4155" Type="http://schemas.openxmlformats.org/officeDocument/2006/relationships/hyperlink" Target="https://www.facebook.com/merlaflores.bendicion" TargetMode="External"/><Relationship Id="rId4362" Type="http://schemas.openxmlformats.org/officeDocument/2006/relationships/hyperlink" Target="https://www.facebook.com/rick.capunihan" TargetMode="External"/><Relationship Id="rId5206" Type="http://schemas.openxmlformats.org/officeDocument/2006/relationships/hyperlink" Target="https://www.facebook.com/lorenza.ito.33" TargetMode="External"/><Relationship Id="rId5760" Type="http://schemas.openxmlformats.org/officeDocument/2006/relationships/hyperlink" Target="https://www.facebook.com/saturnino.m.zamora" TargetMode="External"/><Relationship Id="rId1749" Type="http://schemas.openxmlformats.org/officeDocument/2006/relationships/hyperlink" Target="https://www.facebook.com/nedned.anobla" TargetMode="External"/><Relationship Id="rId1956" Type="http://schemas.openxmlformats.org/officeDocument/2006/relationships/hyperlink" Target="https://www.facebook.com/rapplerdotcom/photos/a.317154781638645/5596043783749692/" TargetMode="External"/><Relationship Id="rId3171" Type="http://schemas.openxmlformats.org/officeDocument/2006/relationships/hyperlink" Target="https://www.facebook.com/profile.php?id=100078433647836" TargetMode="External"/><Relationship Id="rId4015" Type="http://schemas.openxmlformats.org/officeDocument/2006/relationships/hyperlink" Target="https://www.facebook.com/jubs.bravo" TargetMode="External"/><Relationship Id="rId5413" Type="http://schemas.openxmlformats.org/officeDocument/2006/relationships/hyperlink" Target="https://www.facebook.com/watch/live/?ref=watch_permalink&amp;v=312865720941798" TargetMode="External"/><Relationship Id="rId5620" Type="http://schemas.openxmlformats.org/officeDocument/2006/relationships/hyperlink" Target="https://www.facebook.com/minda.amen" TargetMode="External"/><Relationship Id="rId1609" Type="http://schemas.openxmlformats.org/officeDocument/2006/relationships/hyperlink" Target="https://www.facebook.com/profile.php?id=100001866881530" TargetMode="External"/><Relationship Id="rId1816" Type="http://schemas.openxmlformats.org/officeDocument/2006/relationships/hyperlink" Target="https://www.facebook.com/rapplerdotcom/photos/a.317154781638645/5596043783749692/" TargetMode="External"/><Relationship Id="rId4222" Type="http://schemas.openxmlformats.org/officeDocument/2006/relationships/hyperlink" Target="https://www.facebook.com/rapplerdotcom/photos/a.317154781638645/5594954703858600/" TargetMode="External"/><Relationship Id="rId3031" Type="http://schemas.openxmlformats.org/officeDocument/2006/relationships/hyperlink" Target="https://www.facebook.com/titorobert.piansay.12" TargetMode="External"/><Relationship Id="rId3988" Type="http://schemas.openxmlformats.org/officeDocument/2006/relationships/hyperlink" Target="https://www.facebook.com/rapplerdotcom/posts/pfbid0dyWpzxim3h4Z2SYriGakwQw85p7BCAgct7KU5EiMX1bmmgNHDD8nmES8rjrADsrPl" TargetMode="External"/><Relationship Id="rId6187" Type="http://schemas.openxmlformats.org/officeDocument/2006/relationships/hyperlink" Target="https://www.facebook.com/watch/?v=684555919511830" TargetMode="External"/><Relationship Id="rId2797" Type="http://schemas.openxmlformats.org/officeDocument/2006/relationships/hyperlink" Target="https://www.facebook.com/Aga0129" TargetMode="External"/><Relationship Id="rId3848" Type="http://schemas.openxmlformats.org/officeDocument/2006/relationships/hyperlink" Target="https://www.facebook.com/rapplerdotcom/posts/pfbid0dyWpzxim3h4Z2SYriGakwQw85p7BCAgct7KU5EiMX1bmmgNHDD8nmES8rjrADsrPl" TargetMode="External"/><Relationship Id="rId6047" Type="http://schemas.openxmlformats.org/officeDocument/2006/relationships/hyperlink" Target="https://www.facebook.com/rapplerdotcom/photos/a.317154781638645/5594359700584767/" TargetMode="External"/><Relationship Id="rId769" Type="http://schemas.openxmlformats.org/officeDocument/2006/relationships/hyperlink" Target="https://www.facebook.com/lito.watiwat" TargetMode="External"/><Relationship Id="rId976" Type="http://schemas.openxmlformats.org/officeDocument/2006/relationships/hyperlink" Target="https://www.facebook.com/rapplerdotcom/photos/a.317154781638645/5597592673594803/" TargetMode="External"/><Relationship Id="rId1399" Type="http://schemas.openxmlformats.org/officeDocument/2006/relationships/hyperlink" Target="https://www.facebook.com/caloy.galicia" TargetMode="External"/><Relationship Id="rId2657" Type="http://schemas.openxmlformats.org/officeDocument/2006/relationships/hyperlink" Target="https://www.facebook.com/kttykrsh" TargetMode="External"/><Relationship Id="rId5063" Type="http://schemas.openxmlformats.org/officeDocument/2006/relationships/hyperlink" Target="https://www.facebook.com/rapplerdotcom/posts/pfbid0231hbcbuKeQLDkPH8oZAdZbuU8MPPgRANx152V3xWpbjZ6EvfpohwQMvxHYAgrGPul" TargetMode="External"/><Relationship Id="rId5270" Type="http://schemas.openxmlformats.org/officeDocument/2006/relationships/hyperlink" Target="https://www.facebook.com/chazper21" TargetMode="External"/><Relationship Id="rId6114" Type="http://schemas.openxmlformats.org/officeDocument/2006/relationships/hyperlink" Target="https://www.facebook.com/profile.php?id=100078610847597" TargetMode="External"/><Relationship Id="rId629" Type="http://schemas.openxmlformats.org/officeDocument/2006/relationships/hyperlink" Target="https://www.facebook.com/jacqueline.sumer.5" TargetMode="External"/><Relationship Id="rId1259" Type="http://schemas.openxmlformats.org/officeDocument/2006/relationships/hyperlink" Target="https://www.facebook.com/renz.jimenez.1048" TargetMode="External"/><Relationship Id="rId1466" Type="http://schemas.openxmlformats.org/officeDocument/2006/relationships/hyperlink" Target="https://www.facebook.com/rapplerdotcom/photos/a.317154781638645/5597116770309060/" TargetMode="External"/><Relationship Id="rId2864" Type="http://schemas.openxmlformats.org/officeDocument/2006/relationships/hyperlink" Target="https://www.facebook.com/watch/?v=570590637273208" TargetMode="External"/><Relationship Id="rId3708" Type="http://schemas.openxmlformats.org/officeDocument/2006/relationships/hyperlink" Target="https://www.facebook.com/rapplerdotcom/photos/a.317154781638645/5595162900504447/" TargetMode="External"/><Relationship Id="rId3915" Type="http://schemas.openxmlformats.org/officeDocument/2006/relationships/hyperlink" Target="https://www.facebook.com/profile.php?id=1669143901" TargetMode="External"/><Relationship Id="rId5130" Type="http://schemas.openxmlformats.org/officeDocument/2006/relationships/hyperlink" Target="https://www.facebook.com/nora.montejo.925" TargetMode="External"/><Relationship Id="rId836" Type="http://schemas.openxmlformats.org/officeDocument/2006/relationships/hyperlink" Target="https://www.facebook.com/rapplerdotcom/photos/a.317154781638645/5597612220259515/" TargetMode="External"/><Relationship Id="rId1119" Type="http://schemas.openxmlformats.org/officeDocument/2006/relationships/hyperlink" Target="https://www.facebook.com/ginalita67" TargetMode="External"/><Relationship Id="rId1673" Type="http://schemas.openxmlformats.org/officeDocument/2006/relationships/hyperlink" Target="https://www.facebook.com/dr.julius.uy" TargetMode="External"/><Relationship Id="rId1880" Type="http://schemas.openxmlformats.org/officeDocument/2006/relationships/hyperlink" Target="https://www.facebook.com/rapplerdotcom/photos/a.317154781638645/5596043783749692/" TargetMode="External"/><Relationship Id="rId2517" Type="http://schemas.openxmlformats.org/officeDocument/2006/relationships/hyperlink" Target="https://www.facebook.com/tommy.o.chua" TargetMode="External"/><Relationship Id="rId2724" Type="http://schemas.openxmlformats.org/officeDocument/2006/relationships/hyperlink" Target="https://www.facebook.com/rapplerdotcom/photos/a.317154781638645/5595733810447356/" TargetMode="External"/><Relationship Id="rId2931" Type="http://schemas.openxmlformats.org/officeDocument/2006/relationships/hyperlink" Target="https://www.facebook.com/mariabella.fernandez.9" TargetMode="External"/><Relationship Id="rId903" Type="http://schemas.openxmlformats.org/officeDocument/2006/relationships/hyperlink" Target="https://www.facebook.com/profile.php?id=100076074789897" TargetMode="External"/><Relationship Id="rId1326" Type="http://schemas.openxmlformats.org/officeDocument/2006/relationships/hyperlink" Target="https://www.facebook.com/rapplerdotcom/photos/a.317154781638645/5597116770309060/" TargetMode="External"/><Relationship Id="rId1533" Type="http://schemas.openxmlformats.org/officeDocument/2006/relationships/hyperlink" Target="https://www.facebook.com/DodiPaul" TargetMode="External"/><Relationship Id="rId1740" Type="http://schemas.openxmlformats.org/officeDocument/2006/relationships/hyperlink" Target="https://www.facebook.com/rapplerdotcom/photos/a.317154781638645/5596043783749692/" TargetMode="External"/><Relationship Id="rId4689" Type="http://schemas.openxmlformats.org/officeDocument/2006/relationships/hyperlink" Target="https://www.facebook.com/watch/live/?ref=watch_permalink&amp;v=923735834984653" TargetMode="External"/><Relationship Id="rId4896" Type="http://schemas.openxmlformats.org/officeDocument/2006/relationships/hyperlink" Target="https://www.facebook.com/profile.php?id=100005160163120" TargetMode="External"/><Relationship Id="rId5947" Type="http://schemas.openxmlformats.org/officeDocument/2006/relationships/hyperlink" Target="https://www.facebook.com/rapplerdotcom/photos/a.317154781638645/5594359700584767/" TargetMode="External"/><Relationship Id="rId32" Type="http://schemas.openxmlformats.org/officeDocument/2006/relationships/hyperlink" Target="https://www.facebook.com/rapplerdotcom/posts/pfbid0DUh4iFcrxZuR1UbiGhcAHcMdzsaV29GSeHCY1HabtqcnUWkjStX9TDaVqzzt92GDl" TargetMode="External"/><Relationship Id="rId1600" Type="http://schemas.openxmlformats.org/officeDocument/2006/relationships/hyperlink" Target="https://www.facebook.com/rapplerdotcom/posts/pfbid02AsSA4LQqjQ2Y8SVathQmtduoE3fhoGvQSNhvrzsMerDaJSQJ6jDvApCCiuaE7XCol" TargetMode="External"/><Relationship Id="rId3498" Type="http://schemas.openxmlformats.org/officeDocument/2006/relationships/hyperlink" Target="https://www.facebook.com/rapplerdotcom/photos/a.317154781638645/5595372260483511/" TargetMode="External"/><Relationship Id="rId4549" Type="http://schemas.openxmlformats.org/officeDocument/2006/relationships/hyperlink" Target="https://www.facebook.com/rapplerdotcom/photos/a.317154781638645/5594954703858600/" TargetMode="External"/><Relationship Id="rId4756" Type="http://schemas.openxmlformats.org/officeDocument/2006/relationships/hyperlink" Target="https://www.facebook.com/josefina.rubi" TargetMode="External"/><Relationship Id="rId4963" Type="http://schemas.openxmlformats.org/officeDocument/2006/relationships/hyperlink" Target="https://www.facebook.com/rapplerdotcom/posts/pfbid02BCyyacWVuuu1bwX5PwYK8PvqDGTANxekqEMy7qyV9vMmaGKTbC8sBf7i5j3Wbx9Ll" TargetMode="External"/><Relationship Id="rId5807" Type="http://schemas.openxmlformats.org/officeDocument/2006/relationships/hyperlink" Target="https://www.facebook.com/rapplerdotcom/photos/a.317154781638645/5594453700575367/" TargetMode="External"/><Relationship Id="rId3358" Type="http://schemas.openxmlformats.org/officeDocument/2006/relationships/hyperlink" Target="https://www.facebook.com/rapplerdotcom/photos/a.317154781638645/5595372260483511/" TargetMode="External"/><Relationship Id="rId3565" Type="http://schemas.openxmlformats.org/officeDocument/2006/relationships/hyperlink" Target="https://www.facebook.com/jose.ladiana" TargetMode="External"/><Relationship Id="rId3772" Type="http://schemas.openxmlformats.org/officeDocument/2006/relationships/hyperlink" Target="https://www.facebook.com/rapplerdotcom/posts/pfbid0dyWpzxim3h4Z2SYriGakwQw85p7BCAgct7KU5EiMX1bmmgNHDD8nmES8rjrADsrPl" TargetMode="External"/><Relationship Id="rId4409" Type="http://schemas.openxmlformats.org/officeDocument/2006/relationships/hyperlink" Target="https://www.facebook.com/rapplerdotcom/photos/a.317154781638645/5594954703858600/" TargetMode="External"/><Relationship Id="rId4616" Type="http://schemas.openxmlformats.org/officeDocument/2006/relationships/hyperlink" Target="https://www.facebook.com/menchie.delrosario" TargetMode="External"/><Relationship Id="rId4823" Type="http://schemas.openxmlformats.org/officeDocument/2006/relationships/hyperlink" Target="https://www.facebook.com/watch/live/?ref=watch_permalink&amp;v=923735834984653" TargetMode="External"/><Relationship Id="rId279" Type="http://schemas.openxmlformats.org/officeDocument/2006/relationships/hyperlink" Target="https://www.facebook.com/rapplerdotcom/photos/a.317154781638645/5598220220198715/" TargetMode="External"/><Relationship Id="rId486" Type="http://schemas.openxmlformats.org/officeDocument/2006/relationships/hyperlink" Target="https://www.facebook.com/maria.carl.77" TargetMode="External"/><Relationship Id="rId693" Type="http://schemas.openxmlformats.org/officeDocument/2006/relationships/hyperlink" Target="https://www.facebook.com/raymund.yangco" TargetMode="External"/><Relationship Id="rId2167" Type="http://schemas.openxmlformats.org/officeDocument/2006/relationships/hyperlink" Target="https://www.facebook.com/aye.rentoy.73" TargetMode="External"/><Relationship Id="rId2374" Type="http://schemas.openxmlformats.org/officeDocument/2006/relationships/hyperlink" Target="https://www.facebook.com/rapplerdotcom/posts/pfbid0TYP6syjYwznxJKdhWv9YMaXK9NvsSEhQ2cyyCQCPMvGapWXrQBHehywgT156wqNPl" TargetMode="External"/><Relationship Id="rId2581" Type="http://schemas.openxmlformats.org/officeDocument/2006/relationships/hyperlink" Target="https://www.facebook.com/mirandilla.alexract" TargetMode="External"/><Relationship Id="rId3218" Type="http://schemas.openxmlformats.org/officeDocument/2006/relationships/hyperlink" Target="https://www.facebook.com/watch/live/?ref=watch_permalink&amp;v=332681445500650" TargetMode="External"/><Relationship Id="rId3425" Type="http://schemas.openxmlformats.org/officeDocument/2006/relationships/hyperlink" Target="https://www.facebook.com/blackwidow0910" TargetMode="External"/><Relationship Id="rId3632" Type="http://schemas.openxmlformats.org/officeDocument/2006/relationships/hyperlink" Target="https://www.facebook.com/rapplerdotcom/photos/a.317154781638645/5595372260483511/" TargetMode="External"/><Relationship Id="rId139" Type="http://schemas.openxmlformats.org/officeDocument/2006/relationships/hyperlink" Target="https://www.facebook.com/gumer.liston" TargetMode="External"/><Relationship Id="rId346" Type="http://schemas.openxmlformats.org/officeDocument/2006/relationships/hyperlink" Target="https://www.facebook.com/jefferson.yabut" TargetMode="External"/><Relationship Id="rId553" Type="http://schemas.openxmlformats.org/officeDocument/2006/relationships/hyperlink" Target="https://www.facebook.com/jacqueline.reynado" TargetMode="External"/><Relationship Id="rId760" Type="http://schemas.openxmlformats.org/officeDocument/2006/relationships/hyperlink" Target="https://www.facebook.com/rapplerdotcom/photos/a.317154781638645/5597612220259515/" TargetMode="External"/><Relationship Id="rId1183" Type="http://schemas.openxmlformats.org/officeDocument/2006/relationships/hyperlink" Target="https://www.facebook.com/lyn.cobajada" TargetMode="External"/><Relationship Id="rId1390" Type="http://schemas.openxmlformats.org/officeDocument/2006/relationships/hyperlink" Target="https://www.facebook.com/rapplerdotcom/photos/a.317154781638645/5597116770309060/" TargetMode="External"/><Relationship Id="rId2027" Type="http://schemas.openxmlformats.org/officeDocument/2006/relationships/hyperlink" Target="https://www.facebook.com/rossanau" TargetMode="External"/><Relationship Id="rId2234" Type="http://schemas.openxmlformats.org/officeDocument/2006/relationships/hyperlink" Target="https://www.facebook.com/rapplerdotcom/photos/a.317154781638645/5596022273751843/" TargetMode="External"/><Relationship Id="rId2441" Type="http://schemas.openxmlformats.org/officeDocument/2006/relationships/hyperlink" Target="https://www.facebook.com/arisayokoya4" TargetMode="External"/><Relationship Id="rId5597" Type="http://schemas.openxmlformats.org/officeDocument/2006/relationships/hyperlink" Target="https://www.facebook.com/rapplerdotcom/photos/a.317154781638645/5594453700575367/" TargetMode="External"/><Relationship Id="rId206" Type="http://schemas.openxmlformats.org/officeDocument/2006/relationships/hyperlink" Target="https://www.facebook.com/rapplerdotcom/posts/pfbid0DUh4iFcrxZuR1UbiGhcAHcMdzsaV29GSeHCY1HabtqcnUWkjStX9TDaVqzzt92GDl" TargetMode="External"/><Relationship Id="rId413" Type="http://schemas.openxmlformats.org/officeDocument/2006/relationships/hyperlink" Target="https://www.facebook.com/rapplerdotcom/photos/a.317154781638645/5598220220198715/" TargetMode="External"/><Relationship Id="rId1043" Type="http://schemas.openxmlformats.org/officeDocument/2006/relationships/hyperlink" Target="https://www.facebook.com/danielle.jacque.5" TargetMode="External"/><Relationship Id="rId4199" Type="http://schemas.openxmlformats.org/officeDocument/2006/relationships/hyperlink" Target="https://www.facebook.com/profile.php?id=100013497646924" TargetMode="External"/><Relationship Id="rId620" Type="http://schemas.openxmlformats.org/officeDocument/2006/relationships/hyperlink" Target="https://www.facebook.com/rapplerdotcom/photos/a.317154781638645/5597874143566656" TargetMode="External"/><Relationship Id="rId1250" Type="http://schemas.openxmlformats.org/officeDocument/2006/relationships/hyperlink" Target="https://www.facebook.com/rapplerdotcom/posts/pfbid023goEfA6e1ABSWYJFy8fQ5LFWDv4QTSTmAfzySGtMSpy12iqywB2MUZjiZ8GjCxrGl" TargetMode="External"/><Relationship Id="rId2301" Type="http://schemas.openxmlformats.org/officeDocument/2006/relationships/hyperlink" Target="https://www.facebook.com/rodelmadrid" TargetMode="External"/><Relationship Id="rId4059" Type="http://schemas.openxmlformats.org/officeDocument/2006/relationships/hyperlink" Target="https://www.facebook.com/annejhov" TargetMode="External"/><Relationship Id="rId5457" Type="http://schemas.openxmlformats.org/officeDocument/2006/relationships/hyperlink" Target="https://www.facebook.com/watch/live/?ref=watch_permalink&amp;v=312865720941798" TargetMode="External"/><Relationship Id="rId5664" Type="http://schemas.openxmlformats.org/officeDocument/2006/relationships/hyperlink" Target="https://www.facebook.com/cris.caligtan.5" TargetMode="External"/><Relationship Id="rId5871" Type="http://schemas.openxmlformats.org/officeDocument/2006/relationships/hyperlink" Target="https://www.facebook.com/rapplerdotcom/posts/pfbid0Kg1RoVj1WsJryHzrsA3oSrLQ6DJc4g1o3yMhcNHB9BrPu7fZV7ugtw1hYVefEPE9l" TargetMode="External"/><Relationship Id="rId1110" Type="http://schemas.openxmlformats.org/officeDocument/2006/relationships/hyperlink" Target="https://www.facebook.com/rapplerdotcom/posts/pfbid02dNgAR64VTtp94Rus4o9MNbU55E2H9Wp7KMKzJGkk6u4UxRyHU8j2pPpwa5iwGcD3l" TargetMode="External"/><Relationship Id="rId4266" Type="http://schemas.openxmlformats.org/officeDocument/2006/relationships/hyperlink" Target="https://www.facebook.com/cayetano.cabello.3" TargetMode="External"/><Relationship Id="rId4473" Type="http://schemas.openxmlformats.org/officeDocument/2006/relationships/hyperlink" Target="https://www.facebook.com/rapplerdotcom/photos/a.317154781638645/5594954703858600/" TargetMode="External"/><Relationship Id="rId4680" Type="http://schemas.openxmlformats.org/officeDocument/2006/relationships/hyperlink" Target="https://www.facebook.com/bambina.cruz.5" TargetMode="External"/><Relationship Id="rId5317" Type="http://schemas.openxmlformats.org/officeDocument/2006/relationships/hyperlink" Target="https://www.facebook.com/rapplerdotcom/photos/a.317154781638645/5594264657260938/" TargetMode="External"/><Relationship Id="rId5524" Type="http://schemas.openxmlformats.org/officeDocument/2006/relationships/hyperlink" Target="https://www.facebook.com/jude.romero.14" TargetMode="External"/><Relationship Id="rId5731" Type="http://schemas.openxmlformats.org/officeDocument/2006/relationships/hyperlink" Target="https://www.facebook.com/rapplerdotcom/photos/a.317154781638645/5594453700575367/" TargetMode="External"/><Relationship Id="rId1927" Type="http://schemas.openxmlformats.org/officeDocument/2006/relationships/hyperlink" Target="https://www.facebook.com/DemieGanda" TargetMode="External"/><Relationship Id="rId3075" Type="http://schemas.openxmlformats.org/officeDocument/2006/relationships/hyperlink" Target="https://www.facebook.com/ayen.francisco.927" TargetMode="External"/><Relationship Id="rId3282" Type="http://schemas.openxmlformats.org/officeDocument/2006/relationships/hyperlink" Target="https://www.facebook.com/rapplerdotcom/photos/a.317154781638645/5595372260483511/" TargetMode="External"/><Relationship Id="rId4126" Type="http://schemas.openxmlformats.org/officeDocument/2006/relationships/hyperlink" Target="https://www.facebook.com/rapplerdotcom/photos/a.317154781638645/5594954703858600/" TargetMode="External"/><Relationship Id="rId4333" Type="http://schemas.openxmlformats.org/officeDocument/2006/relationships/hyperlink" Target="https://www.facebook.com/rapplerdotcom/photos/a.317154781638645/5594954703858600/" TargetMode="External"/><Relationship Id="rId4540" Type="http://schemas.openxmlformats.org/officeDocument/2006/relationships/hyperlink" Target="https://www.facebook.com/joshybanez" TargetMode="External"/><Relationship Id="rId2091" Type="http://schemas.openxmlformats.org/officeDocument/2006/relationships/hyperlink" Target="https://www.facebook.com/profile.php?id=100069091358264" TargetMode="External"/><Relationship Id="rId3142" Type="http://schemas.openxmlformats.org/officeDocument/2006/relationships/hyperlink" Target="https://www.facebook.com/watch/live/?ref=watch_permalink&amp;v=360307549312104" TargetMode="External"/><Relationship Id="rId4400" Type="http://schemas.openxmlformats.org/officeDocument/2006/relationships/hyperlink" Target="https://www.facebook.com/josefina.deri.5" TargetMode="External"/><Relationship Id="rId270" Type="http://schemas.openxmlformats.org/officeDocument/2006/relationships/hyperlink" Target="https://www.facebook.com/czaranthony.colocar" TargetMode="External"/><Relationship Id="rId3002" Type="http://schemas.openxmlformats.org/officeDocument/2006/relationships/hyperlink" Target="https://www.facebook.com/watch/live/?ref=watch_permalink&amp;v=360307549312104" TargetMode="External"/><Relationship Id="rId6158" Type="http://schemas.openxmlformats.org/officeDocument/2006/relationships/hyperlink" Target="https://www.facebook.com/profile.php?id=100074253206798" TargetMode="External"/><Relationship Id="rId130" Type="http://schemas.openxmlformats.org/officeDocument/2006/relationships/hyperlink" Target="https://www.facebook.com/rapplerdotcom/posts/pfbid0DUh4iFcrxZuR1UbiGhcAHcMdzsaV29GSeHCY1HabtqcnUWkjStX9TDaVqzzt92GDl" TargetMode="External"/><Relationship Id="rId3959" Type="http://schemas.openxmlformats.org/officeDocument/2006/relationships/hyperlink" Target="https://www.facebook.com/jayjay.paras.10" TargetMode="External"/><Relationship Id="rId5174" Type="http://schemas.openxmlformats.org/officeDocument/2006/relationships/hyperlink" Target="https://www.facebook.com/venass.mercado.1" TargetMode="External"/><Relationship Id="rId5381" Type="http://schemas.openxmlformats.org/officeDocument/2006/relationships/hyperlink" Target="https://www.facebook.com/rapplerdotcom/photos/a.317154781638645/5594264657260938/" TargetMode="External"/><Relationship Id="rId6018" Type="http://schemas.openxmlformats.org/officeDocument/2006/relationships/hyperlink" Target="https://www.facebook.com/danilo.betitaleoncito.9" TargetMode="External"/><Relationship Id="rId6225" Type="http://schemas.openxmlformats.org/officeDocument/2006/relationships/hyperlink" Target="https://www.facebook.com/watch/?v=684555919511830" TargetMode="External"/><Relationship Id="rId2768" Type="http://schemas.openxmlformats.org/officeDocument/2006/relationships/hyperlink" Target="https://www.facebook.com/rapplerdotcom/photos/a.317154781638645/5595733810447356/" TargetMode="External"/><Relationship Id="rId2975" Type="http://schemas.openxmlformats.org/officeDocument/2006/relationships/hyperlink" Target="https://www.facebook.com/antonette.fernandez.583" TargetMode="External"/><Relationship Id="rId3819" Type="http://schemas.openxmlformats.org/officeDocument/2006/relationships/hyperlink" Target="https://www.facebook.com/maya.barsaga" TargetMode="External"/><Relationship Id="rId5034" Type="http://schemas.openxmlformats.org/officeDocument/2006/relationships/hyperlink" Target="https://www.facebook.com/chazper21" TargetMode="External"/><Relationship Id="rId947" Type="http://schemas.openxmlformats.org/officeDocument/2006/relationships/hyperlink" Target="https://www.facebook.com/profile.php?id=100076074789897" TargetMode="External"/><Relationship Id="rId1577" Type="http://schemas.openxmlformats.org/officeDocument/2006/relationships/hyperlink" Target="https://www.facebook.com/gracepenetrante.udarbe" TargetMode="External"/><Relationship Id="rId1784" Type="http://schemas.openxmlformats.org/officeDocument/2006/relationships/hyperlink" Target="https://www.facebook.com/rapplerdotcom/photos/a.317154781638645/5596043783749692/" TargetMode="External"/><Relationship Id="rId1991" Type="http://schemas.openxmlformats.org/officeDocument/2006/relationships/hyperlink" Target="https://www.facebook.com/steve.tamayo.18" TargetMode="External"/><Relationship Id="rId2628" Type="http://schemas.openxmlformats.org/officeDocument/2006/relationships/hyperlink" Target="https://www.facebook.com/rapplerdotcom/photos/a.317154781638645/5595733810447356/" TargetMode="External"/><Relationship Id="rId2835" Type="http://schemas.openxmlformats.org/officeDocument/2006/relationships/hyperlink" Target="https://www.facebook.com/veron.uera" TargetMode="External"/><Relationship Id="rId4190" Type="http://schemas.openxmlformats.org/officeDocument/2006/relationships/hyperlink" Target="https://www.facebook.com/rapplerdotcom/photos/a.317154781638645/5594954703858600/" TargetMode="External"/><Relationship Id="rId5241" Type="http://schemas.openxmlformats.org/officeDocument/2006/relationships/hyperlink" Target="https://www.facebook.com/rapplerdotcom/photos/a.317154781638645/5594264657260938/" TargetMode="External"/><Relationship Id="rId76" Type="http://schemas.openxmlformats.org/officeDocument/2006/relationships/hyperlink" Target="https://www.facebook.com/rapplerdotcom/posts/pfbid0DUh4iFcrxZuR1UbiGhcAHcMdzsaV29GSeHCY1HabtqcnUWkjStX9TDaVqzzt92GDl" TargetMode="External"/><Relationship Id="rId807" Type="http://schemas.openxmlformats.org/officeDocument/2006/relationships/hyperlink" Target="https://www.facebook.com/racquel.andres.908" TargetMode="External"/><Relationship Id="rId1437" Type="http://schemas.openxmlformats.org/officeDocument/2006/relationships/hyperlink" Target="https://www.facebook.com/profile.php?id=100070193447855" TargetMode="External"/><Relationship Id="rId1644" Type="http://schemas.openxmlformats.org/officeDocument/2006/relationships/hyperlink" Target="https://www.facebook.com/rapplerdotcom/posts/pfbid02AsSA4LQqjQ2Y8SVathQmtduoE3fhoGvQSNhvrzsMerDaJSQJ6jDvApCCiuaE7XCol" TargetMode="External"/><Relationship Id="rId1851" Type="http://schemas.openxmlformats.org/officeDocument/2006/relationships/hyperlink" Target="https://www.facebook.com/profile.php?id=100071636301768" TargetMode="External"/><Relationship Id="rId2902" Type="http://schemas.openxmlformats.org/officeDocument/2006/relationships/hyperlink" Target="https://www.facebook.com/watch/live/?ref=watch_permalink&amp;v=360307549312104" TargetMode="External"/><Relationship Id="rId4050" Type="http://schemas.openxmlformats.org/officeDocument/2006/relationships/hyperlink" Target="https://www.facebook.com/rapplerdotcom/posts/pfbid02kmyrDmvYtHxz51VdR228sTCyvbHYDrwL4TgeoVAenoprSKkWhUFLyRmAuKBuGtXXl" TargetMode="External"/><Relationship Id="rId5101" Type="http://schemas.openxmlformats.org/officeDocument/2006/relationships/hyperlink" Target="https://www.facebook.com/rapplerdotcom/photos/a.317154781638645/5594264657260938/" TargetMode="External"/><Relationship Id="rId1504" Type="http://schemas.openxmlformats.org/officeDocument/2006/relationships/hyperlink" Target="https://www.facebook.com/rapplerdotcom/photos/a.317154781638645/5597116770309060/" TargetMode="External"/><Relationship Id="rId1711" Type="http://schemas.openxmlformats.org/officeDocument/2006/relationships/hyperlink" Target="https://www.facebook.com/julio.quian" TargetMode="External"/><Relationship Id="rId4867" Type="http://schemas.openxmlformats.org/officeDocument/2006/relationships/hyperlink" Target="https://www.facebook.com/watch/live/?ref=watch_permalink&amp;v=923735834984653" TargetMode="External"/><Relationship Id="rId3469" Type="http://schemas.openxmlformats.org/officeDocument/2006/relationships/hyperlink" Target="https://www.facebook.com/icarro1821" TargetMode="External"/><Relationship Id="rId3676" Type="http://schemas.openxmlformats.org/officeDocument/2006/relationships/hyperlink" Target="https://www.facebook.com/rapplerdotcom/photos/a.317154781638645/5595162900504447/" TargetMode="External"/><Relationship Id="rId5918" Type="http://schemas.openxmlformats.org/officeDocument/2006/relationships/hyperlink" Target="https://www.facebook.com/jaymar.pantojatumlos" TargetMode="External"/><Relationship Id="rId6082" Type="http://schemas.openxmlformats.org/officeDocument/2006/relationships/hyperlink" Target="https://www.facebook.com/edwin.asis.58" TargetMode="External"/><Relationship Id="rId597" Type="http://schemas.openxmlformats.org/officeDocument/2006/relationships/hyperlink" Target="https://www.facebook.com/lalalalamd" TargetMode="External"/><Relationship Id="rId2278" Type="http://schemas.openxmlformats.org/officeDocument/2006/relationships/hyperlink" Target="https://www.facebook.com/rapplerdotcom/photos/a.317154781638645/5596022273751843/" TargetMode="External"/><Relationship Id="rId2485" Type="http://schemas.openxmlformats.org/officeDocument/2006/relationships/hyperlink" Target="https://www.facebook.com/hanzhabon" TargetMode="External"/><Relationship Id="rId3329" Type="http://schemas.openxmlformats.org/officeDocument/2006/relationships/hyperlink" Target="https://www.facebook.com/profile.php?id=100009061696259" TargetMode="External"/><Relationship Id="rId3883" Type="http://schemas.openxmlformats.org/officeDocument/2006/relationships/hyperlink" Target="https://www.facebook.com/paz.ete.7" TargetMode="External"/><Relationship Id="rId4727" Type="http://schemas.openxmlformats.org/officeDocument/2006/relationships/hyperlink" Target="https://www.facebook.com/watch/live/?ref=watch_permalink&amp;v=923735834984653" TargetMode="External"/><Relationship Id="rId4934" Type="http://schemas.openxmlformats.org/officeDocument/2006/relationships/hyperlink" Target="https://www.facebook.com/ruben.musni" TargetMode="External"/><Relationship Id="rId457" Type="http://schemas.openxmlformats.org/officeDocument/2006/relationships/hyperlink" Target="https://www.facebook.com/rapplerdotcom/photos/a.317154781638645/5598220220198715/" TargetMode="External"/><Relationship Id="rId1087" Type="http://schemas.openxmlformats.org/officeDocument/2006/relationships/hyperlink" Target="https://www.facebook.com/beng.decastro" TargetMode="External"/><Relationship Id="rId1294" Type="http://schemas.openxmlformats.org/officeDocument/2006/relationships/hyperlink" Target="https://www.facebook.com/rapplerdotcom/posts/pfbid023goEfA6e1ABSWYJFy8fQ5LFWDv4QTSTmAfzySGtMSpy12iqywB2MUZjiZ8GjCxrGl" TargetMode="External"/><Relationship Id="rId2138" Type="http://schemas.openxmlformats.org/officeDocument/2006/relationships/hyperlink" Target="https://www.facebook.com/rapplerdotcom/photos/a.317154781638645/5596022273751843/" TargetMode="External"/><Relationship Id="rId2692" Type="http://schemas.openxmlformats.org/officeDocument/2006/relationships/hyperlink" Target="https://www.facebook.com/rapplerdotcom/photos/a.317154781638645/5595733810447356/" TargetMode="External"/><Relationship Id="rId3536" Type="http://schemas.openxmlformats.org/officeDocument/2006/relationships/hyperlink" Target="https://www.facebook.com/rapplerdotcom/photos/a.317154781638645/5595372260483511/" TargetMode="External"/><Relationship Id="rId3743" Type="http://schemas.openxmlformats.org/officeDocument/2006/relationships/hyperlink" Target="https://www.facebook.com/cidernald" TargetMode="External"/><Relationship Id="rId3950" Type="http://schemas.openxmlformats.org/officeDocument/2006/relationships/hyperlink" Target="https://www.facebook.com/rapplerdotcom/posts/pfbid0dyWpzxim3h4Z2SYriGakwQw85p7BCAgct7KU5EiMX1bmmgNHDD8nmES8rjrADsrPl" TargetMode="External"/><Relationship Id="rId664" Type="http://schemas.openxmlformats.org/officeDocument/2006/relationships/hyperlink" Target="https://www.facebook.com/rapplerdotcom/photos/a.317154781638645/5597874143566656" TargetMode="External"/><Relationship Id="rId871" Type="http://schemas.openxmlformats.org/officeDocument/2006/relationships/hyperlink" Target="https://www.facebook.com/factolerin.e" TargetMode="External"/><Relationship Id="rId2345" Type="http://schemas.openxmlformats.org/officeDocument/2006/relationships/hyperlink" Target="https://www.facebook.com/felicidad.lala.7" TargetMode="External"/><Relationship Id="rId2552" Type="http://schemas.openxmlformats.org/officeDocument/2006/relationships/hyperlink" Target="https://www.facebook.com/rapplerdotcom/photos/a.317154781638645/5595733810447356/" TargetMode="External"/><Relationship Id="rId3603" Type="http://schemas.openxmlformats.org/officeDocument/2006/relationships/hyperlink" Target="https://www.facebook.com/little.master.7792" TargetMode="External"/><Relationship Id="rId3810" Type="http://schemas.openxmlformats.org/officeDocument/2006/relationships/hyperlink" Target="https://www.facebook.com/rapplerdotcom/posts/pfbid0dyWpzxim3h4Z2SYriGakwQw85p7BCAgct7KU5EiMX1bmmgNHDD8nmES8rjrADsrPl" TargetMode="External"/><Relationship Id="rId317" Type="http://schemas.openxmlformats.org/officeDocument/2006/relationships/hyperlink" Target="https://www.facebook.com/rapplerdotcom/photos/a.317154781638645/5598220220198715/" TargetMode="External"/><Relationship Id="rId524" Type="http://schemas.openxmlformats.org/officeDocument/2006/relationships/hyperlink" Target="https://www.facebook.com/thomas.french.52" TargetMode="External"/><Relationship Id="rId731" Type="http://schemas.openxmlformats.org/officeDocument/2006/relationships/hyperlink" Target="https://www.facebook.com/profile.php?id=100005697048693" TargetMode="External"/><Relationship Id="rId1154" Type="http://schemas.openxmlformats.org/officeDocument/2006/relationships/hyperlink" Target="https://www.facebook.com/rapplerdotcom/posts/pfbid02dNgAR64VTtp94Rus4o9MNbU55E2H9Wp7KMKzJGkk6u4UxRyHU8j2pPpwa5iwGcD3l" TargetMode="External"/><Relationship Id="rId1361" Type="http://schemas.openxmlformats.org/officeDocument/2006/relationships/hyperlink" Target="https://www.facebook.com/manny.matibag.1" TargetMode="External"/><Relationship Id="rId2205" Type="http://schemas.openxmlformats.org/officeDocument/2006/relationships/hyperlink" Target="https://www.facebook.com/mariatheresa.cabantog" TargetMode="External"/><Relationship Id="rId2412" Type="http://schemas.openxmlformats.org/officeDocument/2006/relationships/hyperlink" Target="https://www.facebook.com/rapplerdotcom/posts/pfbid0TYP6syjYwznxJKdhWv9YMaXK9NvsSEhQ2cyyCQCPMvGapWXrQBHehywgT156wqNPl" TargetMode="External"/><Relationship Id="rId5568" Type="http://schemas.openxmlformats.org/officeDocument/2006/relationships/hyperlink" Target="https://www.facebook.com/profile.php?id=100079722041118" TargetMode="External"/><Relationship Id="rId5775" Type="http://schemas.openxmlformats.org/officeDocument/2006/relationships/hyperlink" Target="https://www.facebook.com/rapplerdotcom/photos/a.317154781638645/5594453700575367/" TargetMode="External"/><Relationship Id="rId5982" Type="http://schemas.openxmlformats.org/officeDocument/2006/relationships/hyperlink" Target="https://www.facebook.com/tess.fuertez" TargetMode="External"/><Relationship Id="rId1014" Type="http://schemas.openxmlformats.org/officeDocument/2006/relationships/hyperlink" Target="https://www.facebook.com/rapplerdotcom/photos/a.317154781638645/5597592673594803/" TargetMode="External"/><Relationship Id="rId1221" Type="http://schemas.openxmlformats.org/officeDocument/2006/relationships/hyperlink" Target="https://www.facebook.com/junafel.garin" TargetMode="External"/><Relationship Id="rId4377" Type="http://schemas.openxmlformats.org/officeDocument/2006/relationships/hyperlink" Target="https://www.facebook.com/rapplerdotcom/photos/a.317154781638645/5594954703858600/" TargetMode="External"/><Relationship Id="rId4584" Type="http://schemas.openxmlformats.org/officeDocument/2006/relationships/hyperlink" Target="https://www.facebook.com/crispina.pin.35" TargetMode="External"/><Relationship Id="rId4791" Type="http://schemas.openxmlformats.org/officeDocument/2006/relationships/hyperlink" Target="https://www.facebook.com/watch/live/?ref=watch_permalink&amp;v=923735834984653" TargetMode="External"/><Relationship Id="rId5428" Type="http://schemas.openxmlformats.org/officeDocument/2006/relationships/hyperlink" Target="https://www.facebook.com/profile.php?id=100069901764842" TargetMode="External"/><Relationship Id="rId5635" Type="http://schemas.openxmlformats.org/officeDocument/2006/relationships/hyperlink" Target="https://www.facebook.com/rapplerdotcom/photos/a.317154781638645/5594453700575367/" TargetMode="External"/><Relationship Id="rId5842" Type="http://schemas.openxmlformats.org/officeDocument/2006/relationships/hyperlink" Target="https://www.facebook.com/nessmark.altar" TargetMode="External"/><Relationship Id="rId3186" Type="http://schemas.openxmlformats.org/officeDocument/2006/relationships/hyperlink" Target="https://www.facebook.com/watch/live/?ref=watch_permalink&amp;v=332681445500650" TargetMode="External"/><Relationship Id="rId3393" Type="http://schemas.openxmlformats.org/officeDocument/2006/relationships/hyperlink" Target="https://www.facebook.com/deanny.magana" TargetMode="External"/><Relationship Id="rId4237" Type="http://schemas.openxmlformats.org/officeDocument/2006/relationships/hyperlink" Target="https://www.facebook.com/rapplerdotcom/photos/a.317154781638645/5594954703858600/" TargetMode="External"/><Relationship Id="rId4444" Type="http://schemas.openxmlformats.org/officeDocument/2006/relationships/hyperlink" Target="https://www.facebook.com/rosemarie.saturno" TargetMode="External"/><Relationship Id="rId4651" Type="http://schemas.openxmlformats.org/officeDocument/2006/relationships/hyperlink" Target="https://www.facebook.com/watch/live/?ref=watch_permalink&amp;v=923735834984653" TargetMode="External"/><Relationship Id="rId3046" Type="http://schemas.openxmlformats.org/officeDocument/2006/relationships/hyperlink" Target="https://www.facebook.com/watch/live/?ref=watch_permalink&amp;v=360307549312104" TargetMode="External"/><Relationship Id="rId3253" Type="http://schemas.openxmlformats.org/officeDocument/2006/relationships/hyperlink" Target="https://www.facebook.com/arjay.quirino.5" TargetMode="External"/><Relationship Id="rId3460" Type="http://schemas.openxmlformats.org/officeDocument/2006/relationships/hyperlink" Target="https://www.facebook.com/rapplerdotcom/photos/a.317154781638645/5595372260483511/" TargetMode="External"/><Relationship Id="rId4304" Type="http://schemas.openxmlformats.org/officeDocument/2006/relationships/hyperlink" Target="https://www.facebook.com/gener.satsatin" TargetMode="External"/><Relationship Id="rId5702" Type="http://schemas.openxmlformats.org/officeDocument/2006/relationships/hyperlink" Target="https://www.facebook.com/profile.php?id=100009365788837" TargetMode="External"/><Relationship Id="rId174" Type="http://schemas.openxmlformats.org/officeDocument/2006/relationships/hyperlink" Target="https://www.facebook.com/rapplerdotcom/posts/pfbid0DUh4iFcrxZuR1UbiGhcAHcMdzsaV29GSeHCY1HabtqcnUWkjStX9TDaVqzzt92GDl" TargetMode="External"/><Relationship Id="rId381" Type="http://schemas.openxmlformats.org/officeDocument/2006/relationships/hyperlink" Target="https://www.facebook.com/rapplerdotcom/photos/a.317154781638645/5598220220198715/" TargetMode="External"/><Relationship Id="rId2062" Type="http://schemas.openxmlformats.org/officeDocument/2006/relationships/hyperlink" Target="https://www.facebook.com/rapplerdotcom/photos/a.317154781638645/5596022273751843/" TargetMode="External"/><Relationship Id="rId3113" Type="http://schemas.openxmlformats.org/officeDocument/2006/relationships/hyperlink" Target="https://www.facebook.com/materesa.villa.9" TargetMode="External"/><Relationship Id="rId4511" Type="http://schemas.openxmlformats.org/officeDocument/2006/relationships/hyperlink" Target="https://www.facebook.com/rapplerdotcom/photos/a.317154781638645/5594954703858600/" TargetMode="External"/><Relationship Id="rId241" Type="http://schemas.openxmlformats.org/officeDocument/2006/relationships/hyperlink" Target="https://www.facebook.com/rapplerdotcom/photos/a.317154781638645/5598220220198715/" TargetMode="External"/><Relationship Id="rId3320" Type="http://schemas.openxmlformats.org/officeDocument/2006/relationships/hyperlink" Target="https://www.facebook.com/rapplerdotcom/photos/a.317154781638645/5595372260483511/" TargetMode="External"/><Relationship Id="rId5078" Type="http://schemas.openxmlformats.org/officeDocument/2006/relationships/hyperlink" Target="https://www.facebook.com/ronel.padrqiue" TargetMode="External"/><Relationship Id="rId2879" Type="http://schemas.openxmlformats.org/officeDocument/2006/relationships/hyperlink" Target="https://www.facebook.com/cortesobet.shooter" TargetMode="External"/><Relationship Id="rId5285" Type="http://schemas.openxmlformats.org/officeDocument/2006/relationships/hyperlink" Target="https://www.facebook.com/rapplerdotcom/photos/a.317154781638645/5594264657260938/" TargetMode="External"/><Relationship Id="rId5492" Type="http://schemas.openxmlformats.org/officeDocument/2006/relationships/hyperlink" Target="https://www.facebook.com/phils.alapag" TargetMode="External"/><Relationship Id="rId6129" Type="http://schemas.openxmlformats.org/officeDocument/2006/relationships/hyperlink" Target="https://www.facebook.com/rapplerdotcom/posts/pfbid0JJW97xH5fR5tDSLUQ8AnEgkPMU9Aigs9CgcNy2Q7AzJY4R8mRoicBgu3PLdqpf2Tl" TargetMode="External"/><Relationship Id="rId101" Type="http://schemas.openxmlformats.org/officeDocument/2006/relationships/hyperlink" Target="https://www.facebook.com/profile.php?id=100069548558481" TargetMode="External"/><Relationship Id="rId1688" Type="http://schemas.openxmlformats.org/officeDocument/2006/relationships/hyperlink" Target="https://www.facebook.com/rapplerdotcom/photos/a.317154781638645/5596043783749692/" TargetMode="External"/><Relationship Id="rId1895" Type="http://schemas.openxmlformats.org/officeDocument/2006/relationships/hyperlink" Target="https://www.facebook.com/regine.tamayo1" TargetMode="External"/><Relationship Id="rId2739" Type="http://schemas.openxmlformats.org/officeDocument/2006/relationships/hyperlink" Target="https://www.facebook.com/marlovasquezmiranda1979" TargetMode="External"/><Relationship Id="rId2946" Type="http://schemas.openxmlformats.org/officeDocument/2006/relationships/hyperlink" Target="https://www.facebook.com/watch/live/?ref=watch_permalink&amp;v=360307549312104" TargetMode="External"/><Relationship Id="rId4094" Type="http://schemas.openxmlformats.org/officeDocument/2006/relationships/hyperlink" Target="https://www.facebook.com/rapplerdotcom/posts/pfbid0231hbcbuKeQLDkPH8oZAdZbuU8MPPgRANx152V3xWpbjZ6EvfpohwQMvxHYAgrGPul" TargetMode="External"/><Relationship Id="rId5145" Type="http://schemas.openxmlformats.org/officeDocument/2006/relationships/hyperlink" Target="https://www.facebook.com/rapplerdotcom/photos/a.317154781638645/5594264657260938/" TargetMode="External"/><Relationship Id="rId5352" Type="http://schemas.openxmlformats.org/officeDocument/2006/relationships/hyperlink" Target="https://www.facebook.com/nonoigwen" TargetMode="External"/><Relationship Id="rId918" Type="http://schemas.openxmlformats.org/officeDocument/2006/relationships/hyperlink" Target="https://www.facebook.com/rapplerdotcom/photos/a.317154781638645/5597592673594803/" TargetMode="External"/><Relationship Id="rId1548" Type="http://schemas.openxmlformats.org/officeDocument/2006/relationships/hyperlink" Target="https://www.facebook.com/rapplerdotcom/photos/a.317154781638645/5597116770309060/" TargetMode="External"/><Relationship Id="rId1755" Type="http://schemas.openxmlformats.org/officeDocument/2006/relationships/hyperlink" Target="https://www.facebook.com/yongcoonang" TargetMode="External"/><Relationship Id="rId4161" Type="http://schemas.openxmlformats.org/officeDocument/2006/relationships/hyperlink" Target="https://www.facebook.com/johnny.collantes.37" TargetMode="External"/><Relationship Id="rId5005" Type="http://schemas.openxmlformats.org/officeDocument/2006/relationships/hyperlink" Target="https://www.facebook.com/rapplerdotcom/posts/pfbid02BCyyacWVuuu1bwX5PwYK8PvqDGTANxekqEMy7qyV9vMmaGKTbC8sBf7i5j3Wbx9Ll" TargetMode="External"/><Relationship Id="rId5212" Type="http://schemas.openxmlformats.org/officeDocument/2006/relationships/hyperlink" Target="https://www.facebook.com/profile.php?id=100078311490623" TargetMode="External"/><Relationship Id="rId1408" Type="http://schemas.openxmlformats.org/officeDocument/2006/relationships/hyperlink" Target="https://www.facebook.com/rapplerdotcom/photos/a.317154781638645/5597116770309060/" TargetMode="External"/><Relationship Id="rId1962" Type="http://schemas.openxmlformats.org/officeDocument/2006/relationships/hyperlink" Target="https://www.facebook.com/rapplerdotcom/photos/a.317154781638645/5596043783749692/" TargetMode="External"/><Relationship Id="rId2806" Type="http://schemas.openxmlformats.org/officeDocument/2006/relationships/hyperlink" Target="https://www.facebook.com/watch/?v=570590637273208" TargetMode="External"/><Relationship Id="rId4021" Type="http://schemas.openxmlformats.org/officeDocument/2006/relationships/hyperlink" Target="https://www.facebook.com/christopher.m.perey" TargetMode="External"/><Relationship Id="rId47" Type="http://schemas.openxmlformats.org/officeDocument/2006/relationships/hyperlink" Target="https://www.facebook.com/pauljeric.queipo.1" TargetMode="External"/><Relationship Id="rId1615" Type="http://schemas.openxmlformats.org/officeDocument/2006/relationships/hyperlink" Target="https://www.facebook.com/profile.php?id=100008332086519" TargetMode="External"/><Relationship Id="rId1822" Type="http://schemas.openxmlformats.org/officeDocument/2006/relationships/hyperlink" Target="https://www.facebook.com/rapplerdotcom/photos/a.317154781638645/5596043783749692/" TargetMode="External"/><Relationship Id="rId4978" Type="http://schemas.openxmlformats.org/officeDocument/2006/relationships/hyperlink" Target="https://www.facebook.com/roldan.lago.75" TargetMode="External"/><Relationship Id="rId6193" Type="http://schemas.openxmlformats.org/officeDocument/2006/relationships/hyperlink" Target="https://www.facebook.com/watch/?v=684555919511830" TargetMode="External"/><Relationship Id="rId3787" Type="http://schemas.openxmlformats.org/officeDocument/2006/relationships/hyperlink" Target="https://www.facebook.com/cecile.agobian" TargetMode="External"/><Relationship Id="rId3994" Type="http://schemas.openxmlformats.org/officeDocument/2006/relationships/hyperlink" Target="https://www.facebook.com/rapplerdotcom/posts/pfbid0dyWpzxim3h4Z2SYriGakwQw85p7BCAgct7KU5EiMX1bmmgNHDD8nmES8rjrADsrPl" TargetMode="External"/><Relationship Id="rId4838" Type="http://schemas.openxmlformats.org/officeDocument/2006/relationships/hyperlink" Target="https://www.facebook.com/irene.bolano.56" TargetMode="External"/><Relationship Id="rId6053" Type="http://schemas.openxmlformats.org/officeDocument/2006/relationships/hyperlink" Target="https://www.facebook.com/rapplerdotcom/photos/a.317154781638645/5594359700584767/" TargetMode="External"/><Relationship Id="rId2389" Type="http://schemas.openxmlformats.org/officeDocument/2006/relationships/hyperlink" Target="https://www.facebook.com/maryrose.t.zamora" TargetMode="External"/><Relationship Id="rId2596" Type="http://schemas.openxmlformats.org/officeDocument/2006/relationships/hyperlink" Target="https://www.facebook.com/rapplerdotcom/photos/a.317154781638645/5595733810447356/" TargetMode="External"/><Relationship Id="rId3647" Type="http://schemas.openxmlformats.org/officeDocument/2006/relationships/hyperlink" Target="https://www.facebook.com/john.f.papa" TargetMode="External"/><Relationship Id="rId3854" Type="http://schemas.openxmlformats.org/officeDocument/2006/relationships/hyperlink" Target="https://www.facebook.com/rapplerdotcom/posts/pfbid0dyWpzxim3h4Z2SYriGakwQw85p7BCAgct7KU5EiMX1bmmgNHDD8nmES8rjrADsrPl" TargetMode="External"/><Relationship Id="rId4905" Type="http://schemas.openxmlformats.org/officeDocument/2006/relationships/hyperlink" Target="https://www.facebook.com/watch/live/?ref=watch_permalink&amp;v=923735834984653" TargetMode="External"/><Relationship Id="rId568" Type="http://schemas.openxmlformats.org/officeDocument/2006/relationships/hyperlink" Target="https://www.facebook.com/rapplerdotcom/photos/a.317154781638645/5597874143566656" TargetMode="External"/><Relationship Id="rId775" Type="http://schemas.openxmlformats.org/officeDocument/2006/relationships/hyperlink" Target="https://www.facebook.com/merlyn.lachica.96" TargetMode="External"/><Relationship Id="rId982" Type="http://schemas.openxmlformats.org/officeDocument/2006/relationships/hyperlink" Target="https://www.facebook.com/rapplerdotcom/photos/a.317154781638645/5597592673594803/" TargetMode="External"/><Relationship Id="rId1198" Type="http://schemas.openxmlformats.org/officeDocument/2006/relationships/hyperlink" Target="https://www.facebook.com/rapplerdotcom/posts/pfbid023goEfA6e1ABSWYJFy8fQ5LFWDv4QTSTmAfzySGtMSpy12iqywB2MUZjiZ8GjCxrGl" TargetMode="External"/><Relationship Id="rId2249" Type="http://schemas.openxmlformats.org/officeDocument/2006/relationships/hyperlink" Target="https://www.facebook.com/vicky.v.quiachon" TargetMode="External"/><Relationship Id="rId2456" Type="http://schemas.openxmlformats.org/officeDocument/2006/relationships/hyperlink" Target="https://www.facebook.com/rapplerdotcom/posts/pfbid0TYP6syjYwznxJKdhWv9YMaXK9NvsSEhQ2cyyCQCPMvGapWXrQBHehywgT156wqNPl" TargetMode="External"/><Relationship Id="rId2663" Type="http://schemas.openxmlformats.org/officeDocument/2006/relationships/hyperlink" Target="https://www.facebook.com/michelle.eslit" TargetMode="External"/><Relationship Id="rId2870" Type="http://schemas.openxmlformats.org/officeDocument/2006/relationships/hyperlink" Target="https://www.facebook.com/watch/?v=570590637273208" TargetMode="External"/><Relationship Id="rId3507" Type="http://schemas.openxmlformats.org/officeDocument/2006/relationships/hyperlink" Target="https://www.facebook.com/rhey.olan.3" TargetMode="External"/><Relationship Id="rId3714" Type="http://schemas.openxmlformats.org/officeDocument/2006/relationships/hyperlink" Target="https://www.facebook.com/rapplerdotcom/photos/a.317154781638645/5595162900504447/" TargetMode="External"/><Relationship Id="rId3921" Type="http://schemas.openxmlformats.org/officeDocument/2006/relationships/hyperlink" Target="https://www.facebook.com/dinnis.bastatas" TargetMode="External"/><Relationship Id="rId6120" Type="http://schemas.openxmlformats.org/officeDocument/2006/relationships/hyperlink" Target="https://www.facebook.com/profile.php?id=100077431578233" TargetMode="External"/><Relationship Id="rId428" Type="http://schemas.openxmlformats.org/officeDocument/2006/relationships/hyperlink" Target="https://www.facebook.com/judyann.aruta" TargetMode="External"/><Relationship Id="rId635" Type="http://schemas.openxmlformats.org/officeDocument/2006/relationships/hyperlink" Target="https://www.facebook.com/jacqueline.reynado" TargetMode="External"/><Relationship Id="rId842" Type="http://schemas.openxmlformats.org/officeDocument/2006/relationships/hyperlink" Target="https://www.facebook.com/rapplerdotcom/photos/a.317154781638645/5597612220259515/" TargetMode="External"/><Relationship Id="rId1058" Type="http://schemas.openxmlformats.org/officeDocument/2006/relationships/hyperlink" Target="https://www.facebook.com/rapplerdotcom/posts/pfbid028Kg188FmebKa4aFvHZNp8zGTwjghWDDJuUmQ8agbSCvGAGJHZ7pBH9NmxLBmPZZdl" TargetMode="External"/><Relationship Id="rId1265" Type="http://schemas.openxmlformats.org/officeDocument/2006/relationships/hyperlink" Target="https://www.facebook.com/profile.php?id=100075281044190" TargetMode="External"/><Relationship Id="rId1472" Type="http://schemas.openxmlformats.org/officeDocument/2006/relationships/hyperlink" Target="https://www.facebook.com/rapplerdotcom/photos/a.317154781638645/5597116770309060/" TargetMode="External"/><Relationship Id="rId2109" Type="http://schemas.openxmlformats.org/officeDocument/2006/relationships/hyperlink" Target="https://www.facebook.com/tess.marcelo.7" TargetMode="External"/><Relationship Id="rId2316" Type="http://schemas.openxmlformats.org/officeDocument/2006/relationships/hyperlink" Target="https://www.facebook.com/rapplerdotcom/posts/pfbid0TYP6syjYwznxJKdhWv9YMaXK9NvsSEhQ2cyyCQCPMvGapWXrQBHehywgT156wqNPl" TargetMode="External"/><Relationship Id="rId2523" Type="http://schemas.openxmlformats.org/officeDocument/2006/relationships/hyperlink" Target="https://www.facebook.com/william.pajarillo.1" TargetMode="External"/><Relationship Id="rId2730" Type="http://schemas.openxmlformats.org/officeDocument/2006/relationships/hyperlink" Target="https://www.facebook.com/rapplerdotcom/photos/a.317154781638645/5595733810447356/" TargetMode="External"/><Relationship Id="rId5679" Type="http://schemas.openxmlformats.org/officeDocument/2006/relationships/hyperlink" Target="https://www.facebook.com/rapplerdotcom/photos/a.317154781638645/5594453700575367/" TargetMode="External"/><Relationship Id="rId5886" Type="http://schemas.openxmlformats.org/officeDocument/2006/relationships/hyperlink" Target="https://www.facebook.com/profile.php?id=100071312860980" TargetMode="External"/><Relationship Id="rId702" Type="http://schemas.openxmlformats.org/officeDocument/2006/relationships/hyperlink" Target="https://www.facebook.com/rapplerdotcom/photos/a.317154781638645/5597612220259515/" TargetMode="External"/><Relationship Id="rId1125" Type="http://schemas.openxmlformats.org/officeDocument/2006/relationships/hyperlink" Target="https://www.facebook.com/melinda.aldueza" TargetMode="External"/><Relationship Id="rId1332" Type="http://schemas.openxmlformats.org/officeDocument/2006/relationships/hyperlink" Target="https://www.facebook.com/rapplerdotcom/photos/a.317154781638645/5597116770309060/" TargetMode="External"/><Relationship Id="rId4488" Type="http://schemas.openxmlformats.org/officeDocument/2006/relationships/hyperlink" Target="https://www.facebook.com/alfred.paradero.9" TargetMode="External"/><Relationship Id="rId4695" Type="http://schemas.openxmlformats.org/officeDocument/2006/relationships/hyperlink" Target="https://www.facebook.com/watch/live/?ref=watch_permalink&amp;v=923735834984653" TargetMode="External"/><Relationship Id="rId5539" Type="http://schemas.openxmlformats.org/officeDocument/2006/relationships/hyperlink" Target="https://www.facebook.com/rapplerdotcom/photos/a.317154781638645/5594453700575367/" TargetMode="External"/><Relationship Id="rId3297" Type="http://schemas.openxmlformats.org/officeDocument/2006/relationships/hyperlink" Target="https://www.facebook.com/profile.php?id=100069939051229" TargetMode="External"/><Relationship Id="rId4348" Type="http://schemas.openxmlformats.org/officeDocument/2006/relationships/hyperlink" Target="https://www.facebook.com/rick.capunihan" TargetMode="External"/><Relationship Id="rId5746" Type="http://schemas.openxmlformats.org/officeDocument/2006/relationships/hyperlink" Target="https://www.facebook.com/darylalmighty" TargetMode="External"/><Relationship Id="rId5953" Type="http://schemas.openxmlformats.org/officeDocument/2006/relationships/hyperlink" Target="https://www.facebook.com/rapplerdotcom/photos/a.317154781638645/5594359700584767/" TargetMode="External"/><Relationship Id="rId3157" Type="http://schemas.openxmlformats.org/officeDocument/2006/relationships/hyperlink" Target="https://www.facebook.com/anabell.macalisang" TargetMode="External"/><Relationship Id="rId4555" Type="http://schemas.openxmlformats.org/officeDocument/2006/relationships/hyperlink" Target="https://www.facebook.com/watch/live/?ref=watch_permalink&amp;v=923735834984653" TargetMode="External"/><Relationship Id="rId4762" Type="http://schemas.openxmlformats.org/officeDocument/2006/relationships/hyperlink" Target="https://www.facebook.com/profile.php?id=100014953603014" TargetMode="External"/><Relationship Id="rId5606" Type="http://schemas.openxmlformats.org/officeDocument/2006/relationships/hyperlink" Target="https://www.facebook.com/jude.romero.14" TargetMode="External"/><Relationship Id="rId5813" Type="http://schemas.openxmlformats.org/officeDocument/2006/relationships/hyperlink" Target="https://www.facebook.com/rapplerdotcom/photos/a.317154781638645/5594453700575367/" TargetMode="External"/><Relationship Id="rId285" Type="http://schemas.openxmlformats.org/officeDocument/2006/relationships/hyperlink" Target="https://www.facebook.com/rapplerdotcom/photos/a.317154781638645/5598220220198715/" TargetMode="External"/><Relationship Id="rId3364" Type="http://schemas.openxmlformats.org/officeDocument/2006/relationships/hyperlink" Target="https://www.facebook.com/rapplerdotcom/photos/a.317154781638645/5595372260483511/" TargetMode="External"/><Relationship Id="rId3571" Type="http://schemas.openxmlformats.org/officeDocument/2006/relationships/hyperlink" Target="https://www.facebook.com/profile.php?id=100060978745003" TargetMode="External"/><Relationship Id="rId4208" Type="http://schemas.openxmlformats.org/officeDocument/2006/relationships/hyperlink" Target="https://www.facebook.com/rapplerdotcom/photos/a.317154781638645/5594954703858600/" TargetMode="External"/><Relationship Id="rId4415" Type="http://schemas.openxmlformats.org/officeDocument/2006/relationships/hyperlink" Target="https://www.facebook.com/rapplerdotcom/photos/a.317154781638645/5594954703858600/" TargetMode="External"/><Relationship Id="rId4622" Type="http://schemas.openxmlformats.org/officeDocument/2006/relationships/hyperlink" Target="https://www.facebook.com/francisca.bundalian.3" TargetMode="External"/><Relationship Id="rId492" Type="http://schemas.openxmlformats.org/officeDocument/2006/relationships/hyperlink" Target="https://www.facebook.com/veronica.o.hadi" TargetMode="External"/><Relationship Id="rId2173" Type="http://schemas.openxmlformats.org/officeDocument/2006/relationships/hyperlink" Target="https://www.facebook.com/johnmark.maclang" TargetMode="External"/><Relationship Id="rId2380" Type="http://schemas.openxmlformats.org/officeDocument/2006/relationships/hyperlink" Target="https://www.facebook.com/rapplerdotcom/posts/pfbid0TYP6syjYwznxJKdhWv9YMaXK9NvsSEhQ2cyyCQCPMvGapWXrQBHehywgT156wqNPl" TargetMode="External"/><Relationship Id="rId3017" Type="http://schemas.openxmlformats.org/officeDocument/2006/relationships/hyperlink" Target="https://www.facebook.com/riooochaaan" TargetMode="External"/><Relationship Id="rId3224" Type="http://schemas.openxmlformats.org/officeDocument/2006/relationships/hyperlink" Target="https://www.facebook.com/watch/live/?ref=watch_permalink&amp;v=332681445500650" TargetMode="External"/><Relationship Id="rId3431" Type="http://schemas.openxmlformats.org/officeDocument/2006/relationships/hyperlink" Target="https://www.facebook.com/profile.php?id=100049380352017" TargetMode="External"/><Relationship Id="rId145" Type="http://schemas.openxmlformats.org/officeDocument/2006/relationships/hyperlink" Target="https://www.facebook.com/FjdCastillo" TargetMode="External"/><Relationship Id="rId352" Type="http://schemas.openxmlformats.org/officeDocument/2006/relationships/hyperlink" Target="https://www.facebook.com/doc.ahl.9" TargetMode="External"/><Relationship Id="rId2033" Type="http://schemas.openxmlformats.org/officeDocument/2006/relationships/hyperlink" Target="https://www.facebook.com/brixaaron.monton.18" TargetMode="External"/><Relationship Id="rId2240" Type="http://schemas.openxmlformats.org/officeDocument/2006/relationships/hyperlink" Target="https://www.facebook.com/rapplerdotcom/photos/a.317154781638645/5596022273751843/" TargetMode="External"/><Relationship Id="rId5189" Type="http://schemas.openxmlformats.org/officeDocument/2006/relationships/hyperlink" Target="https://www.facebook.com/rapplerdotcom/photos/a.317154781638645/5594264657260938/" TargetMode="External"/><Relationship Id="rId5396" Type="http://schemas.openxmlformats.org/officeDocument/2006/relationships/hyperlink" Target="https://www.facebook.com/luzfcastillo" TargetMode="External"/><Relationship Id="rId212" Type="http://schemas.openxmlformats.org/officeDocument/2006/relationships/hyperlink" Target="https://www.facebook.com/rapplerdotcom/posts/pfbid0DUh4iFcrxZuR1UbiGhcAHcMdzsaV29GSeHCY1HabtqcnUWkjStX9TDaVqzzt92GDl" TargetMode="External"/><Relationship Id="rId1799" Type="http://schemas.openxmlformats.org/officeDocument/2006/relationships/hyperlink" Target="https://www.facebook.com/NeilMGGH" TargetMode="External"/><Relationship Id="rId2100" Type="http://schemas.openxmlformats.org/officeDocument/2006/relationships/hyperlink" Target="https://www.facebook.com/rapplerdotcom/photos/a.317154781638645/5596022273751843/" TargetMode="External"/><Relationship Id="rId5049" Type="http://schemas.openxmlformats.org/officeDocument/2006/relationships/hyperlink" Target="https://www.facebook.com/rapplerdotcom/posts/pfbid02BCyyacWVuuu1bwX5PwYK8PvqDGTANxekqEMy7qyV9vMmaGKTbC8sBf7i5j3Wbx9Ll" TargetMode="External"/><Relationship Id="rId5256" Type="http://schemas.openxmlformats.org/officeDocument/2006/relationships/hyperlink" Target="https://www.facebook.com/cjal.valhol" TargetMode="External"/><Relationship Id="rId5463" Type="http://schemas.openxmlformats.org/officeDocument/2006/relationships/hyperlink" Target="https://www.facebook.com/watch/live/?ref=watch_permalink&amp;v=312865720941798" TargetMode="External"/><Relationship Id="rId5670" Type="http://schemas.openxmlformats.org/officeDocument/2006/relationships/hyperlink" Target="https://www.facebook.com/joyteopengco" TargetMode="External"/><Relationship Id="rId4065" Type="http://schemas.openxmlformats.org/officeDocument/2006/relationships/hyperlink" Target="https://www.facebook.com/IamRoselleBaltazar" TargetMode="External"/><Relationship Id="rId4272" Type="http://schemas.openxmlformats.org/officeDocument/2006/relationships/hyperlink" Target="https://www.facebook.com/rome18erlano" TargetMode="External"/><Relationship Id="rId5116" Type="http://schemas.openxmlformats.org/officeDocument/2006/relationships/hyperlink" Target="https://www.facebook.com/cydrex.bernabe.7" TargetMode="External"/><Relationship Id="rId5323" Type="http://schemas.openxmlformats.org/officeDocument/2006/relationships/hyperlink" Target="https://www.facebook.com/rapplerdotcom/photos/a.317154781638645/5594264657260938/" TargetMode="External"/><Relationship Id="rId1659" Type="http://schemas.openxmlformats.org/officeDocument/2006/relationships/hyperlink" Target="https://www.facebook.com/pampilo.layson" TargetMode="External"/><Relationship Id="rId1866" Type="http://schemas.openxmlformats.org/officeDocument/2006/relationships/hyperlink" Target="https://www.facebook.com/rapplerdotcom/photos/a.317154781638645/5596043783749692/" TargetMode="External"/><Relationship Id="rId2917" Type="http://schemas.openxmlformats.org/officeDocument/2006/relationships/hyperlink" Target="https://www.facebook.com/romiel.cabrezajr" TargetMode="External"/><Relationship Id="rId3081" Type="http://schemas.openxmlformats.org/officeDocument/2006/relationships/hyperlink" Target="https://www.facebook.com/profile.php?id=100071111743897" TargetMode="External"/><Relationship Id="rId4132" Type="http://schemas.openxmlformats.org/officeDocument/2006/relationships/hyperlink" Target="https://www.facebook.com/rapplerdotcom/photos/a.317154781638645/5594954703858600/" TargetMode="External"/><Relationship Id="rId5530" Type="http://schemas.openxmlformats.org/officeDocument/2006/relationships/hyperlink" Target="https://www.facebook.com/melbie.carpentero.7" TargetMode="External"/><Relationship Id="rId1519" Type="http://schemas.openxmlformats.org/officeDocument/2006/relationships/hyperlink" Target="https://www.facebook.com/lorna.felipe.1694" TargetMode="External"/><Relationship Id="rId1726" Type="http://schemas.openxmlformats.org/officeDocument/2006/relationships/hyperlink" Target="https://www.facebook.com/rapplerdotcom/photos/a.317154781638645/5596043783749692/" TargetMode="External"/><Relationship Id="rId1933" Type="http://schemas.openxmlformats.org/officeDocument/2006/relationships/hyperlink" Target="https://www.facebook.com/kim.sioson" TargetMode="External"/><Relationship Id="rId6097" Type="http://schemas.openxmlformats.org/officeDocument/2006/relationships/hyperlink" Target="https://www.facebook.com/rapplerdotcom/photos/a.317154781638645/5594359700584767/" TargetMode="External"/><Relationship Id="rId18" Type="http://schemas.openxmlformats.org/officeDocument/2006/relationships/hyperlink" Target="https://www.facebook.com/rapplerdotcom/posts/pfbid0DUh4iFcrxZuR1UbiGhcAHcMdzsaV29GSeHCY1HabtqcnUWkjStX9TDaVqzzt92GDl" TargetMode="External"/><Relationship Id="rId3898" Type="http://schemas.openxmlformats.org/officeDocument/2006/relationships/hyperlink" Target="https://www.facebook.com/rapplerdotcom/posts/pfbid0dyWpzxim3h4Z2SYriGakwQw85p7BCAgct7KU5EiMX1bmmgNHDD8nmES8rjrADsrPl" TargetMode="External"/><Relationship Id="rId4949" Type="http://schemas.openxmlformats.org/officeDocument/2006/relationships/hyperlink" Target="https://www.facebook.com/rapplerdotcom/posts/pfbid02BCyyacWVuuu1bwX5PwYK8PvqDGTANxekqEMy7qyV9vMmaGKTbC8sBf7i5j3Wbx9Ll" TargetMode="External"/><Relationship Id="rId3758" Type="http://schemas.openxmlformats.org/officeDocument/2006/relationships/hyperlink" Target="https://www.facebook.com/rapplerdotcom/posts/pfbid0dyWpzxim3h4Z2SYriGakwQw85p7BCAgct7KU5EiMX1bmmgNHDD8nmES8rjrADsrPl" TargetMode="External"/><Relationship Id="rId3965" Type="http://schemas.openxmlformats.org/officeDocument/2006/relationships/hyperlink" Target="https://www.facebook.com/OFCSuperFranztendo6469" TargetMode="External"/><Relationship Id="rId4809" Type="http://schemas.openxmlformats.org/officeDocument/2006/relationships/hyperlink" Target="https://www.facebook.com/watch/live/?ref=watch_permalink&amp;v=923735834984653" TargetMode="External"/><Relationship Id="rId6164" Type="http://schemas.openxmlformats.org/officeDocument/2006/relationships/hyperlink" Target="https://www.facebook.com/johndiazcortez" TargetMode="External"/><Relationship Id="rId679" Type="http://schemas.openxmlformats.org/officeDocument/2006/relationships/hyperlink" Target="https://www.facebook.com/chai.li888" TargetMode="External"/><Relationship Id="rId886" Type="http://schemas.openxmlformats.org/officeDocument/2006/relationships/hyperlink" Target="https://www.facebook.com/rapplerdotcom/photos/a.317154781638645/5597612220259515/" TargetMode="External"/><Relationship Id="rId2567" Type="http://schemas.openxmlformats.org/officeDocument/2006/relationships/hyperlink" Target="https://www.facebook.com/maryjane.martizano" TargetMode="External"/><Relationship Id="rId2774" Type="http://schemas.openxmlformats.org/officeDocument/2006/relationships/hyperlink" Target="https://www.facebook.com/watch/?v=570590637273208" TargetMode="External"/><Relationship Id="rId3618" Type="http://schemas.openxmlformats.org/officeDocument/2006/relationships/hyperlink" Target="https://www.facebook.com/rapplerdotcom/photos/a.317154781638645/5595372260483511/" TargetMode="External"/><Relationship Id="rId5180" Type="http://schemas.openxmlformats.org/officeDocument/2006/relationships/hyperlink" Target="https://www.facebook.com/fortunato.salas.9" TargetMode="External"/><Relationship Id="rId6024" Type="http://schemas.openxmlformats.org/officeDocument/2006/relationships/hyperlink" Target="https://www.facebook.com/barry.jave" TargetMode="External"/><Relationship Id="rId2" Type="http://schemas.openxmlformats.org/officeDocument/2006/relationships/hyperlink" Target="https://www.facebook.com/rapplerdotcom/posts/pfbid0DUh4iFcrxZuR1UbiGhcAHcMdzsaV29GSeHCY1HabtqcnUWkjStX9TDaVqzzt92GDl" TargetMode="External"/><Relationship Id="rId539" Type="http://schemas.openxmlformats.org/officeDocument/2006/relationships/hyperlink" Target="https://www.facebook.com/rapplerdotcom/photos/a.317154781638645/5598220220198715/" TargetMode="External"/><Relationship Id="rId746" Type="http://schemas.openxmlformats.org/officeDocument/2006/relationships/hyperlink" Target="https://www.facebook.com/rapplerdotcom/photos/a.317154781638645/5597612220259515/" TargetMode="External"/><Relationship Id="rId1169" Type="http://schemas.openxmlformats.org/officeDocument/2006/relationships/hyperlink" Target="https://www.facebook.com/jessel.pascua.1" TargetMode="External"/><Relationship Id="rId1376" Type="http://schemas.openxmlformats.org/officeDocument/2006/relationships/hyperlink" Target="https://www.facebook.com/rapplerdotcom/photos/a.317154781638645/5597116770309060/" TargetMode="External"/><Relationship Id="rId1583" Type="http://schemas.openxmlformats.org/officeDocument/2006/relationships/hyperlink" Target="https://www.facebook.com/francrolan.manansala" TargetMode="External"/><Relationship Id="rId2427" Type="http://schemas.openxmlformats.org/officeDocument/2006/relationships/hyperlink" Target="https://www.facebook.com/jennbenneth" TargetMode="External"/><Relationship Id="rId2981" Type="http://schemas.openxmlformats.org/officeDocument/2006/relationships/hyperlink" Target="https://www.facebook.com/raul.dizon.5" TargetMode="External"/><Relationship Id="rId3825" Type="http://schemas.openxmlformats.org/officeDocument/2006/relationships/hyperlink" Target="https://www.facebook.com/zanlie.ebarita" TargetMode="External"/><Relationship Id="rId5040" Type="http://schemas.openxmlformats.org/officeDocument/2006/relationships/hyperlink" Target="https://www.facebook.com/carlos.javelosa" TargetMode="External"/><Relationship Id="rId953" Type="http://schemas.openxmlformats.org/officeDocument/2006/relationships/hyperlink" Target="https://www.facebook.com/joseangelo.ong" TargetMode="External"/><Relationship Id="rId1029" Type="http://schemas.openxmlformats.org/officeDocument/2006/relationships/hyperlink" Target="https://www.facebook.com/ivan.mercadoii" TargetMode="External"/><Relationship Id="rId1236" Type="http://schemas.openxmlformats.org/officeDocument/2006/relationships/hyperlink" Target="https://www.facebook.com/rapplerdotcom/posts/pfbid023goEfA6e1ABSWYJFy8fQ5LFWDv4QTSTmAfzySGtMSpy12iqywB2MUZjiZ8GjCxrGl" TargetMode="External"/><Relationship Id="rId1790" Type="http://schemas.openxmlformats.org/officeDocument/2006/relationships/hyperlink" Target="https://www.facebook.com/rapplerdotcom/photos/a.317154781638645/5596043783749692/" TargetMode="External"/><Relationship Id="rId2634" Type="http://schemas.openxmlformats.org/officeDocument/2006/relationships/hyperlink" Target="https://www.facebook.com/rapplerdotcom/photos/a.317154781638645/5595733810447356/" TargetMode="External"/><Relationship Id="rId2841" Type="http://schemas.openxmlformats.org/officeDocument/2006/relationships/hyperlink" Target="https://www.facebook.com/profile.php?id=100075179869760" TargetMode="External"/><Relationship Id="rId5997" Type="http://schemas.openxmlformats.org/officeDocument/2006/relationships/hyperlink" Target="https://www.facebook.com/rapplerdotcom/photos/a.317154781638645/5594359700584767/" TargetMode="External"/><Relationship Id="rId82" Type="http://schemas.openxmlformats.org/officeDocument/2006/relationships/hyperlink" Target="https://www.facebook.com/rapplerdotcom/posts/pfbid0DUh4iFcrxZuR1UbiGhcAHcMdzsaV29GSeHCY1HabtqcnUWkjStX9TDaVqzzt92GDl" TargetMode="External"/><Relationship Id="rId606" Type="http://schemas.openxmlformats.org/officeDocument/2006/relationships/hyperlink" Target="https://www.facebook.com/rapplerdotcom/photos/a.317154781638645/5597874143566656" TargetMode="External"/><Relationship Id="rId813" Type="http://schemas.openxmlformats.org/officeDocument/2006/relationships/hyperlink" Target="https://www.facebook.com/resi.sitjar.9" TargetMode="External"/><Relationship Id="rId1443" Type="http://schemas.openxmlformats.org/officeDocument/2006/relationships/hyperlink" Target="https://www.facebook.com/beltrans1" TargetMode="External"/><Relationship Id="rId1650" Type="http://schemas.openxmlformats.org/officeDocument/2006/relationships/hyperlink" Target="https://www.facebook.com/rapplerdotcom/posts/pfbid02AsSA4LQqjQ2Y8SVathQmtduoE3fhoGvQSNhvrzsMerDaJSQJ6jDvApCCiuaE7XCol" TargetMode="External"/><Relationship Id="rId2701" Type="http://schemas.openxmlformats.org/officeDocument/2006/relationships/hyperlink" Target="https://www.facebook.com/alvarez.eragen" TargetMode="External"/><Relationship Id="rId4599" Type="http://schemas.openxmlformats.org/officeDocument/2006/relationships/hyperlink" Target="https://www.facebook.com/watch/live/?ref=watch_permalink&amp;v=923735834984653" TargetMode="External"/><Relationship Id="rId5857" Type="http://schemas.openxmlformats.org/officeDocument/2006/relationships/hyperlink" Target="https://www.facebook.com/rapplerdotcom/photos/a.317154781638645/5594453700575367/" TargetMode="External"/><Relationship Id="rId1303" Type="http://schemas.openxmlformats.org/officeDocument/2006/relationships/hyperlink" Target="https://www.facebook.com/pablo.jobs" TargetMode="External"/><Relationship Id="rId1510" Type="http://schemas.openxmlformats.org/officeDocument/2006/relationships/hyperlink" Target="https://www.facebook.com/rapplerdotcom/photos/a.317154781638645/5597116770309060/" TargetMode="External"/><Relationship Id="rId4459" Type="http://schemas.openxmlformats.org/officeDocument/2006/relationships/hyperlink" Target="https://www.facebook.com/rapplerdotcom/photos/a.317154781638645/5594954703858600/" TargetMode="External"/><Relationship Id="rId4666" Type="http://schemas.openxmlformats.org/officeDocument/2006/relationships/hyperlink" Target="https://www.facebook.com/sally.ladatenalaunan" TargetMode="External"/><Relationship Id="rId4873" Type="http://schemas.openxmlformats.org/officeDocument/2006/relationships/hyperlink" Target="https://www.facebook.com/watch/live/?ref=watch_permalink&amp;v=923735834984653" TargetMode="External"/><Relationship Id="rId5717" Type="http://schemas.openxmlformats.org/officeDocument/2006/relationships/hyperlink" Target="https://www.facebook.com/rapplerdotcom/photos/a.317154781638645/5594453700575367/" TargetMode="External"/><Relationship Id="rId5924" Type="http://schemas.openxmlformats.org/officeDocument/2006/relationships/hyperlink" Target="https://www.facebook.com/john.elizarde.5" TargetMode="External"/><Relationship Id="rId3268" Type="http://schemas.openxmlformats.org/officeDocument/2006/relationships/hyperlink" Target="https://www.facebook.com/rapplerdotcom/posts/pfbid035u2RhZvcYSiCeymgBfXLoFoq87y2V8v81A9xDtyoKJgzTGtotsEEoj2bH7Zd4mtzl" TargetMode="External"/><Relationship Id="rId3475" Type="http://schemas.openxmlformats.org/officeDocument/2006/relationships/hyperlink" Target="https://www.facebook.com/icarro1821" TargetMode="External"/><Relationship Id="rId3682" Type="http://schemas.openxmlformats.org/officeDocument/2006/relationships/hyperlink" Target="https://www.facebook.com/rapplerdotcom/photos/a.317154781638645/5595162900504447/" TargetMode="External"/><Relationship Id="rId4319" Type="http://schemas.openxmlformats.org/officeDocument/2006/relationships/hyperlink" Target="https://www.facebook.com/rapplerdotcom/photos/a.317154781638645/5594954703858600/" TargetMode="External"/><Relationship Id="rId4526" Type="http://schemas.openxmlformats.org/officeDocument/2006/relationships/hyperlink" Target="https://www.facebook.com/junplaz" TargetMode="External"/><Relationship Id="rId4733" Type="http://schemas.openxmlformats.org/officeDocument/2006/relationships/hyperlink" Target="https://www.facebook.com/watch/live/?ref=watch_permalink&amp;v=923735834984653" TargetMode="External"/><Relationship Id="rId4940" Type="http://schemas.openxmlformats.org/officeDocument/2006/relationships/hyperlink" Target="https://www.facebook.com/melinda.santelices" TargetMode="External"/><Relationship Id="rId189" Type="http://schemas.openxmlformats.org/officeDocument/2006/relationships/hyperlink" Target="https://www.facebook.com/james.borgia.3" TargetMode="External"/><Relationship Id="rId396" Type="http://schemas.openxmlformats.org/officeDocument/2006/relationships/hyperlink" Target="https://www.facebook.com/nap.cruz.3" TargetMode="External"/><Relationship Id="rId2077" Type="http://schemas.openxmlformats.org/officeDocument/2006/relationships/hyperlink" Target="https://www.facebook.com/edgar.millena" TargetMode="External"/><Relationship Id="rId2284" Type="http://schemas.openxmlformats.org/officeDocument/2006/relationships/hyperlink" Target="https://www.facebook.com/rapplerdotcom/photos/a.317154781638645/5596022273751843/" TargetMode="External"/><Relationship Id="rId2491" Type="http://schemas.openxmlformats.org/officeDocument/2006/relationships/hyperlink" Target="https://www.facebook.com/danilos.deleon.54" TargetMode="External"/><Relationship Id="rId3128" Type="http://schemas.openxmlformats.org/officeDocument/2006/relationships/hyperlink" Target="https://www.facebook.com/watch/live/?ref=watch_permalink&amp;v=360307549312104" TargetMode="External"/><Relationship Id="rId3335" Type="http://schemas.openxmlformats.org/officeDocument/2006/relationships/hyperlink" Target="https://www.facebook.com/profile.php?id=100009061696259" TargetMode="External"/><Relationship Id="rId3542" Type="http://schemas.openxmlformats.org/officeDocument/2006/relationships/hyperlink" Target="https://www.facebook.com/rapplerdotcom/photos/a.317154781638645/5595372260483511/" TargetMode="External"/><Relationship Id="rId256" Type="http://schemas.openxmlformats.org/officeDocument/2006/relationships/hyperlink" Target="https://www.facebook.com/profile.php?id=100079047092742" TargetMode="External"/><Relationship Id="rId463" Type="http://schemas.openxmlformats.org/officeDocument/2006/relationships/hyperlink" Target="https://www.facebook.com/rapplerdotcom/photos/a.317154781638645/5598220220198715/" TargetMode="External"/><Relationship Id="rId670" Type="http://schemas.openxmlformats.org/officeDocument/2006/relationships/hyperlink" Target="https://www.facebook.com/rapplerdotcom/photos/a.317154781638645/5597612220259515/" TargetMode="External"/><Relationship Id="rId1093" Type="http://schemas.openxmlformats.org/officeDocument/2006/relationships/hyperlink" Target="https://www.facebook.com/belen.palambiano" TargetMode="External"/><Relationship Id="rId2144" Type="http://schemas.openxmlformats.org/officeDocument/2006/relationships/hyperlink" Target="https://www.facebook.com/rapplerdotcom/photos/a.317154781638645/5596022273751843/" TargetMode="External"/><Relationship Id="rId2351" Type="http://schemas.openxmlformats.org/officeDocument/2006/relationships/hyperlink" Target="https://www.facebook.com/nilo.seda" TargetMode="External"/><Relationship Id="rId3402" Type="http://schemas.openxmlformats.org/officeDocument/2006/relationships/hyperlink" Target="https://www.facebook.com/rapplerdotcom/photos/a.317154781638645/5595372260483511/" TargetMode="External"/><Relationship Id="rId4800" Type="http://schemas.openxmlformats.org/officeDocument/2006/relationships/hyperlink" Target="https://www.facebook.com/renzky.zerep" TargetMode="External"/><Relationship Id="rId116" Type="http://schemas.openxmlformats.org/officeDocument/2006/relationships/hyperlink" Target="https://www.facebook.com/rapplerdotcom/posts/pfbid0DUh4iFcrxZuR1UbiGhcAHcMdzsaV29GSeHCY1HabtqcnUWkjStX9TDaVqzzt92GDl" TargetMode="External"/><Relationship Id="rId323" Type="http://schemas.openxmlformats.org/officeDocument/2006/relationships/hyperlink" Target="https://www.facebook.com/rapplerdotcom/photos/a.317154781638645/5598220220198715/" TargetMode="External"/><Relationship Id="rId530" Type="http://schemas.openxmlformats.org/officeDocument/2006/relationships/hyperlink" Target="https://www.facebook.com/pacita.comprado.3" TargetMode="External"/><Relationship Id="rId1160" Type="http://schemas.openxmlformats.org/officeDocument/2006/relationships/hyperlink" Target="https://www.facebook.com/rapplerdotcom/posts/pfbid02dNgAR64VTtp94Rus4o9MNbU55E2H9Wp7KMKzJGkk6u4UxRyHU8j2pPpwa5iwGcD3l" TargetMode="External"/><Relationship Id="rId2004" Type="http://schemas.openxmlformats.org/officeDocument/2006/relationships/hyperlink" Target="https://www.facebook.com/rapplerdotcom/photos/a.317154781638645/5596022273751843/" TargetMode="External"/><Relationship Id="rId2211" Type="http://schemas.openxmlformats.org/officeDocument/2006/relationships/hyperlink" Target="https://www.facebook.com/roberto.sembrano" TargetMode="External"/><Relationship Id="rId5367" Type="http://schemas.openxmlformats.org/officeDocument/2006/relationships/hyperlink" Target="https://www.facebook.com/rapplerdotcom/photos/a.317154781638645/5594264657260938/" TargetMode="External"/><Relationship Id="rId4176" Type="http://schemas.openxmlformats.org/officeDocument/2006/relationships/hyperlink" Target="https://www.facebook.com/rapplerdotcom/photos/a.317154781638645/5594954703858600/" TargetMode="External"/><Relationship Id="rId5574" Type="http://schemas.openxmlformats.org/officeDocument/2006/relationships/hyperlink" Target="https://www.facebook.com/carlos.alivio.5" TargetMode="External"/><Relationship Id="rId5781" Type="http://schemas.openxmlformats.org/officeDocument/2006/relationships/hyperlink" Target="https://www.facebook.com/rapplerdotcom/photos/a.317154781638645/5594453700575367/" TargetMode="External"/><Relationship Id="rId1020" Type="http://schemas.openxmlformats.org/officeDocument/2006/relationships/hyperlink" Target="https://www.facebook.com/rapplerdotcom/photos/a.317154781638645/5597592673594803/" TargetMode="External"/><Relationship Id="rId1977" Type="http://schemas.openxmlformats.org/officeDocument/2006/relationships/hyperlink" Target="https://www.facebook.com/lorna.felipe.1694" TargetMode="External"/><Relationship Id="rId4383" Type="http://schemas.openxmlformats.org/officeDocument/2006/relationships/hyperlink" Target="https://www.facebook.com/rapplerdotcom/photos/a.317154781638645/5594954703858600/" TargetMode="External"/><Relationship Id="rId4590" Type="http://schemas.openxmlformats.org/officeDocument/2006/relationships/hyperlink" Target="https://www.facebook.com/megzkristofer.roblo" TargetMode="External"/><Relationship Id="rId5227" Type="http://schemas.openxmlformats.org/officeDocument/2006/relationships/hyperlink" Target="https://www.facebook.com/rapplerdotcom/photos/a.317154781638645/5594264657260938/" TargetMode="External"/><Relationship Id="rId5434" Type="http://schemas.openxmlformats.org/officeDocument/2006/relationships/hyperlink" Target="https://www.facebook.com/catalina.biticon.12" TargetMode="External"/><Relationship Id="rId5641" Type="http://schemas.openxmlformats.org/officeDocument/2006/relationships/hyperlink" Target="https://www.facebook.com/rapplerdotcom/photos/a.317154781638645/5594453700575367/" TargetMode="External"/><Relationship Id="rId1837" Type="http://schemas.openxmlformats.org/officeDocument/2006/relationships/hyperlink" Target="https://www.facebook.com/liza.mallorca.501" TargetMode="External"/><Relationship Id="rId3192" Type="http://schemas.openxmlformats.org/officeDocument/2006/relationships/hyperlink" Target="https://www.facebook.com/watch/live/?ref=watch_permalink&amp;v=332681445500650" TargetMode="External"/><Relationship Id="rId4036" Type="http://schemas.openxmlformats.org/officeDocument/2006/relationships/hyperlink" Target="https://www.facebook.com/rapplerdotcom/posts/pfbid02kmyrDmvYtHxz51VdR228sTCyvbHYDrwL4TgeoVAenoprSKkWhUFLyRmAuKBuGtXXl" TargetMode="External"/><Relationship Id="rId4243" Type="http://schemas.openxmlformats.org/officeDocument/2006/relationships/hyperlink" Target="https://www.facebook.com/rapplerdotcom/photos/a.317154781638645/5594954703858600/" TargetMode="External"/><Relationship Id="rId4450" Type="http://schemas.openxmlformats.org/officeDocument/2006/relationships/hyperlink" Target="https://www.facebook.com/frank.chavez.161" TargetMode="External"/><Relationship Id="rId5501" Type="http://schemas.openxmlformats.org/officeDocument/2006/relationships/hyperlink" Target="https://www.facebook.com/rapplerdotcom/photos/a.317154781638645/5594453700575367/" TargetMode="External"/><Relationship Id="rId3052" Type="http://schemas.openxmlformats.org/officeDocument/2006/relationships/hyperlink" Target="https://www.facebook.com/watch/live/?ref=watch_permalink&amp;v=360307549312104" TargetMode="External"/><Relationship Id="rId4103" Type="http://schemas.openxmlformats.org/officeDocument/2006/relationships/hyperlink" Target="https://www.facebook.com/jheys.lupet" TargetMode="External"/><Relationship Id="rId4310" Type="http://schemas.openxmlformats.org/officeDocument/2006/relationships/hyperlink" Target="https://www.facebook.com/noscire.padilla" TargetMode="External"/><Relationship Id="rId180" Type="http://schemas.openxmlformats.org/officeDocument/2006/relationships/hyperlink" Target="https://www.facebook.com/rapplerdotcom/posts/pfbid0DUh4iFcrxZuR1UbiGhcAHcMdzsaV29GSeHCY1HabtqcnUWkjStX9TDaVqzzt92GDl" TargetMode="External"/><Relationship Id="rId1904" Type="http://schemas.openxmlformats.org/officeDocument/2006/relationships/hyperlink" Target="https://www.facebook.com/rapplerdotcom/photos/a.317154781638645/5596043783749692/" TargetMode="External"/><Relationship Id="rId6068" Type="http://schemas.openxmlformats.org/officeDocument/2006/relationships/hyperlink" Target="https://www.facebook.com/raymondpastoral" TargetMode="External"/><Relationship Id="rId3869" Type="http://schemas.openxmlformats.org/officeDocument/2006/relationships/hyperlink" Target="https://www.facebook.com/chye.phe" TargetMode="External"/><Relationship Id="rId5084" Type="http://schemas.openxmlformats.org/officeDocument/2006/relationships/hyperlink" Target="https://www.facebook.com/jkeallano" TargetMode="External"/><Relationship Id="rId5291" Type="http://schemas.openxmlformats.org/officeDocument/2006/relationships/hyperlink" Target="https://www.facebook.com/rapplerdotcom/photos/a.317154781638645/5594264657260938/" TargetMode="External"/><Relationship Id="rId6135" Type="http://schemas.openxmlformats.org/officeDocument/2006/relationships/hyperlink" Target="https://www.facebook.com/rapplerdotcom/posts/pfbid0JJW97xH5fR5tDSLUQ8AnEgkPMU9Aigs9CgcNy2Q7AzJY4R8mRoicBgu3PLdqpf2Tl" TargetMode="External"/><Relationship Id="rId997" Type="http://schemas.openxmlformats.org/officeDocument/2006/relationships/hyperlink" Target="https://www.facebook.com/profile.php?id=100071214034177" TargetMode="External"/><Relationship Id="rId2678" Type="http://schemas.openxmlformats.org/officeDocument/2006/relationships/hyperlink" Target="https://www.facebook.com/rapplerdotcom/photos/a.317154781638645/5595733810447356/" TargetMode="External"/><Relationship Id="rId2885" Type="http://schemas.openxmlformats.org/officeDocument/2006/relationships/hyperlink" Target="https://www.facebook.com/raulg.azcuna" TargetMode="External"/><Relationship Id="rId3729" Type="http://schemas.openxmlformats.org/officeDocument/2006/relationships/hyperlink" Target="https://www.facebook.com/profile.php?id=100075210031359" TargetMode="External"/><Relationship Id="rId3936" Type="http://schemas.openxmlformats.org/officeDocument/2006/relationships/hyperlink" Target="https://www.facebook.com/rapplerdotcom/posts/pfbid0dyWpzxim3h4Z2SYriGakwQw85p7BCAgct7KU5EiMX1bmmgNHDD8nmES8rjrADsrPl" TargetMode="External"/><Relationship Id="rId5151" Type="http://schemas.openxmlformats.org/officeDocument/2006/relationships/hyperlink" Target="https://www.facebook.com/rapplerdotcom/photos/a.317154781638645/5594264657260938/" TargetMode="External"/><Relationship Id="rId857" Type="http://schemas.openxmlformats.org/officeDocument/2006/relationships/hyperlink" Target="https://www.facebook.com/McNolram" TargetMode="External"/><Relationship Id="rId1487" Type="http://schemas.openxmlformats.org/officeDocument/2006/relationships/hyperlink" Target="https://www.facebook.com/jwharch" TargetMode="External"/><Relationship Id="rId1694" Type="http://schemas.openxmlformats.org/officeDocument/2006/relationships/hyperlink" Target="https://www.facebook.com/rapplerdotcom/photos/a.317154781638645/5596043783749692/" TargetMode="External"/><Relationship Id="rId2538" Type="http://schemas.openxmlformats.org/officeDocument/2006/relationships/hyperlink" Target="https://www.facebook.com/rapplerdotcom/photos/a.317154781638645/5595733810447356/" TargetMode="External"/><Relationship Id="rId2745" Type="http://schemas.openxmlformats.org/officeDocument/2006/relationships/hyperlink" Target="https://www.facebook.com/obiso.clarissa" TargetMode="External"/><Relationship Id="rId2952" Type="http://schemas.openxmlformats.org/officeDocument/2006/relationships/hyperlink" Target="https://www.facebook.com/watch/live/?ref=watch_permalink&amp;v=360307549312104" TargetMode="External"/><Relationship Id="rId6202" Type="http://schemas.openxmlformats.org/officeDocument/2006/relationships/hyperlink" Target="https://www.facebook.com/profile.php?id=100010435327642" TargetMode="External"/><Relationship Id="rId717" Type="http://schemas.openxmlformats.org/officeDocument/2006/relationships/hyperlink" Target="https://www.facebook.com/francis.noel.5686" TargetMode="External"/><Relationship Id="rId924" Type="http://schemas.openxmlformats.org/officeDocument/2006/relationships/hyperlink" Target="https://www.facebook.com/rapplerdotcom/photos/a.317154781638645/5597592673594803/" TargetMode="External"/><Relationship Id="rId1347" Type="http://schemas.openxmlformats.org/officeDocument/2006/relationships/hyperlink" Target="https://www.facebook.com/profile.php?id=100009111409816" TargetMode="External"/><Relationship Id="rId1554" Type="http://schemas.openxmlformats.org/officeDocument/2006/relationships/hyperlink" Target="https://www.facebook.com/rapplerdotcom/photos/a.317154781638645/5597116770309060/" TargetMode="External"/><Relationship Id="rId1761" Type="http://schemas.openxmlformats.org/officeDocument/2006/relationships/hyperlink" Target="https://www.facebook.com/profile.php?id=100047813203588" TargetMode="External"/><Relationship Id="rId2605" Type="http://schemas.openxmlformats.org/officeDocument/2006/relationships/hyperlink" Target="https://www.facebook.com/richard.delacruz.75033" TargetMode="External"/><Relationship Id="rId2812" Type="http://schemas.openxmlformats.org/officeDocument/2006/relationships/hyperlink" Target="https://www.facebook.com/watch/?v=570590637273208" TargetMode="External"/><Relationship Id="rId5011" Type="http://schemas.openxmlformats.org/officeDocument/2006/relationships/hyperlink" Target="https://www.facebook.com/rapplerdotcom/posts/pfbid02BCyyacWVuuu1bwX5PwYK8PvqDGTANxekqEMy7qyV9vMmaGKTbC8sBf7i5j3Wbx9Ll" TargetMode="External"/><Relationship Id="rId5968" Type="http://schemas.openxmlformats.org/officeDocument/2006/relationships/hyperlink" Target="https://www.facebook.com/regie.basa.39" TargetMode="External"/><Relationship Id="rId53" Type="http://schemas.openxmlformats.org/officeDocument/2006/relationships/hyperlink" Target="https://www.facebook.com/www.joeysampang" TargetMode="External"/><Relationship Id="rId1207" Type="http://schemas.openxmlformats.org/officeDocument/2006/relationships/hyperlink" Target="https://www.facebook.com/profile.php?id=100077721303949" TargetMode="External"/><Relationship Id="rId1414" Type="http://schemas.openxmlformats.org/officeDocument/2006/relationships/hyperlink" Target="https://www.facebook.com/rapplerdotcom/photos/a.317154781638645/5597116770309060/" TargetMode="External"/><Relationship Id="rId1621" Type="http://schemas.openxmlformats.org/officeDocument/2006/relationships/hyperlink" Target="https://www.facebook.com/rose.orain" TargetMode="External"/><Relationship Id="rId4777" Type="http://schemas.openxmlformats.org/officeDocument/2006/relationships/hyperlink" Target="https://www.facebook.com/watch/live/?ref=watch_permalink&amp;v=923735834984653" TargetMode="External"/><Relationship Id="rId4984" Type="http://schemas.openxmlformats.org/officeDocument/2006/relationships/hyperlink" Target="https://www.facebook.com/roldan.lago.75" TargetMode="External"/><Relationship Id="rId5828" Type="http://schemas.openxmlformats.org/officeDocument/2006/relationships/hyperlink" Target="https://www.facebook.com/lilia.aquino.3367" TargetMode="External"/><Relationship Id="rId3379" Type="http://schemas.openxmlformats.org/officeDocument/2006/relationships/hyperlink" Target="https://www.facebook.com/eduardo.m.lombo" TargetMode="External"/><Relationship Id="rId3586" Type="http://schemas.openxmlformats.org/officeDocument/2006/relationships/hyperlink" Target="https://www.facebook.com/rapplerdotcom/photos/a.317154781638645/5595372260483511/" TargetMode="External"/><Relationship Id="rId3793" Type="http://schemas.openxmlformats.org/officeDocument/2006/relationships/hyperlink" Target="https://www.facebook.com/ronan.alejandro" TargetMode="External"/><Relationship Id="rId4637" Type="http://schemas.openxmlformats.org/officeDocument/2006/relationships/hyperlink" Target="https://www.facebook.com/watch/live/?ref=watch_permalink&amp;v=923735834984653" TargetMode="External"/><Relationship Id="rId2188" Type="http://schemas.openxmlformats.org/officeDocument/2006/relationships/hyperlink" Target="https://www.facebook.com/rapplerdotcom/photos/a.317154781638645/5596022273751843/" TargetMode="External"/><Relationship Id="rId2395" Type="http://schemas.openxmlformats.org/officeDocument/2006/relationships/hyperlink" Target="https://www.facebook.com/profile.php?id=100001497297306" TargetMode="External"/><Relationship Id="rId3239" Type="http://schemas.openxmlformats.org/officeDocument/2006/relationships/hyperlink" Target="https://www.facebook.com/profile.php?id=100078131813881" TargetMode="External"/><Relationship Id="rId3446" Type="http://schemas.openxmlformats.org/officeDocument/2006/relationships/hyperlink" Target="https://www.facebook.com/rapplerdotcom/photos/a.317154781638645/5595372260483511/" TargetMode="External"/><Relationship Id="rId4844" Type="http://schemas.openxmlformats.org/officeDocument/2006/relationships/hyperlink" Target="https://www.facebook.com/profile.php?id=100075363020565" TargetMode="External"/><Relationship Id="rId367" Type="http://schemas.openxmlformats.org/officeDocument/2006/relationships/hyperlink" Target="https://www.facebook.com/rapplerdotcom/photos/a.317154781638645/5598220220198715/" TargetMode="External"/><Relationship Id="rId574" Type="http://schemas.openxmlformats.org/officeDocument/2006/relationships/hyperlink" Target="https://www.facebook.com/rapplerdotcom/photos/a.317154781638645/5597874143566656" TargetMode="External"/><Relationship Id="rId2048" Type="http://schemas.openxmlformats.org/officeDocument/2006/relationships/hyperlink" Target="https://www.facebook.com/rapplerdotcom/photos/a.317154781638645/5596022273751843/" TargetMode="External"/><Relationship Id="rId2255" Type="http://schemas.openxmlformats.org/officeDocument/2006/relationships/hyperlink" Target="https://www.facebook.com/marlene.delacruz.5602" TargetMode="External"/><Relationship Id="rId3653" Type="http://schemas.openxmlformats.org/officeDocument/2006/relationships/hyperlink" Target="https://www.facebook.com/araceli.ceciliobaduria" TargetMode="External"/><Relationship Id="rId3860" Type="http://schemas.openxmlformats.org/officeDocument/2006/relationships/hyperlink" Target="https://www.facebook.com/rapplerdotcom/posts/pfbid0dyWpzxim3h4Z2SYriGakwQw85p7BCAgct7KU5EiMX1bmmgNHDD8nmES8rjrADsrPl" TargetMode="External"/><Relationship Id="rId4704" Type="http://schemas.openxmlformats.org/officeDocument/2006/relationships/hyperlink" Target="https://www.facebook.com/lhord.symphatico" TargetMode="External"/><Relationship Id="rId4911" Type="http://schemas.openxmlformats.org/officeDocument/2006/relationships/hyperlink" Target="https://www.facebook.com/rapplerdotcom/posts/pfbid02BCyyacWVuuu1bwX5PwYK8PvqDGTANxekqEMy7qyV9vMmaGKTbC8sBf7i5j3Wbx9Ll" TargetMode="External"/><Relationship Id="rId227" Type="http://schemas.openxmlformats.org/officeDocument/2006/relationships/hyperlink" Target="https://www.facebook.com/watch/live/?ref=watch_permalink&amp;v=386705962975078" TargetMode="External"/><Relationship Id="rId781" Type="http://schemas.openxmlformats.org/officeDocument/2006/relationships/hyperlink" Target="https://www.facebook.com/bagie.macalalad" TargetMode="External"/><Relationship Id="rId2462" Type="http://schemas.openxmlformats.org/officeDocument/2006/relationships/hyperlink" Target="https://www.facebook.com/rapplerdotcom/posts/pfbid0TYP6syjYwznxJKdhWv9YMaXK9NvsSEhQ2cyyCQCPMvGapWXrQBHehywgT156wqNPl" TargetMode="External"/><Relationship Id="rId3306" Type="http://schemas.openxmlformats.org/officeDocument/2006/relationships/hyperlink" Target="https://www.facebook.com/rapplerdotcom/photos/a.317154781638645/5595372260483511/" TargetMode="External"/><Relationship Id="rId3513" Type="http://schemas.openxmlformats.org/officeDocument/2006/relationships/hyperlink" Target="https://www.facebook.com/profile.php?id=100067656224446" TargetMode="External"/><Relationship Id="rId3720" Type="http://schemas.openxmlformats.org/officeDocument/2006/relationships/hyperlink" Target="https://www.facebook.com/rapplerdotcom/photos/a.317154781638645/5595162900504447/" TargetMode="External"/><Relationship Id="rId434" Type="http://schemas.openxmlformats.org/officeDocument/2006/relationships/hyperlink" Target="https://www.facebook.com/tony.deguzman.104" TargetMode="External"/><Relationship Id="rId641" Type="http://schemas.openxmlformats.org/officeDocument/2006/relationships/hyperlink" Target="https://www.facebook.com/profile.php?id=100070946473573" TargetMode="External"/><Relationship Id="rId1064" Type="http://schemas.openxmlformats.org/officeDocument/2006/relationships/hyperlink" Target="https://www.facebook.com/rapplerdotcom/posts/pfbid028Kg188FmebKa4aFvHZNp8zGTwjghWDDJuUmQ8agbSCvGAGJHZ7pBH9NmxLBmPZZdl" TargetMode="External"/><Relationship Id="rId1271" Type="http://schemas.openxmlformats.org/officeDocument/2006/relationships/hyperlink" Target="https://www.facebook.com/rey.santos.1426876" TargetMode="External"/><Relationship Id="rId2115" Type="http://schemas.openxmlformats.org/officeDocument/2006/relationships/hyperlink" Target="https://www.facebook.com/maribel.young" TargetMode="External"/><Relationship Id="rId2322" Type="http://schemas.openxmlformats.org/officeDocument/2006/relationships/hyperlink" Target="https://www.facebook.com/rapplerdotcom/posts/pfbid0TYP6syjYwznxJKdhWv9YMaXK9NvsSEhQ2cyyCQCPMvGapWXrQBHehywgT156wqNPl" TargetMode="External"/><Relationship Id="rId5478" Type="http://schemas.openxmlformats.org/officeDocument/2006/relationships/hyperlink" Target="https://www.facebook.com/micoleizon" TargetMode="External"/><Relationship Id="rId5685" Type="http://schemas.openxmlformats.org/officeDocument/2006/relationships/hyperlink" Target="https://www.facebook.com/rapplerdotcom/photos/a.317154781638645/5594453700575367/" TargetMode="External"/><Relationship Id="rId5892" Type="http://schemas.openxmlformats.org/officeDocument/2006/relationships/hyperlink" Target="https://www.facebook.com/nancy.obrador.1" TargetMode="External"/><Relationship Id="rId501" Type="http://schemas.openxmlformats.org/officeDocument/2006/relationships/hyperlink" Target="https://www.facebook.com/rapplerdotcom/photos/a.317154781638645/5598220220198715/" TargetMode="External"/><Relationship Id="rId1131" Type="http://schemas.openxmlformats.org/officeDocument/2006/relationships/hyperlink" Target="https://www.facebook.com/bunny.orogan" TargetMode="External"/><Relationship Id="rId4287" Type="http://schemas.openxmlformats.org/officeDocument/2006/relationships/hyperlink" Target="https://www.facebook.com/rapplerdotcom/photos/a.317154781638645/5594954703858600/" TargetMode="External"/><Relationship Id="rId4494" Type="http://schemas.openxmlformats.org/officeDocument/2006/relationships/hyperlink" Target="https://www.facebook.com/tata.abet.3" TargetMode="External"/><Relationship Id="rId5338" Type="http://schemas.openxmlformats.org/officeDocument/2006/relationships/hyperlink" Target="https://www.facebook.com/initials.jt" TargetMode="External"/><Relationship Id="rId5545" Type="http://schemas.openxmlformats.org/officeDocument/2006/relationships/hyperlink" Target="https://www.facebook.com/rapplerdotcom/photos/a.317154781638645/5594453700575367/" TargetMode="External"/><Relationship Id="rId5752" Type="http://schemas.openxmlformats.org/officeDocument/2006/relationships/hyperlink" Target="https://www.facebook.com/eva.jimenez.39794895" TargetMode="External"/><Relationship Id="rId3096" Type="http://schemas.openxmlformats.org/officeDocument/2006/relationships/hyperlink" Target="https://www.facebook.com/watch/live/?ref=watch_permalink&amp;v=360307549312104" TargetMode="External"/><Relationship Id="rId4147" Type="http://schemas.openxmlformats.org/officeDocument/2006/relationships/hyperlink" Target="https://www.facebook.com/lon.makinano.94" TargetMode="External"/><Relationship Id="rId4354" Type="http://schemas.openxmlformats.org/officeDocument/2006/relationships/hyperlink" Target="https://www.facebook.com/athena.margarette.71" TargetMode="External"/><Relationship Id="rId4561" Type="http://schemas.openxmlformats.org/officeDocument/2006/relationships/hyperlink" Target="https://www.facebook.com/watch/live/?ref=watch_permalink&amp;v=923735834984653" TargetMode="External"/><Relationship Id="rId5405" Type="http://schemas.openxmlformats.org/officeDocument/2006/relationships/hyperlink" Target="https://www.facebook.com/watch/live/?ref=watch_permalink&amp;v=312865720941798" TargetMode="External"/><Relationship Id="rId5612" Type="http://schemas.openxmlformats.org/officeDocument/2006/relationships/hyperlink" Target="https://www.facebook.com/milanituda" TargetMode="External"/><Relationship Id="rId1948" Type="http://schemas.openxmlformats.org/officeDocument/2006/relationships/hyperlink" Target="https://www.facebook.com/rapplerdotcom/photos/a.317154781638645/5596043783749692/" TargetMode="External"/><Relationship Id="rId3163" Type="http://schemas.openxmlformats.org/officeDocument/2006/relationships/hyperlink" Target="https://www.facebook.com/marjorie.santillan.31" TargetMode="External"/><Relationship Id="rId3370" Type="http://schemas.openxmlformats.org/officeDocument/2006/relationships/hyperlink" Target="https://www.facebook.com/rapplerdotcom/photos/a.317154781638645/5595372260483511/" TargetMode="External"/><Relationship Id="rId4007" Type="http://schemas.openxmlformats.org/officeDocument/2006/relationships/hyperlink" Target="https://www.facebook.com/noel.isorena.7" TargetMode="External"/><Relationship Id="rId4214" Type="http://schemas.openxmlformats.org/officeDocument/2006/relationships/hyperlink" Target="https://www.facebook.com/rapplerdotcom/photos/a.317154781638645/5594954703858600/" TargetMode="External"/><Relationship Id="rId4421" Type="http://schemas.openxmlformats.org/officeDocument/2006/relationships/hyperlink" Target="https://www.facebook.com/rapplerdotcom/photos/a.317154781638645/5594954703858600/" TargetMode="External"/><Relationship Id="rId291" Type="http://schemas.openxmlformats.org/officeDocument/2006/relationships/hyperlink" Target="https://www.facebook.com/rapplerdotcom/photos/a.317154781638645/5598220220198715/" TargetMode="External"/><Relationship Id="rId1808" Type="http://schemas.openxmlformats.org/officeDocument/2006/relationships/hyperlink" Target="https://www.facebook.com/rapplerdotcom/photos/a.317154781638645/5596043783749692/" TargetMode="External"/><Relationship Id="rId3023" Type="http://schemas.openxmlformats.org/officeDocument/2006/relationships/hyperlink" Target="https://www.facebook.com/jazzminelouisse.agudo.3" TargetMode="External"/><Relationship Id="rId6179" Type="http://schemas.openxmlformats.org/officeDocument/2006/relationships/hyperlink" Target="https://www.facebook.com/watch/?v=684555919511830" TargetMode="External"/><Relationship Id="rId151" Type="http://schemas.openxmlformats.org/officeDocument/2006/relationships/hyperlink" Target="https://www.facebook.com/alex.ibarra.7169709" TargetMode="External"/><Relationship Id="rId3230" Type="http://schemas.openxmlformats.org/officeDocument/2006/relationships/hyperlink" Target="https://www.facebook.com/watch/live/?ref=watch_permalink&amp;v=332681445500650" TargetMode="External"/><Relationship Id="rId5195" Type="http://schemas.openxmlformats.org/officeDocument/2006/relationships/hyperlink" Target="https://www.facebook.com/rapplerdotcom/photos/a.317154781638645/5594264657260938/" TargetMode="External"/><Relationship Id="rId6039" Type="http://schemas.openxmlformats.org/officeDocument/2006/relationships/hyperlink" Target="https://www.facebook.com/rapplerdotcom/photos/a.317154781638645/5594359700584767/" TargetMode="External"/><Relationship Id="rId2789" Type="http://schemas.openxmlformats.org/officeDocument/2006/relationships/hyperlink" Target="https://www.facebook.com/profile.php?id=100007491668111" TargetMode="External"/><Relationship Id="rId2996" Type="http://schemas.openxmlformats.org/officeDocument/2006/relationships/hyperlink" Target="https://www.facebook.com/watch/live/?ref=watch_permalink&amp;v=360307549312104" TargetMode="External"/><Relationship Id="rId968" Type="http://schemas.openxmlformats.org/officeDocument/2006/relationships/hyperlink" Target="https://www.facebook.com/rapplerdotcom/photos/a.317154781638645/5597592673594803/" TargetMode="External"/><Relationship Id="rId1598" Type="http://schemas.openxmlformats.org/officeDocument/2006/relationships/hyperlink" Target="https://www.facebook.com/rapplerdotcom/posts/pfbid02AsSA4LQqjQ2Y8SVathQmtduoE3fhoGvQSNhvrzsMerDaJSQJ6jDvApCCiuaE7XCol" TargetMode="External"/><Relationship Id="rId2649" Type="http://schemas.openxmlformats.org/officeDocument/2006/relationships/hyperlink" Target="https://www.facebook.com/nonongfroilan" TargetMode="External"/><Relationship Id="rId2856" Type="http://schemas.openxmlformats.org/officeDocument/2006/relationships/hyperlink" Target="https://www.facebook.com/watch/?v=570590637273208" TargetMode="External"/><Relationship Id="rId3907" Type="http://schemas.openxmlformats.org/officeDocument/2006/relationships/hyperlink" Target="https://www.facebook.com/BangChristopherChan97" TargetMode="External"/><Relationship Id="rId5055" Type="http://schemas.openxmlformats.org/officeDocument/2006/relationships/hyperlink" Target="https://www.facebook.com/rapplerdotcom/posts/pfbid0231hbcbuKeQLDkPH8oZAdZbuU8MPPgRANx152V3xWpbjZ6EvfpohwQMvxHYAgrGPul" TargetMode="External"/><Relationship Id="rId5262" Type="http://schemas.openxmlformats.org/officeDocument/2006/relationships/hyperlink" Target="https://www.facebook.com/profile.php?id=100076414760032" TargetMode="External"/><Relationship Id="rId6106" Type="http://schemas.openxmlformats.org/officeDocument/2006/relationships/hyperlink" Target="https://www.facebook.com/jake.arceno.new" TargetMode="External"/><Relationship Id="rId97" Type="http://schemas.openxmlformats.org/officeDocument/2006/relationships/hyperlink" Target="https://www.facebook.com/profile.php?id=100069548558481" TargetMode="External"/><Relationship Id="rId828" Type="http://schemas.openxmlformats.org/officeDocument/2006/relationships/hyperlink" Target="https://www.facebook.com/rapplerdotcom/photos/a.317154781638645/5597612220259515/" TargetMode="External"/><Relationship Id="rId1458" Type="http://schemas.openxmlformats.org/officeDocument/2006/relationships/hyperlink" Target="https://www.facebook.com/rapplerdotcom/photos/a.317154781638645/5597116770309060/" TargetMode="External"/><Relationship Id="rId1665" Type="http://schemas.openxmlformats.org/officeDocument/2006/relationships/hyperlink" Target="https://www.facebook.com/dan.mendoza.5602" TargetMode="External"/><Relationship Id="rId1872" Type="http://schemas.openxmlformats.org/officeDocument/2006/relationships/hyperlink" Target="https://www.facebook.com/rapplerdotcom/photos/a.317154781638645/5596043783749692/" TargetMode="External"/><Relationship Id="rId2509" Type="http://schemas.openxmlformats.org/officeDocument/2006/relationships/hyperlink" Target="https://www.facebook.com/iamALArreza" TargetMode="External"/><Relationship Id="rId2716" Type="http://schemas.openxmlformats.org/officeDocument/2006/relationships/hyperlink" Target="https://www.facebook.com/rapplerdotcom/photos/a.317154781638645/5595733810447356/" TargetMode="External"/><Relationship Id="rId4071" Type="http://schemas.openxmlformats.org/officeDocument/2006/relationships/hyperlink" Target="https://www.facebook.com/jingbong.suan" TargetMode="External"/><Relationship Id="rId5122" Type="http://schemas.openxmlformats.org/officeDocument/2006/relationships/hyperlink" Target="https://www.facebook.com/anjadonis11" TargetMode="External"/><Relationship Id="rId1318" Type="http://schemas.openxmlformats.org/officeDocument/2006/relationships/hyperlink" Target="https://www.facebook.com/rapplerdotcom/photos/a.317154781638645/5597116770309060/" TargetMode="External"/><Relationship Id="rId1525" Type="http://schemas.openxmlformats.org/officeDocument/2006/relationships/hyperlink" Target="https://www.facebook.com/profile.php?id=100076549753166" TargetMode="External"/><Relationship Id="rId2923" Type="http://schemas.openxmlformats.org/officeDocument/2006/relationships/hyperlink" Target="https://www.facebook.com/nathann.delacruz.1" TargetMode="External"/><Relationship Id="rId1732" Type="http://schemas.openxmlformats.org/officeDocument/2006/relationships/hyperlink" Target="https://www.facebook.com/rapplerdotcom/photos/a.317154781638645/5596043783749692/" TargetMode="External"/><Relationship Id="rId4888" Type="http://schemas.openxmlformats.org/officeDocument/2006/relationships/hyperlink" Target="https://www.facebook.com/dionisiapiano.rebese" TargetMode="External"/><Relationship Id="rId5939" Type="http://schemas.openxmlformats.org/officeDocument/2006/relationships/hyperlink" Target="https://www.facebook.com/rapplerdotcom/photos/a.317154781638645/5594359700584767/" TargetMode="External"/><Relationship Id="rId24" Type="http://schemas.openxmlformats.org/officeDocument/2006/relationships/hyperlink" Target="https://www.facebook.com/rapplerdotcom/posts/pfbid0DUh4iFcrxZuR1UbiGhcAHcMdzsaV29GSeHCY1HabtqcnUWkjStX9TDaVqzzt92GDl" TargetMode="External"/><Relationship Id="rId2299" Type="http://schemas.openxmlformats.org/officeDocument/2006/relationships/hyperlink" Target="https://www.facebook.com/gerard.abangan.1" TargetMode="External"/><Relationship Id="rId3697" Type="http://schemas.openxmlformats.org/officeDocument/2006/relationships/hyperlink" Target="https://www.facebook.com/pepe.jacinto" TargetMode="External"/><Relationship Id="rId4748" Type="http://schemas.openxmlformats.org/officeDocument/2006/relationships/hyperlink" Target="https://www.facebook.com/arnel.benitez.370" TargetMode="External"/><Relationship Id="rId4955" Type="http://schemas.openxmlformats.org/officeDocument/2006/relationships/hyperlink" Target="https://www.facebook.com/rapplerdotcom/posts/pfbid02BCyyacWVuuu1bwX5PwYK8PvqDGTANxekqEMy7qyV9vMmaGKTbC8sBf7i5j3Wbx9Ll" TargetMode="External"/><Relationship Id="rId3557" Type="http://schemas.openxmlformats.org/officeDocument/2006/relationships/hyperlink" Target="https://www.facebook.com/cyrilljoy.baldera.3" TargetMode="External"/><Relationship Id="rId3764" Type="http://schemas.openxmlformats.org/officeDocument/2006/relationships/hyperlink" Target="https://www.facebook.com/rapplerdotcom/posts/pfbid0dyWpzxim3h4Z2SYriGakwQw85p7BCAgct7KU5EiMX1bmmgNHDD8nmES8rjrADsrPl" TargetMode="External"/><Relationship Id="rId3971" Type="http://schemas.openxmlformats.org/officeDocument/2006/relationships/hyperlink" Target="https://www.facebook.com/ron.koleen" TargetMode="External"/><Relationship Id="rId4608" Type="http://schemas.openxmlformats.org/officeDocument/2006/relationships/hyperlink" Target="https://www.facebook.com/carlos.lavidez" TargetMode="External"/><Relationship Id="rId4815" Type="http://schemas.openxmlformats.org/officeDocument/2006/relationships/hyperlink" Target="https://www.facebook.com/watch/live/?ref=watch_permalink&amp;v=923735834984653" TargetMode="External"/><Relationship Id="rId6170" Type="http://schemas.openxmlformats.org/officeDocument/2006/relationships/hyperlink" Target="https://www.facebook.com/julio.quian" TargetMode="External"/><Relationship Id="rId478" Type="http://schemas.openxmlformats.org/officeDocument/2006/relationships/hyperlink" Target="https://www.facebook.com/mal.esquivel" TargetMode="External"/><Relationship Id="rId685" Type="http://schemas.openxmlformats.org/officeDocument/2006/relationships/hyperlink" Target="https://www.facebook.com/rowena.rodencio" TargetMode="External"/><Relationship Id="rId892" Type="http://schemas.openxmlformats.org/officeDocument/2006/relationships/hyperlink" Target="https://www.facebook.com/rapplerdotcom/photos/a.317154781638645/5597612220259515/" TargetMode="External"/><Relationship Id="rId2159" Type="http://schemas.openxmlformats.org/officeDocument/2006/relationships/hyperlink" Target="https://www.facebook.com/yonehl.inasor" TargetMode="External"/><Relationship Id="rId2366" Type="http://schemas.openxmlformats.org/officeDocument/2006/relationships/hyperlink" Target="https://www.facebook.com/rapplerdotcom/posts/pfbid0TYP6syjYwznxJKdhWv9YMaXK9NvsSEhQ2cyyCQCPMvGapWXrQBHehywgT156wqNPl" TargetMode="External"/><Relationship Id="rId2573" Type="http://schemas.openxmlformats.org/officeDocument/2006/relationships/hyperlink" Target="https://www.facebook.com/mariano.josh99" TargetMode="External"/><Relationship Id="rId2780" Type="http://schemas.openxmlformats.org/officeDocument/2006/relationships/hyperlink" Target="https://www.facebook.com/watch/?v=570590637273208" TargetMode="External"/><Relationship Id="rId3417" Type="http://schemas.openxmlformats.org/officeDocument/2006/relationships/hyperlink" Target="https://www.facebook.com/eduardo.m.lombo" TargetMode="External"/><Relationship Id="rId3624" Type="http://schemas.openxmlformats.org/officeDocument/2006/relationships/hyperlink" Target="https://www.facebook.com/rapplerdotcom/photos/a.317154781638645/5595372260483511/" TargetMode="External"/><Relationship Id="rId3831" Type="http://schemas.openxmlformats.org/officeDocument/2006/relationships/hyperlink" Target="https://www.facebook.com/be.aranza" TargetMode="External"/><Relationship Id="rId6030" Type="http://schemas.openxmlformats.org/officeDocument/2006/relationships/hyperlink" Target="https://www.facebook.com/angelica.banag" TargetMode="External"/><Relationship Id="rId338" Type="http://schemas.openxmlformats.org/officeDocument/2006/relationships/hyperlink" Target="https://www.facebook.com/profile.php?id=100004073401228" TargetMode="External"/><Relationship Id="rId545" Type="http://schemas.openxmlformats.org/officeDocument/2006/relationships/hyperlink" Target="https://www.facebook.com/profile.php?id=100009126387339" TargetMode="External"/><Relationship Id="rId752" Type="http://schemas.openxmlformats.org/officeDocument/2006/relationships/hyperlink" Target="https://www.facebook.com/rapplerdotcom/photos/a.317154781638645/5597612220259515/" TargetMode="External"/><Relationship Id="rId1175" Type="http://schemas.openxmlformats.org/officeDocument/2006/relationships/hyperlink" Target="https://www.facebook.com/marializa.ko" TargetMode="External"/><Relationship Id="rId1382" Type="http://schemas.openxmlformats.org/officeDocument/2006/relationships/hyperlink" Target="https://www.facebook.com/rapplerdotcom/photos/a.317154781638645/5597116770309060/" TargetMode="External"/><Relationship Id="rId2019" Type="http://schemas.openxmlformats.org/officeDocument/2006/relationships/hyperlink" Target="https://www.facebook.com/aimhigh06" TargetMode="External"/><Relationship Id="rId2226" Type="http://schemas.openxmlformats.org/officeDocument/2006/relationships/hyperlink" Target="https://www.facebook.com/rapplerdotcom/photos/a.317154781638645/5596022273751843/" TargetMode="External"/><Relationship Id="rId2433" Type="http://schemas.openxmlformats.org/officeDocument/2006/relationships/hyperlink" Target="https://www.facebook.com/irma.lacorte" TargetMode="External"/><Relationship Id="rId2640" Type="http://schemas.openxmlformats.org/officeDocument/2006/relationships/hyperlink" Target="https://www.facebook.com/rapplerdotcom/photos/a.317154781638645/5595733810447356/" TargetMode="External"/><Relationship Id="rId5589" Type="http://schemas.openxmlformats.org/officeDocument/2006/relationships/hyperlink" Target="https://www.facebook.com/rapplerdotcom/photos/a.317154781638645/5594453700575367/" TargetMode="External"/><Relationship Id="rId5796" Type="http://schemas.openxmlformats.org/officeDocument/2006/relationships/hyperlink" Target="https://www.facebook.com/merly.mesuga" TargetMode="External"/><Relationship Id="rId405" Type="http://schemas.openxmlformats.org/officeDocument/2006/relationships/hyperlink" Target="https://www.facebook.com/rapplerdotcom/photos/a.317154781638645/5598220220198715/" TargetMode="External"/><Relationship Id="rId612" Type="http://schemas.openxmlformats.org/officeDocument/2006/relationships/hyperlink" Target="https://www.facebook.com/rapplerdotcom/photos/a.317154781638645/5597874143566656" TargetMode="External"/><Relationship Id="rId1035" Type="http://schemas.openxmlformats.org/officeDocument/2006/relationships/hyperlink" Target="https://www.facebook.com/danielle.jacque.5" TargetMode="External"/><Relationship Id="rId1242" Type="http://schemas.openxmlformats.org/officeDocument/2006/relationships/hyperlink" Target="https://www.facebook.com/rapplerdotcom/posts/pfbid023goEfA6e1ABSWYJFy8fQ5LFWDv4QTSTmAfzySGtMSpy12iqywB2MUZjiZ8GjCxrGl" TargetMode="External"/><Relationship Id="rId2500" Type="http://schemas.openxmlformats.org/officeDocument/2006/relationships/hyperlink" Target="https://www.facebook.com/rapplerdotcom/posts/pfbid0TYP6syjYwznxJKdhWv9YMaXK9NvsSEhQ2cyyCQCPMvGapWXrQBHehywgT156wqNPl" TargetMode="External"/><Relationship Id="rId4398" Type="http://schemas.openxmlformats.org/officeDocument/2006/relationships/hyperlink" Target="https://www.facebook.com/amaya.sabado" TargetMode="External"/><Relationship Id="rId5449" Type="http://schemas.openxmlformats.org/officeDocument/2006/relationships/hyperlink" Target="https://www.facebook.com/watch/live/?ref=watch_permalink&amp;v=312865720941798" TargetMode="External"/><Relationship Id="rId5656" Type="http://schemas.openxmlformats.org/officeDocument/2006/relationships/hyperlink" Target="https://www.facebook.com/bsc41" TargetMode="External"/><Relationship Id="rId1102" Type="http://schemas.openxmlformats.org/officeDocument/2006/relationships/hyperlink" Target="https://www.facebook.com/rapplerdotcom/posts/pfbid028Kg188FmebKa4aFvHZNp8zGTwjghWDDJuUmQ8agbSCvGAGJHZ7pBH9NmxLBmPZZdl" TargetMode="External"/><Relationship Id="rId4258" Type="http://schemas.openxmlformats.org/officeDocument/2006/relationships/hyperlink" Target="https://www.facebook.com/drixsaydie" TargetMode="External"/><Relationship Id="rId4465" Type="http://schemas.openxmlformats.org/officeDocument/2006/relationships/hyperlink" Target="https://www.facebook.com/rapplerdotcom/photos/a.317154781638645/5594954703858600/" TargetMode="External"/><Relationship Id="rId5309" Type="http://schemas.openxmlformats.org/officeDocument/2006/relationships/hyperlink" Target="https://www.facebook.com/rapplerdotcom/photos/a.317154781638645/5594264657260938/" TargetMode="External"/><Relationship Id="rId5863" Type="http://schemas.openxmlformats.org/officeDocument/2006/relationships/hyperlink" Target="https://www.facebook.com/rapplerdotcom/photos/a.317154781638645/5594453700575367/" TargetMode="External"/><Relationship Id="rId3067" Type="http://schemas.openxmlformats.org/officeDocument/2006/relationships/hyperlink" Target="https://www.facebook.com/ayen.francisco.927" TargetMode="External"/><Relationship Id="rId3274" Type="http://schemas.openxmlformats.org/officeDocument/2006/relationships/hyperlink" Target="https://www.facebook.com/rapplerdotcom/photos/a.317154781638645/5595372260483511/" TargetMode="External"/><Relationship Id="rId4118" Type="http://schemas.openxmlformats.org/officeDocument/2006/relationships/hyperlink" Target="https://www.facebook.com/rapplerdotcom/photos/a.317154781638645/5594954703858600/" TargetMode="External"/><Relationship Id="rId4672" Type="http://schemas.openxmlformats.org/officeDocument/2006/relationships/hyperlink" Target="https://www.facebook.com/ferrer.eva" TargetMode="External"/><Relationship Id="rId5516" Type="http://schemas.openxmlformats.org/officeDocument/2006/relationships/hyperlink" Target="https://www.facebook.com/sunsengnimkarina" TargetMode="External"/><Relationship Id="rId5723" Type="http://schemas.openxmlformats.org/officeDocument/2006/relationships/hyperlink" Target="https://www.facebook.com/rapplerdotcom/photos/a.317154781638645/5594453700575367/" TargetMode="External"/><Relationship Id="rId5930" Type="http://schemas.openxmlformats.org/officeDocument/2006/relationships/hyperlink" Target="https://www.facebook.com/boy.cinco" TargetMode="External"/><Relationship Id="rId195" Type="http://schemas.openxmlformats.org/officeDocument/2006/relationships/hyperlink" Target="https://www.facebook.com/randy.basco.3" TargetMode="External"/><Relationship Id="rId1919" Type="http://schemas.openxmlformats.org/officeDocument/2006/relationships/hyperlink" Target="https://www.facebook.com/kim.sioson" TargetMode="External"/><Relationship Id="rId3481" Type="http://schemas.openxmlformats.org/officeDocument/2006/relationships/hyperlink" Target="https://www.facebook.com/profile.php?id=100012286893622" TargetMode="External"/><Relationship Id="rId4325" Type="http://schemas.openxmlformats.org/officeDocument/2006/relationships/hyperlink" Target="https://www.facebook.com/rapplerdotcom/photos/a.317154781638645/5594954703858600/" TargetMode="External"/><Relationship Id="rId4532" Type="http://schemas.openxmlformats.org/officeDocument/2006/relationships/hyperlink" Target="https://www.facebook.com/AMSIQTPI" TargetMode="External"/><Relationship Id="rId2083" Type="http://schemas.openxmlformats.org/officeDocument/2006/relationships/hyperlink" Target="https://www.facebook.com/arlene.buela.9" TargetMode="External"/><Relationship Id="rId2290" Type="http://schemas.openxmlformats.org/officeDocument/2006/relationships/hyperlink" Target="https://www.facebook.com/rapplerdotcom/photos/a.317154781638645/5596022273751843/" TargetMode="External"/><Relationship Id="rId3134" Type="http://schemas.openxmlformats.org/officeDocument/2006/relationships/hyperlink" Target="https://www.facebook.com/watch/live/?ref=watch_permalink&amp;v=360307549312104" TargetMode="External"/><Relationship Id="rId3341" Type="http://schemas.openxmlformats.org/officeDocument/2006/relationships/hyperlink" Target="https://www.facebook.com/ate.rose.73" TargetMode="External"/><Relationship Id="rId262" Type="http://schemas.openxmlformats.org/officeDocument/2006/relationships/hyperlink" Target="https://www.facebook.com/profile.php?id=100078433647836" TargetMode="External"/><Relationship Id="rId2150" Type="http://schemas.openxmlformats.org/officeDocument/2006/relationships/hyperlink" Target="https://www.facebook.com/rapplerdotcom/photos/a.317154781638645/5596022273751843/" TargetMode="External"/><Relationship Id="rId3201" Type="http://schemas.openxmlformats.org/officeDocument/2006/relationships/hyperlink" Target="https://www.facebook.com/paz.gerero.1" TargetMode="External"/><Relationship Id="rId5099" Type="http://schemas.openxmlformats.org/officeDocument/2006/relationships/hyperlink" Target="https://www.facebook.com/rapplerdotcom/photos/a.317154781638645/5594264657260938/" TargetMode="External"/><Relationship Id="rId122" Type="http://schemas.openxmlformats.org/officeDocument/2006/relationships/hyperlink" Target="https://www.facebook.com/rapplerdotcom/posts/pfbid0DUh4iFcrxZuR1UbiGhcAHcMdzsaV29GSeHCY1HabtqcnUWkjStX9TDaVqzzt92GDl" TargetMode="External"/><Relationship Id="rId2010" Type="http://schemas.openxmlformats.org/officeDocument/2006/relationships/hyperlink" Target="https://www.facebook.com/rapplerdotcom/photos/a.317154781638645/5596022273751843/" TargetMode="External"/><Relationship Id="rId5166" Type="http://schemas.openxmlformats.org/officeDocument/2006/relationships/hyperlink" Target="https://www.facebook.com/nilo.asas" TargetMode="External"/><Relationship Id="rId5373" Type="http://schemas.openxmlformats.org/officeDocument/2006/relationships/hyperlink" Target="https://www.facebook.com/rapplerdotcom/photos/a.317154781638645/5594264657260938/" TargetMode="External"/><Relationship Id="rId5580" Type="http://schemas.openxmlformats.org/officeDocument/2006/relationships/hyperlink" Target="https://www.facebook.com/carlos.alivio.5" TargetMode="External"/><Relationship Id="rId6217" Type="http://schemas.openxmlformats.org/officeDocument/2006/relationships/hyperlink" Target="https://www.facebook.com/watch/?v=684555919511830" TargetMode="External"/><Relationship Id="rId1569" Type="http://schemas.openxmlformats.org/officeDocument/2006/relationships/hyperlink" Target="https://www.facebook.com/profile.php?id=100004342516925" TargetMode="External"/><Relationship Id="rId2967" Type="http://schemas.openxmlformats.org/officeDocument/2006/relationships/hyperlink" Target="https://www.facebook.com/cora.ropeta" TargetMode="External"/><Relationship Id="rId4182" Type="http://schemas.openxmlformats.org/officeDocument/2006/relationships/hyperlink" Target="https://www.facebook.com/rapplerdotcom/photos/a.317154781638645/5594954703858600/" TargetMode="External"/><Relationship Id="rId5026" Type="http://schemas.openxmlformats.org/officeDocument/2006/relationships/hyperlink" Target="https://www.facebook.com/juliet.romano.75" TargetMode="External"/><Relationship Id="rId5233" Type="http://schemas.openxmlformats.org/officeDocument/2006/relationships/hyperlink" Target="https://www.facebook.com/rapplerdotcom/photos/a.317154781638645/5594264657260938/" TargetMode="External"/><Relationship Id="rId5440" Type="http://schemas.openxmlformats.org/officeDocument/2006/relationships/hyperlink" Target="https://www.facebook.com/profile.php?id=100002551512347" TargetMode="External"/><Relationship Id="rId939" Type="http://schemas.openxmlformats.org/officeDocument/2006/relationships/hyperlink" Target="https://www.facebook.com/jun.osorio.12" TargetMode="External"/><Relationship Id="rId1776" Type="http://schemas.openxmlformats.org/officeDocument/2006/relationships/hyperlink" Target="https://www.facebook.com/rapplerdotcom/photos/a.317154781638645/5596043783749692/" TargetMode="External"/><Relationship Id="rId1983" Type="http://schemas.openxmlformats.org/officeDocument/2006/relationships/hyperlink" Target="https://www.facebook.com/profile.php?id=100078433647836" TargetMode="External"/><Relationship Id="rId2827" Type="http://schemas.openxmlformats.org/officeDocument/2006/relationships/hyperlink" Target="https://www.facebook.com/salvacion.balidoy.58" TargetMode="External"/><Relationship Id="rId4042" Type="http://schemas.openxmlformats.org/officeDocument/2006/relationships/hyperlink" Target="https://www.facebook.com/rapplerdotcom/posts/pfbid02kmyrDmvYtHxz51VdR228sTCyvbHYDrwL4TgeoVAenoprSKkWhUFLyRmAuKBuGtXXl" TargetMode="External"/><Relationship Id="rId68" Type="http://schemas.openxmlformats.org/officeDocument/2006/relationships/hyperlink" Target="https://www.facebook.com/rapplerdotcom/posts/pfbid0DUh4iFcrxZuR1UbiGhcAHcMdzsaV29GSeHCY1HabtqcnUWkjStX9TDaVqzzt92GDl" TargetMode="External"/><Relationship Id="rId1429" Type="http://schemas.openxmlformats.org/officeDocument/2006/relationships/hyperlink" Target="https://www.facebook.com/cory.ander.3" TargetMode="External"/><Relationship Id="rId1636" Type="http://schemas.openxmlformats.org/officeDocument/2006/relationships/hyperlink" Target="https://www.facebook.com/rapplerdotcom/posts/pfbid02AsSA4LQqjQ2Y8SVathQmtduoE3fhoGvQSNhvrzsMerDaJSQJ6jDvApCCiuaE7XCol" TargetMode="External"/><Relationship Id="rId1843" Type="http://schemas.openxmlformats.org/officeDocument/2006/relationships/hyperlink" Target="https://www.facebook.com/EnricElesisCruz" TargetMode="External"/><Relationship Id="rId4999" Type="http://schemas.openxmlformats.org/officeDocument/2006/relationships/hyperlink" Target="https://www.facebook.com/rapplerdotcom/posts/pfbid02BCyyacWVuuu1bwX5PwYK8PvqDGTANxekqEMy7qyV9vMmaGKTbC8sBf7i5j3Wbx9Ll" TargetMode="External"/><Relationship Id="rId5300" Type="http://schemas.openxmlformats.org/officeDocument/2006/relationships/hyperlink" Target="https://www.facebook.com/fortunato.salas.9" TargetMode="External"/><Relationship Id="rId1703" Type="http://schemas.openxmlformats.org/officeDocument/2006/relationships/hyperlink" Target="https://www.facebook.com/cory.ander.3" TargetMode="External"/><Relationship Id="rId1910" Type="http://schemas.openxmlformats.org/officeDocument/2006/relationships/hyperlink" Target="https://www.facebook.com/rapplerdotcom/photos/a.317154781638645/5596043783749692/" TargetMode="External"/><Relationship Id="rId4859" Type="http://schemas.openxmlformats.org/officeDocument/2006/relationships/hyperlink" Target="https://www.facebook.com/watch/live/?ref=watch_permalink&amp;v=923735834984653" TargetMode="External"/><Relationship Id="rId3668" Type="http://schemas.openxmlformats.org/officeDocument/2006/relationships/hyperlink" Target="https://www.facebook.com/rapplerdotcom/photos/a.317154781638645/5595162900504447/" TargetMode="External"/><Relationship Id="rId3875" Type="http://schemas.openxmlformats.org/officeDocument/2006/relationships/hyperlink" Target="https://www.facebook.com/ofel.chico" TargetMode="External"/><Relationship Id="rId4719" Type="http://schemas.openxmlformats.org/officeDocument/2006/relationships/hyperlink" Target="https://www.facebook.com/watch/live/?ref=watch_permalink&amp;v=923735834984653" TargetMode="External"/><Relationship Id="rId4926" Type="http://schemas.openxmlformats.org/officeDocument/2006/relationships/hyperlink" Target="https://www.facebook.com/barry.taganas.7" TargetMode="External"/><Relationship Id="rId6074" Type="http://schemas.openxmlformats.org/officeDocument/2006/relationships/hyperlink" Target="https://www.facebook.com/enrico.aragon.56" TargetMode="External"/><Relationship Id="rId589" Type="http://schemas.openxmlformats.org/officeDocument/2006/relationships/hyperlink" Target="https://www.facebook.com/crisostomo.ibara.146" TargetMode="External"/><Relationship Id="rId796" Type="http://schemas.openxmlformats.org/officeDocument/2006/relationships/hyperlink" Target="https://www.facebook.com/rapplerdotcom/photos/a.317154781638645/5597612220259515/" TargetMode="External"/><Relationship Id="rId2477" Type="http://schemas.openxmlformats.org/officeDocument/2006/relationships/hyperlink" Target="https://www.facebook.com/jheiykun.tolentino" TargetMode="External"/><Relationship Id="rId2684" Type="http://schemas.openxmlformats.org/officeDocument/2006/relationships/hyperlink" Target="https://www.facebook.com/rapplerdotcom/photos/a.317154781638645/5595733810447356/" TargetMode="External"/><Relationship Id="rId3528" Type="http://schemas.openxmlformats.org/officeDocument/2006/relationships/hyperlink" Target="https://www.facebook.com/rapplerdotcom/photos/a.317154781638645/5595372260483511/" TargetMode="External"/><Relationship Id="rId3735" Type="http://schemas.openxmlformats.org/officeDocument/2006/relationships/hyperlink" Target="https://www.facebook.com/profile.php?id=100011366202531" TargetMode="External"/><Relationship Id="rId5090" Type="http://schemas.openxmlformats.org/officeDocument/2006/relationships/hyperlink" Target="https://www.facebook.com/norieann.ramos" TargetMode="External"/><Relationship Id="rId6141" Type="http://schemas.openxmlformats.org/officeDocument/2006/relationships/hyperlink" Target="https://www.facebook.com/rapplerdotcom/posts/pfbid0JJW97xH5fR5tDSLUQ8AnEgkPMU9Aigs9CgcNy2Q7AzJY4R8mRoicBgu3PLdqpf2Tl" TargetMode="External"/><Relationship Id="rId449" Type="http://schemas.openxmlformats.org/officeDocument/2006/relationships/hyperlink" Target="https://www.facebook.com/rapplerdotcom/photos/a.317154781638645/5598220220198715/" TargetMode="External"/><Relationship Id="rId656" Type="http://schemas.openxmlformats.org/officeDocument/2006/relationships/hyperlink" Target="https://www.facebook.com/rapplerdotcom/photos/a.317154781638645/5597874143566656" TargetMode="External"/><Relationship Id="rId863" Type="http://schemas.openxmlformats.org/officeDocument/2006/relationships/hyperlink" Target="https://www.facebook.com/iamnoelricardo" TargetMode="External"/><Relationship Id="rId1079" Type="http://schemas.openxmlformats.org/officeDocument/2006/relationships/hyperlink" Target="https://www.facebook.com/profile.php?id=100028593196825" TargetMode="External"/><Relationship Id="rId1286" Type="http://schemas.openxmlformats.org/officeDocument/2006/relationships/hyperlink" Target="https://www.facebook.com/rapplerdotcom/posts/pfbid023goEfA6e1ABSWYJFy8fQ5LFWDv4QTSTmAfzySGtMSpy12iqywB2MUZjiZ8GjCxrGl" TargetMode="External"/><Relationship Id="rId1493" Type="http://schemas.openxmlformats.org/officeDocument/2006/relationships/hyperlink" Target="https://www.facebook.com/rahnlloyd.iliscupidez" TargetMode="External"/><Relationship Id="rId2337" Type="http://schemas.openxmlformats.org/officeDocument/2006/relationships/hyperlink" Target="https://www.facebook.com/siguenza.med96" TargetMode="External"/><Relationship Id="rId2544" Type="http://schemas.openxmlformats.org/officeDocument/2006/relationships/hyperlink" Target="https://www.facebook.com/rapplerdotcom/photos/a.317154781638645/5595733810447356/" TargetMode="External"/><Relationship Id="rId2891" Type="http://schemas.openxmlformats.org/officeDocument/2006/relationships/hyperlink" Target="https://www.facebook.com/divz.magz" TargetMode="External"/><Relationship Id="rId3942" Type="http://schemas.openxmlformats.org/officeDocument/2006/relationships/hyperlink" Target="https://www.facebook.com/rapplerdotcom/posts/pfbid0dyWpzxim3h4Z2SYriGakwQw85p7BCAgct7KU5EiMX1bmmgNHDD8nmES8rjrADsrPl" TargetMode="External"/><Relationship Id="rId6001" Type="http://schemas.openxmlformats.org/officeDocument/2006/relationships/hyperlink" Target="https://www.facebook.com/rapplerdotcom/photos/a.317154781638645/5594359700584767/" TargetMode="External"/><Relationship Id="rId309" Type="http://schemas.openxmlformats.org/officeDocument/2006/relationships/hyperlink" Target="https://www.facebook.com/rapplerdotcom/photos/a.317154781638645/5598220220198715/" TargetMode="External"/><Relationship Id="rId516" Type="http://schemas.openxmlformats.org/officeDocument/2006/relationships/hyperlink" Target="https://www.facebook.com/ryan.beltran.73" TargetMode="External"/><Relationship Id="rId1146" Type="http://schemas.openxmlformats.org/officeDocument/2006/relationships/hyperlink" Target="https://www.facebook.com/rapplerdotcom/posts/pfbid02dNgAR64VTtp94Rus4o9MNbU55E2H9Wp7KMKzJGkk6u4UxRyHU8j2pPpwa5iwGcD3l" TargetMode="External"/><Relationship Id="rId2751" Type="http://schemas.openxmlformats.org/officeDocument/2006/relationships/hyperlink" Target="https://www.facebook.com/jimmy.rebollo" TargetMode="External"/><Relationship Id="rId3802" Type="http://schemas.openxmlformats.org/officeDocument/2006/relationships/hyperlink" Target="https://www.facebook.com/rapplerdotcom/posts/pfbid0dyWpzxim3h4Z2SYriGakwQw85p7BCAgct7KU5EiMX1bmmgNHDD8nmES8rjrADsrPl" TargetMode="External"/><Relationship Id="rId723" Type="http://schemas.openxmlformats.org/officeDocument/2006/relationships/hyperlink" Target="https://www.facebook.com/fatiph.rack" TargetMode="External"/><Relationship Id="rId930" Type="http://schemas.openxmlformats.org/officeDocument/2006/relationships/hyperlink" Target="https://www.facebook.com/rapplerdotcom/photos/a.317154781638645/5597592673594803/" TargetMode="External"/><Relationship Id="rId1006" Type="http://schemas.openxmlformats.org/officeDocument/2006/relationships/hyperlink" Target="https://www.facebook.com/rapplerdotcom/photos/a.317154781638645/5597592673594803/" TargetMode="External"/><Relationship Id="rId1353" Type="http://schemas.openxmlformats.org/officeDocument/2006/relationships/hyperlink" Target="https://www.facebook.com/marjorie.vidad" TargetMode="External"/><Relationship Id="rId1560" Type="http://schemas.openxmlformats.org/officeDocument/2006/relationships/hyperlink" Target="https://www.facebook.com/rapplerdotcom/photos/a.317154781638645/5597116770309060/" TargetMode="External"/><Relationship Id="rId2404" Type="http://schemas.openxmlformats.org/officeDocument/2006/relationships/hyperlink" Target="https://www.facebook.com/rapplerdotcom/posts/pfbid0TYP6syjYwznxJKdhWv9YMaXK9NvsSEhQ2cyyCQCPMvGapWXrQBHehywgT156wqNPl" TargetMode="External"/><Relationship Id="rId2611" Type="http://schemas.openxmlformats.org/officeDocument/2006/relationships/hyperlink" Target="https://www.facebook.com/sunday.dugong" TargetMode="External"/><Relationship Id="rId5767" Type="http://schemas.openxmlformats.org/officeDocument/2006/relationships/hyperlink" Target="https://www.facebook.com/rapplerdotcom/photos/a.317154781638645/5594453700575367/" TargetMode="External"/><Relationship Id="rId5974" Type="http://schemas.openxmlformats.org/officeDocument/2006/relationships/hyperlink" Target="https://www.facebook.com/efren.moral.10" TargetMode="External"/><Relationship Id="rId1213" Type="http://schemas.openxmlformats.org/officeDocument/2006/relationships/hyperlink" Target="https://www.facebook.com/richard.abary" TargetMode="External"/><Relationship Id="rId1420" Type="http://schemas.openxmlformats.org/officeDocument/2006/relationships/hyperlink" Target="https://www.facebook.com/rapplerdotcom/photos/a.317154781638645/5597116770309060/" TargetMode="External"/><Relationship Id="rId4369" Type="http://schemas.openxmlformats.org/officeDocument/2006/relationships/hyperlink" Target="https://www.facebook.com/rapplerdotcom/photos/a.317154781638645/5594954703858600/" TargetMode="External"/><Relationship Id="rId4576" Type="http://schemas.openxmlformats.org/officeDocument/2006/relationships/hyperlink" Target="https://www.facebook.com/profile.php?id=100015856993797" TargetMode="External"/><Relationship Id="rId4783" Type="http://schemas.openxmlformats.org/officeDocument/2006/relationships/hyperlink" Target="https://www.facebook.com/watch/live/?ref=watch_permalink&amp;v=923735834984653" TargetMode="External"/><Relationship Id="rId4990" Type="http://schemas.openxmlformats.org/officeDocument/2006/relationships/hyperlink" Target="https://www.facebook.com/tiu.ag" TargetMode="External"/><Relationship Id="rId5627" Type="http://schemas.openxmlformats.org/officeDocument/2006/relationships/hyperlink" Target="https://www.facebook.com/rapplerdotcom/photos/a.317154781638645/5594453700575367/" TargetMode="External"/><Relationship Id="rId5834" Type="http://schemas.openxmlformats.org/officeDocument/2006/relationships/hyperlink" Target="https://www.facebook.com/oscar.sibal" TargetMode="External"/><Relationship Id="rId3178" Type="http://schemas.openxmlformats.org/officeDocument/2006/relationships/hyperlink" Target="https://www.facebook.com/watch/live/?ref=watch_permalink&amp;v=332681445500650" TargetMode="External"/><Relationship Id="rId3385" Type="http://schemas.openxmlformats.org/officeDocument/2006/relationships/hyperlink" Target="https://www.facebook.com/nonoyofalae" TargetMode="External"/><Relationship Id="rId3592" Type="http://schemas.openxmlformats.org/officeDocument/2006/relationships/hyperlink" Target="https://www.facebook.com/rapplerdotcom/photos/a.317154781638645/5595372260483511/" TargetMode="External"/><Relationship Id="rId4229" Type="http://schemas.openxmlformats.org/officeDocument/2006/relationships/hyperlink" Target="https://www.facebook.com/amaya.sabado" TargetMode="External"/><Relationship Id="rId4436" Type="http://schemas.openxmlformats.org/officeDocument/2006/relationships/hyperlink" Target="https://www.facebook.com/madz.gomez.73" TargetMode="External"/><Relationship Id="rId4643" Type="http://schemas.openxmlformats.org/officeDocument/2006/relationships/hyperlink" Target="https://www.facebook.com/watch/live/?ref=watch_permalink&amp;v=923735834984653" TargetMode="External"/><Relationship Id="rId4850" Type="http://schemas.openxmlformats.org/officeDocument/2006/relationships/hyperlink" Target="https://www.facebook.com/profile.php?id=100009525769322" TargetMode="External"/><Relationship Id="rId5901" Type="http://schemas.openxmlformats.org/officeDocument/2006/relationships/hyperlink" Target="https://www.facebook.com/rapplerdotcom/photos/a.317154781638645/5594359700584767/" TargetMode="External"/><Relationship Id="rId2194" Type="http://schemas.openxmlformats.org/officeDocument/2006/relationships/hyperlink" Target="https://www.facebook.com/rapplerdotcom/photos/a.317154781638645/5596022273751843/" TargetMode="External"/><Relationship Id="rId3038" Type="http://schemas.openxmlformats.org/officeDocument/2006/relationships/hyperlink" Target="https://www.facebook.com/watch/live/?ref=watch_permalink&amp;v=360307549312104" TargetMode="External"/><Relationship Id="rId3245" Type="http://schemas.openxmlformats.org/officeDocument/2006/relationships/hyperlink" Target="https://www.facebook.com/profile.php?id=100077279991106" TargetMode="External"/><Relationship Id="rId3452" Type="http://schemas.openxmlformats.org/officeDocument/2006/relationships/hyperlink" Target="https://www.facebook.com/rapplerdotcom/photos/a.317154781638645/5595372260483511/" TargetMode="External"/><Relationship Id="rId4503" Type="http://schemas.openxmlformats.org/officeDocument/2006/relationships/hyperlink" Target="https://www.facebook.com/rapplerdotcom/photos/a.317154781638645/5594954703858600/" TargetMode="External"/><Relationship Id="rId4710" Type="http://schemas.openxmlformats.org/officeDocument/2006/relationships/hyperlink" Target="https://www.facebook.com/maryjean.solison.5" TargetMode="External"/><Relationship Id="rId166" Type="http://schemas.openxmlformats.org/officeDocument/2006/relationships/hyperlink" Target="https://www.facebook.com/rapplerdotcom/posts/pfbid0DUh4iFcrxZuR1UbiGhcAHcMdzsaV29GSeHCY1HabtqcnUWkjStX9TDaVqzzt92GDl" TargetMode="External"/><Relationship Id="rId373" Type="http://schemas.openxmlformats.org/officeDocument/2006/relationships/hyperlink" Target="https://www.facebook.com/rapplerdotcom/photos/a.317154781638645/5598220220198715/" TargetMode="External"/><Relationship Id="rId580" Type="http://schemas.openxmlformats.org/officeDocument/2006/relationships/hyperlink" Target="https://www.facebook.com/rapplerdotcom/photos/a.317154781638645/5597874143566656" TargetMode="External"/><Relationship Id="rId2054" Type="http://schemas.openxmlformats.org/officeDocument/2006/relationships/hyperlink" Target="https://www.facebook.com/rapplerdotcom/photos/a.317154781638645/5596022273751843/" TargetMode="External"/><Relationship Id="rId2261" Type="http://schemas.openxmlformats.org/officeDocument/2006/relationships/hyperlink" Target="https://www.facebook.com/senpaiz09" TargetMode="External"/><Relationship Id="rId3105" Type="http://schemas.openxmlformats.org/officeDocument/2006/relationships/hyperlink" Target="https://www.facebook.com/profile.php?id=100071047785780" TargetMode="External"/><Relationship Id="rId3312" Type="http://schemas.openxmlformats.org/officeDocument/2006/relationships/hyperlink" Target="https://www.facebook.com/rapplerdotcom/photos/a.317154781638645/5595372260483511/" TargetMode="External"/><Relationship Id="rId233" Type="http://schemas.openxmlformats.org/officeDocument/2006/relationships/hyperlink" Target="https://www.facebook.com/rapplerdotcom/photos/a.317154781638645/5598220220198715/" TargetMode="External"/><Relationship Id="rId440" Type="http://schemas.openxmlformats.org/officeDocument/2006/relationships/hyperlink" Target="https://www.facebook.com/jameson.beljica" TargetMode="External"/><Relationship Id="rId1070" Type="http://schemas.openxmlformats.org/officeDocument/2006/relationships/hyperlink" Target="https://www.facebook.com/rapplerdotcom/posts/pfbid028Kg188FmebKa4aFvHZNp8zGTwjghWDDJuUmQ8agbSCvGAGJHZ7pBH9NmxLBmPZZdl" TargetMode="External"/><Relationship Id="rId2121" Type="http://schemas.openxmlformats.org/officeDocument/2006/relationships/hyperlink" Target="https://www.facebook.com/remy.dtamayo" TargetMode="External"/><Relationship Id="rId5277" Type="http://schemas.openxmlformats.org/officeDocument/2006/relationships/hyperlink" Target="https://www.facebook.com/rapplerdotcom/photos/a.317154781638645/5594264657260938/" TargetMode="External"/><Relationship Id="rId5484" Type="http://schemas.openxmlformats.org/officeDocument/2006/relationships/hyperlink" Target="https://www.facebook.com/arthur.purugganan" TargetMode="External"/><Relationship Id="rId300" Type="http://schemas.openxmlformats.org/officeDocument/2006/relationships/hyperlink" Target="https://www.facebook.com/bechabye" TargetMode="External"/><Relationship Id="rId4086" Type="http://schemas.openxmlformats.org/officeDocument/2006/relationships/hyperlink" Target="https://www.facebook.com/rapplerdotcom/posts/pfbid0231hbcbuKeQLDkPH8oZAdZbuU8MPPgRANx152V3xWpbjZ6EvfpohwQMvxHYAgrGPul" TargetMode="External"/><Relationship Id="rId5137" Type="http://schemas.openxmlformats.org/officeDocument/2006/relationships/hyperlink" Target="https://www.facebook.com/rapplerdotcom/photos/a.317154781638645/5594264657260938/" TargetMode="External"/><Relationship Id="rId5691" Type="http://schemas.openxmlformats.org/officeDocument/2006/relationships/hyperlink" Target="https://www.facebook.com/rapplerdotcom/photos/a.317154781638645/5594453700575367/" TargetMode="External"/><Relationship Id="rId1887" Type="http://schemas.openxmlformats.org/officeDocument/2006/relationships/hyperlink" Target="https://www.facebook.com/yspuj" TargetMode="External"/><Relationship Id="rId2938" Type="http://schemas.openxmlformats.org/officeDocument/2006/relationships/hyperlink" Target="https://www.facebook.com/watch/live/?ref=watch_permalink&amp;v=360307549312104" TargetMode="External"/><Relationship Id="rId4293" Type="http://schemas.openxmlformats.org/officeDocument/2006/relationships/hyperlink" Target="https://www.facebook.com/rapplerdotcom/photos/a.317154781638645/5594954703858600/" TargetMode="External"/><Relationship Id="rId5344" Type="http://schemas.openxmlformats.org/officeDocument/2006/relationships/hyperlink" Target="https://www.facebook.com/jo.talisaysay" TargetMode="External"/><Relationship Id="rId5551" Type="http://schemas.openxmlformats.org/officeDocument/2006/relationships/hyperlink" Target="https://www.facebook.com/rapplerdotcom/photos/a.317154781638645/5594453700575367/" TargetMode="External"/><Relationship Id="rId1747" Type="http://schemas.openxmlformats.org/officeDocument/2006/relationships/hyperlink" Target="https://www.facebook.com/ellen.barrios" TargetMode="External"/><Relationship Id="rId1954" Type="http://schemas.openxmlformats.org/officeDocument/2006/relationships/hyperlink" Target="https://www.facebook.com/rapplerdotcom/photos/a.317154781638645/5596043783749692/" TargetMode="External"/><Relationship Id="rId4153" Type="http://schemas.openxmlformats.org/officeDocument/2006/relationships/hyperlink" Target="https://www.facebook.com/awin.calderon" TargetMode="External"/><Relationship Id="rId4360" Type="http://schemas.openxmlformats.org/officeDocument/2006/relationships/hyperlink" Target="https://www.facebook.com/joey.abella.507" TargetMode="External"/><Relationship Id="rId5204" Type="http://schemas.openxmlformats.org/officeDocument/2006/relationships/hyperlink" Target="https://www.facebook.com/profile.php?id=100057086594248" TargetMode="External"/><Relationship Id="rId5411" Type="http://schemas.openxmlformats.org/officeDocument/2006/relationships/hyperlink" Target="https://www.facebook.com/watch/live/?ref=watch_permalink&amp;v=312865720941798" TargetMode="External"/><Relationship Id="rId39" Type="http://schemas.openxmlformats.org/officeDocument/2006/relationships/hyperlink" Target="https://www.facebook.com/alfredofabro.boking" TargetMode="External"/><Relationship Id="rId1607" Type="http://schemas.openxmlformats.org/officeDocument/2006/relationships/hyperlink" Target="https://www.facebook.com/ngorab.ngidnam" TargetMode="External"/><Relationship Id="rId1814" Type="http://schemas.openxmlformats.org/officeDocument/2006/relationships/hyperlink" Target="https://www.facebook.com/rapplerdotcom/photos/a.317154781638645/5596043783749692/" TargetMode="External"/><Relationship Id="rId4013" Type="http://schemas.openxmlformats.org/officeDocument/2006/relationships/hyperlink" Target="https://www.facebook.com/christopher.m.perey" TargetMode="External"/><Relationship Id="rId4220" Type="http://schemas.openxmlformats.org/officeDocument/2006/relationships/hyperlink" Target="https://www.facebook.com/rapplerdotcom/photos/a.317154781638645/5594954703858600/" TargetMode="External"/><Relationship Id="rId3779" Type="http://schemas.openxmlformats.org/officeDocument/2006/relationships/hyperlink" Target="https://www.facebook.com/jamostiago" TargetMode="External"/><Relationship Id="rId6185" Type="http://schemas.openxmlformats.org/officeDocument/2006/relationships/hyperlink" Target="https://www.facebook.com/watch/?v=684555919511830" TargetMode="External"/><Relationship Id="rId2588" Type="http://schemas.openxmlformats.org/officeDocument/2006/relationships/hyperlink" Target="https://www.facebook.com/rapplerdotcom/photos/a.317154781638645/5595733810447356/" TargetMode="External"/><Relationship Id="rId3986" Type="http://schemas.openxmlformats.org/officeDocument/2006/relationships/hyperlink" Target="https://www.facebook.com/rapplerdotcom/posts/pfbid0dyWpzxim3h4Z2SYriGakwQw85p7BCAgct7KU5EiMX1bmmgNHDD8nmES8rjrADsrPl" TargetMode="External"/><Relationship Id="rId6045" Type="http://schemas.openxmlformats.org/officeDocument/2006/relationships/hyperlink" Target="https://www.facebook.com/rapplerdotcom/photos/a.317154781638645/5594359700584767/" TargetMode="External"/><Relationship Id="rId1397" Type="http://schemas.openxmlformats.org/officeDocument/2006/relationships/hyperlink" Target="https://www.facebook.com/profile.php?id=100009111409816" TargetMode="External"/><Relationship Id="rId2795" Type="http://schemas.openxmlformats.org/officeDocument/2006/relationships/hyperlink" Target="https://www.facebook.com/eunicemay.bbe" TargetMode="External"/><Relationship Id="rId3639" Type="http://schemas.openxmlformats.org/officeDocument/2006/relationships/hyperlink" Target="https://www.facebook.com/vinceian06" TargetMode="External"/><Relationship Id="rId3846" Type="http://schemas.openxmlformats.org/officeDocument/2006/relationships/hyperlink" Target="https://www.facebook.com/rapplerdotcom/posts/pfbid0dyWpzxim3h4Z2SYriGakwQw85p7BCAgct7KU5EiMX1bmmgNHDD8nmES8rjrADsrPl" TargetMode="External"/><Relationship Id="rId5061" Type="http://schemas.openxmlformats.org/officeDocument/2006/relationships/hyperlink" Target="https://www.facebook.com/rapplerdotcom/posts/pfbid0231hbcbuKeQLDkPH8oZAdZbuU8MPPgRANx152V3xWpbjZ6EvfpohwQMvxHYAgrGPul" TargetMode="External"/><Relationship Id="rId6112" Type="http://schemas.openxmlformats.org/officeDocument/2006/relationships/hyperlink" Target="https://www.facebook.com/jenny.o.lew" TargetMode="External"/><Relationship Id="rId767" Type="http://schemas.openxmlformats.org/officeDocument/2006/relationships/hyperlink" Target="https://www.facebook.com/leonallent" TargetMode="External"/><Relationship Id="rId974" Type="http://schemas.openxmlformats.org/officeDocument/2006/relationships/hyperlink" Target="https://www.facebook.com/rapplerdotcom/photos/a.317154781638645/5597592673594803/" TargetMode="External"/><Relationship Id="rId2448" Type="http://schemas.openxmlformats.org/officeDocument/2006/relationships/hyperlink" Target="https://www.facebook.com/rapplerdotcom/posts/pfbid0TYP6syjYwznxJKdhWv9YMaXK9NvsSEhQ2cyyCQCPMvGapWXrQBHehywgT156wqNPl" TargetMode="External"/><Relationship Id="rId2655" Type="http://schemas.openxmlformats.org/officeDocument/2006/relationships/hyperlink" Target="https://www.facebook.com/profile.php?id=100009637215034" TargetMode="External"/><Relationship Id="rId2862" Type="http://schemas.openxmlformats.org/officeDocument/2006/relationships/hyperlink" Target="https://www.facebook.com/watch/?v=570590637273208" TargetMode="External"/><Relationship Id="rId3706" Type="http://schemas.openxmlformats.org/officeDocument/2006/relationships/hyperlink" Target="https://www.facebook.com/rapplerdotcom/photos/a.317154781638645/5595162900504447/" TargetMode="External"/><Relationship Id="rId3913" Type="http://schemas.openxmlformats.org/officeDocument/2006/relationships/hyperlink" Target="https://www.facebook.com/kristinejane.ramos.10" TargetMode="External"/><Relationship Id="rId627" Type="http://schemas.openxmlformats.org/officeDocument/2006/relationships/hyperlink" Target="https://www.facebook.com/joyceanne.payad" TargetMode="External"/><Relationship Id="rId834" Type="http://schemas.openxmlformats.org/officeDocument/2006/relationships/hyperlink" Target="https://www.facebook.com/rapplerdotcom/photos/a.317154781638645/5597612220259515/" TargetMode="External"/><Relationship Id="rId1257" Type="http://schemas.openxmlformats.org/officeDocument/2006/relationships/hyperlink" Target="https://www.facebook.com/buenaventura.romy" TargetMode="External"/><Relationship Id="rId1464" Type="http://schemas.openxmlformats.org/officeDocument/2006/relationships/hyperlink" Target="https://www.facebook.com/rapplerdotcom/photos/a.317154781638645/5597116770309060/" TargetMode="External"/><Relationship Id="rId1671" Type="http://schemas.openxmlformats.org/officeDocument/2006/relationships/hyperlink" Target="https://www.facebook.com/julius.alonzo.5" TargetMode="External"/><Relationship Id="rId2308" Type="http://schemas.openxmlformats.org/officeDocument/2006/relationships/hyperlink" Target="https://www.facebook.com/rapplerdotcom/posts/pfbid0TYP6syjYwznxJKdhWv9YMaXK9NvsSEhQ2cyyCQCPMvGapWXrQBHehywgT156wqNPl" TargetMode="External"/><Relationship Id="rId2515" Type="http://schemas.openxmlformats.org/officeDocument/2006/relationships/hyperlink" Target="https://www.facebook.com/cookshop168" TargetMode="External"/><Relationship Id="rId2722" Type="http://schemas.openxmlformats.org/officeDocument/2006/relationships/hyperlink" Target="https://www.facebook.com/rapplerdotcom/photos/a.317154781638645/5595733810447356/" TargetMode="External"/><Relationship Id="rId5878" Type="http://schemas.openxmlformats.org/officeDocument/2006/relationships/hyperlink" Target="https://www.facebook.com/janarvy.parr" TargetMode="External"/><Relationship Id="rId901" Type="http://schemas.openxmlformats.org/officeDocument/2006/relationships/hyperlink" Target="https://www.facebook.com/Jackbullmastiff" TargetMode="External"/><Relationship Id="rId1117" Type="http://schemas.openxmlformats.org/officeDocument/2006/relationships/hyperlink" Target="https://www.facebook.com/rlduldulao" TargetMode="External"/><Relationship Id="rId1324" Type="http://schemas.openxmlformats.org/officeDocument/2006/relationships/hyperlink" Target="https://www.facebook.com/rapplerdotcom/photos/a.317154781638645/5597116770309060/" TargetMode="External"/><Relationship Id="rId1531" Type="http://schemas.openxmlformats.org/officeDocument/2006/relationships/hyperlink" Target="https://www.facebook.com/arnel.dean.31" TargetMode="External"/><Relationship Id="rId4687" Type="http://schemas.openxmlformats.org/officeDocument/2006/relationships/hyperlink" Target="https://www.facebook.com/watch/live/?ref=watch_permalink&amp;v=923735834984653" TargetMode="External"/><Relationship Id="rId4894" Type="http://schemas.openxmlformats.org/officeDocument/2006/relationships/hyperlink" Target="https://www.facebook.com/profile.php?id=100005160163120" TargetMode="External"/><Relationship Id="rId5738" Type="http://schemas.openxmlformats.org/officeDocument/2006/relationships/hyperlink" Target="https://www.facebook.com/alfredofabro.boking" TargetMode="External"/><Relationship Id="rId5945" Type="http://schemas.openxmlformats.org/officeDocument/2006/relationships/hyperlink" Target="https://www.facebook.com/rapplerdotcom/photos/a.317154781638645/5594359700584767/" TargetMode="External"/><Relationship Id="rId30" Type="http://schemas.openxmlformats.org/officeDocument/2006/relationships/hyperlink" Target="https://www.facebook.com/rapplerdotcom/posts/pfbid0DUh4iFcrxZuR1UbiGhcAHcMdzsaV29GSeHCY1HabtqcnUWkjStX9TDaVqzzt92GDl" TargetMode="External"/><Relationship Id="rId3289" Type="http://schemas.openxmlformats.org/officeDocument/2006/relationships/hyperlink" Target="https://www.facebook.com/astroboiscout" TargetMode="External"/><Relationship Id="rId3496" Type="http://schemas.openxmlformats.org/officeDocument/2006/relationships/hyperlink" Target="https://www.facebook.com/rapplerdotcom/photos/a.317154781638645/5595372260483511/" TargetMode="External"/><Relationship Id="rId4547" Type="http://schemas.openxmlformats.org/officeDocument/2006/relationships/hyperlink" Target="https://www.facebook.com/rapplerdotcom/photos/a.317154781638645/5594954703858600/" TargetMode="External"/><Relationship Id="rId4754" Type="http://schemas.openxmlformats.org/officeDocument/2006/relationships/hyperlink" Target="https://www.facebook.com/profile.php?id=100008170805196" TargetMode="External"/><Relationship Id="rId2098" Type="http://schemas.openxmlformats.org/officeDocument/2006/relationships/hyperlink" Target="https://www.facebook.com/rapplerdotcom/photos/a.317154781638645/5596022273751843/" TargetMode="External"/><Relationship Id="rId3149" Type="http://schemas.openxmlformats.org/officeDocument/2006/relationships/hyperlink" Target="https://www.facebook.com/gin.elle.100" TargetMode="External"/><Relationship Id="rId3356" Type="http://schemas.openxmlformats.org/officeDocument/2006/relationships/hyperlink" Target="https://www.facebook.com/rapplerdotcom/photos/a.317154781638645/5595372260483511/" TargetMode="External"/><Relationship Id="rId3563" Type="http://schemas.openxmlformats.org/officeDocument/2006/relationships/hyperlink" Target="https://www.facebook.com/cyrilljoy.baldera.3" TargetMode="External"/><Relationship Id="rId4407" Type="http://schemas.openxmlformats.org/officeDocument/2006/relationships/hyperlink" Target="https://www.facebook.com/rapplerdotcom/photos/a.317154781638645/5594954703858600/" TargetMode="External"/><Relationship Id="rId4961" Type="http://schemas.openxmlformats.org/officeDocument/2006/relationships/hyperlink" Target="https://www.facebook.com/rapplerdotcom/posts/pfbid02BCyyacWVuuu1bwX5PwYK8PvqDGTANxekqEMy7qyV9vMmaGKTbC8sBf7i5j3Wbx9Ll" TargetMode="External"/><Relationship Id="rId5805" Type="http://schemas.openxmlformats.org/officeDocument/2006/relationships/hyperlink" Target="https://www.facebook.com/rapplerdotcom/photos/a.317154781638645/5594453700575367/" TargetMode="External"/><Relationship Id="rId277" Type="http://schemas.openxmlformats.org/officeDocument/2006/relationships/hyperlink" Target="https://www.facebook.com/rapplerdotcom/photos/a.317154781638645/5598220220198715/" TargetMode="External"/><Relationship Id="rId484" Type="http://schemas.openxmlformats.org/officeDocument/2006/relationships/hyperlink" Target="https://www.facebook.com/jeff.hubero" TargetMode="External"/><Relationship Id="rId2165" Type="http://schemas.openxmlformats.org/officeDocument/2006/relationships/hyperlink" Target="https://www.facebook.com/moana.minerva.39" TargetMode="External"/><Relationship Id="rId3009" Type="http://schemas.openxmlformats.org/officeDocument/2006/relationships/hyperlink" Target="https://www.facebook.com/john.tayone.56" TargetMode="External"/><Relationship Id="rId3216" Type="http://schemas.openxmlformats.org/officeDocument/2006/relationships/hyperlink" Target="https://www.facebook.com/watch/live/?ref=watch_permalink&amp;v=332681445500650" TargetMode="External"/><Relationship Id="rId3770" Type="http://schemas.openxmlformats.org/officeDocument/2006/relationships/hyperlink" Target="https://www.facebook.com/rapplerdotcom/posts/pfbid0dyWpzxim3h4Z2SYriGakwQw85p7BCAgct7KU5EiMX1bmmgNHDD8nmES8rjrADsrPl" TargetMode="External"/><Relationship Id="rId4614" Type="http://schemas.openxmlformats.org/officeDocument/2006/relationships/hyperlink" Target="https://www.facebook.com/daphne.baula" TargetMode="External"/><Relationship Id="rId4821" Type="http://schemas.openxmlformats.org/officeDocument/2006/relationships/hyperlink" Target="https://www.facebook.com/watch/live/?ref=watch_permalink&amp;v=923735834984653" TargetMode="External"/><Relationship Id="rId137" Type="http://schemas.openxmlformats.org/officeDocument/2006/relationships/hyperlink" Target="https://www.facebook.com/gumer.liston" TargetMode="External"/><Relationship Id="rId344" Type="http://schemas.openxmlformats.org/officeDocument/2006/relationships/hyperlink" Target="https://www.facebook.com/araceli.abellar.16" TargetMode="External"/><Relationship Id="rId691" Type="http://schemas.openxmlformats.org/officeDocument/2006/relationships/hyperlink" Target="https://www.facebook.com/profile.php?id=100070178707772" TargetMode="External"/><Relationship Id="rId2025" Type="http://schemas.openxmlformats.org/officeDocument/2006/relationships/hyperlink" Target="https://www.facebook.com/katrina.bay.18" TargetMode="External"/><Relationship Id="rId2372" Type="http://schemas.openxmlformats.org/officeDocument/2006/relationships/hyperlink" Target="https://www.facebook.com/rapplerdotcom/posts/pfbid0TYP6syjYwznxJKdhWv9YMaXK9NvsSEhQ2cyyCQCPMvGapWXrQBHehywgT156wqNPl" TargetMode="External"/><Relationship Id="rId3423" Type="http://schemas.openxmlformats.org/officeDocument/2006/relationships/hyperlink" Target="https://www.facebook.com/eduardo.m.lombo" TargetMode="External"/><Relationship Id="rId3630" Type="http://schemas.openxmlformats.org/officeDocument/2006/relationships/hyperlink" Target="https://www.facebook.com/rapplerdotcom/photos/a.317154781638645/5595372260483511/" TargetMode="External"/><Relationship Id="rId551" Type="http://schemas.openxmlformats.org/officeDocument/2006/relationships/hyperlink" Target="https://www.facebook.com/ness.lansang.1" TargetMode="External"/><Relationship Id="rId1181" Type="http://schemas.openxmlformats.org/officeDocument/2006/relationships/hyperlink" Target="https://www.facebook.com/rosalia.calmaibanez" TargetMode="External"/><Relationship Id="rId2232" Type="http://schemas.openxmlformats.org/officeDocument/2006/relationships/hyperlink" Target="https://www.facebook.com/rapplerdotcom/photos/a.317154781638645/5596022273751843/" TargetMode="External"/><Relationship Id="rId5388" Type="http://schemas.openxmlformats.org/officeDocument/2006/relationships/hyperlink" Target="https://www.facebook.com/tseeeeeeb.18" TargetMode="External"/><Relationship Id="rId5595" Type="http://schemas.openxmlformats.org/officeDocument/2006/relationships/hyperlink" Target="https://www.facebook.com/rapplerdotcom/photos/a.317154781638645/5594453700575367/" TargetMode="External"/><Relationship Id="rId204" Type="http://schemas.openxmlformats.org/officeDocument/2006/relationships/hyperlink" Target="https://www.facebook.com/rapplerdotcom/posts/pfbid0DUh4iFcrxZuR1UbiGhcAHcMdzsaV29GSeHCY1HabtqcnUWkjStX9TDaVqzzt92GDl" TargetMode="External"/><Relationship Id="rId411" Type="http://schemas.openxmlformats.org/officeDocument/2006/relationships/hyperlink" Target="https://www.facebook.com/rapplerdotcom/photos/a.317154781638645/5598220220198715/" TargetMode="External"/><Relationship Id="rId1041" Type="http://schemas.openxmlformats.org/officeDocument/2006/relationships/hyperlink" Target="https://www.facebook.com/angelitoljaojr" TargetMode="External"/><Relationship Id="rId1998" Type="http://schemas.openxmlformats.org/officeDocument/2006/relationships/hyperlink" Target="https://www.facebook.com/rapplerdotcom/photos/a.317154781638645/5596022273751843/" TargetMode="External"/><Relationship Id="rId4197" Type="http://schemas.openxmlformats.org/officeDocument/2006/relationships/hyperlink" Target="https://www.facebook.com/kimberly.elardo.737" TargetMode="External"/><Relationship Id="rId5248" Type="http://schemas.openxmlformats.org/officeDocument/2006/relationships/hyperlink" Target="https://www.facebook.com/maldita.santita" TargetMode="External"/><Relationship Id="rId5455" Type="http://schemas.openxmlformats.org/officeDocument/2006/relationships/hyperlink" Target="https://www.facebook.com/watch/live/?ref=watch_permalink&amp;v=312865720941798" TargetMode="External"/><Relationship Id="rId5662" Type="http://schemas.openxmlformats.org/officeDocument/2006/relationships/hyperlink" Target="https://www.facebook.com/emviray" TargetMode="External"/><Relationship Id="rId1858" Type="http://schemas.openxmlformats.org/officeDocument/2006/relationships/hyperlink" Target="https://www.facebook.com/rapplerdotcom/photos/a.317154781638645/5596043783749692/" TargetMode="External"/><Relationship Id="rId4057" Type="http://schemas.openxmlformats.org/officeDocument/2006/relationships/hyperlink" Target="https://www.facebook.com/sumadsad.loyalty" TargetMode="External"/><Relationship Id="rId4264" Type="http://schemas.openxmlformats.org/officeDocument/2006/relationships/hyperlink" Target="https://www.facebook.com/CornerPrinter.ph" TargetMode="External"/><Relationship Id="rId4471" Type="http://schemas.openxmlformats.org/officeDocument/2006/relationships/hyperlink" Target="https://www.facebook.com/rapplerdotcom/photos/a.317154781638645/5594954703858600/" TargetMode="External"/><Relationship Id="rId5108" Type="http://schemas.openxmlformats.org/officeDocument/2006/relationships/hyperlink" Target="https://www.facebook.com/zion.poliquit.54" TargetMode="External"/><Relationship Id="rId5315" Type="http://schemas.openxmlformats.org/officeDocument/2006/relationships/hyperlink" Target="https://www.facebook.com/rapplerdotcom/photos/a.317154781638645/5594264657260938/" TargetMode="External"/><Relationship Id="rId5522" Type="http://schemas.openxmlformats.org/officeDocument/2006/relationships/hyperlink" Target="https://www.facebook.com/tessie.domingo.7" TargetMode="External"/><Relationship Id="rId2909" Type="http://schemas.openxmlformats.org/officeDocument/2006/relationships/hyperlink" Target="https://www.facebook.com/raulg.azcuna" TargetMode="External"/><Relationship Id="rId3073" Type="http://schemas.openxmlformats.org/officeDocument/2006/relationships/hyperlink" Target="https://www.facebook.com/ayen.francisco.927" TargetMode="External"/><Relationship Id="rId3280" Type="http://schemas.openxmlformats.org/officeDocument/2006/relationships/hyperlink" Target="https://www.facebook.com/rapplerdotcom/photos/a.317154781638645/5595372260483511/" TargetMode="External"/><Relationship Id="rId4124" Type="http://schemas.openxmlformats.org/officeDocument/2006/relationships/hyperlink" Target="https://www.facebook.com/rapplerdotcom/photos/a.317154781638645/5594954703858600/" TargetMode="External"/><Relationship Id="rId4331" Type="http://schemas.openxmlformats.org/officeDocument/2006/relationships/hyperlink" Target="https://www.facebook.com/rapplerdotcom/photos/a.317154781638645/5594954703858600/" TargetMode="External"/><Relationship Id="rId1718" Type="http://schemas.openxmlformats.org/officeDocument/2006/relationships/hyperlink" Target="https://www.facebook.com/rapplerdotcom/photos/a.317154781638645/5596043783749692/" TargetMode="External"/><Relationship Id="rId1925" Type="http://schemas.openxmlformats.org/officeDocument/2006/relationships/hyperlink" Target="https://www.facebook.com/bernardo.nicolas.3382" TargetMode="External"/><Relationship Id="rId3140" Type="http://schemas.openxmlformats.org/officeDocument/2006/relationships/hyperlink" Target="https://www.facebook.com/watch/live/?ref=watch_permalink&amp;v=360307549312104" TargetMode="External"/><Relationship Id="rId6089" Type="http://schemas.openxmlformats.org/officeDocument/2006/relationships/hyperlink" Target="https://www.facebook.com/rapplerdotcom/photos/a.317154781638645/5594359700584767/" TargetMode="External"/><Relationship Id="rId6156" Type="http://schemas.openxmlformats.org/officeDocument/2006/relationships/hyperlink" Target="https://www.facebook.com/dennismanaladd" TargetMode="External"/><Relationship Id="rId2699" Type="http://schemas.openxmlformats.org/officeDocument/2006/relationships/hyperlink" Target="https://www.facebook.com/glenn.esmores.1" TargetMode="External"/><Relationship Id="rId3000" Type="http://schemas.openxmlformats.org/officeDocument/2006/relationships/hyperlink" Target="https://www.facebook.com/watch/live/?ref=watch_permalink&amp;v=360307549312104" TargetMode="External"/><Relationship Id="rId3957" Type="http://schemas.openxmlformats.org/officeDocument/2006/relationships/hyperlink" Target="https://www.facebook.com/dhoy.mamarinta" TargetMode="External"/><Relationship Id="rId878" Type="http://schemas.openxmlformats.org/officeDocument/2006/relationships/hyperlink" Target="https://www.facebook.com/rapplerdotcom/photos/a.317154781638645/5597612220259515/" TargetMode="External"/><Relationship Id="rId2559" Type="http://schemas.openxmlformats.org/officeDocument/2006/relationships/hyperlink" Target="https://www.facebook.com/profile.php?id=100075703493857" TargetMode="External"/><Relationship Id="rId2766" Type="http://schemas.openxmlformats.org/officeDocument/2006/relationships/hyperlink" Target="https://www.facebook.com/rapplerdotcom/photos/a.317154781638645/5595733810447356/" TargetMode="External"/><Relationship Id="rId2973" Type="http://schemas.openxmlformats.org/officeDocument/2006/relationships/hyperlink" Target="https://www.facebook.com/bong.umpa.1" TargetMode="External"/><Relationship Id="rId3817" Type="http://schemas.openxmlformats.org/officeDocument/2006/relationships/hyperlink" Target="https://www.facebook.com/malating.tao" TargetMode="External"/><Relationship Id="rId5172" Type="http://schemas.openxmlformats.org/officeDocument/2006/relationships/hyperlink" Target="https://www.facebook.com/LanieJuson" TargetMode="External"/><Relationship Id="rId6016" Type="http://schemas.openxmlformats.org/officeDocument/2006/relationships/hyperlink" Target="https://www.facebook.com/profile.php?id=100047766465936" TargetMode="External"/><Relationship Id="rId6223" Type="http://schemas.openxmlformats.org/officeDocument/2006/relationships/hyperlink" Target="https://www.facebook.com/watch/?v=684555919511830" TargetMode="External"/><Relationship Id="rId738" Type="http://schemas.openxmlformats.org/officeDocument/2006/relationships/hyperlink" Target="https://www.facebook.com/rapplerdotcom/photos/a.317154781638645/5597612220259515/" TargetMode="External"/><Relationship Id="rId945" Type="http://schemas.openxmlformats.org/officeDocument/2006/relationships/hyperlink" Target="https://www.facebook.com/rechellgastardo.gordonas" TargetMode="External"/><Relationship Id="rId1368" Type="http://schemas.openxmlformats.org/officeDocument/2006/relationships/hyperlink" Target="https://www.facebook.com/rapplerdotcom/photos/a.317154781638645/5597116770309060/" TargetMode="External"/><Relationship Id="rId1575" Type="http://schemas.openxmlformats.org/officeDocument/2006/relationships/hyperlink" Target="https://www.facebook.com/nel.mendoza.127201" TargetMode="External"/><Relationship Id="rId1782" Type="http://schemas.openxmlformats.org/officeDocument/2006/relationships/hyperlink" Target="https://www.facebook.com/rapplerdotcom/photos/a.317154781638645/5596043783749692/" TargetMode="External"/><Relationship Id="rId2419" Type="http://schemas.openxmlformats.org/officeDocument/2006/relationships/hyperlink" Target="https://www.facebook.com/WordsArchitect" TargetMode="External"/><Relationship Id="rId2626" Type="http://schemas.openxmlformats.org/officeDocument/2006/relationships/hyperlink" Target="https://www.facebook.com/rapplerdotcom/photos/a.317154781638645/5595733810447356/" TargetMode="External"/><Relationship Id="rId2833" Type="http://schemas.openxmlformats.org/officeDocument/2006/relationships/hyperlink" Target="https://www.facebook.com/divina.ritualpujeda" TargetMode="External"/><Relationship Id="rId5032" Type="http://schemas.openxmlformats.org/officeDocument/2006/relationships/hyperlink" Target="https://www.facebook.com/rommeltamonte7" TargetMode="External"/><Relationship Id="rId5989" Type="http://schemas.openxmlformats.org/officeDocument/2006/relationships/hyperlink" Target="https://www.facebook.com/rapplerdotcom/photos/a.317154781638645/5594359700584767/" TargetMode="External"/><Relationship Id="rId74" Type="http://schemas.openxmlformats.org/officeDocument/2006/relationships/hyperlink" Target="https://www.facebook.com/rapplerdotcom/posts/pfbid0DUh4iFcrxZuR1UbiGhcAHcMdzsaV29GSeHCY1HabtqcnUWkjStX9TDaVqzzt92GDl" TargetMode="External"/><Relationship Id="rId805" Type="http://schemas.openxmlformats.org/officeDocument/2006/relationships/hyperlink" Target="https://www.facebook.com/divina.callado" TargetMode="External"/><Relationship Id="rId1228" Type="http://schemas.openxmlformats.org/officeDocument/2006/relationships/hyperlink" Target="https://www.facebook.com/rapplerdotcom/posts/pfbid023goEfA6e1ABSWYJFy8fQ5LFWDv4QTSTmAfzySGtMSpy12iqywB2MUZjiZ8GjCxrGl" TargetMode="External"/><Relationship Id="rId1435" Type="http://schemas.openxmlformats.org/officeDocument/2006/relationships/hyperlink" Target="https://www.facebook.com/herbiebnitura" TargetMode="External"/><Relationship Id="rId4798" Type="http://schemas.openxmlformats.org/officeDocument/2006/relationships/hyperlink" Target="https://www.facebook.com/jolly.p.miranda" TargetMode="External"/><Relationship Id="rId1642" Type="http://schemas.openxmlformats.org/officeDocument/2006/relationships/hyperlink" Target="https://www.facebook.com/rapplerdotcom/posts/pfbid02AsSA4LQqjQ2Y8SVathQmtduoE3fhoGvQSNhvrzsMerDaJSQJ6jDvApCCiuaE7XCol" TargetMode="External"/><Relationship Id="rId2900" Type="http://schemas.openxmlformats.org/officeDocument/2006/relationships/hyperlink" Target="https://www.facebook.com/watch/live/?ref=watch_permalink&amp;v=360307549312104" TargetMode="External"/><Relationship Id="rId5849" Type="http://schemas.openxmlformats.org/officeDocument/2006/relationships/hyperlink" Target="https://www.facebook.com/rapplerdotcom/photos/a.317154781638645/5594453700575367/" TargetMode="External"/><Relationship Id="rId1502" Type="http://schemas.openxmlformats.org/officeDocument/2006/relationships/hyperlink" Target="https://www.facebook.com/rapplerdotcom/photos/a.317154781638645/5597116770309060/" TargetMode="External"/><Relationship Id="rId4658" Type="http://schemas.openxmlformats.org/officeDocument/2006/relationships/hyperlink" Target="https://www.facebook.com/profile.php?id=100008821067610" TargetMode="External"/><Relationship Id="rId4865" Type="http://schemas.openxmlformats.org/officeDocument/2006/relationships/hyperlink" Target="https://www.facebook.com/watch/live/?ref=watch_permalink&amp;v=923735834984653" TargetMode="External"/><Relationship Id="rId5709" Type="http://schemas.openxmlformats.org/officeDocument/2006/relationships/hyperlink" Target="https://www.facebook.com/rapplerdotcom/photos/a.317154781638645/5594453700575367/" TargetMode="External"/><Relationship Id="rId5916" Type="http://schemas.openxmlformats.org/officeDocument/2006/relationships/hyperlink" Target="https://www.facebook.com/christene.delacruz.777" TargetMode="External"/><Relationship Id="rId6080" Type="http://schemas.openxmlformats.org/officeDocument/2006/relationships/hyperlink" Target="https://www.facebook.com/aldrin.reyes.3760430" TargetMode="External"/><Relationship Id="rId388" Type="http://schemas.openxmlformats.org/officeDocument/2006/relationships/hyperlink" Target="https://www.facebook.com/johnragadi" TargetMode="External"/><Relationship Id="rId2069" Type="http://schemas.openxmlformats.org/officeDocument/2006/relationships/hyperlink" Target="https://www.facebook.com/cookie.car0307" TargetMode="External"/><Relationship Id="rId3467" Type="http://schemas.openxmlformats.org/officeDocument/2006/relationships/hyperlink" Target="https://www.facebook.com/ttanchanco" TargetMode="External"/><Relationship Id="rId3674" Type="http://schemas.openxmlformats.org/officeDocument/2006/relationships/hyperlink" Target="https://www.facebook.com/rapplerdotcom/photos/a.317154781638645/5595162900504447/" TargetMode="External"/><Relationship Id="rId3881" Type="http://schemas.openxmlformats.org/officeDocument/2006/relationships/hyperlink" Target="https://www.facebook.com/simonette.dacara" TargetMode="External"/><Relationship Id="rId4518" Type="http://schemas.openxmlformats.org/officeDocument/2006/relationships/hyperlink" Target="https://www.facebook.com/arlyn.roxas.94" TargetMode="External"/><Relationship Id="rId4725" Type="http://schemas.openxmlformats.org/officeDocument/2006/relationships/hyperlink" Target="https://www.facebook.com/watch/live/?ref=watch_permalink&amp;v=923735834984653" TargetMode="External"/><Relationship Id="rId4932" Type="http://schemas.openxmlformats.org/officeDocument/2006/relationships/hyperlink" Target="https://www.facebook.com/profile.php?id=100061205663342" TargetMode="External"/><Relationship Id="rId595" Type="http://schemas.openxmlformats.org/officeDocument/2006/relationships/hyperlink" Target="https://www.facebook.com/christine.mamaclay" TargetMode="External"/><Relationship Id="rId2276" Type="http://schemas.openxmlformats.org/officeDocument/2006/relationships/hyperlink" Target="https://www.facebook.com/rapplerdotcom/photos/a.317154781638645/5596022273751843/" TargetMode="External"/><Relationship Id="rId2483" Type="http://schemas.openxmlformats.org/officeDocument/2006/relationships/hyperlink" Target="https://www.facebook.com/deepblue69" TargetMode="External"/><Relationship Id="rId2690" Type="http://schemas.openxmlformats.org/officeDocument/2006/relationships/hyperlink" Target="https://www.facebook.com/rapplerdotcom/photos/a.317154781638645/5595733810447356/" TargetMode="External"/><Relationship Id="rId3327" Type="http://schemas.openxmlformats.org/officeDocument/2006/relationships/hyperlink" Target="https://www.facebook.com/junior.pontongan" TargetMode="External"/><Relationship Id="rId3534" Type="http://schemas.openxmlformats.org/officeDocument/2006/relationships/hyperlink" Target="https://www.facebook.com/rapplerdotcom/photos/a.317154781638645/5595372260483511/" TargetMode="External"/><Relationship Id="rId3741" Type="http://schemas.openxmlformats.org/officeDocument/2006/relationships/hyperlink" Target="https://www.facebook.com/jose.tagpi" TargetMode="External"/><Relationship Id="rId248" Type="http://schemas.openxmlformats.org/officeDocument/2006/relationships/hyperlink" Target="https://www.facebook.com/jeje.cruz.1690" TargetMode="External"/><Relationship Id="rId455" Type="http://schemas.openxmlformats.org/officeDocument/2006/relationships/hyperlink" Target="https://www.facebook.com/rapplerdotcom/photos/a.317154781638645/5598220220198715/" TargetMode="External"/><Relationship Id="rId662" Type="http://schemas.openxmlformats.org/officeDocument/2006/relationships/hyperlink" Target="https://www.facebook.com/rapplerdotcom/photos/a.317154781638645/5597874143566656" TargetMode="External"/><Relationship Id="rId1085" Type="http://schemas.openxmlformats.org/officeDocument/2006/relationships/hyperlink" Target="https://www.facebook.com/beng.decastro" TargetMode="External"/><Relationship Id="rId1292" Type="http://schemas.openxmlformats.org/officeDocument/2006/relationships/hyperlink" Target="https://www.facebook.com/rapplerdotcom/posts/pfbid023goEfA6e1ABSWYJFy8fQ5LFWDv4QTSTmAfzySGtMSpy12iqywB2MUZjiZ8GjCxrGl" TargetMode="External"/><Relationship Id="rId2136" Type="http://schemas.openxmlformats.org/officeDocument/2006/relationships/hyperlink" Target="https://www.facebook.com/rapplerdotcom/photos/a.317154781638645/5596022273751843/" TargetMode="External"/><Relationship Id="rId2343" Type="http://schemas.openxmlformats.org/officeDocument/2006/relationships/hyperlink" Target="https://www.facebook.com/ditas.ravanilla" TargetMode="External"/><Relationship Id="rId2550" Type="http://schemas.openxmlformats.org/officeDocument/2006/relationships/hyperlink" Target="https://www.facebook.com/rapplerdotcom/photos/a.317154781638645/5595733810447356/" TargetMode="External"/><Relationship Id="rId3601" Type="http://schemas.openxmlformats.org/officeDocument/2006/relationships/hyperlink" Target="https://www.facebook.com/claridad.delfin" TargetMode="External"/><Relationship Id="rId5499" Type="http://schemas.openxmlformats.org/officeDocument/2006/relationships/hyperlink" Target="https://www.facebook.com/rapplerdotcom/photos/a.317154781638645/5594453700575367/" TargetMode="External"/><Relationship Id="rId108" Type="http://schemas.openxmlformats.org/officeDocument/2006/relationships/hyperlink" Target="https://www.facebook.com/rapplerdotcom/posts/pfbid0DUh4iFcrxZuR1UbiGhcAHcMdzsaV29GSeHCY1HabtqcnUWkjStX9TDaVqzzt92GDl" TargetMode="External"/><Relationship Id="rId315" Type="http://schemas.openxmlformats.org/officeDocument/2006/relationships/hyperlink" Target="https://www.facebook.com/rapplerdotcom/photos/a.317154781638645/5598220220198715/" TargetMode="External"/><Relationship Id="rId522" Type="http://schemas.openxmlformats.org/officeDocument/2006/relationships/hyperlink" Target="https://www.facebook.com/ryan.beltran.73" TargetMode="External"/><Relationship Id="rId1152" Type="http://schemas.openxmlformats.org/officeDocument/2006/relationships/hyperlink" Target="https://www.facebook.com/rapplerdotcom/posts/pfbid02dNgAR64VTtp94Rus4o9MNbU55E2H9Wp7KMKzJGkk6u4UxRyHU8j2pPpwa5iwGcD3l" TargetMode="External"/><Relationship Id="rId2203" Type="http://schemas.openxmlformats.org/officeDocument/2006/relationships/hyperlink" Target="https://www.facebook.com/raquel.timones" TargetMode="External"/><Relationship Id="rId2410" Type="http://schemas.openxmlformats.org/officeDocument/2006/relationships/hyperlink" Target="https://www.facebook.com/rapplerdotcom/posts/pfbid0TYP6syjYwznxJKdhWv9YMaXK9NvsSEhQ2cyyCQCPMvGapWXrQBHehywgT156wqNPl" TargetMode="External"/><Relationship Id="rId5359" Type="http://schemas.openxmlformats.org/officeDocument/2006/relationships/hyperlink" Target="https://www.facebook.com/rapplerdotcom/photos/a.317154781638645/5594264657260938/" TargetMode="External"/><Relationship Id="rId5566" Type="http://schemas.openxmlformats.org/officeDocument/2006/relationships/hyperlink" Target="https://www.facebook.com/agnes.sanbuenaventura.9" TargetMode="External"/><Relationship Id="rId5773" Type="http://schemas.openxmlformats.org/officeDocument/2006/relationships/hyperlink" Target="https://www.facebook.com/rapplerdotcom/photos/a.317154781638645/5594453700575367/" TargetMode="External"/><Relationship Id="rId1012" Type="http://schemas.openxmlformats.org/officeDocument/2006/relationships/hyperlink" Target="https://www.facebook.com/rapplerdotcom/photos/a.317154781638645/5597592673594803/" TargetMode="External"/><Relationship Id="rId4168" Type="http://schemas.openxmlformats.org/officeDocument/2006/relationships/hyperlink" Target="https://www.facebook.com/rapplerdotcom/photos/a.317154781638645/5594954703858600/" TargetMode="External"/><Relationship Id="rId4375" Type="http://schemas.openxmlformats.org/officeDocument/2006/relationships/hyperlink" Target="https://www.facebook.com/rapplerdotcom/photos/a.317154781638645/5594954703858600/" TargetMode="External"/><Relationship Id="rId5219" Type="http://schemas.openxmlformats.org/officeDocument/2006/relationships/hyperlink" Target="https://www.facebook.com/rapplerdotcom/photos/a.317154781638645/5594264657260938/" TargetMode="External"/><Relationship Id="rId5426" Type="http://schemas.openxmlformats.org/officeDocument/2006/relationships/hyperlink" Target="https://www.facebook.com/rosemarie.anzures" TargetMode="External"/><Relationship Id="rId5980" Type="http://schemas.openxmlformats.org/officeDocument/2006/relationships/hyperlink" Target="https://www.facebook.com/gerardocandano" TargetMode="External"/><Relationship Id="rId1969" Type="http://schemas.openxmlformats.org/officeDocument/2006/relationships/hyperlink" Target="https://www.facebook.com/madammaharlika" TargetMode="External"/><Relationship Id="rId3184" Type="http://schemas.openxmlformats.org/officeDocument/2006/relationships/hyperlink" Target="https://www.facebook.com/watch/live/?ref=watch_permalink&amp;v=332681445500650" TargetMode="External"/><Relationship Id="rId4028" Type="http://schemas.openxmlformats.org/officeDocument/2006/relationships/hyperlink" Target="https://www.facebook.com/rapplerdotcom/posts/pfbid02kmyrDmvYtHxz51VdR228sTCyvbHYDrwL4TgeoVAenoprSKkWhUFLyRmAuKBuGtXXl" TargetMode="External"/><Relationship Id="rId4235" Type="http://schemas.openxmlformats.org/officeDocument/2006/relationships/hyperlink" Target="https://www.facebook.com/rapplerdotcom/photos/a.317154781638645/5594954703858600/" TargetMode="External"/><Relationship Id="rId4582" Type="http://schemas.openxmlformats.org/officeDocument/2006/relationships/hyperlink" Target="https://www.facebook.com/ariane.alejado.5" TargetMode="External"/><Relationship Id="rId5633" Type="http://schemas.openxmlformats.org/officeDocument/2006/relationships/hyperlink" Target="https://www.facebook.com/rapplerdotcom/photos/a.317154781638645/5594453700575367/" TargetMode="External"/><Relationship Id="rId5840" Type="http://schemas.openxmlformats.org/officeDocument/2006/relationships/hyperlink" Target="https://www.facebook.com/virgilio.r.cruz.5" TargetMode="External"/><Relationship Id="rId1829" Type="http://schemas.openxmlformats.org/officeDocument/2006/relationships/hyperlink" Target="https://www.facebook.com/profile.php?id=100027988665455" TargetMode="External"/><Relationship Id="rId3391" Type="http://schemas.openxmlformats.org/officeDocument/2006/relationships/hyperlink" Target="https://www.facebook.com/ate.rose.73" TargetMode="External"/><Relationship Id="rId4442" Type="http://schemas.openxmlformats.org/officeDocument/2006/relationships/hyperlink" Target="https://www.facebook.com/amaya.sabado" TargetMode="External"/><Relationship Id="rId5700" Type="http://schemas.openxmlformats.org/officeDocument/2006/relationships/hyperlink" Target="https://www.facebook.com/ramil.delarosa.5" TargetMode="External"/><Relationship Id="rId3044" Type="http://schemas.openxmlformats.org/officeDocument/2006/relationships/hyperlink" Target="https://www.facebook.com/watch/live/?ref=watch_permalink&amp;v=360307549312104" TargetMode="External"/><Relationship Id="rId3251" Type="http://schemas.openxmlformats.org/officeDocument/2006/relationships/hyperlink" Target="https://www.facebook.com/florence.tejada.31" TargetMode="External"/><Relationship Id="rId4302" Type="http://schemas.openxmlformats.org/officeDocument/2006/relationships/hyperlink" Target="https://www.facebook.com/epal.aco.56" TargetMode="External"/><Relationship Id="rId172" Type="http://schemas.openxmlformats.org/officeDocument/2006/relationships/hyperlink" Target="https://www.facebook.com/rapplerdotcom/posts/pfbid0DUh4iFcrxZuR1UbiGhcAHcMdzsaV29GSeHCY1HabtqcnUWkjStX9TDaVqzzt92GDl" TargetMode="External"/><Relationship Id="rId2060" Type="http://schemas.openxmlformats.org/officeDocument/2006/relationships/hyperlink" Target="https://www.facebook.com/rapplerdotcom/photos/a.317154781638645/5596022273751843/" TargetMode="External"/><Relationship Id="rId3111" Type="http://schemas.openxmlformats.org/officeDocument/2006/relationships/hyperlink" Target="https://www.facebook.com/profile.php?id=100070893796485" TargetMode="External"/><Relationship Id="rId989" Type="http://schemas.openxmlformats.org/officeDocument/2006/relationships/hyperlink" Target="https://www.facebook.com/profile.php?id=100001458259598" TargetMode="External"/><Relationship Id="rId2877" Type="http://schemas.openxmlformats.org/officeDocument/2006/relationships/hyperlink" Target="https://www.facebook.com/lucy.reeves.792" TargetMode="External"/><Relationship Id="rId5076" Type="http://schemas.openxmlformats.org/officeDocument/2006/relationships/hyperlink" Target="https://www.facebook.com/vanessa.cabelto" TargetMode="External"/><Relationship Id="rId5283" Type="http://schemas.openxmlformats.org/officeDocument/2006/relationships/hyperlink" Target="https://www.facebook.com/rapplerdotcom/photos/a.317154781638645/5594264657260938/" TargetMode="External"/><Relationship Id="rId5490" Type="http://schemas.openxmlformats.org/officeDocument/2006/relationships/hyperlink" Target="https://www.facebook.com/beverly.beverly.7161953" TargetMode="External"/><Relationship Id="rId6127" Type="http://schemas.openxmlformats.org/officeDocument/2006/relationships/hyperlink" Target="https://www.facebook.com/rapplerdotcom/posts/pfbid0JJW97xH5fR5tDSLUQ8AnEgkPMU9Aigs9CgcNy2Q7AzJY4R8mRoicBgu3PLdqpf2Tl" TargetMode="External"/><Relationship Id="rId849" Type="http://schemas.openxmlformats.org/officeDocument/2006/relationships/hyperlink" Target="https://www.facebook.com/rogelio.deguzman.73157" TargetMode="External"/><Relationship Id="rId1479" Type="http://schemas.openxmlformats.org/officeDocument/2006/relationships/hyperlink" Target="https://www.facebook.com/Alvin3aces" TargetMode="External"/><Relationship Id="rId1686" Type="http://schemas.openxmlformats.org/officeDocument/2006/relationships/hyperlink" Target="https://www.facebook.com/rapplerdotcom/photos/a.317154781638645/5596043783749692/" TargetMode="External"/><Relationship Id="rId3928" Type="http://schemas.openxmlformats.org/officeDocument/2006/relationships/hyperlink" Target="https://www.facebook.com/rapplerdotcom/posts/pfbid0dyWpzxim3h4Z2SYriGakwQw85p7BCAgct7KU5EiMX1bmmgNHDD8nmES8rjrADsrPl" TargetMode="External"/><Relationship Id="rId4092" Type="http://schemas.openxmlformats.org/officeDocument/2006/relationships/hyperlink" Target="https://www.facebook.com/rapplerdotcom/posts/pfbid0231hbcbuKeQLDkPH8oZAdZbuU8MPPgRANx152V3xWpbjZ6EvfpohwQMvxHYAgrGPul" TargetMode="External"/><Relationship Id="rId5143" Type="http://schemas.openxmlformats.org/officeDocument/2006/relationships/hyperlink" Target="https://www.facebook.com/rapplerdotcom/photos/a.317154781638645/5594264657260938/" TargetMode="External"/><Relationship Id="rId5350" Type="http://schemas.openxmlformats.org/officeDocument/2006/relationships/hyperlink" Target="https://www.facebook.com/ScarfaceNinja13" TargetMode="External"/><Relationship Id="rId1339" Type="http://schemas.openxmlformats.org/officeDocument/2006/relationships/hyperlink" Target="https://www.facebook.com/ken.chiz.393" TargetMode="External"/><Relationship Id="rId1893" Type="http://schemas.openxmlformats.org/officeDocument/2006/relationships/hyperlink" Target="https://www.facebook.com/fclcandari" TargetMode="External"/><Relationship Id="rId2737" Type="http://schemas.openxmlformats.org/officeDocument/2006/relationships/hyperlink" Target="https://www.facebook.com/myrna.zuasula" TargetMode="External"/><Relationship Id="rId2944" Type="http://schemas.openxmlformats.org/officeDocument/2006/relationships/hyperlink" Target="https://www.facebook.com/watch/live/?ref=watch_permalink&amp;v=360307549312104" TargetMode="External"/><Relationship Id="rId5003" Type="http://schemas.openxmlformats.org/officeDocument/2006/relationships/hyperlink" Target="https://www.facebook.com/rapplerdotcom/posts/pfbid02BCyyacWVuuu1bwX5PwYK8PvqDGTANxekqEMy7qyV9vMmaGKTbC8sBf7i5j3Wbx9Ll" TargetMode="External"/><Relationship Id="rId5210" Type="http://schemas.openxmlformats.org/officeDocument/2006/relationships/hyperlink" Target="https://www.facebook.com/nick.codico.5" TargetMode="External"/><Relationship Id="rId709" Type="http://schemas.openxmlformats.org/officeDocument/2006/relationships/hyperlink" Target="https://www.facebook.com/nilo.seda" TargetMode="External"/><Relationship Id="rId916" Type="http://schemas.openxmlformats.org/officeDocument/2006/relationships/hyperlink" Target="https://www.facebook.com/rapplerdotcom/photos/a.317154781638645/5597592673594803/" TargetMode="External"/><Relationship Id="rId1546" Type="http://schemas.openxmlformats.org/officeDocument/2006/relationships/hyperlink" Target="https://www.facebook.com/rapplerdotcom/photos/a.317154781638645/5597116770309060/" TargetMode="External"/><Relationship Id="rId1753" Type="http://schemas.openxmlformats.org/officeDocument/2006/relationships/hyperlink" Target="https://www.facebook.com/dyoeff.lmabasa" TargetMode="External"/><Relationship Id="rId1960" Type="http://schemas.openxmlformats.org/officeDocument/2006/relationships/hyperlink" Target="https://www.facebook.com/rapplerdotcom/photos/a.317154781638645/5596043783749692/" TargetMode="External"/><Relationship Id="rId2804" Type="http://schemas.openxmlformats.org/officeDocument/2006/relationships/hyperlink" Target="https://www.facebook.com/watch/?v=570590637273208" TargetMode="External"/><Relationship Id="rId45" Type="http://schemas.openxmlformats.org/officeDocument/2006/relationships/hyperlink" Target="https://www.facebook.com/pauljeric.queipo.1" TargetMode="External"/><Relationship Id="rId1406" Type="http://schemas.openxmlformats.org/officeDocument/2006/relationships/hyperlink" Target="https://www.facebook.com/rapplerdotcom/photos/a.317154781638645/5597116770309060/" TargetMode="External"/><Relationship Id="rId1613" Type="http://schemas.openxmlformats.org/officeDocument/2006/relationships/hyperlink" Target="https://www.facebook.com/nilo.asas" TargetMode="External"/><Relationship Id="rId1820" Type="http://schemas.openxmlformats.org/officeDocument/2006/relationships/hyperlink" Target="https://www.facebook.com/rapplerdotcom/photos/a.317154781638645/5596043783749692/" TargetMode="External"/><Relationship Id="rId4769" Type="http://schemas.openxmlformats.org/officeDocument/2006/relationships/hyperlink" Target="https://www.facebook.com/watch/live/?ref=watch_permalink&amp;v=923735834984653" TargetMode="External"/><Relationship Id="rId4976" Type="http://schemas.openxmlformats.org/officeDocument/2006/relationships/hyperlink" Target="https://www.facebook.com/profile.php?id=100061205663342" TargetMode="External"/><Relationship Id="rId3578" Type="http://schemas.openxmlformats.org/officeDocument/2006/relationships/hyperlink" Target="https://www.facebook.com/rapplerdotcom/photos/a.317154781638645/5595372260483511/" TargetMode="External"/><Relationship Id="rId3785" Type="http://schemas.openxmlformats.org/officeDocument/2006/relationships/hyperlink" Target="https://www.facebook.com/profile.php?id=100013497646924" TargetMode="External"/><Relationship Id="rId3992" Type="http://schemas.openxmlformats.org/officeDocument/2006/relationships/hyperlink" Target="https://www.facebook.com/rapplerdotcom/posts/pfbid0dyWpzxim3h4Z2SYriGakwQw85p7BCAgct7KU5EiMX1bmmgNHDD8nmES8rjrADsrPl" TargetMode="External"/><Relationship Id="rId4629" Type="http://schemas.openxmlformats.org/officeDocument/2006/relationships/hyperlink" Target="https://www.facebook.com/watch/live/?ref=watch_permalink&amp;v=923735834984653" TargetMode="External"/><Relationship Id="rId4836" Type="http://schemas.openxmlformats.org/officeDocument/2006/relationships/hyperlink" Target="https://www.facebook.com/ryan.vandolf" TargetMode="External"/><Relationship Id="rId6191" Type="http://schemas.openxmlformats.org/officeDocument/2006/relationships/hyperlink" Target="https://www.facebook.com/watch/?v=684555919511830" TargetMode="External"/><Relationship Id="rId499" Type="http://schemas.openxmlformats.org/officeDocument/2006/relationships/hyperlink" Target="https://www.facebook.com/rapplerdotcom/photos/a.317154781638645/5598220220198715/" TargetMode="External"/><Relationship Id="rId2387" Type="http://schemas.openxmlformats.org/officeDocument/2006/relationships/hyperlink" Target="https://www.facebook.com/profile.php?id=100077324863738" TargetMode="External"/><Relationship Id="rId2594" Type="http://schemas.openxmlformats.org/officeDocument/2006/relationships/hyperlink" Target="https://www.facebook.com/rapplerdotcom/photos/a.317154781638645/5595733810447356/" TargetMode="External"/><Relationship Id="rId3438" Type="http://schemas.openxmlformats.org/officeDocument/2006/relationships/hyperlink" Target="https://www.facebook.com/rapplerdotcom/photos/a.317154781638645/5595372260483511/" TargetMode="External"/><Relationship Id="rId3645" Type="http://schemas.openxmlformats.org/officeDocument/2006/relationships/hyperlink" Target="https://www.facebook.com/maleolore.piczon" TargetMode="External"/><Relationship Id="rId3852" Type="http://schemas.openxmlformats.org/officeDocument/2006/relationships/hyperlink" Target="https://www.facebook.com/rapplerdotcom/posts/pfbid0dyWpzxim3h4Z2SYriGakwQw85p7BCAgct7KU5EiMX1bmmgNHDD8nmES8rjrADsrPl" TargetMode="External"/><Relationship Id="rId6051" Type="http://schemas.openxmlformats.org/officeDocument/2006/relationships/hyperlink" Target="https://www.facebook.com/rapplerdotcom/photos/a.317154781638645/5594359700584767/" TargetMode="External"/><Relationship Id="rId359" Type="http://schemas.openxmlformats.org/officeDocument/2006/relationships/hyperlink" Target="https://www.facebook.com/rapplerdotcom/photos/a.317154781638645/5598220220198715/" TargetMode="External"/><Relationship Id="rId566" Type="http://schemas.openxmlformats.org/officeDocument/2006/relationships/hyperlink" Target="https://www.facebook.com/rapplerdotcom/photos/a.317154781638645/5597874143566656" TargetMode="External"/><Relationship Id="rId773" Type="http://schemas.openxmlformats.org/officeDocument/2006/relationships/hyperlink" Target="https://www.facebook.com/sarah.mae.lopez" TargetMode="External"/><Relationship Id="rId1196" Type="http://schemas.openxmlformats.org/officeDocument/2006/relationships/hyperlink" Target="https://www.facebook.com/rapplerdotcom/posts/pfbid023goEfA6e1ABSWYJFy8fQ5LFWDv4QTSTmAfzySGtMSpy12iqywB2MUZjiZ8GjCxrGl" TargetMode="External"/><Relationship Id="rId2247" Type="http://schemas.openxmlformats.org/officeDocument/2006/relationships/hyperlink" Target="https://www.facebook.com/totskie.alkhan" TargetMode="External"/><Relationship Id="rId2454" Type="http://schemas.openxmlformats.org/officeDocument/2006/relationships/hyperlink" Target="https://www.facebook.com/rapplerdotcom/posts/pfbid0TYP6syjYwznxJKdhWv9YMaXK9NvsSEhQ2cyyCQCPMvGapWXrQBHehywgT156wqNPl" TargetMode="External"/><Relationship Id="rId3505" Type="http://schemas.openxmlformats.org/officeDocument/2006/relationships/hyperlink" Target="https://www.facebook.com/manuel.cero.750" TargetMode="External"/><Relationship Id="rId4903" Type="http://schemas.openxmlformats.org/officeDocument/2006/relationships/hyperlink" Target="https://www.facebook.com/watch/live/?ref=watch_permalink&amp;v=923735834984653" TargetMode="External"/><Relationship Id="rId219" Type="http://schemas.openxmlformats.org/officeDocument/2006/relationships/hyperlink" Target="https://www.facebook.com/ey.oliveros" TargetMode="External"/><Relationship Id="rId426" Type="http://schemas.openxmlformats.org/officeDocument/2006/relationships/hyperlink" Target="https://www.facebook.com/myinspireducation.587606" TargetMode="External"/><Relationship Id="rId633" Type="http://schemas.openxmlformats.org/officeDocument/2006/relationships/hyperlink" Target="https://www.facebook.com/roijohnsare0117" TargetMode="External"/><Relationship Id="rId980" Type="http://schemas.openxmlformats.org/officeDocument/2006/relationships/hyperlink" Target="https://www.facebook.com/rapplerdotcom/photos/a.317154781638645/5597592673594803/" TargetMode="External"/><Relationship Id="rId1056" Type="http://schemas.openxmlformats.org/officeDocument/2006/relationships/hyperlink" Target="https://www.facebook.com/rapplerdotcom/posts/pfbid028Kg188FmebKa4aFvHZNp8zGTwjghWDDJuUmQ8agbSCvGAGJHZ7pBH9NmxLBmPZZdl" TargetMode="External"/><Relationship Id="rId1263" Type="http://schemas.openxmlformats.org/officeDocument/2006/relationships/hyperlink" Target="https://www.facebook.com/rey.santos.1426876" TargetMode="External"/><Relationship Id="rId2107" Type="http://schemas.openxmlformats.org/officeDocument/2006/relationships/hyperlink" Target="https://www.facebook.com/nino.samuel.14" TargetMode="External"/><Relationship Id="rId2314" Type="http://schemas.openxmlformats.org/officeDocument/2006/relationships/hyperlink" Target="https://www.facebook.com/rapplerdotcom/posts/pfbid0TYP6syjYwznxJKdhWv9YMaXK9NvsSEhQ2cyyCQCPMvGapWXrQBHehywgT156wqNPl" TargetMode="External"/><Relationship Id="rId2661" Type="http://schemas.openxmlformats.org/officeDocument/2006/relationships/hyperlink" Target="https://www.facebook.com/alonso.severo.5" TargetMode="External"/><Relationship Id="rId3712" Type="http://schemas.openxmlformats.org/officeDocument/2006/relationships/hyperlink" Target="https://www.facebook.com/rapplerdotcom/photos/a.317154781638645/5595162900504447/" TargetMode="External"/><Relationship Id="rId840" Type="http://schemas.openxmlformats.org/officeDocument/2006/relationships/hyperlink" Target="https://www.facebook.com/rapplerdotcom/photos/a.317154781638645/5597612220259515/" TargetMode="External"/><Relationship Id="rId1470" Type="http://schemas.openxmlformats.org/officeDocument/2006/relationships/hyperlink" Target="https://www.facebook.com/rapplerdotcom/photos/a.317154781638645/5597116770309060/" TargetMode="External"/><Relationship Id="rId2521" Type="http://schemas.openxmlformats.org/officeDocument/2006/relationships/hyperlink" Target="https://www.facebook.com/tommy.o.chua" TargetMode="External"/><Relationship Id="rId4279" Type="http://schemas.openxmlformats.org/officeDocument/2006/relationships/hyperlink" Target="https://www.facebook.com/rapplerdotcom/photos/a.317154781638645/5594954703858600/" TargetMode="External"/><Relationship Id="rId5677" Type="http://schemas.openxmlformats.org/officeDocument/2006/relationships/hyperlink" Target="https://www.facebook.com/rapplerdotcom/photos/a.317154781638645/5594453700575367/" TargetMode="External"/><Relationship Id="rId5884" Type="http://schemas.openxmlformats.org/officeDocument/2006/relationships/hyperlink" Target="https://www.facebook.com/wengnyssa.wengnyssa" TargetMode="External"/><Relationship Id="rId700" Type="http://schemas.openxmlformats.org/officeDocument/2006/relationships/hyperlink" Target="https://www.facebook.com/rapplerdotcom/photos/a.317154781638645/5597612220259515/" TargetMode="External"/><Relationship Id="rId1123" Type="http://schemas.openxmlformats.org/officeDocument/2006/relationships/hyperlink" Target="https://www.facebook.com/marivibalanon0908" TargetMode="External"/><Relationship Id="rId1330" Type="http://schemas.openxmlformats.org/officeDocument/2006/relationships/hyperlink" Target="https://www.facebook.com/rapplerdotcom/photos/a.317154781638645/5597116770309060/" TargetMode="External"/><Relationship Id="rId3088" Type="http://schemas.openxmlformats.org/officeDocument/2006/relationships/hyperlink" Target="https://www.facebook.com/watch/live/?ref=watch_permalink&amp;v=360307549312104" TargetMode="External"/><Relationship Id="rId4486" Type="http://schemas.openxmlformats.org/officeDocument/2006/relationships/hyperlink" Target="https://www.facebook.com/may.atr.5623" TargetMode="External"/><Relationship Id="rId4693" Type="http://schemas.openxmlformats.org/officeDocument/2006/relationships/hyperlink" Target="https://www.facebook.com/watch/live/?ref=watch_permalink&amp;v=923735834984653" TargetMode="External"/><Relationship Id="rId5537" Type="http://schemas.openxmlformats.org/officeDocument/2006/relationships/hyperlink" Target="https://www.facebook.com/rapplerdotcom/photos/a.317154781638645/5594453700575367/" TargetMode="External"/><Relationship Id="rId5744" Type="http://schemas.openxmlformats.org/officeDocument/2006/relationships/hyperlink" Target="https://www.facebook.com/jude.romero.14" TargetMode="External"/><Relationship Id="rId5951" Type="http://schemas.openxmlformats.org/officeDocument/2006/relationships/hyperlink" Target="https://www.facebook.com/rapplerdotcom/photos/a.317154781638645/5594359700584767/" TargetMode="External"/><Relationship Id="rId3295" Type="http://schemas.openxmlformats.org/officeDocument/2006/relationships/hyperlink" Target="https://www.facebook.com/profile.php?id=100011569547804" TargetMode="External"/><Relationship Id="rId4139" Type="http://schemas.openxmlformats.org/officeDocument/2006/relationships/hyperlink" Target="https://www.facebook.com/aldo.lavingu" TargetMode="External"/><Relationship Id="rId4346" Type="http://schemas.openxmlformats.org/officeDocument/2006/relationships/hyperlink" Target="https://www.facebook.com/nora.montejo.925" TargetMode="External"/><Relationship Id="rId4553" Type="http://schemas.openxmlformats.org/officeDocument/2006/relationships/hyperlink" Target="https://www.facebook.com/watch/live/?ref=watch_permalink&amp;v=923735834984653" TargetMode="External"/><Relationship Id="rId4760" Type="http://schemas.openxmlformats.org/officeDocument/2006/relationships/hyperlink" Target="https://www.facebook.com/bimbo.quiambao" TargetMode="External"/><Relationship Id="rId5604" Type="http://schemas.openxmlformats.org/officeDocument/2006/relationships/hyperlink" Target="https://www.facebook.com/herbert.jose.mnl" TargetMode="External"/><Relationship Id="rId5811" Type="http://schemas.openxmlformats.org/officeDocument/2006/relationships/hyperlink" Target="https://www.facebook.com/rapplerdotcom/photos/a.317154781638645/5594453700575367/" TargetMode="External"/><Relationship Id="rId3155" Type="http://schemas.openxmlformats.org/officeDocument/2006/relationships/hyperlink" Target="https://www.facebook.com/profile.php?id=100008524260472" TargetMode="External"/><Relationship Id="rId3362" Type="http://schemas.openxmlformats.org/officeDocument/2006/relationships/hyperlink" Target="https://www.facebook.com/rapplerdotcom/photos/a.317154781638645/5595372260483511/" TargetMode="External"/><Relationship Id="rId4206" Type="http://schemas.openxmlformats.org/officeDocument/2006/relationships/hyperlink" Target="https://www.facebook.com/rapplerdotcom/photos/a.317154781638645/5594954703858600/" TargetMode="External"/><Relationship Id="rId4413" Type="http://schemas.openxmlformats.org/officeDocument/2006/relationships/hyperlink" Target="https://www.facebook.com/rapplerdotcom/photos/a.317154781638645/5594954703858600/" TargetMode="External"/><Relationship Id="rId4620" Type="http://schemas.openxmlformats.org/officeDocument/2006/relationships/hyperlink" Target="https://www.facebook.com/profile.php?id=100074038491420" TargetMode="External"/><Relationship Id="rId283" Type="http://schemas.openxmlformats.org/officeDocument/2006/relationships/hyperlink" Target="https://www.facebook.com/rapplerdotcom/photos/a.317154781638645/5598220220198715/" TargetMode="External"/><Relationship Id="rId490" Type="http://schemas.openxmlformats.org/officeDocument/2006/relationships/hyperlink" Target="https://www.facebook.com/philip.casapao" TargetMode="External"/><Relationship Id="rId2171" Type="http://schemas.openxmlformats.org/officeDocument/2006/relationships/hyperlink" Target="https://www.facebook.com/annruth.bolisaygochingco" TargetMode="External"/><Relationship Id="rId3015" Type="http://schemas.openxmlformats.org/officeDocument/2006/relationships/hyperlink" Target="https://www.facebook.com/nelia.alfonso" TargetMode="External"/><Relationship Id="rId3222" Type="http://schemas.openxmlformats.org/officeDocument/2006/relationships/hyperlink" Target="https://www.facebook.com/watch/live/?ref=watch_permalink&amp;v=332681445500650" TargetMode="External"/><Relationship Id="rId143" Type="http://schemas.openxmlformats.org/officeDocument/2006/relationships/hyperlink" Target="https://www.facebook.com/rusticzana" TargetMode="External"/><Relationship Id="rId350" Type="http://schemas.openxmlformats.org/officeDocument/2006/relationships/hyperlink" Target="https://www.facebook.com/danilo.salas.98" TargetMode="External"/><Relationship Id="rId2031" Type="http://schemas.openxmlformats.org/officeDocument/2006/relationships/hyperlink" Target="https://www.facebook.com/brixaaron.monton.18" TargetMode="External"/><Relationship Id="rId5187" Type="http://schemas.openxmlformats.org/officeDocument/2006/relationships/hyperlink" Target="https://www.facebook.com/rapplerdotcom/photos/a.317154781638645/5594264657260938/" TargetMode="External"/><Relationship Id="rId5394" Type="http://schemas.openxmlformats.org/officeDocument/2006/relationships/hyperlink" Target="https://www.facebook.com/zuno.silang" TargetMode="External"/><Relationship Id="rId9" Type="http://schemas.openxmlformats.org/officeDocument/2006/relationships/hyperlink" Target="https://www.facebook.com/aqoucii.makmak" TargetMode="External"/><Relationship Id="rId210" Type="http://schemas.openxmlformats.org/officeDocument/2006/relationships/hyperlink" Target="https://www.facebook.com/rapplerdotcom/posts/pfbid0DUh4iFcrxZuR1UbiGhcAHcMdzsaV29GSeHCY1HabtqcnUWkjStX9TDaVqzzt92GDl" TargetMode="External"/><Relationship Id="rId2988" Type="http://schemas.openxmlformats.org/officeDocument/2006/relationships/hyperlink" Target="https://www.facebook.com/watch/live/?ref=watch_permalink&amp;v=360307549312104" TargetMode="External"/><Relationship Id="rId5047" Type="http://schemas.openxmlformats.org/officeDocument/2006/relationships/hyperlink" Target="https://www.facebook.com/rapplerdotcom/posts/pfbid02BCyyacWVuuu1bwX5PwYK8PvqDGTANxekqEMy7qyV9vMmaGKTbC8sBf7i5j3Wbx9Ll" TargetMode="External"/><Relationship Id="rId5254" Type="http://schemas.openxmlformats.org/officeDocument/2006/relationships/hyperlink" Target="https://www.facebook.com/nivelyn.abella.1" TargetMode="External"/><Relationship Id="rId1797" Type="http://schemas.openxmlformats.org/officeDocument/2006/relationships/hyperlink" Target="https://www.facebook.com/yongcoonang" TargetMode="External"/><Relationship Id="rId2848" Type="http://schemas.openxmlformats.org/officeDocument/2006/relationships/hyperlink" Target="https://www.facebook.com/watch/?v=570590637273208" TargetMode="External"/><Relationship Id="rId5461" Type="http://schemas.openxmlformats.org/officeDocument/2006/relationships/hyperlink" Target="https://www.facebook.com/watch/live/?ref=watch_permalink&amp;v=312865720941798" TargetMode="External"/><Relationship Id="rId89" Type="http://schemas.openxmlformats.org/officeDocument/2006/relationships/hyperlink" Target="https://www.facebook.com/spiderbeef23" TargetMode="External"/><Relationship Id="rId1657" Type="http://schemas.openxmlformats.org/officeDocument/2006/relationships/hyperlink" Target="https://www.facebook.com/mabelen.a.cartago" TargetMode="External"/><Relationship Id="rId1864" Type="http://schemas.openxmlformats.org/officeDocument/2006/relationships/hyperlink" Target="https://www.facebook.com/rapplerdotcom/photos/a.317154781638645/5596043783749692/" TargetMode="External"/><Relationship Id="rId2708" Type="http://schemas.openxmlformats.org/officeDocument/2006/relationships/hyperlink" Target="https://www.facebook.com/rapplerdotcom/photos/a.317154781638645/5595733810447356/" TargetMode="External"/><Relationship Id="rId2915" Type="http://schemas.openxmlformats.org/officeDocument/2006/relationships/hyperlink" Target="https://www.facebook.com/RitaAvilaBooksforChildren" TargetMode="External"/><Relationship Id="rId4063" Type="http://schemas.openxmlformats.org/officeDocument/2006/relationships/hyperlink" Target="https://www.facebook.com/vhersapitula" TargetMode="External"/><Relationship Id="rId4270" Type="http://schemas.openxmlformats.org/officeDocument/2006/relationships/hyperlink" Target="https://www.facebook.com/epal.aco.56" TargetMode="External"/><Relationship Id="rId5114" Type="http://schemas.openxmlformats.org/officeDocument/2006/relationships/hyperlink" Target="https://www.facebook.com/alvin.loyola.754" TargetMode="External"/><Relationship Id="rId5321" Type="http://schemas.openxmlformats.org/officeDocument/2006/relationships/hyperlink" Target="https://www.facebook.com/rapplerdotcom/photos/a.317154781638645/5594264657260938/" TargetMode="External"/><Relationship Id="rId1517" Type="http://schemas.openxmlformats.org/officeDocument/2006/relationships/hyperlink" Target="https://www.facebook.com/herbiebnitura" TargetMode="External"/><Relationship Id="rId1724" Type="http://schemas.openxmlformats.org/officeDocument/2006/relationships/hyperlink" Target="https://www.facebook.com/rapplerdotcom/photos/a.317154781638645/5596043783749692/" TargetMode="External"/><Relationship Id="rId4130" Type="http://schemas.openxmlformats.org/officeDocument/2006/relationships/hyperlink" Target="https://www.facebook.com/rapplerdotcom/photos/a.317154781638645/5594954703858600/" TargetMode="External"/><Relationship Id="rId16" Type="http://schemas.openxmlformats.org/officeDocument/2006/relationships/hyperlink" Target="https://www.facebook.com/rapplerdotcom/posts/pfbid0DUh4iFcrxZuR1UbiGhcAHcMdzsaV29GSeHCY1HabtqcnUWkjStX9TDaVqzzt92GDl" TargetMode="External"/><Relationship Id="rId1931" Type="http://schemas.openxmlformats.org/officeDocument/2006/relationships/hyperlink" Target="https://www.facebook.com/yongcoonang" TargetMode="External"/><Relationship Id="rId3689" Type="http://schemas.openxmlformats.org/officeDocument/2006/relationships/hyperlink" Target="https://www.facebook.com/annabelle.cruz.98" TargetMode="External"/><Relationship Id="rId3896" Type="http://schemas.openxmlformats.org/officeDocument/2006/relationships/hyperlink" Target="https://www.facebook.com/rapplerdotcom/posts/pfbid0dyWpzxim3h4Z2SYriGakwQw85p7BCAgct7KU5EiMX1bmmgNHDD8nmES8rjrADsrPl" TargetMode="External"/><Relationship Id="rId6095" Type="http://schemas.openxmlformats.org/officeDocument/2006/relationships/hyperlink" Target="https://www.facebook.com/rapplerdotcom/photos/a.317154781638645/5594359700584767/" TargetMode="External"/><Relationship Id="rId2498" Type="http://schemas.openxmlformats.org/officeDocument/2006/relationships/hyperlink" Target="https://www.facebook.com/rapplerdotcom/posts/pfbid0TYP6syjYwznxJKdhWv9YMaXK9NvsSEhQ2cyyCQCPMvGapWXrQBHehywgT156wqNPl" TargetMode="External"/><Relationship Id="rId3549" Type="http://schemas.openxmlformats.org/officeDocument/2006/relationships/hyperlink" Target="https://www.facebook.com/bautista.jimmy.98" TargetMode="External"/><Relationship Id="rId4947" Type="http://schemas.openxmlformats.org/officeDocument/2006/relationships/hyperlink" Target="https://www.facebook.com/rapplerdotcom/posts/pfbid02BCyyacWVuuu1bwX5PwYK8PvqDGTANxekqEMy7qyV9vMmaGKTbC8sBf7i5j3Wbx9Ll" TargetMode="External"/><Relationship Id="rId6162" Type="http://schemas.openxmlformats.org/officeDocument/2006/relationships/hyperlink" Target="https://www.facebook.com/gobi.castle.9" TargetMode="External"/><Relationship Id="rId677" Type="http://schemas.openxmlformats.org/officeDocument/2006/relationships/hyperlink" Target="https://www.facebook.com/profile.php?id=100070178707772" TargetMode="External"/><Relationship Id="rId2358" Type="http://schemas.openxmlformats.org/officeDocument/2006/relationships/hyperlink" Target="https://www.facebook.com/rapplerdotcom/posts/pfbid0TYP6syjYwznxJKdhWv9YMaXK9NvsSEhQ2cyyCQCPMvGapWXrQBHehywgT156wqNPl" TargetMode="External"/><Relationship Id="rId3756" Type="http://schemas.openxmlformats.org/officeDocument/2006/relationships/hyperlink" Target="https://www.facebook.com/rapplerdotcom/posts/pfbid0dyWpzxim3h4Z2SYriGakwQw85p7BCAgct7KU5EiMX1bmmgNHDD8nmES8rjrADsrPl" TargetMode="External"/><Relationship Id="rId3963" Type="http://schemas.openxmlformats.org/officeDocument/2006/relationships/hyperlink" Target="https://www.facebook.com/profile.php?id=100072014363480" TargetMode="External"/><Relationship Id="rId4807" Type="http://schemas.openxmlformats.org/officeDocument/2006/relationships/hyperlink" Target="https://www.facebook.com/watch/live/?ref=watch_permalink&amp;v=923735834984653" TargetMode="External"/><Relationship Id="rId6022" Type="http://schemas.openxmlformats.org/officeDocument/2006/relationships/hyperlink" Target="https://www.facebook.com/rebecca.rupal" TargetMode="External"/><Relationship Id="rId884" Type="http://schemas.openxmlformats.org/officeDocument/2006/relationships/hyperlink" Target="https://www.facebook.com/rapplerdotcom/photos/a.317154781638645/5597612220259515/" TargetMode="External"/><Relationship Id="rId2565" Type="http://schemas.openxmlformats.org/officeDocument/2006/relationships/hyperlink" Target="https://www.facebook.com/harveychato" TargetMode="External"/><Relationship Id="rId2772" Type="http://schemas.openxmlformats.org/officeDocument/2006/relationships/hyperlink" Target="https://www.facebook.com/watch/?v=570590637273208" TargetMode="External"/><Relationship Id="rId3409" Type="http://schemas.openxmlformats.org/officeDocument/2006/relationships/hyperlink" Target="https://www.facebook.com/profile.php?id=100011569547804" TargetMode="External"/><Relationship Id="rId3616" Type="http://schemas.openxmlformats.org/officeDocument/2006/relationships/hyperlink" Target="https://www.facebook.com/rapplerdotcom/photos/a.317154781638645/5595372260483511/" TargetMode="External"/><Relationship Id="rId3823" Type="http://schemas.openxmlformats.org/officeDocument/2006/relationships/hyperlink" Target="https://www.facebook.com/cory.penaroyo" TargetMode="External"/><Relationship Id="rId537" Type="http://schemas.openxmlformats.org/officeDocument/2006/relationships/hyperlink" Target="https://www.facebook.com/rapplerdotcom/photos/a.317154781638645/5598220220198715/" TargetMode="External"/><Relationship Id="rId744" Type="http://schemas.openxmlformats.org/officeDocument/2006/relationships/hyperlink" Target="https://www.facebook.com/rapplerdotcom/photos/a.317154781638645/5597612220259515/" TargetMode="External"/><Relationship Id="rId951" Type="http://schemas.openxmlformats.org/officeDocument/2006/relationships/hyperlink" Target="https://www.facebook.com/joe.biro.1840" TargetMode="External"/><Relationship Id="rId1167" Type="http://schemas.openxmlformats.org/officeDocument/2006/relationships/hyperlink" Target="https://www.facebook.com/profile.php?id=100008658065734" TargetMode="External"/><Relationship Id="rId1374" Type="http://schemas.openxmlformats.org/officeDocument/2006/relationships/hyperlink" Target="https://www.facebook.com/rapplerdotcom/photos/a.317154781638645/5597116770309060/" TargetMode="External"/><Relationship Id="rId1581" Type="http://schemas.openxmlformats.org/officeDocument/2006/relationships/hyperlink" Target="https://www.facebook.com/biennes.balloons" TargetMode="External"/><Relationship Id="rId2218" Type="http://schemas.openxmlformats.org/officeDocument/2006/relationships/hyperlink" Target="https://www.facebook.com/rapplerdotcom/photos/a.317154781638645/5596022273751843/" TargetMode="External"/><Relationship Id="rId2425" Type="http://schemas.openxmlformats.org/officeDocument/2006/relationships/hyperlink" Target="https://www.facebook.com/gina.deleon.5070" TargetMode="External"/><Relationship Id="rId2632" Type="http://schemas.openxmlformats.org/officeDocument/2006/relationships/hyperlink" Target="https://www.facebook.com/rapplerdotcom/photos/a.317154781638645/5595733810447356/" TargetMode="External"/><Relationship Id="rId5788" Type="http://schemas.openxmlformats.org/officeDocument/2006/relationships/hyperlink" Target="https://www.facebook.com/rudy.ricafrente.10" TargetMode="External"/><Relationship Id="rId5995" Type="http://schemas.openxmlformats.org/officeDocument/2006/relationships/hyperlink" Target="https://www.facebook.com/rapplerdotcom/photos/a.317154781638645/5594359700584767/" TargetMode="External"/><Relationship Id="rId80" Type="http://schemas.openxmlformats.org/officeDocument/2006/relationships/hyperlink" Target="https://www.facebook.com/rapplerdotcom/posts/pfbid0DUh4iFcrxZuR1UbiGhcAHcMdzsaV29GSeHCY1HabtqcnUWkjStX9TDaVqzzt92GDl" TargetMode="External"/><Relationship Id="rId604" Type="http://schemas.openxmlformats.org/officeDocument/2006/relationships/hyperlink" Target="https://www.facebook.com/rapplerdotcom/photos/a.317154781638645/5597874143566656" TargetMode="External"/><Relationship Id="rId811" Type="http://schemas.openxmlformats.org/officeDocument/2006/relationships/hyperlink" Target="https://www.facebook.com/florence.sabado.7" TargetMode="External"/><Relationship Id="rId1027" Type="http://schemas.openxmlformats.org/officeDocument/2006/relationships/hyperlink" Target="https://www.facebook.com/aldus.grey2" TargetMode="External"/><Relationship Id="rId1234" Type="http://schemas.openxmlformats.org/officeDocument/2006/relationships/hyperlink" Target="https://www.facebook.com/rapplerdotcom/posts/pfbid023goEfA6e1ABSWYJFy8fQ5LFWDv4QTSTmAfzySGtMSpy12iqywB2MUZjiZ8GjCxrGl" TargetMode="External"/><Relationship Id="rId1441" Type="http://schemas.openxmlformats.org/officeDocument/2006/relationships/hyperlink" Target="https://www.facebook.com/profile.php?id=100075753714712" TargetMode="External"/><Relationship Id="rId4597" Type="http://schemas.openxmlformats.org/officeDocument/2006/relationships/hyperlink" Target="https://www.facebook.com/watch/live/?ref=watch_permalink&amp;v=923735834984653" TargetMode="External"/><Relationship Id="rId5648" Type="http://schemas.openxmlformats.org/officeDocument/2006/relationships/hyperlink" Target="https://www.facebook.com/profile.php?id=100009601696045" TargetMode="External"/><Relationship Id="rId5855" Type="http://schemas.openxmlformats.org/officeDocument/2006/relationships/hyperlink" Target="https://www.facebook.com/rapplerdotcom/photos/a.317154781638645/5594453700575367/" TargetMode="External"/><Relationship Id="rId1301" Type="http://schemas.openxmlformats.org/officeDocument/2006/relationships/hyperlink" Target="https://www.facebook.com/profile.php?id=100060712852407" TargetMode="External"/><Relationship Id="rId3199" Type="http://schemas.openxmlformats.org/officeDocument/2006/relationships/hyperlink" Target="https://www.facebook.com/miki.iida1" TargetMode="External"/><Relationship Id="rId4457" Type="http://schemas.openxmlformats.org/officeDocument/2006/relationships/hyperlink" Target="https://www.facebook.com/rapplerdotcom/photos/a.317154781638645/5594954703858600/" TargetMode="External"/><Relationship Id="rId4664" Type="http://schemas.openxmlformats.org/officeDocument/2006/relationships/hyperlink" Target="https://www.facebook.com/panny.valles" TargetMode="External"/><Relationship Id="rId5508" Type="http://schemas.openxmlformats.org/officeDocument/2006/relationships/hyperlink" Target="https://www.facebook.com/joshuadolor" TargetMode="External"/><Relationship Id="rId5715" Type="http://schemas.openxmlformats.org/officeDocument/2006/relationships/hyperlink" Target="https://www.facebook.com/rapplerdotcom/photos/a.317154781638645/5594453700575367/" TargetMode="External"/><Relationship Id="rId3059" Type="http://schemas.openxmlformats.org/officeDocument/2006/relationships/hyperlink" Target="https://www.facebook.com/annalyn.patayan" TargetMode="External"/><Relationship Id="rId3266" Type="http://schemas.openxmlformats.org/officeDocument/2006/relationships/hyperlink" Target="https://www.facebook.com/rapplerdotcom/posts/pfbid035u2RhZvcYSiCeymgBfXLoFoq87y2V8v81A9xDtyoKJgzTGtotsEEoj2bH7Zd4mtzl" TargetMode="External"/><Relationship Id="rId3473" Type="http://schemas.openxmlformats.org/officeDocument/2006/relationships/hyperlink" Target="https://www.facebook.com/profile.php?id=100012286893622" TargetMode="External"/><Relationship Id="rId4317" Type="http://schemas.openxmlformats.org/officeDocument/2006/relationships/hyperlink" Target="https://www.facebook.com/rapplerdotcom/photos/a.317154781638645/5594954703858600/" TargetMode="External"/><Relationship Id="rId4524" Type="http://schemas.openxmlformats.org/officeDocument/2006/relationships/hyperlink" Target="https://www.facebook.com/carlito.almonte.779" TargetMode="External"/><Relationship Id="rId4871" Type="http://schemas.openxmlformats.org/officeDocument/2006/relationships/hyperlink" Target="https://www.facebook.com/watch/live/?ref=watch_permalink&amp;v=923735834984653" TargetMode="External"/><Relationship Id="rId5922" Type="http://schemas.openxmlformats.org/officeDocument/2006/relationships/hyperlink" Target="https://www.facebook.com/austregelina.chua" TargetMode="External"/><Relationship Id="rId187" Type="http://schemas.openxmlformats.org/officeDocument/2006/relationships/hyperlink" Target="https://www.facebook.com/mervilyn.constantino" TargetMode="External"/><Relationship Id="rId394" Type="http://schemas.openxmlformats.org/officeDocument/2006/relationships/hyperlink" Target="https://www.facebook.com/bill.worth.1422" TargetMode="External"/><Relationship Id="rId2075" Type="http://schemas.openxmlformats.org/officeDocument/2006/relationships/hyperlink" Target="https://www.facebook.com/annetardeo" TargetMode="External"/><Relationship Id="rId2282" Type="http://schemas.openxmlformats.org/officeDocument/2006/relationships/hyperlink" Target="https://www.facebook.com/rapplerdotcom/photos/a.317154781638645/5596022273751843/" TargetMode="External"/><Relationship Id="rId3126" Type="http://schemas.openxmlformats.org/officeDocument/2006/relationships/hyperlink" Target="https://www.facebook.com/watch/live/?ref=watch_permalink&amp;v=360307549312104" TargetMode="External"/><Relationship Id="rId3680" Type="http://schemas.openxmlformats.org/officeDocument/2006/relationships/hyperlink" Target="https://www.facebook.com/rapplerdotcom/photos/a.317154781638645/5595162900504447/" TargetMode="External"/><Relationship Id="rId4731" Type="http://schemas.openxmlformats.org/officeDocument/2006/relationships/hyperlink" Target="https://www.facebook.com/watch/live/?ref=watch_permalink&amp;v=923735834984653" TargetMode="External"/><Relationship Id="rId254" Type="http://schemas.openxmlformats.org/officeDocument/2006/relationships/hyperlink" Target="https://www.facebook.com/antonio.posadas.35" TargetMode="External"/><Relationship Id="rId1091" Type="http://schemas.openxmlformats.org/officeDocument/2006/relationships/hyperlink" Target="https://www.facebook.com/beng.decastro" TargetMode="External"/><Relationship Id="rId3333" Type="http://schemas.openxmlformats.org/officeDocument/2006/relationships/hyperlink" Target="https://www.facebook.com/mariajesusa.menor" TargetMode="External"/><Relationship Id="rId3540" Type="http://schemas.openxmlformats.org/officeDocument/2006/relationships/hyperlink" Target="https://www.facebook.com/rapplerdotcom/photos/a.317154781638645/5595372260483511/" TargetMode="External"/><Relationship Id="rId5298" Type="http://schemas.openxmlformats.org/officeDocument/2006/relationships/hyperlink" Target="https://www.facebook.com/ailen.oneva" TargetMode="External"/><Relationship Id="rId114" Type="http://schemas.openxmlformats.org/officeDocument/2006/relationships/hyperlink" Target="https://www.facebook.com/rapplerdotcom/posts/pfbid0DUh4iFcrxZuR1UbiGhcAHcMdzsaV29GSeHCY1HabtqcnUWkjStX9TDaVqzzt92GDl" TargetMode="External"/><Relationship Id="rId461" Type="http://schemas.openxmlformats.org/officeDocument/2006/relationships/hyperlink" Target="https://www.facebook.com/rapplerdotcom/photos/a.317154781638645/5598220220198715/" TargetMode="External"/><Relationship Id="rId2142" Type="http://schemas.openxmlformats.org/officeDocument/2006/relationships/hyperlink" Target="https://www.facebook.com/rapplerdotcom/photos/a.317154781638645/5596022273751843/" TargetMode="External"/><Relationship Id="rId3400" Type="http://schemas.openxmlformats.org/officeDocument/2006/relationships/hyperlink" Target="https://www.facebook.com/rapplerdotcom/photos/a.317154781638645/5595372260483511/" TargetMode="External"/><Relationship Id="rId321" Type="http://schemas.openxmlformats.org/officeDocument/2006/relationships/hyperlink" Target="https://www.facebook.com/rapplerdotcom/photos/a.317154781638645/5598220220198715/" TargetMode="External"/><Relationship Id="rId2002" Type="http://schemas.openxmlformats.org/officeDocument/2006/relationships/hyperlink" Target="https://www.facebook.com/rapplerdotcom/photos/a.317154781638645/5596022273751843/" TargetMode="External"/><Relationship Id="rId2959" Type="http://schemas.openxmlformats.org/officeDocument/2006/relationships/hyperlink" Target="https://www.facebook.com/metchroa" TargetMode="External"/><Relationship Id="rId5158" Type="http://schemas.openxmlformats.org/officeDocument/2006/relationships/hyperlink" Target="https://www.facebook.com/jehe.kokos" TargetMode="External"/><Relationship Id="rId5365" Type="http://schemas.openxmlformats.org/officeDocument/2006/relationships/hyperlink" Target="https://www.facebook.com/rapplerdotcom/photos/a.317154781638645/5594264657260938/" TargetMode="External"/><Relationship Id="rId5572" Type="http://schemas.openxmlformats.org/officeDocument/2006/relationships/hyperlink" Target="https://www.facebook.com/mar.briones.10" TargetMode="External"/><Relationship Id="rId6209" Type="http://schemas.openxmlformats.org/officeDocument/2006/relationships/hyperlink" Target="https://www.facebook.com/watch/?v=684555919511830" TargetMode="External"/><Relationship Id="rId1768" Type="http://schemas.openxmlformats.org/officeDocument/2006/relationships/hyperlink" Target="https://www.facebook.com/rapplerdotcom/photos/a.317154781638645/5596043783749692/" TargetMode="External"/><Relationship Id="rId2819" Type="http://schemas.openxmlformats.org/officeDocument/2006/relationships/hyperlink" Target="https://www.facebook.com/emily.ananda.3" TargetMode="External"/><Relationship Id="rId4174" Type="http://schemas.openxmlformats.org/officeDocument/2006/relationships/hyperlink" Target="https://www.facebook.com/rapplerdotcom/photos/a.317154781638645/5594954703858600/" TargetMode="External"/><Relationship Id="rId4381" Type="http://schemas.openxmlformats.org/officeDocument/2006/relationships/hyperlink" Target="https://www.facebook.com/rapplerdotcom/photos/a.317154781638645/5594954703858600/" TargetMode="External"/><Relationship Id="rId5018" Type="http://schemas.openxmlformats.org/officeDocument/2006/relationships/hyperlink" Target="https://www.facebook.com/rey.sumam" TargetMode="External"/><Relationship Id="rId5225" Type="http://schemas.openxmlformats.org/officeDocument/2006/relationships/hyperlink" Target="https://www.facebook.com/rapplerdotcom/photos/a.317154781638645/5594264657260938/" TargetMode="External"/><Relationship Id="rId5432" Type="http://schemas.openxmlformats.org/officeDocument/2006/relationships/hyperlink" Target="https://www.facebook.com/angelcried" TargetMode="External"/><Relationship Id="rId1628" Type="http://schemas.openxmlformats.org/officeDocument/2006/relationships/hyperlink" Target="https://www.facebook.com/rapplerdotcom/posts/pfbid02AsSA4LQqjQ2Y8SVathQmtduoE3fhoGvQSNhvrzsMerDaJSQJ6jDvApCCiuaE7XCol" TargetMode="External"/><Relationship Id="rId1975" Type="http://schemas.openxmlformats.org/officeDocument/2006/relationships/hyperlink" Target="https://www.facebook.com/yongcoonang" TargetMode="External"/><Relationship Id="rId3190" Type="http://schemas.openxmlformats.org/officeDocument/2006/relationships/hyperlink" Target="https://www.facebook.com/watch/live/?ref=watch_permalink&amp;v=332681445500650" TargetMode="External"/><Relationship Id="rId4034" Type="http://schemas.openxmlformats.org/officeDocument/2006/relationships/hyperlink" Target="https://www.facebook.com/rapplerdotcom/posts/pfbid02kmyrDmvYtHxz51VdR228sTCyvbHYDrwL4TgeoVAenoprSKkWhUFLyRmAuKBuGtXXl" TargetMode="External"/><Relationship Id="rId4241" Type="http://schemas.openxmlformats.org/officeDocument/2006/relationships/hyperlink" Target="https://www.facebook.com/rapplerdotcom/photos/a.317154781638645/5594954703858600/" TargetMode="External"/><Relationship Id="rId1835" Type="http://schemas.openxmlformats.org/officeDocument/2006/relationships/hyperlink" Target="https://www.facebook.com/Arianna11091989" TargetMode="External"/><Relationship Id="rId3050" Type="http://schemas.openxmlformats.org/officeDocument/2006/relationships/hyperlink" Target="https://www.facebook.com/watch/live/?ref=watch_permalink&amp;v=360307549312104" TargetMode="External"/><Relationship Id="rId4101" Type="http://schemas.openxmlformats.org/officeDocument/2006/relationships/hyperlink" Target="https://www.facebook.com/norieann.ramos" TargetMode="External"/><Relationship Id="rId1902" Type="http://schemas.openxmlformats.org/officeDocument/2006/relationships/hyperlink" Target="https://www.facebook.com/rapplerdotcom/photos/a.317154781638645/5596043783749692/" TargetMode="External"/><Relationship Id="rId6066" Type="http://schemas.openxmlformats.org/officeDocument/2006/relationships/hyperlink" Target="https://www.facebook.com/fotee.rimas" TargetMode="External"/><Relationship Id="rId3867" Type="http://schemas.openxmlformats.org/officeDocument/2006/relationships/hyperlink" Target="https://www.facebook.com/nandy.lucero" TargetMode="External"/><Relationship Id="rId4918" Type="http://schemas.openxmlformats.org/officeDocument/2006/relationships/hyperlink" Target="https://www.facebook.com/gerly.amante1" TargetMode="External"/><Relationship Id="rId788" Type="http://schemas.openxmlformats.org/officeDocument/2006/relationships/hyperlink" Target="https://www.facebook.com/rapplerdotcom/photos/a.317154781638645/5597612220259515/" TargetMode="External"/><Relationship Id="rId995" Type="http://schemas.openxmlformats.org/officeDocument/2006/relationships/hyperlink" Target="https://www.facebook.com/jun.abordo.94" TargetMode="External"/><Relationship Id="rId2469" Type="http://schemas.openxmlformats.org/officeDocument/2006/relationships/hyperlink" Target="https://www.facebook.com/hayzexxi.14" TargetMode="External"/><Relationship Id="rId2676" Type="http://schemas.openxmlformats.org/officeDocument/2006/relationships/hyperlink" Target="https://www.facebook.com/rapplerdotcom/photos/a.317154781638645/5595733810447356/" TargetMode="External"/><Relationship Id="rId2883" Type="http://schemas.openxmlformats.org/officeDocument/2006/relationships/hyperlink" Target="https://www.facebook.com/romiel.cabrezajr" TargetMode="External"/><Relationship Id="rId3727" Type="http://schemas.openxmlformats.org/officeDocument/2006/relationships/hyperlink" Target="https://www.facebook.com/JayArziiGee" TargetMode="External"/><Relationship Id="rId3934" Type="http://schemas.openxmlformats.org/officeDocument/2006/relationships/hyperlink" Target="https://www.facebook.com/rapplerdotcom/posts/pfbid0dyWpzxim3h4Z2SYriGakwQw85p7BCAgct7KU5EiMX1bmmgNHDD8nmES8rjrADsrPl" TargetMode="External"/><Relationship Id="rId5082" Type="http://schemas.openxmlformats.org/officeDocument/2006/relationships/hyperlink" Target="https://www.facebook.com/liv.viloria18" TargetMode="External"/><Relationship Id="rId6133" Type="http://schemas.openxmlformats.org/officeDocument/2006/relationships/hyperlink" Target="https://www.facebook.com/rapplerdotcom/posts/pfbid0JJW97xH5fR5tDSLUQ8AnEgkPMU9Aigs9CgcNy2Q7AzJY4R8mRoicBgu3PLdqpf2Tl" TargetMode="External"/><Relationship Id="rId648" Type="http://schemas.openxmlformats.org/officeDocument/2006/relationships/hyperlink" Target="https://www.facebook.com/rapplerdotcom/photos/a.317154781638645/5597874143566656" TargetMode="External"/><Relationship Id="rId855" Type="http://schemas.openxmlformats.org/officeDocument/2006/relationships/hyperlink" Target="https://www.facebook.com/budz.ky.14" TargetMode="External"/><Relationship Id="rId1278" Type="http://schemas.openxmlformats.org/officeDocument/2006/relationships/hyperlink" Target="https://www.facebook.com/rapplerdotcom/posts/pfbid023goEfA6e1ABSWYJFy8fQ5LFWDv4QTSTmAfzySGtMSpy12iqywB2MUZjiZ8GjCxrGl" TargetMode="External"/><Relationship Id="rId1485" Type="http://schemas.openxmlformats.org/officeDocument/2006/relationships/hyperlink" Target="https://www.facebook.com/rufino.baldovino" TargetMode="External"/><Relationship Id="rId1692" Type="http://schemas.openxmlformats.org/officeDocument/2006/relationships/hyperlink" Target="https://www.facebook.com/rapplerdotcom/photos/a.317154781638645/5596043783749692/" TargetMode="External"/><Relationship Id="rId2329" Type="http://schemas.openxmlformats.org/officeDocument/2006/relationships/hyperlink" Target="https://www.facebook.com/cielo.dupayamendiola" TargetMode="External"/><Relationship Id="rId2536" Type="http://schemas.openxmlformats.org/officeDocument/2006/relationships/hyperlink" Target="https://www.facebook.com/rapplerdotcom/photos/a.317154781638645/5595733810447356/" TargetMode="External"/><Relationship Id="rId2743" Type="http://schemas.openxmlformats.org/officeDocument/2006/relationships/hyperlink" Target="https://www.facebook.com/benjamin.alejandro.142" TargetMode="External"/><Relationship Id="rId5899" Type="http://schemas.openxmlformats.org/officeDocument/2006/relationships/hyperlink" Target="https://www.facebook.com/rapplerdotcom/photos/a.317154781638645/5594359700584767/" TargetMode="External"/><Relationship Id="rId6200" Type="http://schemas.openxmlformats.org/officeDocument/2006/relationships/hyperlink" Target="https://www.facebook.com/yztik.yaj" TargetMode="External"/><Relationship Id="rId508" Type="http://schemas.openxmlformats.org/officeDocument/2006/relationships/hyperlink" Target="https://www.facebook.com/florita.manzano.5" TargetMode="External"/><Relationship Id="rId715" Type="http://schemas.openxmlformats.org/officeDocument/2006/relationships/hyperlink" Target="https://www.facebook.com/daisycanonizado.dalangin" TargetMode="External"/><Relationship Id="rId922" Type="http://schemas.openxmlformats.org/officeDocument/2006/relationships/hyperlink" Target="https://www.facebook.com/rapplerdotcom/photos/a.317154781638645/5597592673594803/" TargetMode="External"/><Relationship Id="rId1138" Type="http://schemas.openxmlformats.org/officeDocument/2006/relationships/hyperlink" Target="https://www.facebook.com/rapplerdotcom/posts/pfbid02dNgAR64VTtp94Rus4o9MNbU55E2H9Wp7KMKzJGkk6u4UxRyHU8j2pPpwa5iwGcD3l" TargetMode="External"/><Relationship Id="rId1345" Type="http://schemas.openxmlformats.org/officeDocument/2006/relationships/hyperlink" Target="https://www.facebook.com/alexis.bacquiran" TargetMode="External"/><Relationship Id="rId1552" Type="http://schemas.openxmlformats.org/officeDocument/2006/relationships/hyperlink" Target="https://www.facebook.com/rapplerdotcom/photos/a.317154781638645/5597116770309060/" TargetMode="External"/><Relationship Id="rId2603" Type="http://schemas.openxmlformats.org/officeDocument/2006/relationships/hyperlink" Target="https://www.facebook.com/IamRoselleBaltazar" TargetMode="External"/><Relationship Id="rId2950" Type="http://schemas.openxmlformats.org/officeDocument/2006/relationships/hyperlink" Target="https://www.facebook.com/watch/live/?ref=watch_permalink&amp;v=360307549312104" TargetMode="External"/><Relationship Id="rId5759" Type="http://schemas.openxmlformats.org/officeDocument/2006/relationships/hyperlink" Target="https://www.facebook.com/rapplerdotcom/photos/a.317154781638645/5594453700575367/" TargetMode="External"/><Relationship Id="rId1205" Type="http://schemas.openxmlformats.org/officeDocument/2006/relationships/hyperlink" Target="https://www.facebook.com/mean.agustin" TargetMode="External"/><Relationship Id="rId2810" Type="http://schemas.openxmlformats.org/officeDocument/2006/relationships/hyperlink" Target="https://www.facebook.com/watch/?v=570590637273208" TargetMode="External"/><Relationship Id="rId4568" Type="http://schemas.openxmlformats.org/officeDocument/2006/relationships/hyperlink" Target="https://www.facebook.com/menchie.delrosario" TargetMode="External"/><Relationship Id="rId5966" Type="http://schemas.openxmlformats.org/officeDocument/2006/relationships/hyperlink" Target="https://www.facebook.com/udtohansamuel" TargetMode="External"/><Relationship Id="rId51" Type="http://schemas.openxmlformats.org/officeDocument/2006/relationships/hyperlink" Target="https://www.facebook.com/anthony.valeza" TargetMode="External"/><Relationship Id="rId1412" Type="http://schemas.openxmlformats.org/officeDocument/2006/relationships/hyperlink" Target="https://www.facebook.com/rapplerdotcom/photos/a.317154781638645/5597116770309060/" TargetMode="External"/><Relationship Id="rId3377" Type="http://schemas.openxmlformats.org/officeDocument/2006/relationships/hyperlink" Target="https://www.facebook.com/rapkarl04" TargetMode="External"/><Relationship Id="rId4775" Type="http://schemas.openxmlformats.org/officeDocument/2006/relationships/hyperlink" Target="https://www.facebook.com/watch/live/?ref=watch_permalink&amp;v=923735834984653" TargetMode="External"/><Relationship Id="rId4982" Type="http://schemas.openxmlformats.org/officeDocument/2006/relationships/hyperlink" Target="https://www.facebook.com/tiu.ag" TargetMode="External"/><Relationship Id="rId5619" Type="http://schemas.openxmlformats.org/officeDocument/2006/relationships/hyperlink" Target="https://www.facebook.com/rapplerdotcom/photos/a.317154781638645/5594453700575367/" TargetMode="External"/><Relationship Id="rId5826" Type="http://schemas.openxmlformats.org/officeDocument/2006/relationships/hyperlink" Target="https://www.facebook.com/daijing.dizon" TargetMode="External"/><Relationship Id="rId298" Type="http://schemas.openxmlformats.org/officeDocument/2006/relationships/hyperlink" Target="https://www.facebook.com/antonio.banaga.20" TargetMode="External"/><Relationship Id="rId3584" Type="http://schemas.openxmlformats.org/officeDocument/2006/relationships/hyperlink" Target="https://www.facebook.com/rapplerdotcom/photos/a.317154781638645/5595372260483511/" TargetMode="External"/><Relationship Id="rId3791" Type="http://schemas.openxmlformats.org/officeDocument/2006/relationships/hyperlink" Target="https://www.facebook.com/nilo.asas" TargetMode="External"/><Relationship Id="rId4428" Type="http://schemas.openxmlformats.org/officeDocument/2006/relationships/hyperlink" Target="https://www.facebook.com/awin.calderon" TargetMode="External"/><Relationship Id="rId4635" Type="http://schemas.openxmlformats.org/officeDocument/2006/relationships/hyperlink" Target="https://www.facebook.com/watch/live/?ref=watch_permalink&amp;v=923735834984653" TargetMode="External"/><Relationship Id="rId4842" Type="http://schemas.openxmlformats.org/officeDocument/2006/relationships/hyperlink" Target="https://www.facebook.com/leony.dumantay" TargetMode="External"/><Relationship Id="rId158" Type="http://schemas.openxmlformats.org/officeDocument/2006/relationships/hyperlink" Target="https://www.facebook.com/rapplerdotcom/posts/pfbid0DUh4iFcrxZuR1UbiGhcAHcMdzsaV29GSeHCY1HabtqcnUWkjStX9TDaVqzzt92GDl" TargetMode="External"/><Relationship Id="rId2186" Type="http://schemas.openxmlformats.org/officeDocument/2006/relationships/hyperlink" Target="https://www.facebook.com/rapplerdotcom/photos/a.317154781638645/5596022273751843/" TargetMode="External"/><Relationship Id="rId2393" Type="http://schemas.openxmlformats.org/officeDocument/2006/relationships/hyperlink" Target="https://www.facebook.com/mae.empal" TargetMode="External"/><Relationship Id="rId3237" Type="http://schemas.openxmlformats.org/officeDocument/2006/relationships/hyperlink" Target="https://www.facebook.com/profile.php?id=100077672017175" TargetMode="External"/><Relationship Id="rId3444" Type="http://schemas.openxmlformats.org/officeDocument/2006/relationships/hyperlink" Target="https://www.facebook.com/rapplerdotcom/photos/a.317154781638645/5595372260483511/" TargetMode="External"/><Relationship Id="rId3651" Type="http://schemas.openxmlformats.org/officeDocument/2006/relationships/hyperlink" Target="https://www.facebook.com/john.f.papa" TargetMode="External"/><Relationship Id="rId4702" Type="http://schemas.openxmlformats.org/officeDocument/2006/relationships/hyperlink" Target="https://www.facebook.com/ceruma.rich" TargetMode="External"/><Relationship Id="rId365" Type="http://schemas.openxmlformats.org/officeDocument/2006/relationships/hyperlink" Target="https://www.facebook.com/rapplerdotcom/photos/a.317154781638645/5598220220198715/" TargetMode="External"/><Relationship Id="rId572" Type="http://schemas.openxmlformats.org/officeDocument/2006/relationships/hyperlink" Target="https://www.facebook.com/rapplerdotcom/photos/a.317154781638645/5597874143566656" TargetMode="External"/><Relationship Id="rId2046" Type="http://schemas.openxmlformats.org/officeDocument/2006/relationships/hyperlink" Target="https://www.facebook.com/rapplerdotcom/photos/a.317154781638645/5596022273751843/" TargetMode="External"/><Relationship Id="rId2253" Type="http://schemas.openxmlformats.org/officeDocument/2006/relationships/hyperlink" Target="https://www.facebook.com/kylie.azure" TargetMode="External"/><Relationship Id="rId2460" Type="http://schemas.openxmlformats.org/officeDocument/2006/relationships/hyperlink" Target="https://www.facebook.com/rapplerdotcom/posts/pfbid0TYP6syjYwznxJKdhWv9YMaXK9NvsSEhQ2cyyCQCPMvGapWXrQBHehywgT156wqNPl" TargetMode="External"/><Relationship Id="rId3304" Type="http://schemas.openxmlformats.org/officeDocument/2006/relationships/hyperlink" Target="https://www.facebook.com/rapplerdotcom/photos/a.317154781638645/5595372260483511/" TargetMode="External"/><Relationship Id="rId3511" Type="http://schemas.openxmlformats.org/officeDocument/2006/relationships/hyperlink" Target="https://www.facebook.com/inday.jayme.5" TargetMode="External"/><Relationship Id="rId225" Type="http://schemas.openxmlformats.org/officeDocument/2006/relationships/hyperlink" Target="https://www.facebook.com/joeygarcia25" TargetMode="External"/><Relationship Id="rId432" Type="http://schemas.openxmlformats.org/officeDocument/2006/relationships/hyperlink" Target="https://www.facebook.com/joey.ibe.7" TargetMode="External"/><Relationship Id="rId1062" Type="http://schemas.openxmlformats.org/officeDocument/2006/relationships/hyperlink" Target="https://www.facebook.com/rapplerdotcom/posts/pfbid028Kg188FmebKa4aFvHZNp8zGTwjghWDDJuUmQ8agbSCvGAGJHZ7pBH9NmxLBmPZZdl" TargetMode="External"/><Relationship Id="rId2113" Type="http://schemas.openxmlformats.org/officeDocument/2006/relationships/hyperlink" Target="https://www.facebook.com/liz.lim.50115" TargetMode="External"/><Relationship Id="rId2320" Type="http://schemas.openxmlformats.org/officeDocument/2006/relationships/hyperlink" Target="https://www.facebook.com/rapplerdotcom/posts/pfbid0TYP6syjYwznxJKdhWv9YMaXK9NvsSEhQ2cyyCQCPMvGapWXrQBHehywgT156wqNPl" TargetMode="External"/><Relationship Id="rId5269" Type="http://schemas.openxmlformats.org/officeDocument/2006/relationships/hyperlink" Target="https://www.facebook.com/rapplerdotcom/photos/a.317154781638645/5594264657260938/" TargetMode="External"/><Relationship Id="rId5476" Type="http://schemas.openxmlformats.org/officeDocument/2006/relationships/hyperlink" Target="https://www.facebook.com/wilhelmina.medrano.3" TargetMode="External"/><Relationship Id="rId5683" Type="http://schemas.openxmlformats.org/officeDocument/2006/relationships/hyperlink" Target="https://www.facebook.com/rapplerdotcom/photos/a.317154781638645/5594453700575367/" TargetMode="External"/><Relationship Id="rId4078" Type="http://schemas.openxmlformats.org/officeDocument/2006/relationships/hyperlink" Target="https://www.facebook.com/rapplerdotcom/posts/pfbid0231hbcbuKeQLDkPH8oZAdZbuU8MPPgRANx152V3xWpbjZ6EvfpohwQMvxHYAgrGPul" TargetMode="External"/><Relationship Id="rId4285" Type="http://schemas.openxmlformats.org/officeDocument/2006/relationships/hyperlink" Target="https://www.facebook.com/rapplerdotcom/photos/a.317154781638645/5594954703858600/" TargetMode="External"/><Relationship Id="rId4492" Type="http://schemas.openxmlformats.org/officeDocument/2006/relationships/hyperlink" Target="https://www.facebook.com/alfred.paradero.9" TargetMode="External"/><Relationship Id="rId5129" Type="http://schemas.openxmlformats.org/officeDocument/2006/relationships/hyperlink" Target="https://www.facebook.com/rapplerdotcom/photos/a.317154781638645/5594264657260938/" TargetMode="External"/><Relationship Id="rId5336" Type="http://schemas.openxmlformats.org/officeDocument/2006/relationships/hyperlink" Target="https://www.facebook.com/lucius.allan" TargetMode="External"/><Relationship Id="rId5543" Type="http://schemas.openxmlformats.org/officeDocument/2006/relationships/hyperlink" Target="https://www.facebook.com/rapplerdotcom/photos/a.317154781638645/5594453700575367/" TargetMode="External"/><Relationship Id="rId5890" Type="http://schemas.openxmlformats.org/officeDocument/2006/relationships/hyperlink" Target="https://www.facebook.com/joyce.gracia" TargetMode="External"/><Relationship Id="rId1879" Type="http://schemas.openxmlformats.org/officeDocument/2006/relationships/hyperlink" Target="https://www.facebook.com/geegee.lopez" TargetMode="External"/><Relationship Id="rId3094" Type="http://schemas.openxmlformats.org/officeDocument/2006/relationships/hyperlink" Target="https://www.facebook.com/watch/live/?ref=watch_permalink&amp;v=360307549312104" TargetMode="External"/><Relationship Id="rId4145" Type="http://schemas.openxmlformats.org/officeDocument/2006/relationships/hyperlink" Target="https://www.facebook.com/sethestoy.montero" TargetMode="External"/><Relationship Id="rId5750" Type="http://schemas.openxmlformats.org/officeDocument/2006/relationships/hyperlink" Target="https://www.facebook.com/profile.php?id=100076416052093" TargetMode="External"/><Relationship Id="rId1739" Type="http://schemas.openxmlformats.org/officeDocument/2006/relationships/hyperlink" Target="https://www.facebook.com/ellen.barrios" TargetMode="External"/><Relationship Id="rId1946" Type="http://schemas.openxmlformats.org/officeDocument/2006/relationships/hyperlink" Target="https://www.facebook.com/rapplerdotcom/photos/a.317154781638645/5596043783749692/" TargetMode="External"/><Relationship Id="rId4005" Type="http://schemas.openxmlformats.org/officeDocument/2006/relationships/hyperlink" Target="https://www.facebook.com/noel.isorena.7" TargetMode="External"/><Relationship Id="rId4352" Type="http://schemas.openxmlformats.org/officeDocument/2006/relationships/hyperlink" Target="https://www.facebook.com/euji.666" TargetMode="External"/><Relationship Id="rId5403" Type="http://schemas.openxmlformats.org/officeDocument/2006/relationships/hyperlink" Target="https://www.facebook.com/watch/live/?ref=watch_permalink&amp;v=312865720941798" TargetMode="External"/><Relationship Id="rId5610" Type="http://schemas.openxmlformats.org/officeDocument/2006/relationships/hyperlink" Target="https://www.facebook.com/BimBirimBimBim" TargetMode="External"/><Relationship Id="rId1806" Type="http://schemas.openxmlformats.org/officeDocument/2006/relationships/hyperlink" Target="https://www.facebook.com/rapplerdotcom/photos/a.317154781638645/5596043783749692/" TargetMode="External"/><Relationship Id="rId3161" Type="http://schemas.openxmlformats.org/officeDocument/2006/relationships/hyperlink" Target="https://www.facebook.com/khlaire.pioquinto" TargetMode="External"/><Relationship Id="rId4212" Type="http://schemas.openxmlformats.org/officeDocument/2006/relationships/hyperlink" Target="https://www.facebook.com/rapplerdotcom/photos/a.317154781638645/5594954703858600/" TargetMode="External"/><Relationship Id="rId3021" Type="http://schemas.openxmlformats.org/officeDocument/2006/relationships/hyperlink" Target="https://www.facebook.com/deth.mamaclay" TargetMode="External"/><Relationship Id="rId3978" Type="http://schemas.openxmlformats.org/officeDocument/2006/relationships/hyperlink" Target="https://www.facebook.com/rapplerdotcom/posts/pfbid0dyWpzxim3h4Z2SYriGakwQw85p7BCAgct7KU5EiMX1bmmgNHDD8nmES8rjrADsrPl" TargetMode="External"/><Relationship Id="rId6177" Type="http://schemas.openxmlformats.org/officeDocument/2006/relationships/hyperlink" Target="https://www.facebook.com/watch/?v=684555919511830" TargetMode="External"/><Relationship Id="rId899" Type="http://schemas.openxmlformats.org/officeDocument/2006/relationships/hyperlink" Target="https://www.facebook.com/tony.deguzman.104" TargetMode="External"/><Relationship Id="rId2787" Type="http://schemas.openxmlformats.org/officeDocument/2006/relationships/hyperlink" Target="https://www.facebook.com/james.yodong" TargetMode="External"/><Relationship Id="rId3838" Type="http://schemas.openxmlformats.org/officeDocument/2006/relationships/hyperlink" Target="https://www.facebook.com/rapplerdotcom/posts/pfbid0dyWpzxim3h4Z2SYriGakwQw85p7BCAgct7KU5EiMX1bmmgNHDD8nmES8rjrADsrPl" TargetMode="External"/><Relationship Id="rId5193" Type="http://schemas.openxmlformats.org/officeDocument/2006/relationships/hyperlink" Target="https://www.facebook.com/rapplerdotcom/photos/a.317154781638645/5594264657260938/" TargetMode="External"/><Relationship Id="rId6037" Type="http://schemas.openxmlformats.org/officeDocument/2006/relationships/hyperlink" Target="https://www.facebook.com/rapplerdotcom/photos/a.317154781638645/5594359700584767/" TargetMode="External"/><Relationship Id="rId759" Type="http://schemas.openxmlformats.org/officeDocument/2006/relationships/hyperlink" Target="https://www.facebook.com/lizabcede.bana" TargetMode="External"/><Relationship Id="rId966" Type="http://schemas.openxmlformats.org/officeDocument/2006/relationships/hyperlink" Target="https://www.facebook.com/rapplerdotcom/photos/a.317154781638645/5597592673594803/" TargetMode="External"/><Relationship Id="rId1389" Type="http://schemas.openxmlformats.org/officeDocument/2006/relationships/hyperlink" Target="https://www.facebook.com/profile.php?id=100010194641005" TargetMode="External"/><Relationship Id="rId1596" Type="http://schemas.openxmlformats.org/officeDocument/2006/relationships/hyperlink" Target="https://www.facebook.com/rapplerdotcom/posts/pfbid02AsSA4LQqjQ2Y8SVathQmtduoE3fhoGvQSNhvrzsMerDaJSQJ6jDvApCCiuaE7XCol" TargetMode="External"/><Relationship Id="rId2647" Type="http://schemas.openxmlformats.org/officeDocument/2006/relationships/hyperlink" Target="https://www.facebook.com/she.real.9883" TargetMode="External"/><Relationship Id="rId2994" Type="http://schemas.openxmlformats.org/officeDocument/2006/relationships/hyperlink" Target="https://www.facebook.com/watch/live/?ref=watch_permalink&amp;v=360307549312104" TargetMode="External"/><Relationship Id="rId5053" Type="http://schemas.openxmlformats.org/officeDocument/2006/relationships/hyperlink" Target="https://www.facebook.com/rapplerdotcom/posts/pfbid0231hbcbuKeQLDkPH8oZAdZbuU8MPPgRANx152V3xWpbjZ6EvfpohwQMvxHYAgrGPul" TargetMode="External"/><Relationship Id="rId5260" Type="http://schemas.openxmlformats.org/officeDocument/2006/relationships/hyperlink" Target="https://www.facebook.com/rhodora.entera" TargetMode="External"/><Relationship Id="rId6104" Type="http://schemas.openxmlformats.org/officeDocument/2006/relationships/hyperlink" Target="https://www.facebook.com/phol.sanchez05" TargetMode="External"/><Relationship Id="rId619" Type="http://schemas.openxmlformats.org/officeDocument/2006/relationships/hyperlink" Target="https://www.facebook.com/sanse21" TargetMode="External"/><Relationship Id="rId1249" Type="http://schemas.openxmlformats.org/officeDocument/2006/relationships/hyperlink" Target="https://www.facebook.com/ronniel.deramos" TargetMode="External"/><Relationship Id="rId2854" Type="http://schemas.openxmlformats.org/officeDocument/2006/relationships/hyperlink" Target="https://www.facebook.com/watch/?v=570590637273208" TargetMode="External"/><Relationship Id="rId3905" Type="http://schemas.openxmlformats.org/officeDocument/2006/relationships/hyperlink" Target="https://www.facebook.com/julycabaleslablab" TargetMode="External"/><Relationship Id="rId5120" Type="http://schemas.openxmlformats.org/officeDocument/2006/relationships/hyperlink" Target="https://www.facebook.com/nivek.leiro2" TargetMode="External"/><Relationship Id="rId95" Type="http://schemas.openxmlformats.org/officeDocument/2006/relationships/hyperlink" Target="https://www.facebook.com/alvin.quibilan" TargetMode="External"/><Relationship Id="rId826" Type="http://schemas.openxmlformats.org/officeDocument/2006/relationships/hyperlink" Target="https://www.facebook.com/rapplerdotcom/photos/a.317154781638645/5597612220259515/" TargetMode="External"/><Relationship Id="rId1109" Type="http://schemas.openxmlformats.org/officeDocument/2006/relationships/hyperlink" Target="https://www.facebook.com/profile.php?id=100011366202531" TargetMode="External"/><Relationship Id="rId1456" Type="http://schemas.openxmlformats.org/officeDocument/2006/relationships/hyperlink" Target="https://www.facebook.com/rapplerdotcom/photos/a.317154781638645/5597116770309060/" TargetMode="External"/><Relationship Id="rId1663" Type="http://schemas.openxmlformats.org/officeDocument/2006/relationships/hyperlink" Target="https://www.facebook.com/cruz.marc.9" TargetMode="External"/><Relationship Id="rId1870" Type="http://schemas.openxmlformats.org/officeDocument/2006/relationships/hyperlink" Target="https://www.facebook.com/rapplerdotcom/photos/a.317154781638645/5596043783749692/" TargetMode="External"/><Relationship Id="rId2507" Type="http://schemas.openxmlformats.org/officeDocument/2006/relationships/hyperlink" Target="https://www.facebook.com/iamALArreza" TargetMode="External"/><Relationship Id="rId2714" Type="http://schemas.openxmlformats.org/officeDocument/2006/relationships/hyperlink" Target="https://www.facebook.com/rapplerdotcom/photos/a.317154781638645/5595733810447356/" TargetMode="External"/><Relationship Id="rId2921" Type="http://schemas.openxmlformats.org/officeDocument/2006/relationships/hyperlink" Target="https://www.facebook.com/nathann.delacruz.1" TargetMode="External"/><Relationship Id="rId1316" Type="http://schemas.openxmlformats.org/officeDocument/2006/relationships/hyperlink" Target="https://www.facebook.com/rapplerdotcom/photos/a.317154781638645/5597116770309060/" TargetMode="External"/><Relationship Id="rId1523" Type="http://schemas.openxmlformats.org/officeDocument/2006/relationships/hyperlink" Target="https://www.facebook.com/billyvuelta" TargetMode="External"/><Relationship Id="rId1730" Type="http://schemas.openxmlformats.org/officeDocument/2006/relationships/hyperlink" Target="https://www.facebook.com/rapplerdotcom/photos/a.317154781638645/5596043783749692/" TargetMode="External"/><Relationship Id="rId4679" Type="http://schemas.openxmlformats.org/officeDocument/2006/relationships/hyperlink" Target="https://www.facebook.com/watch/live/?ref=watch_permalink&amp;v=923735834984653" TargetMode="External"/><Relationship Id="rId4886" Type="http://schemas.openxmlformats.org/officeDocument/2006/relationships/hyperlink" Target="https://www.facebook.com/neilson.beltran.75" TargetMode="External"/><Relationship Id="rId5937" Type="http://schemas.openxmlformats.org/officeDocument/2006/relationships/hyperlink" Target="https://www.facebook.com/rapplerdotcom/photos/a.317154781638645/5594359700584767/" TargetMode="External"/><Relationship Id="rId22" Type="http://schemas.openxmlformats.org/officeDocument/2006/relationships/hyperlink" Target="https://www.facebook.com/rapplerdotcom/posts/pfbid0DUh4iFcrxZuR1UbiGhcAHcMdzsaV29GSeHCY1HabtqcnUWkjStX9TDaVqzzt92GDl" TargetMode="External"/><Relationship Id="rId3488" Type="http://schemas.openxmlformats.org/officeDocument/2006/relationships/hyperlink" Target="https://www.facebook.com/rapplerdotcom/photos/a.317154781638645/5595372260483511/" TargetMode="External"/><Relationship Id="rId3695" Type="http://schemas.openxmlformats.org/officeDocument/2006/relationships/hyperlink" Target="https://www.facebook.com/wystanc" TargetMode="External"/><Relationship Id="rId4539" Type="http://schemas.openxmlformats.org/officeDocument/2006/relationships/hyperlink" Target="https://www.facebook.com/rapplerdotcom/photos/a.317154781638645/5594954703858600/" TargetMode="External"/><Relationship Id="rId4746" Type="http://schemas.openxmlformats.org/officeDocument/2006/relationships/hyperlink" Target="https://www.facebook.com/profile.php?id=100077999847593" TargetMode="External"/><Relationship Id="rId4953" Type="http://schemas.openxmlformats.org/officeDocument/2006/relationships/hyperlink" Target="https://www.facebook.com/rapplerdotcom/posts/pfbid02BCyyacWVuuu1bwX5PwYK8PvqDGTANxekqEMy7qyV9vMmaGKTbC8sBf7i5j3Wbx9Ll" TargetMode="External"/><Relationship Id="rId2297" Type="http://schemas.openxmlformats.org/officeDocument/2006/relationships/hyperlink" Target="https://www.facebook.com/lmfloralde" TargetMode="External"/><Relationship Id="rId3348" Type="http://schemas.openxmlformats.org/officeDocument/2006/relationships/hyperlink" Target="https://www.facebook.com/rapplerdotcom/photos/a.317154781638645/5595372260483511/" TargetMode="External"/><Relationship Id="rId3555" Type="http://schemas.openxmlformats.org/officeDocument/2006/relationships/hyperlink" Target="https://www.facebook.com/bautista.jimmy.98" TargetMode="External"/><Relationship Id="rId3762" Type="http://schemas.openxmlformats.org/officeDocument/2006/relationships/hyperlink" Target="https://www.facebook.com/rapplerdotcom/posts/pfbid0dyWpzxim3h4Z2SYriGakwQw85p7BCAgct7KU5EiMX1bmmgNHDD8nmES8rjrADsrPl" TargetMode="External"/><Relationship Id="rId4606" Type="http://schemas.openxmlformats.org/officeDocument/2006/relationships/hyperlink" Target="https://www.facebook.com/profile.php?id=100068675928336" TargetMode="External"/><Relationship Id="rId4813" Type="http://schemas.openxmlformats.org/officeDocument/2006/relationships/hyperlink" Target="https://www.facebook.com/watch/live/?ref=watch_permalink&amp;v=923735834984653" TargetMode="External"/><Relationship Id="rId269" Type="http://schemas.openxmlformats.org/officeDocument/2006/relationships/hyperlink" Target="https://www.facebook.com/rapplerdotcom/photos/a.317154781638645/5598220220198715/" TargetMode="External"/><Relationship Id="rId476" Type="http://schemas.openxmlformats.org/officeDocument/2006/relationships/hyperlink" Target="https://www.facebook.com/profile.php?id=100069842802277" TargetMode="External"/><Relationship Id="rId683" Type="http://schemas.openxmlformats.org/officeDocument/2006/relationships/hyperlink" Target="https://www.facebook.com/arlene.buela.9" TargetMode="External"/><Relationship Id="rId890" Type="http://schemas.openxmlformats.org/officeDocument/2006/relationships/hyperlink" Target="https://www.facebook.com/rapplerdotcom/photos/a.317154781638645/5597612220259515/" TargetMode="External"/><Relationship Id="rId2157" Type="http://schemas.openxmlformats.org/officeDocument/2006/relationships/hyperlink" Target="https://www.facebook.com/everayo" TargetMode="External"/><Relationship Id="rId2364" Type="http://schemas.openxmlformats.org/officeDocument/2006/relationships/hyperlink" Target="https://www.facebook.com/rapplerdotcom/posts/pfbid0TYP6syjYwznxJKdhWv9YMaXK9NvsSEhQ2cyyCQCPMvGapWXrQBHehywgT156wqNPl" TargetMode="External"/><Relationship Id="rId2571" Type="http://schemas.openxmlformats.org/officeDocument/2006/relationships/hyperlink" Target="https://www.facebook.com/profile.php?id=100009637215034" TargetMode="External"/><Relationship Id="rId3208" Type="http://schemas.openxmlformats.org/officeDocument/2006/relationships/hyperlink" Target="https://www.facebook.com/watch/live/?ref=watch_permalink&amp;v=332681445500650" TargetMode="External"/><Relationship Id="rId3415" Type="http://schemas.openxmlformats.org/officeDocument/2006/relationships/hyperlink" Target="https://www.facebook.com/eduardo.m.lombo" TargetMode="External"/><Relationship Id="rId129" Type="http://schemas.openxmlformats.org/officeDocument/2006/relationships/hyperlink" Target="https://www.facebook.com/orni.dman" TargetMode="External"/><Relationship Id="rId336" Type="http://schemas.openxmlformats.org/officeDocument/2006/relationships/hyperlink" Target="https://www.facebook.com/lutgarda.duenas" TargetMode="External"/><Relationship Id="rId543" Type="http://schemas.openxmlformats.org/officeDocument/2006/relationships/hyperlink" Target="https://www.facebook.com/rapplerdotcom/photos/a.317154781638645/5598220220198715/" TargetMode="External"/><Relationship Id="rId1173" Type="http://schemas.openxmlformats.org/officeDocument/2006/relationships/hyperlink" Target="https://www.facebook.com/venusemano.go.1" TargetMode="External"/><Relationship Id="rId1380" Type="http://schemas.openxmlformats.org/officeDocument/2006/relationships/hyperlink" Target="https://www.facebook.com/rapplerdotcom/photos/a.317154781638645/5597116770309060/" TargetMode="External"/><Relationship Id="rId2017" Type="http://schemas.openxmlformats.org/officeDocument/2006/relationships/hyperlink" Target="https://www.facebook.com/evelyn.olivares.7505" TargetMode="External"/><Relationship Id="rId2224" Type="http://schemas.openxmlformats.org/officeDocument/2006/relationships/hyperlink" Target="https://www.facebook.com/rapplerdotcom/photos/a.317154781638645/5596022273751843/" TargetMode="External"/><Relationship Id="rId3622" Type="http://schemas.openxmlformats.org/officeDocument/2006/relationships/hyperlink" Target="https://www.facebook.com/rapplerdotcom/photos/a.317154781638645/5595372260483511/" TargetMode="External"/><Relationship Id="rId5587" Type="http://schemas.openxmlformats.org/officeDocument/2006/relationships/hyperlink" Target="https://www.facebook.com/rapplerdotcom/photos/a.317154781638645/5594453700575367/" TargetMode="External"/><Relationship Id="rId403" Type="http://schemas.openxmlformats.org/officeDocument/2006/relationships/hyperlink" Target="https://www.facebook.com/rapplerdotcom/photos/a.317154781638645/5598220220198715/" TargetMode="External"/><Relationship Id="rId750" Type="http://schemas.openxmlformats.org/officeDocument/2006/relationships/hyperlink" Target="https://www.facebook.com/rapplerdotcom/photos/a.317154781638645/5597612220259515/" TargetMode="External"/><Relationship Id="rId1033" Type="http://schemas.openxmlformats.org/officeDocument/2006/relationships/hyperlink" Target="https://www.facebook.com/profile.php?id=100052175882688" TargetMode="External"/><Relationship Id="rId2431" Type="http://schemas.openxmlformats.org/officeDocument/2006/relationships/hyperlink" Target="https://www.facebook.com/iamdenaquino" TargetMode="External"/><Relationship Id="rId4189" Type="http://schemas.openxmlformats.org/officeDocument/2006/relationships/hyperlink" Target="https://www.facebook.com/imma.bee.161" TargetMode="External"/><Relationship Id="rId5794" Type="http://schemas.openxmlformats.org/officeDocument/2006/relationships/hyperlink" Target="https://www.facebook.com/jude.romero.14" TargetMode="External"/><Relationship Id="rId610" Type="http://schemas.openxmlformats.org/officeDocument/2006/relationships/hyperlink" Target="https://www.facebook.com/rapplerdotcom/photos/a.317154781638645/5597874143566656" TargetMode="External"/><Relationship Id="rId1240" Type="http://schemas.openxmlformats.org/officeDocument/2006/relationships/hyperlink" Target="https://www.facebook.com/rapplerdotcom/posts/pfbid023goEfA6e1ABSWYJFy8fQ5LFWDv4QTSTmAfzySGtMSpy12iqywB2MUZjiZ8GjCxrGl" TargetMode="External"/><Relationship Id="rId4049" Type="http://schemas.openxmlformats.org/officeDocument/2006/relationships/hyperlink" Target="https://www.facebook.com/analiza.baluyot.7" TargetMode="External"/><Relationship Id="rId4396" Type="http://schemas.openxmlformats.org/officeDocument/2006/relationships/hyperlink" Target="https://www.facebook.com/marcial.acbang" TargetMode="External"/><Relationship Id="rId5447" Type="http://schemas.openxmlformats.org/officeDocument/2006/relationships/hyperlink" Target="https://www.facebook.com/watch/live/?ref=watch_permalink&amp;v=312865720941798" TargetMode="External"/><Relationship Id="rId5654" Type="http://schemas.openxmlformats.org/officeDocument/2006/relationships/hyperlink" Target="https://www.facebook.com/susan.sagario.56" TargetMode="External"/><Relationship Id="rId5861" Type="http://schemas.openxmlformats.org/officeDocument/2006/relationships/hyperlink" Target="https://www.facebook.com/rapplerdotcom/photos/a.317154781638645/5594453700575367/" TargetMode="External"/><Relationship Id="rId1100" Type="http://schemas.openxmlformats.org/officeDocument/2006/relationships/hyperlink" Target="https://www.facebook.com/rapplerdotcom/posts/pfbid028Kg188FmebKa4aFvHZNp8zGTwjghWDDJuUmQ8agbSCvGAGJHZ7pBH9NmxLBmPZZdl" TargetMode="External"/><Relationship Id="rId4256" Type="http://schemas.openxmlformats.org/officeDocument/2006/relationships/hyperlink" Target="https://www.facebook.com/divina.chicano" TargetMode="External"/><Relationship Id="rId4463" Type="http://schemas.openxmlformats.org/officeDocument/2006/relationships/hyperlink" Target="https://www.facebook.com/rapplerdotcom/photos/a.317154781638645/5594954703858600/" TargetMode="External"/><Relationship Id="rId4670" Type="http://schemas.openxmlformats.org/officeDocument/2006/relationships/hyperlink" Target="https://www.facebook.com/grcvldmr" TargetMode="External"/><Relationship Id="rId5307" Type="http://schemas.openxmlformats.org/officeDocument/2006/relationships/hyperlink" Target="https://www.facebook.com/rapplerdotcom/photos/a.317154781638645/5594264657260938/" TargetMode="External"/><Relationship Id="rId5514" Type="http://schemas.openxmlformats.org/officeDocument/2006/relationships/hyperlink" Target="https://www.facebook.com/melinda.santelices" TargetMode="External"/><Relationship Id="rId5721" Type="http://schemas.openxmlformats.org/officeDocument/2006/relationships/hyperlink" Target="https://www.facebook.com/rapplerdotcom/photos/a.317154781638645/5594453700575367/" TargetMode="External"/><Relationship Id="rId1917" Type="http://schemas.openxmlformats.org/officeDocument/2006/relationships/hyperlink" Target="https://www.facebook.com/kim.sioson" TargetMode="External"/><Relationship Id="rId3065" Type="http://schemas.openxmlformats.org/officeDocument/2006/relationships/hyperlink" Target="https://www.facebook.com/ayen.francisco.927" TargetMode="External"/><Relationship Id="rId3272" Type="http://schemas.openxmlformats.org/officeDocument/2006/relationships/hyperlink" Target="https://www.facebook.com/rapplerdotcom/posts/pfbid035u2RhZvcYSiCeymgBfXLoFoq87y2V8v81A9xDtyoKJgzTGtotsEEoj2bH7Zd4mtzl" TargetMode="External"/><Relationship Id="rId4116" Type="http://schemas.openxmlformats.org/officeDocument/2006/relationships/hyperlink" Target="https://www.facebook.com/rapplerdotcom/photos/a.317154781638645/5594954703858600/" TargetMode="External"/><Relationship Id="rId4323" Type="http://schemas.openxmlformats.org/officeDocument/2006/relationships/hyperlink" Target="https://www.facebook.com/rapplerdotcom/photos/a.317154781638645/5594954703858600/" TargetMode="External"/><Relationship Id="rId4530" Type="http://schemas.openxmlformats.org/officeDocument/2006/relationships/hyperlink" Target="https://www.facebook.com/profile.php?id=100077494915560" TargetMode="External"/><Relationship Id="rId193" Type="http://schemas.openxmlformats.org/officeDocument/2006/relationships/hyperlink" Target="https://www.facebook.com/pauljeric.queipo.1" TargetMode="External"/><Relationship Id="rId2081" Type="http://schemas.openxmlformats.org/officeDocument/2006/relationships/hyperlink" Target="https://www.facebook.com/melita.deleonsantos" TargetMode="External"/><Relationship Id="rId3132" Type="http://schemas.openxmlformats.org/officeDocument/2006/relationships/hyperlink" Target="https://www.facebook.com/watch/live/?ref=watch_permalink&amp;v=360307549312104" TargetMode="External"/><Relationship Id="rId260" Type="http://schemas.openxmlformats.org/officeDocument/2006/relationships/hyperlink" Target="https://www.facebook.com/profile.php?id=100078561682789" TargetMode="External"/><Relationship Id="rId5097" Type="http://schemas.openxmlformats.org/officeDocument/2006/relationships/hyperlink" Target="https://www.facebook.com/rapplerdotcom/photos/a.317154781638645/5594264657260938/" TargetMode="External"/><Relationship Id="rId6148" Type="http://schemas.openxmlformats.org/officeDocument/2006/relationships/hyperlink" Target="https://www.facebook.com/profile.php?id=100078847867707" TargetMode="External"/><Relationship Id="rId120" Type="http://schemas.openxmlformats.org/officeDocument/2006/relationships/hyperlink" Target="https://www.facebook.com/rapplerdotcom/posts/pfbid0DUh4iFcrxZuR1UbiGhcAHcMdzsaV29GSeHCY1HabtqcnUWkjStX9TDaVqzzt92GDl" TargetMode="External"/><Relationship Id="rId2898" Type="http://schemas.openxmlformats.org/officeDocument/2006/relationships/hyperlink" Target="https://www.facebook.com/watch/live/?ref=watch_permalink&amp;v=360307549312104" TargetMode="External"/><Relationship Id="rId3949" Type="http://schemas.openxmlformats.org/officeDocument/2006/relationships/hyperlink" Target="https://www.facebook.com/henardino" TargetMode="External"/><Relationship Id="rId5164" Type="http://schemas.openxmlformats.org/officeDocument/2006/relationships/hyperlink" Target="https://www.facebook.com/jefferson.parrocha.3" TargetMode="External"/><Relationship Id="rId6008" Type="http://schemas.openxmlformats.org/officeDocument/2006/relationships/hyperlink" Target="https://www.facebook.com/benjie.paralta" TargetMode="External"/><Relationship Id="rId6215" Type="http://schemas.openxmlformats.org/officeDocument/2006/relationships/hyperlink" Target="https://www.facebook.com/watch/?v=684555919511830" TargetMode="External"/><Relationship Id="rId2758" Type="http://schemas.openxmlformats.org/officeDocument/2006/relationships/hyperlink" Target="https://www.facebook.com/rapplerdotcom/photos/a.317154781638645/5595733810447356/" TargetMode="External"/><Relationship Id="rId2965" Type="http://schemas.openxmlformats.org/officeDocument/2006/relationships/hyperlink" Target="https://www.facebook.com/profile.php?id=100004812961576" TargetMode="External"/><Relationship Id="rId3809" Type="http://schemas.openxmlformats.org/officeDocument/2006/relationships/hyperlink" Target="https://www.facebook.com/emil.paragas" TargetMode="External"/><Relationship Id="rId5024" Type="http://schemas.openxmlformats.org/officeDocument/2006/relationships/hyperlink" Target="https://www.facebook.com/profile.php?id=100009077087732" TargetMode="External"/><Relationship Id="rId5371" Type="http://schemas.openxmlformats.org/officeDocument/2006/relationships/hyperlink" Target="https://www.facebook.com/rapplerdotcom/photos/a.317154781638645/5594264657260938/" TargetMode="External"/><Relationship Id="rId937" Type="http://schemas.openxmlformats.org/officeDocument/2006/relationships/hyperlink" Target="https://www.facebook.com/iamlegend41" TargetMode="External"/><Relationship Id="rId1567" Type="http://schemas.openxmlformats.org/officeDocument/2006/relationships/hyperlink" Target="https://www.facebook.com/profile.php?id=100004342516925" TargetMode="External"/><Relationship Id="rId1774" Type="http://schemas.openxmlformats.org/officeDocument/2006/relationships/hyperlink" Target="https://www.facebook.com/rapplerdotcom/photos/a.317154781638645/5596043783749692/" TargetMode="External"/><Relationship Id="rId1981" Type="http://schemas.openxmlformats.org/officeDocument/2006/relationships/hyperlink" Target="https://www.facebook.com/profile.php?id=100078772872933" TargetMode="External"/><Relationship Id="rId2618" Type="http://schemas.openxmlformats.org/officeDocument/2006/relationships/hyperlink" Target="https://www.facebook.com/rapplerdotcom/photos/a.317154781638645/5595733810447356/" TargetMode="External"/><Relationship Id="rId2825" Type="http://schemas.openxmlformats.org/officeDocument/2006/relationships/hyperlink" Target="https://www.facebook.com/vincent.deleon.14473" TargetMode="External"/><Relationship Id="rId4180" Type="http://schemas.openxmlformats.org/officeDocument/2006/relationships/hyperlink" Target="https://www.facebook.com/rapplerdotcom/photos/a.317154781638645/5594954703858600/" TargetMode="External"/><Relationship Id="rId5231" Type="http://schemas.openxmlformats.org/officeDocument/2006/relationships/hyperlink" Target="https://www.facebook.com/rapplerdotcom/photos/a.317154781638645/5594264657260938/" TargetMode="External"/><Relationship Id="rId66" Type="http://schemas.openxmlformats.org/officeDocument/2006/relationships/hyperlink" Target="https://www.facebook.com/rapplerdotcom/posts/pfbid0DUh4iFcrxZuR1UbiGhcAHcMdzsaV29GSeHCY1HabtqcnUWkjStX9TDaVqzzt92GDl" TargetMode="External"/><Relationship Id="rId1427" Type="http://schemas.openxmlformats.org/officeDocument/2006/relationships/hyperlink" Target="https://www.facebook.com/rafaelfelicia.equipado" TargetMode="External"/><Relationship Id="rId1634" Type="http://schemas.openxmlformats.org/officeDocument/2006/relationships/hyperlink" Target="https://www.facebook.com/rapplerdotcom/posts/pfbid02AsSA4LQqjQ2Y8SVathQmtduoE3fhoGvQSNhvrzsMerDaJSQJ6jDvApCCiuaE7XCol" TargetMode="External"/><Relationship Id="rId1841" Type="http://schemas.openxmlformats.org/officeDocument/2006/relationships/hyperlink" Target="https://www.facebook.com/Arianna11091989" TargetMode="External"/><Relationship Id="rId4040" Type="http://schemas.openxmlformats.org/officeDocument/2006/relationships/hyperlink" Target="https://www.facebook.com/rapplerdotcom/posts/pfbid02kmyrDmvYtHxz51VdR228sTCyvbHYDrwL4TgeoVAenoprSKkWhUFLyRmAuKBuGtXXl" TargetMode="External"/><Relationship Id="rId4997" Type="http://schemas.openxmlformats.org/officeDocument/2006/relationships/hyperlink" Target="https://www.facebook.com/rapplerdotcom/posts/pfbid02BCyyacWVuuu1bwX5PwYK8PvqDGTANxekqEMy7qyV9vMmaGKTbC8sBf7i5j3Wbx9Ll" TargetMode="External"/><Relationship Id="rId3599" Type="http://schemas.openxmlformats.org/officeDocument/2006/relationships/hyperlink" Target="https://www.facebook.com/profile.php?id=100079452280429" TargetMode="External"/><Relationship Id="rId4857" Type="http://schemas.openxmlformats.org/officeDocument/2006/relationships/hyperlink" Target="https://www.facebook.com/watch/live/?ref=watch_permalink&amp;v=923735834984653" TargetMode="External"/><Relationship Id="rId1701" Type="http://schemas.openxmlformats.org/officeDocument/2006/relationships/hyperlink" Target="https://www.facebook.com/EnricElesisCruz" TargetMode="External"/><Relationship Id="rId3459" Type="http://schemas.openxmlformats.org/officeDocument/2006/relationships/hyperlink" Target="https://www.facebook.com/leilani.roxas" TargetMode="External"/><Relationship Id="rId3666" Type="http://schemas.openxmlformats.org/officeDocument/2006/relationships/hyperlink" Target="https://www.facebook.com/rapplerdotcom/photos/a.317154781638645/5595372260483511/" TargetMode="External"/><Relationship Id="rId5908" Type="http://schemas.openxmlformats.org/officeDocument/2006/relationships/hyperlink" Target="https://www.facebook.com/neilyuchan" TargetMode="External"/><Relationship Id="rId6072" Type="http://schemas.openxmlformats.org/officeDocument/2006/relationships/hyperlink" Target="https://www.facebook.com/jonniemaganes" TargetMode="External"/><Relationship Id="rId587" Type="http://schemas.openxmlformats.org/officeDocument/2006/relationships/hyperlink" Target="https://www.facebook.com/chazper21" TargetMode="External"/><Relationship Id="rId2268" Type="http://schemas.openxmlformats.org/officeDocument/2006/relationships/hyperlink" Target="https://www.facebook.com/rapplerdotcom/photos/a.317154781638645/5596022273751843/" TargetMode="External"/><Relationship Id="rId3319" Type="http://schemas.openxmlformats.org/officeDocument/2006/relationships/hyperlink" Target="https://www.facebook.com/lina.adlao.cayong" TargetMode="External"/><Relationship Id="rId3873" Type="http://schemas.openxmlformats.org/officeDocument/2006/relationships/hyperlink" Target="https://www.facebook.com/olan.sulbiano" TargetMode="External"/><Relationship Id="rId4717" Type="http://schemas.openxmlformats.org/officeDocument/2006/relationships/hyperlink" Target="https://www.facebook.com/watch/live/?ref=watch_permalink&amp;v=923735834984653" TargetMode="External"/><Relationship Id="rId4924" Type="http://schemas.openxmlformats.org/officeDocument/2006/relationships/hyperlink" Target="https://www.facebook.com/gerly.amante1" TargetMode="External"/><Relationship Id="rId447" Type="http://schemas.openxmlformats.org/officeDocument/2006/relationships/hyperlink" Target="https://www.facebook.com/rapplerdotcom/photos/a.317154781638645/5598220220198715/" TargetMode="External"/><Relationship Id="rId794" Type="http://schemas.openxmlformats.org/officeDocument/2006/relationships/hyperlink" Target="https://www.facebook.com/rapplerdotcom/photos/a.317154781638645/5597612220259515/" TargetMode="External"/><Relationship Id="rId1077" Type="http://schemas.openxmlformats.org/officeDocument/2006/relationships/hyperlink" Target="https://www.facebook.com/elgar.veril" TargetMode="External"/><Relationship Id="rId2128" Type="http://schemas.openxmlformats.org/officeDocument/2006/relationships/hyperlink" Target="https://www.facebook.com/rapplerdotcom/photos/a.317154781638645/5596022273751843/" TargetMode="External"/><Relationship Id="rId2475" Type="http://schemas.openxmlformats.org/officeDocument/2006/relationships/hyperlink" Target="https://www.facebook.com/Paola.Tan.23" TargetMode="External"/><Relationship Id="rId2682" Type="http://schemas.openxmlformats.org/officeDocument/2006/relationships/hyperlink" Target="https://www.facebook.com/rapplerdotcom/photos/a.317154781638645/5595733810447356/" TargetMode="External"/><Relationship Id="rId3526" Type="http://schemas.openxmlformats.org/officeDocument/2006/relationships/hyperlink" Target="https://www.facebook.com/rapplerdotcom/photos/a.317154781638645/5595372260483511/" TargetMode="External"/><Relationship Id="rId3733" Type="http://schemas.openxmlformats.org/officeDocument/2006/relationships/hyperlink" Target="https://www.facebook.com/jimmy.ballesteros" TargetMode="External"/><Relationship Id="rId3940" Type="http://schemas.openxmlformats.org/officeDocument/2006/relationships/hyperlink" Target="https://www.facebook.com/rapplerdotcom/posts/pfbid0dyWpzxim3h4Z2SYriGakwQw85p7BCAgct7KU5EiMX1bmmgNHDD8nmES8rjrADsrPl" TargetMode="External"/><Relationship Id="rId654" Type="http://schemas.openxmlformats.org/officeDocument/2006/relationships/hyperlink" Target="https://www.facebook.com/rapplerdotcom/photos/a.317154781638645/5597874143566656" TargetMode="External"/><Relationship Id="rId861" Type="http://schemas.openxmlformats.org/officeDocument/2006/relationships/hyperlink" Target="https://www.facebook.com/jordan.santos.5667" TargetMode="External"/><Relationship Id="rId1284" Type="http://schemas.openxmlformats.org/officeDocument/2006/relationships/hyperlink" Target="https://www.facebook.com/rapplerdotcom/posts/pfbid023goEfA6e1ABSWYJFy8fQ5LFWDv4QTSTmAfzySGtMSpy12iqywB2MUZjiZ8GjCxrGl" TargetMode="External"/><Relationship Id="rId1491" Type="http://schemas.openxmlformats.org/officeDocument/2006/relationships/hyperlink" Target="https://www.facebook.com/profile.php?id=100008264059333" TargetMode="External"/><Relationship Id="rId2335" Type="http://schemas.openxmlformats.org/officeDocument/2006/relationships/hyperlink" Target="https://www.facebook.com/marite513" TargetMode="External"/><Relationship Id="rId2542" Type="http://schemas.openxmlformats.org/officeDocument/2006/relationships/hyperlink" Target="https://www.facebook.com/rapplerdotcom/photos/a.317154781638645/5595733810447356/" TargetMode="External"/><Relationship Id="rId3800" Type="http://schemas.openxmlformats.org/officeDocument/2006/relationships/hyperlink" Target="https://www.facebook.com/rapplerdotcom/posts/pfbid0dyWpzxim3h4Z2SYriGakwQw85p7BCAgct7KU5EiMX1bmmgNHDD8nmES8rjrADsrPl" TargetMode="External"/><Relationship Id="rId5698" Type="http://schemas.openxmlformats.org/officeDocument/2006/relationships/hyperlink" Target="https://www.facebook.com/gracey.lay.9" TargetMode="External"/><Relationship Id="rId307" Type="http://schemas.openxmlformats.org/officeDocument/2006/relationships/hyperlink" Target="https://www.facebook.com/rapplerdotcom/photos/a.317154781638645/5598220220198715/" TargetMode="External"/><Relationship Id="rId514" Type="http://schemas.openxmlformats.org/officeDocument/2006/relationships/hyperlink" Target="https://www.facebook.com/jacquilyn.okujo.7" TargetMode="External"/><Relationship Id="rId721" Type="http://schemas.openxmlformats.org/officeDocument/2006/relationships/hyperlink" Target="https://www.facebook.com/christinefamulagan" TargetMode="External"/><Relationship Id="rId1144" Type="http://schemas.openxmlformats.org/officeDocument/2006/relationships/hyperlink" Target="https://www.facebook.com/rapplerdotcom/posts/pfbid02dNgAR64VTtp94Rus4o9MNbU55E2H9Wp7KMKzJGkk6u4UxRyHU8j2pPpwa5iwGcD3l" TargetMode="External"/><Relationship Id="rId1351" Type="http://schemas.openxmlformats.org/officeDocument/2006/relationships/hyperlink" Target="https://www.facebook.com/liezl.malinao.1" TargetMode="External"/><Relationship Id="rId2402" Type="http://schemas.openxmlformats.org/officeDocument/2006/relationships/hyperlink" Target="https://www.facebook.com/rapplerdotcom/posts/pfbid0TYP6syjYwznxJKdhWv9YMaXK9NvsSEhQ2cyyCQCPMvGapWXrQBHehywgT156wqNPl" TargetMode="External"/><Relationship Id="rId5558" Type="http://schemas.openxmlformats.org/officeDocument/2006/relationships/hyperlink" Target="https://www.facebook.com/eg.forondaheydarian" TargetMode="External"/><Relationship Id="rId5765" Type="http://schemas.openxmlformats.org/officeDocument/2006/relationships/hyperlink" Target="https://www.facebook.com/rapplerdotcom/photos/a.317154781638645/5594453700575367/" TargetMode="External"/><Relationship Id="rId5972" Type="http://schemas.openxmlformats.org/officeDocument/2006/relationships/hyperlink" Target="https://www.facebook.com/kobejacky.leoning.90" TargetMode="External"/><Relationship Id="rId1004" Type="http://schemas.openxmlformats.org/officeDocument/2006/relationships/hyperlink" Target="https://www.facebook.com/rapplerdotcom/photos/a.317154781638645/5597592673594803/" TargetMode="External"/><Relationship Id="rId1211" Type="http://schemas.openxmlformats.org/officeDocument/2006/relationships/hyperlink" Target="https://www.facebook.com/rizacastro" TargetMode="External"/><Relationship Id="rId4367" Type="http://schemas.openxmlformats.org/officeDocument/2006/relationships/hyperlink" Target="https://www.facebook.com/rapplerdotcom/photos/a.317154781638645/5594954703858600/" TargetMode="External"/><Relationship Id="rId4574" Type="http://schemas.openxmlformats.org/officeDocument/2006/relationships/hyperlink" Target="https://www.facebook.com/marie.diot1" TargetMode="External"/><Relationship Id="rId4781" Type="http://schemas.openxmlformats.org/officeDocument/2006/relationships/hyperlink" Target="https://www.facebook.com/watch/live/?ref=watch_permalink&amp;v=923735834984653" TargetMode="External"/><Relationship Id="rId5418" Type="http://schemas.openxmlformats.org/officeDocument/2006/relationships/hyperlink" Target="https://www.facebook.com/karen.enriquez.144181" TargetMode="External"/><Relationship Id="rId5625" Type="http://schemas.openxmlformats.org/officeDocument/2006/relationships/hyperlink" Target="https://www.facebook.com/rapplerdotcom/photos/a.317154781638645/5594453700575367/" TargetMode="External"/><Relationship Id="rId5832" Type="http://schemas.openxmlformats.org/officeDocument/2006/relationships/hyperlink" Target="https://www.facebook.com/zeny.gallatiera" TargetMode="External"/><Relationship Id="rId3176" Type="http://schemas.openxmlformats.org/officeDocument/2006/relationships/hyperlink" Target="https://www.facebook.com/watch/live/?ref=watch_permalink&amp;v=332681445500650" TargetMode="External"/><Relationship Id="rId3383" Type="http://schemas.openxmlformats.org/officeDocument/2006/relationships/hyperlink" Target="https://www.facebook.com/profile.php?id=100008200051155" TargetMode="External"/><Relationship Id="rId3590" Type="http://schemas.openxmlformats.org/officeDocument/2006/relationships/hyperlink" Target="https://www.facebook.com/rapplerdotcom/photos/a.317154781638645/5595372260483511/" TargetMode="External"/><Relationship Id="rId4227" Type="http://schemas.openxmlformats.org/officeDocument/2006/relationships/hyperlink" Target="https://www.facebook.com/vidsdpeche" TargetMode="External"/><Relationship Id="rId4434" Type="http://schemas.openxmlformats.org/officeDocument/2006/relationships/hyperlink" Target="https://www.facebook.com/emmaibarra.manabat" TargetMode="External"/><Relationship Id="rId2192" Type="http://schemas.openxmlformats.org/officeDocument/2006/relationships/hyperlink" Target="https://www.facebook.com/rapplerdotcom/photos/a.317154781638645/5596022273751843/" TargetMode="External"/><Relationship Id="rId3036" Type="http://schemas.openxmlformats.org/officeDocument/2006/relationships/hyperlink" Target="https://www.facebook.com/watch/live/?ref=watch_permalink&amp;v=360307549312104" TargetMode="External"/><Relationship Id="rId3243" Type="http://schemas.openxmlformats.org/officeDocument/2006/relationships/hyperlink" Target="https://www.facebook.com/profile.php?id=100077417917077" TargetMode="External"/><Relationship Id="rId4641" Type="http://schemas.openxmlformats.org/officeDocument/2006/relationships/hyperlink" Target="https://www.facebook.com/watch/live/?ref=watch_permalink&amp;v=923735834984653" TargetMode="External"/><Relationship Id="rId164" Type="http://schemas.openxmlformats.org/officeDocument/2006/relationships/hyperlink" Target="https://www.facebook.com/rapplerdotcom/posts/pfbid0DUh4iFcrxZuR1UbiGhcAHcMdzsaV29GSeHCY1HabtqcnUWkjStX9TDaVqzzt92GDl" TargetMode="External"/><Relationship Id="rId371" Type="http://schemas.openxmlformats.org/officeDocument/2006/relationships/hyperlink" Target="https://www.facebook.com/rapplerdotcom/photos/a.317154781638645/5598220220198715/" TargetMode="External"/><Relationship Id="rId2052" Type="http://schemas.openxmlformats.org/officeDocument/2006/relationships/hyperlink" Target="https://www.facebook.com/rapplerdotcom/photos/a.317154781638645/5596022273751843/" TargetMode="External"/><Relationship Id="rId3450" Type="http://schemas.openxmlformats.org/officeDocument/2006/relationships/hyperlink" Target="https://www.facebook.com/rapplerdotcom/photos/a.317154781638645/5595372260483511/" TargetMode="External"/><Relationship Id="rId4501" Type="http://schemas.openxmlformats.org/officeDocument/2006/relationships/hyperlink" Target="https://www.facebook.com/rapplerdotcom/photos/a.317154781638645/5594954703858600/" TargetMode="External"/><Relationship Id="rId3103" Type="http://schemas.openxmlformats.org/officeDocument/2006/relationships/hyperlink" Target="https://www.facebook.com/madonna.bagalayfulgar.3" TargetMode="External"/><Relationship Id="rId3310" Type="http://schemas.openxmlformats.org/officeDocument/2006/relationships/hyperlink" Target="https://www.facebook.com/rapplerdotcom/photos/a.317154781638645/5595372260483511/" TargetMode="External"/><Relationship Id="rId5068" Type="http://schemas.openxmlformats.org/officeDocument/2006/relationships/hyperlink" Target="https://www.facebook.com/marichu.espinosa.5" TargetMode="External"/><Relationship Id="rId231" Type="http://schemas.openxmlformats.org/officeDocument/2006/relationships/hyperlink" Target="https://www.facebook.com/rapplerdotcom/photos/a.317154781638645/5598220220198715/" TargetMode="External"/><Relationship Id="rId2869" Type="http://schemas.openxmlformats.org/officeDocument/2006/relationships/hyperlink" Target="https://www.facebook.com/naty.relato" TargetMode="External"/><Relationship Id="rId5275" Type="http://schemas.openxmlformats.org/officeDocument/2006/relationships/hyperlink" Target="https://www.facebook.com/rapplerdotcom/photos/a.317154781638645/5594264657260938/" TargetMode="External"/><Relationship Id="rId5482" Type="http://schemas.openxmlformats.org/officeDocument/2006/relationships/hyperlink" Target="https://www.facebook.com/arthur.purugganan" TargetMode="External"/><Relationship Id="rId6119" Type="http://schemas.openxmlformats.org/officeDocument/2006/relationships/hyperlink" Target="https://www.facebook.com/rapplerdotcom/posts/pfbid0JJW97xH5fR5tDSLUQ8AnEgkPMU9Aigs9CgcNy2Q7AzJY4R8mRoicBgu3PLdqpf2Tl" TargetMode="External"/><Relationship Id="rId1678" Type="http://schemas.openxmlformats.org/officeDocument/2006/relationships/hyperlink" Target="https://www.facebook.com/rapplerdotcom/photos/a.317154781638645/5596043783749692/" TargetMode="External"/><Relationship Id="rId1885" Type="http://schemas.openxmlformats.org/officeDocument/2006/relationships/hyperlink" Target="https://www.facebook.com/robertoainzaolayon" TargetMode="External"/><Relationship Id="rId2729" Type="http://schemas.openxmlformats.org/officeDocument/2006/relationships/hyperlink" Target="https://www.facebook.com/cherrylynyapchapco.diaz" TargetMode="External"/><Relationship Id="rId2936" Type="http://schemas.openxmlformats.org/officeDocument/2006/relationships/hyperlink" Target="https://www.facebook.com/watch/live/?ref=watch_permalink&amp;v=360307549312104" TargetMode="External"/><Relationship Id="rId4084" Type="http://schemas.openxmlformats.org/officeDocument/2006/relationships/hyperlink" Target="https://www.facebook.com/rapplerdotcom/posts/pfbid0231hbcbuKeQLDkPH8oZAdZbuU8MPPgRANx152V3xWpbjZ6EvfpohwQMvxHYAgrGPul" TargetMode="External"/><Relationship Id="rId4291" Type="http://schemas.openxmlformats.org/officeDocument/2006/relationships/hyperlink" Target="https://www.facebook.com/rapplerdotcom/photos/a.317154781638645/5594954703858600/" TargetMode="External"/><Relationship Id="rId5135" Type="http://schemas.openxmlformats.org/officeDocument/2006/relationships/hyperlink" Target="https://www.facebook.com/rapplerdotcom/photos/a.317154781638645/5594264657260938/" TargetMode="External"/><Relationship Id="rId5342" Type="http://schemas.openxmlformats.org/officeDocument/2006/relationships/hyperlink" Target="https://www.facebook.com/jhanemomtenegro" TargetMode="External"/><Relationship Id="rId908" Type="http://schemas.openxmlformats.org/officeDocument/2006/relationships/hyperlink" Target="https://www.facebook.com/rapplerdotcom/photos/a.317154781638645/5597592673594803/" TargetMode="External"/><Relationship Id="rId1538" Type="http://schemas.openxmlformats.org/officeDocument/2006/relationships/hyperlink" Target="https://www.facebook.com/rapplerdotcom/photos/a.317154781638645/5597116770309060/" TargetMode="External"/><Relationship Id="rId4151" Type="http://schemas.openxmlformats.org/officeDocument/2006/relationships/hyperlink" Target="https://www.facebook.com/augustus.diaz.77" TargetMode="External"/><Relationship Id="rId5202" Type="http://schemas.openxmlformats.org/officeDocument/2006/relationships/hyperlink" Target="https://www.facebook.com/dhailyn.serrano" TargetMode="External"/><Relationship Id="rId1745" Type="http://schemas.openxmlformats.org/officeDocument/2006/relationships/hyperlink" Target="https://www.facebook.com/jsprjmr" TargetMode="External"/><Relationship Id="rId1952" Type="http://schemas.openxmlformats.org/officeDocument/2006/relationships/hyperlink" Target="https://www.facebook.com/rapplerdotcom/photos/a.317154781638645/5596043783749692/" TargetMode="External"/><Relationship Id="rId4011" Type="http://schemas.openxmlformats.org/officeDocument/2006/relationships/hyperlink" Target="https://www.facebook.com/jubs.bravo" TargetMode="External"/><Relationship Id="rId37" Type="http://schemas.openxmlformats.org/officeDocument/2006/relationships/hyperlink" Target="https://www.facebook.com/alfredofabro.boking" TargetMode="External"/><Relationship Id="rId1605" Type="http://schemas.openxmlformats.org/officeDocument/2006/relationships/hyperlink" Target="https://www.facebook.com/QuenitoKing" TargetMode="External"/><Relationship Id="rId1812" Type="http://schemas.openxmlformats.org/officeDocument/2006/relationships/hyperlink" Target="https://www.facebook.com/rapplerdotcom/photos/a.317154781638645/5596043783749692/" TargetMode="External"/><Relationship Id="rId4968" Type="http://schemas.openxmlformats.org/officeDocument/2006/relationships/hyperlink" Target="https://www.facebook.com/josiephine.pajunar" TargetMode="External"/><Relationship Id="rId6183" Type="http://schemas.openxmlformats.org/officeDocument/2006/relationships/hyperlink" Target="https://www.facebook.com/watch/?v=684555919511830" TargetMode="External"/><Relationship Id="rId3777" Type="http://schemas.openxmlformats.org/officeDocument/2006/relationships/hyperlink" Target="https://www.facebook.com/nilo.seda" TargetMode="External"/><Relationship Id="rId3984" Type="http://schemas.openxmlformats.org/officeDocument/2006/relationships/hyperlink" Target="https://www.facebook.com/rapplerdotcom/posts/pfbid0dyWpzxim3h4Z2SYriGakwQw85p7BCAgct7KU5EiMX1bmmgNHDD8nmES8rjrADsrPl" TargetMode="External"/><Relationship Id="rId4828" Type="http://schemas.openxmlformats.org/officeDocument/2006/relationships/hyperlink" Target="https://www.facebook.com/randy.b.auxtero" TargetMode="External"/><Relationship Id="rId698" Type="http://schemas.openxmlformats.org/officeDocument/2006/relationships/hyperlink" Target="https://www.facebook.com/rapplerdotcom/photos/a.317154781638645/5597612220259515/" TargetMode="External"/><Relationship Id="rId2379" Type="http://schemas.openxmlformats.org/officeDocument/2006/relationships/hyperlink" Target="https://www.facebook.com/scott.wuming" TargetMode="External"/><Relationship Id="rId2586" Type="http://schemas.openxmlformats.org/officeDocument/2006/relationships/hyperlink" Target="https://www.facebook.com/rapplerdotcom/photos/a.317154781638645/5595733810447356/" TargetMode="External"/><Relationship Id="rId2793" Type="http://schemas.openxmlformats.org/officeDocument/2006/relationships/hyperlink" Target="https://www.facebook.com/sedfrey.canizares" TargetMode="External"/><Relationship Id="rId3637" Type="http://schemas.openxmlformats.org/officeDocument/2006/relationships/hyperlink" Target="https://www.facebook.com/reginald.gavini" TargetMode="External"/><Relationship Id="rId3844" Type="http://schemas.openxmlformats.org/officeDocument/2006/relationships/hyperlink" Target="https://www.facebook.com/rapplerdotcom/posts/pfbid0dyWpzxim3h4Z2SYriGakwQw85p7BCAgct7KU5EiMX1bmmgNHDD8nmES8rjrADsrPl" TargetMode="External"/><Relationship Id="rId6043" Type="http://schemas.openxmlformats.org/officeDocument/2006/relationships/hyperlink" Target="https://www.facebook.com/rapplerdotcom/photos/a.317154781638645/5594359700584767/" TargetMode="External"/><Relationship Id="rId558" Type="http://schemas.openxmlformats.org/officeDocument/2006/relationships/hyperlink" Target="https://www.facebook.com/rapplerdotcom/photos/a.317154781638645/5597874143566656" TargetMode="External"/><Relationship Id="rId765" Type="http://schemas.openxmlformats.org/officeDocument/2006/relationships/hyperlink" Target="https://www.facebook.com/dominador.lopez2" TargetMode="External"/><Relationship Id="rId972" Type="http://schemas.openxmlformats.org/officeDocument/2006/relationships/hyperlink" Target="https://www.facebook.com/rapplerdotcom/photos/a.317154781638645/5597592673594803/" TargetMode="External"/><Relationship Id="rId1188" Type="http://schemas.openxmlformats.org/officeDocument/2006/relationships/hyperlink" Target="https://www.facebook.com/rapplerdotcom/posts/pfbid023goEfA6e1ABSWYJFy8fQ5LFWDv4QTSTmAfzySGtMSpy12iqywB2MUZjiZ8GjCxrGl" TargetMode="External"/><Relationship Id="rId1395" Type="http://schemas.openxmlformats.org/officeDocument/2006/relationships/hyperlink" Target="https://www.facebook.com/unopres" TargetMode="External"/><Relationship Id="rId2239" Type="http://schemas.openxmlformats.org/officeDocument/2006/relationships/hyperlink" Target="https://www.facebook.com/angelica.perig.7" TargetMode="External"/><Relationship Id="rId2446" Type="http://schemas.openxmlformats.org/officeDocument/2006/relationships/hyperlink" Target="https://www.facebook.com/rapplerdotcom/posts/pfbid0TYP6syjYwznxJKdhWv9YMaXK9NvsSEhQ2cyyCQCPMvGapWXrQBHehywgT156wqNPl" TargetMode="External"/><Relationship Id="rId2653" Type="http://schemas.openxmlformats.org/officeDocument/2006/relationships/hyperlink" Target="https://www.facebook.com/profile.php?id=100010524198327" TargetMode="External"/><Relationship Id="rId2860" Type="http://schemas.openxmlformats.org/officeDocument/2006/relationships/hyperlink" Target="https://www.facebook.com/watch/?v=570590637273208" TargetMode="External"/><Relationship Id="rId3704" Type="http://schemas.openxmlformats.org/officeDocument/2006/relationships/hyperlink" Target="https://www.facebook.com/rapplerdotcom/photos/a.317154781638645/5595162900504447/" TargetMode="External"/><Relationship Id="rId6110" Type="http://schemas.openxmlformats.org/officeDocument/2006/relationships/hyperlink" Target="https://www.facebook.com/ces.lopez" TargetMode="External"/><Relationship Id="rId418" Type="http://schemas.openxmlformats.org/officeDocument/2006/relationships/hyperlink" Target="https://www.facebook.com/gilbert.cabacoy" TargetMode="External"/><Relationship Id="rId625" Type="http://schemas.openxmlformats.org/officeDocument/2006/relationships/hyperlink" Target="https://www.facebook.com/profile.php?id=100074363201711" TargetMode="External"/><Relationship Id="rId832" Type="http://schemas.openxmlformats.org/officeDocument/2006/relationships/hyperlink" Target="https://www.facebook.com/rapplerdotcom/photos/a.317154781638645/5597612220259515/" TargetMode="External"/><Relationship Id="rId1048" Type="http://schemas.openxmlformats.org/officeDocument/2006/relationships/hyperlink" Target="https://www.facebook.com/rapplerdotcom/posts/pfbid028Kg188FmebKa4aFvHZNp8zGTwjghWDDJuUmQ8agbSCvGAGJHZ7pBH9NmxLBmPZZdl" TargetMode="External"/><Relationship Id="rId1255" Type="http://schemas.openxmlformats.org/officeDocument/2006/relationships/hyperlink" Target="https://www.facebook.com/ronniel.deramos" TargetMode="External"/><Relationship Id="rId1462" Type="http://schemas.openxmlformats.org/officeDocument/2006/relationships/hyperlink" Target="https://www.facebook.com/rapplerdotcom/photos/a.317154781638645/5597116770309060/" TargetMode="External"/><Relationship Id="rId2306" Type="http://schemas.openxmlformats.org/officeDocument/2006/relationships/hyperlink" Target="https://www.facebook.com/rapplerdotcom/posts/pfbid0TYP6syjYwznxJKdhWv9YMaXK9NvsSEhQ2cyyCQCPMvGapWXrQBHehywgT156wqNPl" TargetMode="External"/><Relationship Id="rId2513" Type="http://schemas.openxmlformats.org/officeDocument/2006/relationships/hyperlink" Target="https://www.facebook.com/michaeljenard.ligan" TargetMode="External"/><Relationship Id="rId3911" Type="http://schemas.openxmlformats.org/officeDocument/2006/relationships/hyperlink" Target="https://www.facebook.com/danixdejesus" TargetMode="External"/><Relationship Id="rId5669" Type="http://schemas.openxmlformats.org/officeDocument/2006/relationships/hyperlink" Target="https://www.facebook.com/rapplerdotcom/photos/a.317154781638645/5594453700575367/" TargetMode="External"/><Relationship Id="rId5876" Type="http://schemas.openxmlformats.org/officeDocument/2006/relationships/hyperlink" Target="https://www.facebook.com/majecelruby.barnido.507" TargetMode="External"/><Relationship Id="rId1115" Type="http://schemas.openxmlformats.org/officeDocument/2006/relationships/hyperlink" Target="https://www.facebook.com/mariluz.deguzman" TargetMode="External"/><Relationship Id="rId1322" Type="http://schemas.openxmlformats.org/officeDocument/2006/relationships/hyperlink" Target="https://www.facebook.com/rapplerdotcom/photos/a.317154781638645/5597116770309060/" TargetMode="External"/><Relationship Id="rId2720" Type="http://schemas.openxmlformats.org/officeDocument/2006/relationships/hyperlink" Target="https://www.facebook.com/rapplerdotcom/photos/a.317154781638645/5595733810447356/" TargetMode="External"/><Relationship Id="rId4478" Type="http://schemas.openxmlformats.org/officeDocument/2006/relationships/hyperlink" Target="https://www.facebook.com/mariateresa.camaddo" TargetMode="External"/><Relationship Id="rId5529" Type="http://schemas.openxmlformats.org/officeDocument/2006/relationships/hyperlink" Target="https://www.facebook.com/rapplerdotcom/photos/a.317154781638645/5594453700575367/" TargetMode="External"/><Relationship Id="rId3287" Type="http://schemas.openxmlformats.org/officeDocument/2006/relationships/hyperlink" Target="https://www.facebook.com/santos.yap.37" TargetMode="External"/><Relationship Id="rId4338" Type="http://schemas.openxmlformats.org/officeDocument/2006/relationships/hyperlink" Target="https://www.facebook.com/smooch.dash.3" TargetMode="External"/><Relationship Id="rId4685" Type="http://schemas.openxmlformats.org/officeDocument/2006/relationships/hyperlink" Target="https://www.facebook.com/watch/live/?ref=watch_permalink&amp;v=923735834984653" TargetMode="External"/><Relationship Id="rId4892" Type="http://schemas.openxmlformats.org/officeDocument/2006/relationships/hyperlink" Target="https://www.facebook.com/profile.php?id=100005160163120" TargetMode="External"/><Relationship Id="rId5736" Type="http://schemas.openxmlformats.org/officeDocument/2006/relationships/hyperlink" Target="https://www.facebook.com/estelita.ambatacaluste" TargetMode="External"/><Relationship Id="rId5943" Type="http://schemas.openxmlformats.org/officeDocument/2006/relationships/hyperlink" Target="https://www.facebook.com/rapplerdotcom/photos/a.317154781638645/5594359700584767/" TargetMode="External"/><Relationship Id="rId2096" Type="http://schemas.openxmlformats.org/officeDocument/2006/relationships/hyperlink" Target="https://www.facebook.com/rapplerdotcom/photos/a.317154781638645/5596022273751843/" TargetMode="External"/><Relationship Id="rId3494" Type="http://schemas.openxmlformats.org/officeDocument/2006/relationships/hyperlink" Target="https://www.facebook.com/rapplerdotcom/photos/a.317154781638645/5595372260483511/" TargetMode="External"/><Relationship Id="rId4545" Type="http://schemas.openxmlformats.org/officeDocument/2006/relationships/hyperlink" Target="https://www.facebook.com/rapplerdotcom/photos/a.317154781638645/5594954703858600/" TargetMode="External"/><Relationship Id="rId4752" Type="http://schemas.openxmlformats.org/officeDocument/2006/relationships/hyperlink" Target="https://www.facebook.com/kyline.reyes.7" TargetMode="External"/><Relationship Id="rId5803" Type="http://schemas.openxmlformats.org/officeDocument/2006/relationships/hyperlink" Target="https://www.facebook.com/rapplerdotcom/photos/a.317154781638645/5594453700575367/" TargetMode="External"/><Relationship Id="rId3147" Type="http://schemas.openxmlformats.org/officeDocument/2006/relationships/hyperlink" Target="https://www.facebook.com/jingjing.abellana" TargetMode="External"/><Relationship Id="rId3354" Type="http://schemas.openxmlformats.org/officeDocument/2006/relationships/hyperlink" Target="https://www.facebook.com/rapplerdotcom/photos/a.317154781638645/5595372260483511/" TargetMode="External"/><Relationship Id="rId3561" Type="http://schemas.openxmlformats.org/officeDocument/2006/relationships/hyperlink" Target="https://www.facebook.com/bautista.jimmy.98" TargetMode="External"/><Relationship Id="rId4405" Type="http://schemas.openxmlformats.org/officeDocument/2006/relationships/hyperlink" Target="https://www.facebook.com/rapplerdotcom/photos/a.317154781638645/5594954703858600/" TargetMode="External"/><Relationship Id="rId4612" Type="http://schemas.openxmlformats.org/officeDocument/2006/relationships/hyperlink" Target="https://www.facebook.com/materesa.balean" TargetMode="External"/><Relationship Id="rId275" Type="http://schemas.openxmlformats.org/officeDocument/2006/relationships/hyperlink" Target="https://www.facebook.com/rapplerdotcom/photos/a.317154781638645/5598220220198715/" TargetMode="External"/><Relationship Id="rId482" Type="http://schemas.openxmlformats.org/officeDocument/2006/relationships/hyperlink" Target="https://www.facebook.com/grace.lucila.33" TargetMode="External"/><Relationship Id="rId2163" Type="http://schemas.openxmlformats.org/officeDocument/2006/relationships/hyperlink" Target="https://www.facebook.com/joyjoy.montenegro.71" TargetMode="External"/><Relationship Id="rId2370" Type="http://schemas.openxmlformats.org/officeDocument/2006/relationships/hyperlink" Target="https://www.facebook.com/rapplerdotcom/posts/pfbid0TYP6syjYwznxJKdhWv9YMaXK9NvsSEhQ2cyyCQCPMvGapWXrQBHehywgT156wqNPl" TargetMode="External"/><Relationship Id="rId3007" Type="http://schemas.openxmlformats.org/officeDocument/2006/relationships/hyperlink" Target="https://www.facebook.com/rottenlittlecog" TargetMode="External"/><Relationship Id="rId3214" Type="http://schemas.openxmlformats.org/officeDocument/2006/relationships/hyperlink" Target="https://www.facebook.com/watch/live/?ref=watch_permalink&amp;v=332681445500650" TargetMode="External"/><Relationship Id="rId3421" Type="http://schemas.openxmlformats.org/officeDocument/2006/relationships/hyperlink" Target="https://www.facebook.com/eduardo.m.lombo" TargetMode="External"/><Relationship Id="rId135" Type="http://schemas.openxmlformats.org/officeDocument/2006/relationships/hyperlink" Target="https://www.facebook.com/tzadmar.julian" TargetMode="External"/><Relationship Id="rId342" Type="http://schemas.openxmlformats.org/officeDocument/2006/relationships/hyperlink" Target="https://www.facebook.com/marah.dominguez" TargetMode="External"/><Relationship Id="rId2023" Type="http://schemas.openxmlformats.org/officeDocument/2006/relationships/hyperlink" Target="https://www.facebook.com/ninotchka.rosca" TargetMode="External"/><Relationship Id="rId2230" Type="http://schemas.openxmlformats.org/officeDocument/2006/relationships/hyperlink" Target="https://www.facebook.com/rapplerdotcom/photos/a.317154781638645/5596022273751843/" TargetMode="External"/><Relationship Id="rId5179" Type="http://schemas.openxmlformats.org/officeDocument/2006/relationships/hyperlink" Target="https://www.facebook.com/rapplerdotcom/photos/a.317154781638645/5594264657260938/" TargetMode="External"/><Relationship Id="rId5386" Type="http://schemas.openxmlformats.org/officeDocument/2006/relationships/hyperlink" Target="https://www.facebook.com/melinda.santelices" TargetMode="External"/><Relationship Id="rId5593" Type="http://schemas.openxmlformats.org/officeDocument/2006/relationships/hyperlink" Target="https://www.facebook.com/rapplerdotcom/photos/a.317154781638645/5594453700575367/" TargetMode="External"/><Relationship Id="rId202" Type="http://schemas.openxmlformats.org/officeDocument/2006/relationships/hyperlink" Target="https://www.facebook.com/rapplerdotcom/posts/pfbid0DUh4iFcrxZuR1UbiGhcAHcMdzsaV29GSeHCY1HabtqcnUWkjStX9TDaVqzzt92GDl" TargetMode="External"/><Relationship Id="rId4195" Type="http://schemas.openxmlformats.org/officeDocument/2006/relationships/hyperlink" Target="https://www.facebook.com/amaya.sabado" TargetMode="External"/><Relationship Id="rId5039" Type="http://schemas.openxmlformats.org/officeDocument/2006/relationships/hyperlink" Target="https://www.facebook.com/rapplerdotcom/posts/pfbid02BCyyacWVuuu1bwX5PwYK8PvqDGTANxekqEMy7qyV9vMmaGKTbC8sBf7i5j3Wbx9Ll" TargetMode="External"/><Relationship Id="rId5246" Type="http://schemas.openxmlformats.org/officeDocument/2006/relationships/hyperlink" Target="https://www.facebook.com/john.berango" TargetMode="External"/><Relationship Id="rId5453" Type="http://schemas.openxmlformats.org/officeDocument/2006/relationships/hyperlink" Target="https://www.facebook.com/watch/live/?ref=watch_permalink&amp;v=312865720941798" TargetMode="External"/><Relationship Id="rId1789" Type="http://schemas.openxmlformats.org/officeDocument/2006/relationships/hyperlink" Target="https://www.facebook.com/leideeavery.taluban" TargetMode="External"/><Relationship Id="rId1996" Type="http://schemas.openxmlformats.org/officeDocument/2006/relationships/hyperlink" Target="https://www.facebook.com/rapplerdotcom/photos/a.317154781638645/5596022273751843/" TargetMode="External"/><Relationship Id="rId4055" Type="http://schemas.openxmlformats.org/officeDocument/2006/relationships/hyperlink" Target="https://www.facebook.com/rosemarie.saturno" TargetMode="External"/><Relationship Id="rId4262" Type="http://schemas.openxmlformats.org/officeDocument/2006/relationships/hyperlink" Target="https://www.facebook.com/ping.deluna.50" TargetMode="External"/><Relationship Id="rId5106" Type="http://schemas.openxmlformats.org/officeDocument/2006/relationships/hyperlink" Target="https://www.facebook.com/zion.poliquit.54" TargetMode="External"/><Relationship Id="rId5660" Type="http://schemas.openxmlformats.org/officeDocument/2006/relationships/hyperlink" Target="https://www.facebook.com/juliustigley.perater" TargetMode="External"/><Relationship Id="rId1649" Type="http://schemas.openxmlformats.org/officeDocument/2006/relationships/hyperlink" Target="https://www.facebook.com/oteng.gai" TargetMode="External"/><Relationship Id="rId1856" Type="http://schemas.openxmlformats.org/officeDocument/2006/relationships/hyperlink" Target="https://www.facebook.com/rapplerdotcom/photos/a.317154781638645/5596043783749692/" TargetMode="External"/><Relationship Id="rId2907" Type="http://schemas.openxmlformats.org/officeDocument/2006/relationships/hyperlink" Target="https://www.facebook.com/roger.espiritu.5" TargetMode="External"/><Relationship Id="rId3071" Type="http://schemas.openxmlformats.org/officeDocument/2006/relationships/hyperlink" Target="https://www.facebook.com/ayen.francisco.927" TargetMode="External"/><Relationship Id="rId5313" Type="http://schemas.openxmlformats.org/officeDocument/2006/relationships/hyperlink" Target="https://www.facebook.com/rapplerdotcom/photos/a.317154781638645/5594264657260938/" TargetMode="External"/><Relationship Id="rId5520" Type="http://schemas.openxmlformats.org/officeDocument/2006/relationships/hyperlink" Target="https://www.facebook.com/agnes.sanbuenaventura.9" TargetMode="External"/><Relationship Id="rId1509" Type="http://schemas.openxmlformats.org/officeDocument/2006/relationships/hyperlink" Target="https://www.facebook.com/william.baang" TargetMode="External"/><Relationship Id="rId1716" Type="http://schemas.openxmlformats.org/officeDocument/2006/relationships/hyperlink" Target="https://www.facebook.com/rapplerdotcom/photos/a.317154781638645/5596043783749692/" TargetMode="External"/><Relationship Id="rId1923" Type="http://schemas.openxmlformats.org/officeDocument/2006/relationships/hyperlink" Target="https://www.facebook.com/grace.r.israel" TargetMode="External"/><Relationship Id="rId4122" Type="http://schemas.openxmlformats.org/officeDocument/2006/relationships/hyperlink" Target="https://www.facebook.com/rapplerdotcom/photos/a.317154781638645/5594954703858600/" TargetMode="External"/><Relationship Id="rId3888" Type="http://schemas.openxmlformats.org/officeDocument/2006/relationships/hyperlink" Target="https://www.facebook.com/rapplerdotcom/posts/pfbid0dyWpzxim3h4Z2SYriGakwQw85p7BCAgct7KU5EiMX1bmmgNHDD8nmES8rjrADsrPl" TargetMode="External"/><Relationship Id="rId4939" Type="http://schemas.openxmlformats.org/officeDocument/2006/relationships/hyperlink" Target="https://www.facebook.com/rapplerdotcom/posts/pfbid02BCyyacWVuuu1bwX5PwYK8PvqDGTANxekqEMy7qyV9vMmaGKTbC8sBf7i5j3Wbx9Ll" TargetMode="External"/><Relationship Id="rId6087" Type="http://schemas.openxmlformats.org/officeDocument/2006/relationships/hyperlink" Target="https://www.facebook.com/rapplerdotcom/photos/a.317154781638645/5594359700584767/" TargetMode="External"/><Relationship Id="rId2697" Type="http://schemas.openxmlformats.org/officeDocument/2006/relationships/hyperlink" Target="https://www.facebook.com/carlito.dimayacyac" TargetMode="External"/><Relationship Id="rId3748" Type="http://schemas.openxmlformats.org/officeDocument/2006/relationships/hyperlink" Target="https://www.facebook.com/rapplerdotcom/posts/pfbid0dyWpzxim3h4Z2SYriGakwQw85p7BCAgct7KU5EiMX1bmmgNHDD8nmES8rjrADsrPl" TargetMode="External"/><Relationship Id="rId6154" Type="http://schemas.openxmlformats.org/officeDocument/2006/relationships/hyperlink" Target="https://www.facebook.com/bin.abdulmalikimam" TargetMode="External"/><Relationship Id="rId669" Type="http://schemas.openxmlformats.org/officeDocument/2006/relationships/hyperlink" Target="https://www.facebook.com/chris.c.camacho" TargetMode="External"/><Relationship Id="rId876" Type="http://schemas.openxmlformats.org/officeDocument/2006/relationships/hyperlink" Target="https://www.facebook.com/rapplerdotcom/photos/a.317154781638645/5597612220259515/" TargetMode="External"/><Relationship Id="rId1299" Type="http://schemas.openxmlformats.org/officeDocument/2006/relationships/hyperlink" Target="https://www.facebook.com/Aprilche888" TargetMode="External"/><Relationship Id="rId2557" Type="http://schemas.openxmlformats.org/officeDocument/2006/relationships/hyperlink" Target="https://www.facebook.com/marissa.bernabetecson" TargetMode="External"/><Relationship Id="rId3608" Type="http://schemas.openxmlformats.org/officeDocument/2006/relationships/hyperlink" Target="https://www.facebook.com/rapplerdotcom/photos/a.317154781638645/5595372260483511/" TargetMode="External"/><Relationship Id="rId3955" Type="http://schemas.openxmlformats.org/officeDocument/2006/relationships/hyperlink" Target="https://www.facebook.com/rey.cuizon.90" TargetMode="External"/><Relationship Id="rId5170" Type="http://schemas.openxmlformats.org/officeDocument/2006/relationships/hyperlink" Target="https://www.facebook.com/profile.php?id=100051340422684" TargetMode="External"/><Relationship Id="rId6014" Type="http://schemas.openxmlformats.org/officeDocument/2006/relationships/hyperlink" Target="https://www.facebook.com/luther.staromana1" TargetMode="External"/><Relationship Id="rId6221" Type="http://schemas.openxmlformats.org/officeDocument/2006/relationships/hyperlink" Target="https://www.facebook.com/watch/?v=684555919511830" TargetMode="External"/><Relationship Id="rId529" Type="http://schemas.openxmlformats.org/officeDocument/2006/relationships/hyperlink" Target="https://www.facebook.com/rapplerdotcom/photos/a.317154781638645/5598220220198715/" TargetMode="External"/><Relationship Id="rId736" Type="http://schemas.openxmlformats.org/officeDocument/2006/relationships/hyperlink" Target="https://www.facebook.com/rapplerdotcom/photos/a.317154781638645/5597612220259515/" TargetMode="External"/><Relationship Id="rId1159" Type="http://schemas.openxmlformats.org/officeDocument/2006/relationships/hyperlink" Target="https://www.facebook.com/ogie.fernandez.731" TargetMode="External"/><Relationship Id="rId1366" Type="http://schemas.openxmlformats.org/officeDocument/2006/relationships/hyperlink" Target="https://www.facebook.com/rapplerdotcom/photos/a.317154781638645/5597116770309060/" TargetMode="External"/><Relationship Id="rId2417" Type="http://schemas.openxmlformats.org/officeDocument/2006/relationships/hyperlink" Target="https://www.facebook.com/trisha.gellangarin" TargetMode="External"/><Relationship Id="rId2764" Type="http://schemas.openxmlformats.org/officeDocument/2006/relationships/hyperlink" Target="https://www.facebook.com/rapplerdotcom/photos/a.317154781638645/5595733810447356/" TargetMode="External"/><Relationship Id="rId2971" Type="http://schemas.openxmlformats.org/officeDocument/2006/relationships/hyperlink" Target="https://www.facebook.com/jowel.geroy" TargetMode="External"/><Relationship Id="rId3815" Type="http://schemas.openxmlformats.org/officeDocument/2006/relationships/hyperlink" Target="https://www.facebook.com/profile.php?id=100010288385661" TargetMode="External"/><Relationship Id="rId5030" Type="http://schemas.openxmlformats.org/officeDocument/2006/relationships/hyperlink" Target="https://www.facebook.com/chazper21" TargetMode="External"/><Relationship Id="rId943" Type="http://schemas.openxmlformats.org/officeDocument/2006/relationships/hyperlink" Target="https://www.facebook.com/einavanie" TargetMode="External"/><Relationship Id="rId1019" Type="http://schemas.openxmlformats.org/officeDocument/2006/relationships/hyperlink" Target="https://www.facebook.com/gary.garcia.357" TargetMode="External"/><Relationship Id="rId1573" Type="http://schemas.openxmlformats.org/officeDocument/2006/relationships/hyperlink" Target="https://www.facebook.com/florante.lumaban" TargetMode="External"/><Relationship Id="rId1780" Type="http://schemas.openxmlformats.org/officeDocument/2006/relationships/hyperlink" Target="https://www.facebook.com/rapplerdotcom/photos/a.317154781638645/5596043783749692/" TargetMode="External"/><Relationship Id="rId2624" Type="http://schemas.openxmlformats.org/officeDocument/2006/relationships/hyperlink" Target="https://www.facebook.com/rapplerdotcom/photos/a.317154781638645/5595733810447356/" TargetMode="External"/><Relationship Id="rId2831" Type="http://schemas.openxmlformats.org/officeDocument/2006/relationships/hyperlink" Target="https://www.facebook.com/jhonatan.dordas" TargetMode="External"/><Relationship Id="rId5987" Type="http://schemas.openxmlformats.org/officeDocument/2006/relationships/hyperlink" Target="https://www.facebook.com/rapplerdotcom/photos/a.317154781638645/5594359700584767/" TargetMode="External"/><Relationship Id="rId72" Type="http://schemas.openxmlformats.org/officeDocument/2006/relationships/hyperlink" Target="https://www.facebook.com/rapplerdotcom/posts/pfbid0DUh4iFcrxZuR1UbiGhcAHcMdzsaV29GSeHCY1HabtqcnUWkjStX9TDaVqzzt92GDl" TargetMode="External"/><Relationship Id="rId803" Type="http://schemas.openxmlformats.org/officeDocument/2006/relationships/hyperlink" Target="https://www.facebook.com/angela.romanos.14" TargetMode="External"/><Relationship Id="rId1226" Type="http://schemas.openxmlformats.org/officeDocument/2006/relationships/hyperlink" Target="https://www.facebook.com/rapplerdotcom/posts/pfbid023goEfA6e1ABSWYJFy8fQ5LFWDv4QTSTmAfzySGtMSpy12iqywB2MUZjiZ8GjCxrGl" TargetMode="External"/><Relationship Id="rId1433" Type="http://schemas.openxmlformats.org/officeDocument/2006/relationships/hyperlink" Target="https://www.facebook.com/profile.php?id=100000245313356" TargetMode="External"/><Relationship Id="rId1640" Type="http://schemas.openxmlformats.org/officeDocument/2006/relationships/hyperlink" Target="https://www.facebook.com/rapplerdotcom/posts/pfbid02AsSA4LQqjQ2Y8SVathQmtduoE3fhoGvQSNhvrzsMerDaJSQJ6jDvApCCiuaE7XCol" TargetMode="External"/><Relationship Id="rId4589" Type="http://schemas.openxmlformats.org/officeDocument/2006/relationships/hyperlink" Target="https://www.facebook.com/watch/live/?ref=watch_permalink&amp;v=923735834984653" TargetMode="External"/><Relationship Id="rId4796" Type="http://schemas.openxmlformats.org/officeDocument/2006/relationships/hyperlink" Target="https://www.facebook.com/alectv07" TargetMode="External"/><Relationship Id="rId5847" Type="http://schemas.openxmlformats.org/officeDocument/2006/relationships/hyperlink" Target="https://www.facebook.com/rapplerdotcom/photos/a.317154781638645/5594453700575367/" TargetMode="External"/><Relationship Id="rId1500" Type="http://schemas.openxmlformats.org/officeDocument/2006/relationships/hyperlink" Target="https://www.facebook.com/rapplerdotcom/photos/a.317154781638645/5597116770309060/" TargetMode="External"/><Relationship Id="rId3398" Type="http://schemas.openxmlformats.org/officeDocument/2006/relationships/hyperlink" Target="https://www.facebook.com/rapplerdotcom/photos/a.317154781638645/5595372260483511/" TargetMode="External"/><Relationship Id="rId4449" Type="http://schemas.openxmlformats.org/officeDocument/2006/relationships/hyperlink" Target="https://www.facebook.com/rapplerdotcom/photos/a.317154781638645/5594954703858600/" TargetMode="External"/><Relationship Id="rId4656" Type="http://schemas.openxmlformats.org/officeDocument/2006/relationships/hyperlink" Target="https://www.facebook.com/profile.php?id=100055630160451" TargetMode="External"/><Relationship Id="rId4863" Type="http://schemas.openxmlformats.org/officeDocument/2006/relationships/hyperlink" Target="https://www.facebook.com/watch/live/?ref=watch_permalink&amp;v=923735834984653" TargetMode="External"/><Relationship Id="rId5707" Type="http://schemas.openxmlformats.org/officeDocument/2006/relationships/hyperlink" Target="https://www.facebook.com/rapplerdotcom/photos/a.317154781638645/5594453700575367/" TargetMode="External"/><Relationship Id="rId5914" Type="http://schemas.openxmlformats.org/officeDocument/2006/relationships/hyperlink" Target="https://www.facebook.com/hyath" TargetMode="External"/><Relationship Id="rId3258" Type="http://schemas.openxmlformats.org/officeDocument/2006/relationships/hyperlink" Target="https://www.facebook.com/rapplerdotcom/posts/pfbid035u2RhZvcYSiCeymgBfXLoFoq87y2V8v81A9xDtyoKJgzTGtotsEEoj2bH7Zd4mtzl" TargetMode="External"/><Relationship Id="rId3465" Type="http://schemas.openxmlformats.org/officeDocument/2006/relationships/hyperlink" Target="https://www.facebook.com/profile.php?id=100012286893622" TargetMode="External"/><Relationship Id="rId3672" Type="http://schemas.openxmlformats.org/officeDocument/2006/relationships/hyperlink" Target="https://www.facebook.com/rapplerdotcom/photos/a.317154781638645/5595162900504447/" TargetMode="External"/><Relationship Id="rId4309" Type="http://schemas.openxmlformats.org/officeDocument/2006/relationships/hyperlink" Target="https://www.facebook.com/rapplerdotcom/photos/a.317154781638645/5594954703858600/" TargetMode="External"/><Relationship Id="rId4516" Type="http://schemas.openxmlformats.org/officeDocument/2006/relationships/hyperlink" Target="https://www.facebook.com/cidj.jalandoni" TargetMode="External"/><Relationship Id="rId4723" Type="http://schemas.openxmlformats.org/officeDocument/2006/relationships/hyperlink" Target="https://www.facebook.com/watch/live/?ref=watch_permalink&amp;v=923735834984653" TargetMode="External"/><Relationship Id="rId179" Type="http://schemas.openxmlformats.org/officeDocument/2006/relationships/hyperlink" Target="https://www.facebook.com/profile.php?id=100073995464849" TargetMode="External"/><Relationship Id="rId386" Type="http://schemas.openxmlformats.org/officeDocument/2006/relationships/hyperlink" Target="https://www.facebook.com/ejllorente04" TargetMode="External"/><Relationship Id="rId593" Type="http://schemas.openxmlformats.org/officeDocument/2006/relationships/hyperlink" Target="https://www.facebook.com/bella.hermohenez" TargetMode="External"/><Relationship Id="rId2067" Type="http://schemas.openxmlformats.org/officeDocument/2006/relationships/hyperlink" Target="https://www.facebook.com/myla.malbasbelleza" TargetMode="External"/><Relationship Id="rId2274" Type="http://schemas.openxmlformats.org/officeDocument/2006/relationships/hyperlink" Target="https://www.facebook.com/rapplerdotcom/photos/a.317154781638645/5596022273751843/" TargetMode="External"/><Relationship Id="rId2481" Type="http://schemas.openxmlformats.org/officeDocument/2006/relationships/hyperlink" Target="https://www.facebook.com/romer.carredo" TargetMode="External"/><Relationship Id="rId3118" Type="http://schemas.openxmlformats.org/officeDocument/2006/relationships/hyperlink" Target="https://www.facebook.com/watch/live/?ref=watch_permalink&amp;v=360307549312104" TargetMode="External"/><Relationship Id="rId3325" Type="http://schemas.openxmlformats.org/officeDocument/2006/relationships/hyperlink" Target="https://www.facebook.com/gerard.yap.7" TargetMode="External"/><Relationship Id="rId3532" Type="http://schemas.openxmlformats.org/officeDocument/2006/relationships/hyperlink" Target="https://www.facebook.com/rapplerdotcom/photos/a.317154781638645/5595372260483511/" TargetMode="External"/><Relationship Id="rId4930" Type="http://schemas.openxmlformats.org/officeDocument/2006/relationships/hyperlink" Target="https://www.facebook.com/rolen.danque" TargetMode="External"/><Relationship Id="rId246" Type="http://schemas.openxmlformats.org/officeDocument/2006/relationships/hyperlink" Target="https://www.facebook.com/profile.php?id=100077223813002" TargetMode="External"/><Relationship Id="rId453" Type="http://schemas.openxmlformats.org/officeDocument/2006/relationships/hyperlink" Target="https://www.facebook.com/rapplerdotcom/photos/a.317154781638645/5598220220198715/" TargetMode="External"/><Relationship Id="rId660" Type="http://schemas.openxmlformats.org/officeDocument/2006/relationships/hyperlink" Target="https://www.facebook.com/rapplerdotcom/photos/a.317154781638645/5597874143566656" TargetMode="External"/><Relationship Id="rId1083" Type="http://schemas.openxmlformats.org/officeDocument/2006/relationships/hyperlink" Target="https://www.facebook.com/jhazy30" TargetMode="External"/><Relationship Id="rId1290" Type="http://schemas.openxmlformats.org/officeDocument/2006/relationships/hyperlink" Target="https://www.facebook.com/rapplerdotcom/posts/pfbid023goEfA6e1ABSWYJFy8fQ5LFWDv4QTSTmAfzySGtMSpy12iqywB2MUZjiZ8GjCxrGl" TargetMode="External"/><Relationship Id="rId2134" Type="http://schemas.openxmlformats.org/officeDocument/2006/relationships/hyperlink" Target="https://www.facebook.com/rapplerdotcom/photos/a.317154781638645/5596022273751843/" TargetMode="External"/><Relationship Id="rId2341" Type="http://schemas.openxmlformats.org/officeDocument/2006/relationships/hyperlink" Target="https://www.facebook.com/ventura.mariejane" TargetMode="External"/><Relationship Id="rId5497" Type="http://schemas.openxmlformats.org/officeDocument/2006/relationships/hyperlink" Target="https://www.facebook.com/watch/live/?ref=watch_permalink&amp;v=312865720941798" TargetMode="External"/><Relationship Id="rId106" Type="http://schemas.openxmlformats.org/officeDocument/2006/relationships/hyperlink" Target="https://www.facebook.com/rapplerdotcom/posts/pfbid0DUh4iFcrxZuR1UbiGhcAHcMdzsaV29GSeHCY1HabtqcnUWkjStX9TDaVqzzt92GDl" TargetMode="External"/><Relationship Id="rId313" Type="http://schemas.openxmlformats.org/officeDocument/2006/relationships/hyperlink" Target="https://www.facebook.com/rapplerdotcom/photos/a.317154781638645/5598220220198715/" TargetMode="External"/><Relationship Id="rId1150" Type="http://schemas.openxmlformats.org/officeDocument/2006/relationships/hyperlink" Target="https://www.facebook.com/rapplerdotcom/posts/pfbid02dNgAR64VTtp94Rus4o9MNbU55E2H9Wp7KMKzJGkk6u4UxRyHU8j2pPpwa5iwGcD3l" TargetMode="External"/><Relationship Id="rId4099" Type="http://schemas.openxmlformats.org/officeDocument/2006/relationships/hyperlink" Target="https://www.facebook.com/kristine.r.nueva" TargetMode="External"/><Relationship Id="rId5357" Type="http://schemas.openxmlformats.org/officeDocument/2006/relationships/hyperlink" Target="https://www.facebook.com/rapplerdotcom/photos/a.317154781638645/5594264657260938/" TargetMode="External"/><Relationship Id="rId520" Type="http://schemas.openxmlformats.org/officeDocument/2006/relationships/hyperlink" Target="https://www.facebook.com/profile.php?id=100078117845423" TargetMode="External"/><Relationship Id="rId2201" Type="http://schemas.openxmlformats.org/officeDocument/2006/relationships/hyperlink" Target="https://www.facebook.com/dez.delmundosamson" TargetMode="External"/><Relationship Id="rId5564" Type="http://schemas.openxmlformats.org/officeDocument/2006/relationships/hyperlink" Target="https://www.facebook.com/jessie.villagracia.37" TargetMode="External"/><Relationship Id="rId5771" Type="http://schemas.openxmlformats.org/officeDocument/2006/relationships/hyperlink" Target="https://www.facebook.com/rapplerdotcom/photos/a.317154781638645/5594453700575367/" TargetMode="External"/><Relationship Id="rId1010" Type="http://schemas.openxmlformats.org/officeDocument/2006/relationships/hyperlink" Target="https://www.facebook.com/rapplerdotcom/photos/a.317154781638645/5597592673594803/" TargetMode="External"/><Relationship Id="rId1967" Type="http://schemas.openxmlformats.org/officeDocument/2006/relationships/hyperlink" Target="https://www.facebook.com/madammaharlika" TargetMode="External"/><Relationship Id="rId4166" Type="http://schemas.openxmlformats.org/officeDocument/2006/relationships/hyperlink" Target="https://www.facebook.com/rapplerdotcom/photos/a.317154781638645/5594954703858600/" TargetMode="External"/><Relationship Id="rId4373" Type="http://schemas.openxmlformats.org/officeDocument/2006/relationships/hyperlink" Target="https://www.facebook.com/rapplerdotcom/photos/a.317154781638645/5594954703858600/" TargetMode="External"/><Relationship Id="rId4580" Type="http://schemas.openxmlformats.org/officeDocument/2006/relationships/hyperlink" Target="https://www.facebook.com/gloria.adams.948" TargetMode="External"/><Relationship Id="rId5217" Type="http://schemas.openxmlformats.org/officeDocument/2006/relationships/hyperlink" Target="https://www.facebook.com/rapplerdotcom/photos/a.317154781638645/5594264657260938/" TargetMode="External"/><Relationship Id="rId5424" Type="http://schemas.openxmlformats.org/officeDocument/2006/relationships/hyperlink" Target="https://www.facebook.com/darryl.francisco123166" TargetMode="External"/><Relationship Id="rId5631" Type="http://schemas.openxmlformats.org/officeDocument/2006/relationships/hyperlink" Target="https://www.facebook.com/rapplerdotcom/photos/a.317154781638645/5594453700575367/" TargetMode="External"/><Relationship Id="rId4026" Type="http://schemas.openxmlformats.org/officeDocument/2006/relationships/hyperlink" Target="https://www.facebook.com/rapplerdotcom/posts/pfbid02kmyrDmvYtHxz51VdR228sTCyvbHYDrwL4TgeoVAenoprSKkWhUFLyRmAuKBuGtXXl" TargetMode="External"/><Relationship Id="rId4440" Type="http://schemas.openxmlformats.org/officeDocument/2006/relationships/hyperlink" Target="https://www.facebook.com/jayloudave.basog" TargetMode="External"/><Relationship Id="rId3042" Type="http://schemas.openxmlformats.org/officeDocument/2006/relationships/hyperlink" Target="https://www.facebook.com/watch/live/?ref=watch_permalink&amp;v=360307549312104" TargetMode="External"/><Relationship Id="rId6198" Type="http://schemas.openxmlformats.org/officeDocument/2006/relationships/hyperlink" Target="https://www.facebook.com/angeles.soriben" TargetMode="External"/><Relationship Id="rId3859" Type="http://schemas.openxmlformats.org/officeDocument/2006/relationships/hyperlink" Target="https://www.facebook.com/rnl.mojica" TargetMode="External"/><Relationship Id="rId5281" Type="http://schemas.openxmlformats.org/officeDocument/2006/relationships/hyperlink" Target="https://www.facebook.com/rapplerdotcom/photos/a.317154781638645/5594264657260938/" TargetMode="External"/><Relationship Id="rId2875" Type="http://schemas.openxmlformats.org/officeDocument/2006/relationships/hyperlink" Target="https://www.facebook.com/amie.maroma.9" TargetMode="External"/><Relationship Id="rId3926" Type="http://schemas.openxmlformats.org/officeDocument/2006/relationships/hyperlink" Target="https://www.facebook.com/rapplerdotcom/posts/pfbid0dyWpzxim3h4Z2SYriGakwQw85p7BCAgct7KU5EiMX1bmmgNHDD8nmES8rjrADsrPl" TargetMode="External"/><Relationship Id="rId847" Type="http://schemas.openxmlformats.org/officeDocument/2006/relationships/hyperlink" Target="https://www.facebook.com/teresita.gonzales.33865854" TargetMode="External"/><Relationship Id="rId1477" Type="http://schemas.openxmlformats.org/officeDocument/2006/relationships/hyperlink" Target="https://www.facebook.com/dorsgf" TargetMode="External"/><Relationship Id="rId1891" Type="http://schemas.openxmlformats.org/officeDocument/2006/relationships/hyperlink" Target="https://www.facebook.com/wasakgregg" TargetMode="External"/><Relationship Id="rId2528" Type="http://schemas.openxmlformats.org/officeDocument/2006/relationships/hyperlink" Target="https://www.facebook.com/rapplerdotcom/posts/pfbid0TYP6syjYwznxJKdhWv9YMaXK9NvsSEhQ2cyyCQCPMvGapWXrQBHehywgT156wqNPl" TargetMode="External"/><Relationship Id="rId2942" Type="http://schemas.openxmlformats.org/officeDocument/2006/relationships/hyperlink" Target="https://www.facebook.com/watch/live/?ref=watch_permalink&amp;v=360307549312104" TargetMode="External"/><Relationship Id="rId914" Type="http://schemas.openxmlformats.org/officeDocument/2006/relationships/hyperlink" Target="https://www.facebook.com/rapplerdotcom/photos/a.317154781638645/5597592673594803/" TargetMode="External"/><Relationship Id="rId1544" Type="http://schemas.openxmlformats.org/officeDocument/2006/relationships/hyperlink" Target="https://www.facebook.com/rapplerdotcom/photos/a.317154781638645/5597116770309060/" TargetMode="External"/><Relationship Id="rId5001" Type="http://schemas.openxmlformats.org/officeDocument/2006/relationships/hyperlink" Target="https://www.facebook.com/rapplerdotcom/posts/pfbid02BCyyacWVuuu1bwX5PwYK8PvqDGTANxekqEMy7qyV9vMmaGKTbC8sBf7i5j3Wbx9Ll" TargetMode="External"/><Relationship Id="rId1611" Type="http://schemas.openxmlformats.org/officeDocument/2006/relationships/hyperlink" Target="https://www.facebook.com/cenizanestor" TargetMode="External"/><Relationship Id="rId4767" Type="http://schemas.openxmlformats.org/officeDocument/2006/relationships/hyperlink" Target="https://www.facebook.com/watch/live/?ref=watch_permalink&amp;v=923735834984653" TargetMode="External"/><Relationship Id="rId5818" Type="http://schemas.openxmlformats.org/officeDocument/2006/relationships/hyperlink" Target="https://www.facebook.com/juan.tajanlangit.5" TargetMode="External"/><Relationship Id="rId3369" Type="http://schemas.openxmlformats.org/officeDocument/2006/relationships/hyperlink" Target="https://www.facebook.com/ledecia.sendayen.3" TargetMode="External"/><Relationship Id="rId2385" Type="http://schemas.openxmlformats.org/officeDocument/2006/relationships/hyperlink" Target="https://www.facebook.com/scott.wuming" TargetMode="External"/><Relationship Id="rId3783" Type="http://schemas.openxmlformats.org/officeDocument/2006/relationships/hyperlink" Target="https://www.facebook.com/nolie.mantaring" TargetMode="External"/><Relationship Id="rId4834" Type="http://schemas.openxmlformats.org/officeDocument/2006/relationships/hyperlink" Target="https://www.facebook.com/profile.php?id=100074054030710" TargetMode="External"/><Relationship Id="rId357" Type="http://schemas.openxmlformats.org/officeDocument/2006/relationships/hyperlink" Target="https://www.facebook.com/rapplerdotcom/photos/a.317154781638645/5598220220198715/" TargetMode="External"/><Relationship Id="rId2038" Type="http://schemas.openxmlformats.org/officeDocument/2006/relationships/hyperlink" Target="https://www.facebook.com/rapplerdotcom/photos/a.317154781638645/5596022273751843/" TargetMode="External"/><Relationship Id="rId3436" Type="http://schemas.openxmlformats.org/officeDocument/2006/relationships/hyperlink" Target="https://www.facebook.com/rapplerdotcom/photos/a.317154781638645/5595372260483511/" TargetMode="External"/><Relationship Id="rId3850" Type="http://schemas.openxmlformats.org/officeDocument/2006/relationships/hyperlink" Target="https://www.facebook.com/rapplerdotcom/posts/pfbid0dyWpzxim3h4Z2SYriGakwQw85p7BCAgct7KU5EiMX1bmmgNHDD8nmES8rjrADsrPl" TargetMode="External"/><Relationship Id="rId4901" Type="http://schemas.openxmlformats.org/officeDocument/2006/relationships/hyperlink" Target="https://www.facebook.com/watch/live/?ref=watch_permalink&amp;v=923735834984653" TargetMode="External"/><Relationship Id="rId771" Type="http://schemas.openxmlformats.org/officeDocument/2006/relationships/hyperlink" Target="https://www.facebook.com/cora.baliola.5" TargetMode="External"/><Relationship Id="rId2452" Type="http://schemas.openxmlformats.org/officeDocument/2006/relationships/hyperlink" Target="https://www.facebook.com/rapplerdotcom/posts/pfbid0TYP6syjYwznxJKdhWv9YMaXK9NvsSEhQ2cyyCQCPMvGapWXrQBHehywgT156wqNPl" TargetMode="External"/><Relationship Id="rId3503" Type="http://schemas.openxmlformats.org/officeDocument/2006/relationships/hyperlink" Target="https://www.facebook.com/profile.php?id=100073772812583" TargetMode="External"/><Relationship Id="rId424" Type="http://schemas.openxmlformats.org/officeDocument/2006/relationships/hyperlink" Target="https://www.facebook.com/elmer.gabini" TargetMode="External"/><Relationship Id="rId1054" Type="http://schemas.openxmlformats.org/officeDocument/2006/relationships/hyperlink" Target="https://www.facebook.com/rapplerdotcom/posts/pfbid028Kg188FmebKa4aFvHZNp8zGTwjghWDDJuUmQ8agbSCvGAGJHZ7pBH9NmxLBmPZZdl" TargetMode="External"/><Relationship Id="rId2105" Type="http://schemas.openxmlformats.org/officeDocument/2006/relationships/hyperlink" Target="https://www.facebook.com/ditas.roxas" TargetMode="External"/><Relationship Id="rId5675" Type="http://schemas.openxmlformats.org/officeDocument/2006/relationships/hyperlink" Target="https://www.facebook.com/rapplerdotcom/photos/a.317154781638645/5594453700575367/" TargetMode="External"/><Relationship Id="rId1121" Type="http://schemas.openxmlformats.org/officeDocument/2006/relationships/hyperlink" Target="https://www.facebook.com/ronmsalvador" TargetMode="External"/><Relationship Id="rId4277" Type="http://schemas.openxmlformats.org/officeDocument/2006/relationships/hyperlink" Target="https://www.facebook.com/rapplerdotcom/photos/a.317154781638645/5594954703858600/" TargetMode="External"/><Relationship Id="rId4691" Type="http://schemas.openxmlformats.org/officeDocument/2006/relationships/hyperlink" Target="https://www.facebook.com/watch/live/?ref=watch_permalink&amp;v=923735834984653" TargetMode="External"/><Relationship Id="rId5328" Type="http://schemas.openxmlformats.org/officeDocument/2006/relationships/hyperlink" Target="https://www.facebook.com/herbert.timbre" TargetMode="External"/><Relationship Id="rId5742" Type="http://schemas.openxmlformats.org/officeDocument/2006/relationships/hyperlink" Target="https://www.facebook.com/esmeraldo.go" TargetMode="External"/><Relationship Id="rId3293" Type="http://schemas.openxmlformats.org/officeDocument/2006/relationships/hyperlink" Target="https://www.facebook.com/gia.mitchell.9655" TargetMode="External"/><Relationship Id="rId4344" Type="http://schemas.openxmlformats.org/officeDocument/2006/relationships/hyperlink" Target="https://www.facebook.com/rick.capunihan" TargetMode="External"/><Relationship Id="rId1938" Type="http://schemas.openxmlformats.org/officeDocument/2006/relationships/hyperlink" Target="https://www.facebook.com/rapplerdotcom/photos/a.317154781638645/5596043783749692/" TargetMode="External"/><Relationship Id="rId3360" Type="http://schemas.openxmlformats.org/officeDocument/2006/relationships/hyperlink" Target="https://www.facebook.com/rapplerdotcom/photos/a.317154781638645/5595372260483511/" TargetMode="External"/><Relationship Id="rId281" Type="http://schemas.openxmlformats.org/officeDocument/2006/relationships/hyperlink" Target="https://www.facebook.com/rapplerdotcom/photos/a.317154781638645/5598220220198715/" TargetMode="External"/><Relationship Id="rId3013" Type="http://schemas.openxmlformats.org/officeDocument/2006/relationships/hyperlink" Target="https://www.facebook.com/profile.php?id=100010223315744" TargetMode="External"/><Relationship Id="rId4411" Type="http://schemas.openxmlformats.org/officeDocument/2006/relationships/hyperlink" Target="https://www.facebook.com/rapplerdotcom/photos/a.317154781638645/5594954703858600/" TargetMode="External"/><Relationship Id="rId6169" Type="http://schemas.openxmlformats.org/officeDocument/2006/relationships/hyperlink" Target="https://www.facebook.com/watch/?v=684555919511830" TargetMode="External"/><Relationship Id="rId2779" Type="http://schemas.openxmlformats.org/officeDocument/2006/relationships/hyperlink" Target="https://www.facebook.com/bechabye" TargetMode="External"/><Relationship Id="rId5185" Type="http://schemas.openxmlformats.org/officeDocument/2006/relationships/hyperlink" Target="https://www.facebook.com/rapplerdotcom/photos/a.317154781638645/5594264657260938/" TargetMode="External"/><Relationship Id="rId1795" Type="http://schemas.openxmlformats.org/officeDocument/2006/relationships/hyperlink" Target="https://www.facebook.com/ernest.llovia" TargetMode="External"/><Relationship Id="rId2846" Type="http://schemas.openxmlformats.org/officeDocument/2006/relationships/hyperlink" Target="https://www.facebook.com/watch/?v=570590637273208" TargetMode="External"/><Relationship Id="rId5252" Type="http://schemas.openxmlformats.org/officeDocument/2006/relationships/hyperlink" Target="https://www.facebook.com/fred.deleon.9" TargetMode="External"/><Relationship Id="rId87" Type="http://schemas.openxmlformats.org/officeDocument/2006/relationships/hyperlink" Target="https://www.facebook.com/jim.nograles" TargetMode="External"/><Relationship Id="rId818" Type="http://schemas.openxmlformats.org/officeDocument/2006/relationships/hyperlink" Target="https://www.facebook.com/rapplerdotcom/photos/a.317154781638645/5597612220259515/" TargetMode="External"/><Relationship Id="rId1448" Type="http://schemas.openxmlformats.org/officeDocument/2006/relationships/hyperlink" Target="https://www.facebook.com/rapplerdotcom/photos/a.317154781638645/5597116770309060/" TargetMode="External"/><Relationship Id="rId1862" Type="http://schemas.openxmlformats.org/officeDocument/2006/relationships/hyperlink" Target="https://www.facebook.com/rapplerdotcom/photos/a.317154781638645/5596043783749692/" TargetMode="External"/><Relationship Id="rId2913" Type="http://schemas.openxmlformats.org/officeDocument/2006/relationships/hyperlink" Target="https://www.facebook.com/marlon.sambile.12" TargetMode="External"/><Relationship Id="rId1515" Type="http://schemas.openxmlformats.org/officeDocument/2006/relationships/hyperlink" Target="https://www.facebook.com/WinterMemoir" TargetMode="External"/><Relationship Id="rId6093" Type="http://schemas.openxmlformats.org/officeDocument/2006/relationships/hyperlink" Target="https://www.facebook.com/rapplerdotcom/photos/a.317154781638645/5594359700584767/" TargetMode="External"/><Relationship Id="rId3687" Type="http://schemas.openxmlformats.org/officeDocument/2006/relationships/hyperlink" Target="https://www.facebook.com/maricel.delacruz.399" TargetMode="External"/><Relationship Id="rId4738" Type="http://schemas.openxmlformats.org/officeDocument/2006/relationships/hyperlink" Target="https://www.facebook.com/normita.beato" TargetMode="External"/><Relationship Id="rId2289" Type="http://schemas.openxmlformats.org/officeDocument/2006/relationships/hyperlink" Target="https://www.facebook.com/lmfloralde" TargetMode="External"/><Relationship Id="rId3754" Type="http://schemas.openxmlformats.org/officeDocument/2006/relationships/hyperlink" Target="https://www.facebook.com/rapplerdotcom/posts/pfbid0dyWpzxim3h4Z2SYriGakwQw85p7BCAgct7KU5EiMX1bmmgNHDD8nmES8rjrADsrPl" TargetMode="External"/><Relationship Id="rId4805" Type="http://schemas.openxmlformats.org/officeDocument/2006/relationships/hyperlink" Target="https://www.facebook.com/watch/live/?ref=watch_permalink&amp;v=923735834984653" TargetMode="External"/><Relationship Id="rId6160" Type="http://schemas.openxmlformats.org/officeDocument/2006/relationships/hyperlink" Target="https://www.facebook.com/jed.alegado" TargetMode="External"/><Relationship Id="rId675" Type="http://schemas.openxmlformats.org/officeDocument/2006/relationships/hyperlink" Target="https://www.facebook.com/dr.julius.uy" TargetMode="External"/><Relationship Id="rId2356" Type="http://schemas.openxmlformats.org/officeDocument/2006/relationships/hyperlink" Target="https://www.facebook.com/rapplerdotcom/posts/pfbid0TYP6syjYwznxJKdhWv9YMaXK9NvsSEhQ2cyyCQCPMvGapWXrQBHehywgT156wqNPl" TargetMode="External"/><Relationship Id="rId2770" Type="http://schemas.openxmlformats.org/officeDocument/2006/relationships/hyperlink" Target="https://www.facebook.com/rapplerdotcom/photos/a.317154781638645/5595733810447356/" TargetMode="External"/><Relationship Id="rId3407" Type="http://schemas.openxmlformats.org/officeDocument/2006/relationships/hyperlink" Target="https://www.facebook.com/eduardo.m.lombo" TargetMode="External"/><Relationship Id="rId3821" Type="http://schemas.openxmlformats.org/officeDocument/2006/relationships/hyperlink" Target="https://www.facebook.com/rodel.parambita" TargetMode="External"/><Relationship Id="rId328" Type="http://schemas.openxmlformats.org/officeDocument/2006/relationships/hyperlink" Target="https://www.facebook.com/denia.b.gatdula" TargetMode="External"/><Relationship Id="rId742" Type="http://schemas.openxmlformats.org/officeDocument/2006/relationships/hyperlink" Target="https://www.facebook.com/rapplerdotcom/photos/a.317154781638645/5597612220259515/" TargetMode="External"/><Relationship Id="rId1372" Type="http://schemas.openxmlformats.org/officeDocument/2006/relationships/hyperlink" Target="https://www.facebook.com/rapplerdotcom/photos/a.317154781638645/5597116770309060/" TargetMode="External"/><Relationship Id="rId2009" Type="http://schemas.openxmlformats.org/officeDocument/2006/relationships/hyperlink" Target="https://www.facebook.com/gina.arjona" TargetMode="External"/><Relationship Id="rId2423" Type="http://schemas.openxmlformats.org/officeDocument/2006/relationships/hyperlink" Target="https://www.facebook.com/joan.lastrilla2" TargetMode="External"/><Relationship Id="rId5579" Type="http://schemas.openxmlformats.org/officeDocument/2006/relationships/hyperlink" Target="https://www.facebook.com/rapplerdotcom/photos/a.317154781638645/5594453700575367/" TargetMode="External"/><Relationship Id="rId1025" Type="http://schemas.openxmlformats.org/officeDocument/2006/relationships/hyperlink" Target="https://www.facebook.com/omar.morales.14203" TargetMode="External"/><Relationship Id="rId4595" Type="http://schemas.openxmlformats.org/officeDocument/2006/relationships/hyperlink" Target="https://www.facebook.com/watch/live/?ref=watch_permalink&amp;v=923735834984653" TargetMode="External"/><Relationship Id="rId5646" Type="http://schemas.openxmlformats.org/officeDocument/2006/relationships/hyperlink" Target="https://www.facebook.com/terense.zingapan" TargetMode="External"/><Relationship Id="rId5993" Type="http://schemas.openxmlformats.org/officeDocument/2006/relationships/hyperlink" Target="https://www.facebook.com/rapplerdotcom/photos/a.317154781638645/5594359700584767/" TargetMode="External"/><Relationship Id="rId3197" Type="http://schemas.openxmlformats.org/officeDocument/2006/relationships/hyperlink" Target="https://www.facebook.com/melpcatre" TargetMode="External"/><Relationship Id="rId4248" Type="http://schemas.openxmlformats.org/officeDocument/2006/relationships/hyperlink" Target="https://www.facebook.com/divina.chicano" TargetMode="External"/><Relationship Id="rId4662" Type="http://schemas.openxmlformats.org/officeDocument/2006/relationships/hyperlink" Target="https://www.facebook.com/jeric.irangan" TargetMode="External"/><Relationship Id="rId5713" Type="http://schemas.openxmlformats.org/officeDocument/2006/relationships/hyperlink" Target="https://www.facebook.com/rapplerdotcom/photos/a.317154781638645/5594453700575367/" TargetMode="External"/><Relationship Id="rId185" Type="http://schemas.openxmlformats.org/officeDocument/2006/relationships/hyperlink" Target="https://www.facebook.com/aqoucii.makmak" TargetMode="External"/><Relationship Id="rId1909" Type="http://schemas.openxmlformats.org/officeDocument/2006/relationships/hyperlink" Target="https://www.facebook.com/yongcoonang" TargetMode="External"/><Relationship Id="rId3264" Type="http://schemas.openxmlformats.org/officeDocument/2006/relationships/hyperlink" Target="https://www.facebook.com/rapplerdotcom/posts/pfbid035u2RhZvcYSiCeymgBfXLoFoq87y2V8v81A9xDtyoKJgzTGtotsEEoj2bH7Zd4mtzl" TargetMode="External"/><Relationship Id="rId4315" Type="http://schemas.openxmlformats.org/officeDocument/2006/relationships/hyperlink" Target="https://www.facebook.com/rapplerdotcom/photos/a.317154781638645/5594954703858600/" TargetMode="External"/><Relationship Id="rId2280" Type="http://schemas.openxmlformats.org/officeDocument/2006/relationships/hyperlink" Target="https://www.facebook.com/rapplerdotcom/photos/a.317154781638645/5596022273751843/" TargetMode="External"/><Relationship Id="rId3331" Type="http://schemas.openxmlformats.org/officeDocument/2006/relationships/hyperlink" Target="https://www.facebook.com/junior.pontongan" TargetMode="External"/><Relationship Id="rId252" Type="http://schemas.openxmlformats.org/officeDocument/2006/relationships/hyperlink" Target="https://www.facebook.com/airam.libutaque" TargetMode="External"/><Relationship Id="rId5089" Type="http://schemas.openxmlformats.org/officeDocument/2006/relationships/hyperlink" Target="https://www.facebook.com/rapplerdotcom/posts/pfbid0231hbcbuKeQLDkPH8oZAdZbuU8MPPgRANx152V3xWpbjZ6EvfpohwQMvxHYAgrGPul" TargetMode="External"/><Relationship Id="rId1699" Type="http://schemas.openxmlformats.org/officeDocument/2006/relationships/hyperlink" Target="https://www.facebook.com/cory.ander.3" TargetMode="External"/><Relationship Id="rId2000" Type="http://schemas.openxmlformats.org/officeDocument/2006/relationships/hyperlink" Target="https://www.facebook.com/rapplerdotcom/photos/a.317154781638645/5596022273751843/" TargetMode="External"/><Relationship Id="rId5156" Type="http://schemas.openxmlformats.org/officeDocument/2006/relationships/hyperlink" Target="https://www.facebook.com/eugine.flores.5" TargetMode="External"/><Relationship Id="rId5570" Type="http://schemas.openxmlformats.org/officeDocument/2006/relationships/hyperlink" Target="https://www.facebook.com/czairr" TargetMode="External"/><Relationship Id="rId6207" Type="http://schemas.openxmlformats.org/officeDocument/2006/relationships/hyperlink" Target="https://www.facebook.com/watch/?v=684555919511830" TargetMode="External"/><Relationship Id="rId4172" Type="http://schemas.openxmlformats.org/officeDocument/2006/relationships/hyperlink" Target="https://www.facebook.com/rapplerdotcom/photos/a.317154781638645/5594954703858600/" TargetMode="External"/><Relationship Id="rId5223" Type="http://schemas.openxmlformats.org/officeDocument/2006/relationships/hyperlink" Target="https://www.facebook.com/rapplerdotcom/photos/a.317154781638645/5594264657260938/" TargetMode="External"/><Relationship Id="rId1766" Type="http://schemas.openxmlformats.org/officeDocument/2006/relationships/hyperlink" Target="https://www.facebook.com/rapplerdotcom/photos/a.317154781638645/5596043783749692/" TargetMode="External"/><Relationship Id="rId2817" Type="http://schemas.openxmlformats.org/officeDocument/2006/relationships/hyperlink" Target="https://www.facebook.com/joeynatallo" TargetMode="External"/><Relationship Id="rId58" Type="http://schemas.openxmlformats.org/officeDocument/2006/relationships/hyperlink" Target="https://www.facebook.com/rapplerdotcom/posts/pfbid0DUh4iFcrxZuR1UbiGhcAHcMdzsaV29GSeHCY1HabtqcnUWkjStX9TDaVqzzt92GDl" TargetMode="External"/><Relationship Id="rId1419" Type="http://schemas.openxmlformats.org/officeDocument/2006/relationships/hyperlink" Target="https://www.facebook.com/Ejrdkdylan" TargetMode="External"/><Relationship Id="rId1833" Type="http://schemas.openxmlformats.org/officeDocument/2006/relationships/hyperlink" Target="https://www.facebook.com/liza.mallorca.501" TargetMode="External"/><Relationship Id="rId4989" Type="http://schemas.openxmlformats.org/officeDocument/2006/relationships/hyperlink" Target="https://www.facebook.com/rapplerdotcom/posts/pfbid02BCyyacWVuuu1bwX5PwYK8PvqDGTANxekqEMy7qyV9vMmaGKTbC8sBf7i5j3Wbx9Ll" TargetMode="External"/><Relationship Id="rId1900" Type="http://schemas.openxmlformats.org/officeDocument/2006/relationships/hyperlink" Target="https://www.facebook.com/rapplerdotcom/photos/a.317154781638645/5596043783749692/" TargetMode="External"/><Relationship Id="rId3658" Type="http://schemas.openxmlformats.org/officeDocument/2006/relationships/hyperlink" Target="https://www.facebook.com/rapplerdotcom/photos/a.317154781638645/5595372260483511/" TargetMode="External"/><Relationship Id="rId4709" Type="http://schemas.openxmlformats.org/officeDocument/2006/relationships/hyperlink" Target="https://www.facebook.com/watch/live/?ref=watch_permalink&amp;v=923735834984653" TargetMode="External"/><Relationship Id="rId6064" Type="http://schemas.openxmlformats.org/officeDocument/2006/relationships/hyperlink" Target="https://www.facebook.com/teri.j.li" TargetMode="External"/><Relationship Id="rId579" Type="http://schemas.openxmlformats.org/officeDocument/2006/relationships/hyperlink" Target="https://www.facebook.com/alexander.calub" TargetMode="External"/><Relationship Id="rId993" Type="http://schemas.openxmlformats.org/officeDocument/2006/relationships/hyperlink" Target="https://www.facebook.com/kelcinRam" TargetMode="External"/><Relationship Id="rId2674" Type="http://schemas.openxmlformats.org/officeDocument/2006/relationships/hyperlink" Target="https://www.facebook.com/rapplerdotcom/photos/a.317154781638645/5595733810447356/" TargetMode="External"/><Relationship Id="rId5080" Type="http://schemas.openxmlformats.org/officeDocument/2006/relationships/hyperlink" Target="https://www.facebook.com/carmen.tabarnilla" TargetMode="External"/><Relationship Id="rId6131" Type="http://schemas.openxmlformats.org/officeDocument/2006/relationships/hyperlink" Target="https://www.facebook.com/rapplerdotcom/posts/pfbid0JJW97xH5fR5tDSLUQ8AnEgkPMU9Aigs9CgcNy2Q7AzJY4R8mRoicBgu3PLdqpf2Tl" TargetMode="External"/><Relationship Id="rId646" Type="http://schemas.openxmlformats.org/officeDocument/2006/relationships/hyperlink" Target="https://www.facebook.com/rapplerdotcom/photos/a.317154781638645/5597874143566656" TargetMode="External"/><Relationship Id="rId1276" Type="http://schemas.openxmlformats.org/officeDocument/2006/relationships/hyperlink" Target="https://www.facebook.com/rapplerdotcom/posts/pfbid023goEfA6e1ABSWYJFy8fQ5LFWDv4QTSTmAfzySGtMSpy12iqywB2MUZjiZ8GjCxrGl" TargetMode="External"/><Relationship Id="rId2327" Type="http://schemas.openxmlformats.org/officeDocument/2006/relationships/hyperlink" Target="https://www.facebook.com/trish.arana.9" TargetMode="External"/><Relationship Id="rId3725" Type="http://schemas.openxmlformats.org/officeDocument/2006/relationships/hyperlink" Target="https://www.facebook.com/holaissa.jaboneta" TargetMode="External"/><Relationship Id="rId1690" Type="http://schemas.openxmlformats.org/officeDocument/2006/relationships/hyperlink" Target="https://www.facebook.com/rapplerdotcom/photos/a.317154781638645/5596043783749692/" TargetMode="External"/><Relationship Id="rId2741" Type="http://schemas.openxmlformats.org/officeDocument/2006/relationships/hyperlink" Target="https://www.facebook.com/claro.miranda.7" TargetMode="External"/><Relationship Id="rId5897" Type="http://schemas.openxmlformats.org/officeDocument/2006/relationships/hyperlink" Target="https://www.facebook.com/rapplerdotcom/photos/a.317154781638645/5594359700584767/" TargetMode="External"/><Relationship Id="rId713" Type="http://schemas.openxmlformats.org/officeDocument/2006/relationships/hyperlink" Target="https://www.facebook.com/julio.quian" TargetMode="External"/><Relationship Id="rId1343" Type="http://schemas.openxmlformats.org/officeDocument/2006/relationships/hyperlink" Target="https://www.facebook.com/judith.baricuatro" TargetMode="External"/><Relationship Id="rId4499" Type="http://schemas.openxmlformats.org/officeDocument/2006/relationships/hyperlink" Target="https://www.facebook.com/rapplerdotcom/photos/a.317154781638645/5594954703858600/" TargetMode="External"/><Relationship Id="rId5964" Type="http://schemas.openxmlformats.org/officeDocument/2006/relationships/hyperlink" Target="https://www.facebook.com/profile.php?id=100075205566420" TargetMode="External"/><Relationship Id="rId1410" Type="http://schemas.openxmlformats.org/officeDocument/2006/relationships/hyperlink" Target="https://www.facebook.com/rapplerdotcom/photos/a.317154781638645/5597116770309060/" TargetMode="External"/><Relationship Id="rId4566" Type="http://schemas.openxmlformats.org/officeDocument/2006/relationships/hyperlink" Target="https://www.facebook.com/tess.reyes.58958" TargetMode="External"/><Relationship Id="rId4980" Type="http://schemas.openxmlformats.org/officeDocument/2006/relationships/hyperlink" Target="https://www.facebook.com/eduardeddie.rocabo" TargetMode="External"/><Relationship Id="rId5617" Type="http://schemas.openxmlformats.org/officeDocument/2006/relationships/hyperlink" Target="https://www.facebook.com/rapplerdotcom/photos/a.317154781638645/5594453700575367/" TargetMode="External"/><Relationship Id="rId3168" Type="http://schemas.openxmlformats.org/officeDocument/2006/relationships/hyperlink" Target="https://www.facebook.com/watch/live/?ref=watch_permalink&amp;v=332681445500650" TargetMode="External"/><Relationship Id="rId3582" Type="http://schemas.openxmlformats.org/officeDocument/2006/relationships/hyperlink" Target="https://www.facebook.com/rapplerdotcom/photos/a.317154781638645/5595372260483511/" TargetMode="External"/><Relationship Id="rId4219" Type="http://schemas.openxmlformats.org/officeDocument/2006/relationships/hyperlink" Target="https://www.facebook.com/recheejhon.carlos.58" TargetMode="External"/><Relationship Id="rId4633" Type="http://schemas.openxmlformats.org/officeDocument/2006/relationships/hyperlink" Target="https://www.facebook.com/watch/live/?ref=watch_permalink&amp;v=923735834984653" TargetMode="External"/><Relationship Id="rId2184" Type="http://schemas.openxmlformats.org/officeDocument/2006/relationships/hyperlink" Target="https://www.facebook.com/rapplerdotcom/photos/a.317154781638645/5596022273751843/" TargetMode="External"/><Relationship Id="rId3235" Type="http://schemas.openxmlformats.org/officeDocument/2006/relationships/hyperlink" Target="https://www.facebook.com/annie.hao.58" TargetMode="External"/><Relationship Id="rId156" Type="http://schemas.openxmlformats.org/officeDocument/2006/relationships/hyperlink" Target="https://www.facebook.com/rapplerdotcom/posts/pfbid0DUh4iFcrxZuR1UbiGhcAHcMdzsaV29GSeHCY1HabtqcnUWkjStX9TDaVqzzt92GDl" TargetMode="External"/><Relationship Id="rId570" Type="http://schemas.openxmlformats.org/officeDocument/2006/relationships/hyperlink" Target="https://www.facebook.com/rapplerdotcom/photos/a.317154781638645/5597874143566656" TargetMode="External"/><Relationship Id="rId2251" Type="http://schemas.openxmlformats.org/officeDocument/2006/relationships/hyperlink" Target="https://www.facebook.com/profile.php?id=100009501826063" TargetMode="External"/><Relationship Id="rId3302" Type="http://schemas.openxmlformats.org/officeDocument/2006/relationships/hyperlink" Target="https://www.facebook.com/rapplerdotcom/photos/a.317154781638645/5595372260483511/" TargetMode="External"/><Relationship Id="rId4700" Type="http://schemas.openxmlformats.org/officeDocument/2006/relationships/hyperlink" Target="https://www.facebook.com/soliviocheryl" TargetMode="External"/><Relationship Id="rId223" Type="http://schemas.openxmlformats.org/officeDocument/2006/relationships/hyperlink" Target="https://www.facebook.com/profile.php?id=100075590935527" TargetMode="External"/><Relationship Id="rId4076" Type="http://schemas.openxmlformats.org/officeDocument/2006/relationships/hyperlink" Target="https://www.facebook.com/rapplerdotcom/posts/pfbid0231hbcbuKeQLDkPH8oZAdZbuU8MPPgRANx152V3xWpbjZ6EvfpohwQMvxHYAgrGPul" TargetMode="External"/><Relationship Id="rId5474" Type="http://schemas.openxmlformats.org/officeDocument/2006/relationships/hyperlink" Target="https://www.facebook.com/catalina.biticon.12" TargetMode="External"/><Relationship Id="rId4490" Type="http://schemas.openxmlformats.org/officeDocument/2006/relationships/hyperlink" Target="https://www.facebook.com/pau.gaitan.33" TargetMode="External"/><Relationship Id="rId5127" Type="http://schemas.openxmlformats.org/officeDocument/2006/relationships/hyperlink" Target="https://www.facebook.com/rapplerdotcom/photos/a.317154781638645/5594264657260938/" TargetMode="External"/><Relationship Id="rId5541" Type="http://schemas.openxmlformats.org/officeDocument/2006/relationships/hyperlink" Target="https://www.facebook.com/rapplerdotcom/photos/a.317154781638645/5594453700575367/" TargetMode="External"/><Relationship Id="rId1737" Type="http://schemas.openxmlformats.org/officeDocument/2006/relationships/hyperlink" Target="https://www.facebook.com/profile.php?id=100023261888630" TargetMode="External"/><Relationship Id="rId3092" Type="http://schemas.openxmlformats.org/officeDocument/2006/relationships/hyperlink" Target="https://www.facebook.com/watch/live/?ref=watch_permalink&amp;v=360307549312104" TargetMode="External"/><Relationship Id="rId4143" Type="http://schemas.openxmlformats.org/officeDocument/2006/relationships/hyperlink" Target="https://www.facebook.com/frank.chavez.161" TargetMode="External"/><Relationship Id="rId29" Type="http://schemas.openxmlformats.org/officeDocument/2006/relationships/hyperlink" Target="https://www.facebook.com/jorelyn.salvador.7" TargetMode="External"/><Relationship Id="rId4210" Type="http://schemas.openxmlformats.org/officeDocument/2006/relationships/hyperlink" Target="https://www.facebook.com/rapplerdotcom/photos/a.317154781638645/5594954703858600/" TargetMode="External"/><Relationship Id="rId1804" Type="http://schemas.openxmlformats.org/officeDocument/2006/relationships/hyperlink" Target="https://www.facebook.com/rapplerdotcom/photos/a.317154781638645/5596043783749692/" TargetMode="External"/><Relationship Id="rId3976" Type="http://schemas.openxmlformats.org/officeDocument/2006/relationships/hyperlink" Target="https://www.facebook.com/rapplerdotcom/posts/pfbid0dyWpzxim3h4Z2SYriGakwQw85p7BCAgct7KU5EiMX1bmmgNHDD8nmES8rjrADsrPl" TargetMode="External"/><Relationship Id="rId6035" Type="http://schemas.openxmlformats.org/officeDocument/2006/relationships/hyperlink" Target="https://www.facebook.com/rapplerdotcom/photos/a.317154781638645/5594359700584767/" TargetMode="External"/><Relationship Id="rId897" Type="http://schemas.openxmlformats.org/officeDocument/2006/relationships/hyperlink" Target="https://www.facebook.com/ninovincent.dbollino.3" TargetMode="External"/><Relationship Id="rId2578" Type="http://schemas.openxmlformats.org/officeDocument/2006/relationships/hyperlink" Target="https://www.facebook.com/rapplerdotcom/photos/a.317154781638645/5595733810447356/" TargetMode="External"/><Relationship Id="rId2992" Type="http://schemas.openxmlformats.org/officeDocument/2006/relationships/hyperlink" Target="https://www.facebook.com/watch/live/?ref=watch_permalink&amp;v=360307549312104" TargetMode="External"/><Relationship Id="rId3629" Type="http://schemas.openxmlformats.org/officeDocument/2006/relationships/hyperlink" Target="https://www.facebook.com/lina.tomboconmiralles" TargetMode="External"/><Relationship Id="rId5051" Type="http://schemas.openxmlformats.org/officeDocument/2006/relationships/hyperlink" Target="https://www.facebook.com/rapplerdotcom/posts/pfbid0231hbcbuKeQLDkPH8oZAdZbuU8MPPgRANx152V3xWpbjZ6EvfpohwQMvxHYAgrGPul" TargetMode="External"/><Relationship Id="rId964" Type="http://schemas.openxmlformats.org/officeDocument/2006/relationships/hyperlink" Target="https://www.facebook.com/rapplerdotcom/photos/a.317154781638645/5597592673594803/" TargetMode="External"/><Relationship Id="rId1594" Type="http://schemas.openxmlformats.org/officeDocument/2006/relationships/hyperlink" Target="https://www.facebook.com/rapplerdotcom/posts/pfbid02AsSA4LQqjQ2Y8SVathQmtduoE3fhoGvQSNhvrzsMerDaJSQJ6jDvApCCiuaE7XCol" TargetMode="External"/><Relationship Id="rId2645" Type="http://schemas.openxmlformats.org/officeDocument/2006/relationships/hyperlink" Target="https://www.facebook.com/renward4short" TargetMode="External"/><Relationship Id="rId6102" Type="http://schemas.openxmlformats.org/officeDocument/2006/relationships/hyperlink" Target="https://www.facebook.com/sue.idaloy" TargetMode="External"/><Relationship Id="rId617" Type="http://schemas.openxmlformats.org/officeDocument/2006/relationships/hyperlink" Target="https://www.facebook.com/justine.gorospe.3150" TargetMode="External"/><Relationship Id="rId1247" Type="http://schemas.openxmlformats.org/officeDocument/2006/relationships/hyperlink" Target="https://www.facebook.com/rey.santos.1426876" TargetMode="External"/><Relationship Id="rId1661" Type="http://schemas.openxmlformats.org/officeDocument/2006/relationships/hyperlink" Target="https://www.facebook.com/profile.php?id=100078745816266" TargetMode="External"/><Relationship Id="rId2712" Type="http://schemas.openxmlformats.org/officeDocument/2006/relationships/hyperlink" Target="https://www.facebook.com/rapplerdotcom/photos/a.317154781638645/5595733810447356/" TargetMode="External"/><Relationship Id="rId5868" Type="http://schemas.openxmlformats.org/officeDocument/2006/relationships/hyperlink" Target="https://www.facebook.com/mariaana.fontamillas" TargetMode="External"/><Relationship Id="rId1314" Type="http://schemas.openxmlformats.org/officeDocument/2006/relationships/hyperlink" Target="https://www.facebook.com/rapplerdotcom/photos/a.317154781638645/5597116770309060/" TargetMode="External"/><Relationship Id="rId4884" Type="http://schemas.openxmlformats.org/officeDocument/2006/relationships/hyperlink" Target="https://www.facebook.com/profile.php?id=100069812281148" TargetMode="External"/><Relationship Id="rId5935" Type="http://schemas.openxmlformats.org/officeDocument/2006/relationships/hyperlink" Target="https://www.facebook.com/rapplerdotcom/photos/a.317154781638645/5594359700584767/" TargetMode="External"/><Relationship Id="rId3486" Type="http://schemas.openxmlformats.org/officeDocument/2006/relationships/hyperlink" Target="https://www.facebook.com/rapplerdotcom/photos/a.317154781638645/5595372260483511/" TargetMode="External"/><Relationship Id="rId4537" Type="http://schemas.openxmlformats.org/officeDocument/2006/relationships/hyperlink" Target="https://www.facebook.com/rapplerdotcom/photos/a.317154781638645/5594954703858600/" TargetMode="External"/><Relationship Id="rId20" Type="http://schemas.openxmlformats.org/officeDocument/2006/relationships/hyperlink" Target="https://www.facebook.com/rapplerdotcom/posts/pfbid0DUh4iFcrxZuR1UbiGhcAHcMdzsaV29GSeHCY1HabtqcnUWkjStX9TDaVqzzt92GDl" TargetMode="External"/><Relationship Id="rId2088" Type="http://schemas.openxmlformats.org/officeDocument/2006/relationships/hyperlink" Target="https://www.facebook.com/rapplerdotcom/photos/a.317154781638645/5596022273751843/" TargetMode="External"/><Relationship Id="rId3139" Type="http://schemas.openxmlformats.org/officeDocument/2006/relationships/hyperlink" Target="https://www.facebook.com/clifordjay.infante" TargetMode="External"/><Relationship Id="rId4951" Type="http://schemas.openxmlformats.org/officeDocument/2006/relationships/hyperlink" Target="https://www.facebook.com/rapplerdotcom/posts/pfbid02BCyyacWVuuu1bwX5PwYK8PvqDGTANxekqEMy7qyV9vMmaGKTbC8sBf7i5j3Wbx9Ll" TargetMode="External"/><Relationship Id="rId474" Type="http://schemas.openxmlformats.org/officeDocument/2006/relationships/hyperlink" Target="https://www.facebook.com/profile.php?id=100009725222253" TargetMode="External"/><Relationship Id="rId2155" Type="http://schemas.openxmlformats.org/officeDocument/2006/relationships/hyperlink" Target="https://www.facebook.com/joviegee" TargetMode="External"/><Relationship Id="rId3553" Type="http://schemas.openxmlformats.org/officeDocument/2006/relationships/hyperlink" Target="https://www.facebook.com/ann070694" TargetMode="External"/><Relationship Id="rId4604" Type="http://schemas.openxmlformats.org/officeDocument/2006/relationships/hyperlink" Target="https://www.facebook.com/reesecolmenares" TargetMode="External"/><Relationship Id="rId127" Type="http://schemas.openxmlformats.org/officeDocument/2006/relationships/hyperlink" Target="https://www.facebook.com/darwin.garcia.355" TargetMode="External"/><Relationship Id="rId3206" Type="http://schemas.openxmlformats.org/officeDocument/2006/relationships/hyperlink" Target="https://www.facebook.com/watch/live/?ref=watch_permalink&amp;v=332681445500650" TargetMode="External"/><Relationship Id="rId3620" Type="http://schemas.openxmlformats.org/officeDocument/2006/relationships/hyperlink" Target="https://www.facebook.com/rapplerdotcom/photos/a.317154781638645/5595372260483511/" TargetMode="External"/><Relationship Id="rId541" Type="http://schemas.openxmlformats.org/officeDocument/2006/relationships/hyperlink" Target="https://www.facebook.com/rapplerdotcom/photos/a.317154781638645/5598220220198715/" TargetMode="External"/><Relationship Id="rId1171" Type="http://schemas.openxmlformats.org/officeDocument/2006/relationships/hyperlink" Target="https://www.facebook.com/maico.lopez.3517" TargetMode="External"/><Relationship Id="rId2222" Type="http://schemas.openxmlformats.org/officeDocument/2006/relationships/hyperlink" Target="https://www.facebook.com/rapplerdotcom/photos/a.317154781638645/5596022273751843/" TargetMode="External"/><Relationship Id="rId5378" Type="http://schemas.openxmlformats.org/officeDocument/2006/relationships/hyperlink" Target="https://www.facebook.com/ramoncito.delapaz" TargetMode="External"/><Relationship Id="rId5792" Type="http://schemas.openxmlformats.org/officeDocument/2006/relationships/hyperlink" Target="https://www.facebook.com/rafaelito.ballesteros.90" TargetMode="External"/><Relationship Id="rId1988" Type="http://schemas.openxmlformats.org/officeDocument/2006/relationships/hyperlink" Target="https://www.facebook.com/rapplerdotcom/photos/a.317154781638645/5596022273751843/" TargetMode="External"/><Relationship Id="rId4394" Type="http://schemas.openxmlformats.org/officeDocument/2006/relationships/hyperlink" Target="https://www.facebook.com/eduardo.bonndadjr" TargetMode="External"/><Relationship Id="rId5445" Type="http://schemas.openxmlformats.org/officeDocument/2006/relationships/hyperlink" Target="https://www.facebook.com/watch/live/?ref=watch_permalink&amp;v=312865720941798" TargetMode="External"/><Relationship Id="rId4047" Type="http://schemas.openxmlformats.org/officeDocument/2006/relationships/hyperlink" Target="https://www.facebook.com/edgar.puertullano" TargetMode="External"/><Relationship Id="rId4461" Type="http://schemas.openxmlformats.org/officeDocument/2006/relationships/hyperlink" Target="https://www.facebook.com/rapplerdotcom/photos/a.317154781638645/5594954703858600/" TargetMode="External"/><Relationship Id="rId5512" Type="http://schemas.openxmlformats.org/officeDocument/2006/relationships/hyperlink" Target="https://www.facebook.com/ampleidle" TargetMode="External"/><Relationship Id="rId3063" Type="http://schemas.openxmlformats.org/officeDocument/2006/relationships/hyperlink" Target="https://www.facebook.com/ayen.francisco.927" TargetMode="External"/><Relationship Id="rId4114" Type="http://schemas.openxmlformats.org/officeDocument/2006/relationships/hyperlink" Target="https://www.facebook.com/rapplerdotcom/photos/a.317154781638645/5594954703858600/" TargetMode="External"/><Relationship Id="rId1708" Type="http://schemas.openxmlformats.org/officeDocument/2006/relationships/hyperlink" Target="https://www.facebook.com/rapplerdotcom/photos/a.317154781638645/5596043783749692/" TargetMode="External"/><Relationship Id="rId3130" Type="http://schemas.openxmlformats.org/officeDocument/2006/relationships/hyperlink" Target="https://www.facebook.com/watch/live/?ref=watch_permalink&amp;v=360307549312104" TargetMode="External"/><Relationship Id="rId2896" Type="http://schemas.openxmlformats.org/officeDocument/2006/relationships/hyperlink" Target="https://www.facebook.com/watch/live/?ref=watch_permalink&amp;v=360307549312104" TargetMode="External"/><Relationship Id="rId3947" Type="http://schemas.openxmlformats.org/officeDocument/2006/relationships/hyperlink" Target="https://www.facebook.com/Valladoresjude1988" TargetMode="External"/><Relationship Id="rId868" Type="http://schemas.openxmlformats.org/officeDocument/2006/relationships/hyperlink" Target="https://www.facebook.com/rapplerdotcom/photos/a.317154781638645/5597612220259515/" TargetMode="External"/><Relationship Id="rId1498" Type="http://schemas.openxmlformats.org/officeDocument/2006/relationships/hyperlink" Target="https://www.facebook.com/rapplerdotcom/photos/a.317154781638645/5597116770309060/" TargetMode="External"/><Relationship Id="rId2549" Type="http://schemas.openxmlformats.org/officeDocument/2006/relationships/hyperlink" Target="https://www.facebook.com/arturo.rondolos.3" TargetMode="External"/><Relationship Id="rId2963" Type="http://schemas.openxmlformats.org/officeDocument/2006/relationships/hyperlink" Target="https://www.facebook.com/aerol.plamenio" TargetMode="External"/><Relationship Id="rId6006" Type="http://schemas.openxmlformats.org/officeDocument/2006/relationships/hyperlink" Target="https://www.facebook.com/gerry.guevara.3" TargetMode="External"/><Relationship Id="rId935" Type="http://schemas.openxmlformats.org/officeDocument/2006/relationships/hyperlink" Target="https://www.facebook.com/denshaw.rios" TargetMode="External"/><Relationship Id="rId1565" Type="http://schemas.openxmlformats.org/officeDocument/2006/relationships/hyperlink" Target="https://www.facebook.com/king.siquete" TargetMode="External"/><Relationship Id="rId2616" Type="http://schemas.openxmlformats.org/officeDocument/2006/relationships/hyperlink" Target="https://www.facebook.com/rapplerdotcom/photos/a.317154781638645/5595733810447356/" TargetMode="External"/><Relationship Id="rId5022" Type="http://schemas.openxmlformats.org/officeDocument/2006/relationships/hyperlink" Target="https://www.facebook.com/rommeltamonte7" TargetMode="External"/><Relationship Id="rId1218" Type="http://schemas.openxmlformats.org/officeDocument/2006/relationships/hyperlink" Target="https://www.facebook.com/rapplerdotcom/posts/pfbid023goEfA6e1ABSWYJFy8fQ5LFWDv4QTSTmAfzySGtMSpy12iqywB2MUZjiZ8GjCxrGl" TargetMode="External"/><Relationship Id="rId1632" Type="http://schemas.openxmlformats.org/officeDocument/2006/relationships/hyperlink" Target="https://www.facebook.com/rapplerdotcom/posts/pfbid02AsSA4LQqjQ2Y8SVathQmtduoE3fhoGvQSNhvrzsMerDaJSQJ6jDvApCCiuaE7XCol" TargetMode="External"/><Relationship Id="rId4788" Type="http://schemas.openxmlformats.org/officeDocument/2006/relationships/hyperlink" Target="https://www.facebook.com/alectv07" TargetMode="External"/><Relationship Id="rId5839" Type="http://schemas.openxmlformats.org/officeDocument/2006/relationships/hyperlink" Target="https://www.facebook.com/rapplerdotcom/photos/a.317154781638645/5594453700575367/" TargetMode="External"/><Relationship Id="rId4855" Type="http://schemas.openxmlformats.org/officeDocument/2006/relationships/hyperlink" Target="https://www.facebook.com/watch/live/?ref=watch_permalink&amp;v=923735834984653" TargetMode="External"/><Relationship Id="rId5906" Type="http://schemas.openxmlformats.org/officeDocument/2006/relationships/hyperlink" Target="https://www.facebook.com/roie.donna" TargetMode="External"/><Relationship Id="rId3457" Type="http://schemas.openxmlformats.org/officeDocument/2006/relationships/hyperlink" Target="https://www.facebook.com/patricio.patriciosemilla" TargetMode="External"/><Relationship Id="rId3871" Type="http://schemas.openxmlformats.org/officeDocument/2006/relationships/hyperlink" Target="https://www.facebook.com/pogingmabagsik" TargetMode="External"/><Relationship Id="rId4508" Type="http://schemas.openxmlformats.org/officeDocument/2006/relationships/hyperlink" Target="https://www.facebook.com/rhonda.couris.7" TargetMode="External"/><Relationship Id="rId4922" Type="http://schemas.openxmlformats.org/officeDocument/2006/relationships/hyperlink" Target="https://www.facebook.com/profile.php?id=100075051973694" TargetMode="External"/><Relationship Id="rId378" Type="http://schemas.openxmlformats.org/officeDocument/2006/relationships/hyperlink" Target="https://www.facebook.com/frankanthony.pataueg.1" TargetMode="External"/><Relationship Id="rId792" Type="http://schemas.openxmlformats.org/officeDocument/2006/relationships/hyperlink" Target="https://www.facebook.com/rapplerdotcom/photos/a.317154781638645/5597612220259515/" TargetMode="External"/><Relationship Id="rId2059" Type="http://schemas.openxmlformats.org/officeDocument/2006/relationships/hyperlink" Target="https://www.facebook.com/maria.dizon1" TargetMode="External"/><Relationship Id="rId2473" Type="http://schemas.openxmlformats.org/officeDocument/2006/relationships/hyperlink" Target="https://www.facebook.com/earl.liquigan" TargetMode="External"/><Relationship Id="rId3524" Type="http://schemas.openxmlformats.org/officeDocument/2006/relationships/hyperlink" Target="https://www.facebook.com/rapplerdotcom/photos/a.317154781638645/5595372260483511/" TargetMode="External"/><Relationship Id="rId445" Type="http://schemas.openxmlformats.org/officeDocument/2006/relationships/hyperlink" Target="https://www.facebook.com/rapplerdotcom/photos/a.317154781638645/5598220220198715/" TargetMode="External"/><Relationship Id="rId1075" Type="http://schemas.openxmlformats.org/officeDocument/2006/relationships/hyperlink" Target="https://www.facebook.com/eddie.llanora" TargetMode="External"/><Relationship Id="rId2126" Type="http://schemas.openxmlformats.org/officeDocument/2006/relationships/hyperlink" Target="https://www.facebook.com/rapplerdotcom/photos/a.317154781638645/5596022273751843/" TargetMode="External"/><Relationship Id="rId2540" Type="http://schemas.openxmlformats.org/officeDocument/2006/relationships/hyperlink" Target="https://www.facebook.com/rapplerdotcom/photos/a.317154781638645/5595733810447356/" TargetMode="External"/><Relationship Id="rId5696" Type="http://schemas.openxmlformats.org/officeDocument/2006/relationships/hyperlink" Target="https://www.facebook.com/profile.php?id=100007043323184" TargetMode="External"/><Relationship Id="rId512" Type="http://schemas.openxmlformats.org/officeDocument/2006/relationships/hyperlink" Target="https://www.facebook.com/aivin.retazo.7" TargetMode="External"/><Relationship Id="rId1142" Type="http://schemas.openxmlformats.org/officeDocument/2006/relationships/hyperlink" Target="https://www.facebook.com/rapplerdotcom/posts/pfbid02dNgAR64VTtp94Rus4o9MNbU55E2H9Wp7KMKzJGkk6u4UxRyHU8j2pPpwa5iwGcD3l" TargetMode="External"/><Relationship Id="rId4298" Type="http://schemas.openxmlformats.org/officeDocument/2006/relationships/hyperlink" Target="https://www.facebook.com/marvin.noche.1" TargetMode="External"/><Relationship Id="rId5349" Type="http://schemas.openxmlformats.org/officeDocument/2006/relationships/hyperlink" Target="https://www.facebook.com/rapplerdotcom/photos/a.317154781638645/5594264657260938/" TargetMode="External"/><Relationship Id="rId4365" Type="http://schemas.openxmlformats.org/officeDocument/2006/relationships/hyperlink" Target="https://www.facebook.com/rapplerdotcom/photos/a.317154781638645/5594954703858600/" TargetMode="External"/><Relationship Id="rId5763" Type="http://schemas.openxmlformats.org/officeDocument/2006/relationships/hyperlink" Target="https://www.facebook.com/rapplerdotcom/photos/a.317154781638645/5594453700575367/" TargetMode="External"/><Relationship Id="rId1959" Type="http://schemas.openxmlformats.org/officeDocument/2006/relationships/hyperlink" Target="https://www.facebook.com/joni.aguilar.146" TargetMode="External"/><Relationship Id="rId4018" Type="http://schemas.openxmlformats.org/officeDocument/2006/relationships/hyperlink" Target="https://www.facebook.com/rapplerdotcom/posts/pfbid02kmyrDmvYtHxz51VdR228sTCyvbHYDrwL4TgeoVAenoprSKkWhUFLyRmAuKBuGtXXl" TargetMode="External"/><Relationship Id="rId5416" Type="http://schemas.openxmlformats.org/officeDocument/2006/relationships/hyperlink" Target="https://www.facebook.com/marinaalejandre.enriquez" TargetMode="External"/><Relationship Id="rId5830" Type="http://schemas.openxmlformats.org/officeDocument/2006/relationships/hyperlink" Target="https://www.facebook.com/profile.php?id=100071338364446" TargetMode="External"/><Relationship Id="rId3381" Type="http://schemas.openxmlformats.org/officeDocument/2006/relationships/hyperlink" Target="https://www.facebook.com/eduardo.m.lombo" TargetMode="External"/><Relationship Id="rId4432" Type="http://schemas.openxmlformats.org/officeDocument/2006/relationships/hyperlink" Target="https://www.facebook.com/madz.gomez.73" TargetMode="External"/><Relationship Id="rId3034" Type="http://schemas.openxmlformats.org/officeDocument/2006/relationships/hyperlink" Target="https://www.facebook.com/watch/live/?ref=watch_permalink&amp;v=360307549312104" TargetMode="External"/><Relationship Id="rId2050" Type="http://schemas.openxmlformats.org/officeDocument/2006/relationships/hyperlink" Target="https://www.facebook.com/rapplerdotcom/photos/a.317154781638645/5596022273751843/" TargetMode="External"/><Relationship Id="rId3101" Type="http://schemas.openxmlformats.org/officeDocument/2006/relationships/hyperlink" Target="https://www.facebook.com/ophelia.villapando" TargetMode="External"/><Relationship Id="rId5273" Type="http://schemas.openxmlformats.org/officeDocument/2006/relationships/hyperlink" Target="https://www.facebook.com/rapplerdotcom/photos/a.317154781638645/5594264657260938/" TargetMode="External"/><Relationship Id="rId839" Type="http://schemas.openxmlformats.org/officeDocument/2006/relationships/hyperlink" Target="https://www.facebook.com/merlaflores.bendicion" TargetMode="External"/><Relationship Id="rId1469" Type="http://schemas.openxmlformats.org/officeDocument/2006/relationships/hyperlink" Target="https://www.facebook.com/herbiebnitura" TargetMode="External"/><Relationship Id="rId2867" Type="http://schemas.openxmlformats.org/officeDocument/2006/relationships/hyperlink" Target="https://www.facebook.com/francisco.deriquito" TargetMode="External"/><Relationship Id="rId3918" Type="http://schemas.openxmlformats.org/officeDocument/2006/relationships/hyperlink" Target="https://www.facebook.com/rapplerdotcom/posts/pfbid0dyWpzxim3h4Z2SYriGakwQw85p7BCAgct7KU5EiMX1bmmgNHDD8nmES8rjrADsrPl" TargetMode="External"/><Relationship Id="rId5340" Type="http://schemas.openxmlformats.org/officeDocument/2006/relationships/hyperlink" Target="https://www.facebook.com/zion.poliquit.54" TargetMode="External"/><Relationship Id="rId1883" Type="http://schemas.openxmlformats.org/officeDocument/2006/relationships/hyperlink" Target="https://www.facebook.com/donato.antonio.75" TargetMode="External"/><Relationship Id="rId2934" Type="http://schemas.openxmlformats.org/officeDocument/2006/relationships/hyperlink" Target="https://www.facebook.com/watch/live/?ref=watch_permalink&amp;v=360307549312104" TargetMode="External"/><Relationship Id="rId906" Type="http://schemas.openxmlformats.org/officeDocument/2006/relationships/hyperlink" Target="https://www.facebook.com/rapplerdotcom/photos/a.317154781638645/5597592673594803/" TargetMode="External"/><Relationship Id="rId1536" Type="http://schemas.openxmlformats.org/officeDocument/2006/relationships/hyperlink" Target="https://www.facebook.com/rapplerdotcom/photos/a.317154781638645/5597116770309060/" TargetMode="External"/><Relationship Id="rId1950" Type="http://schemas.openxmlformats.org/officeDocument/2006/relationships/hyperlink" Target="https://www.facebook.com/rapplerdotcom/photos/a.317154781638645/5596043783749692/" TargetMode="External"/><Relationship Id="rId1603" Type="http://schemas.openxmlformats.org/officeDocument/2006/relationships/hyperlink" Target="https://www.facebook.com/aroemeyen" TargetMode="External"/><Relationship Id="rId4759" Type="http://schemas.openxmlformats.org/officeDocument/2006/relationships/hyperlink" Target="https://www.facebook.com/watch/live/?ref=watch_permalink&amp;v=923735834984653" TargetMode="External"/><Relationship Id="rId3775" Type="http://schemas.openxmlformats.org/officeDocument/2006/relationships/hyperlink" Target="https://www.facebook.com/velvet.marj" TargetMode="External"/><Relationship Id="rId4826" Type="http://schemas.openxmlformats.org/officeDocument/2006/relationships/hyperlink" Target="https://www.facebook.com/profile.php?id=100011572841614" TargetMode="External"/><Relationship Id="rId6181" Type="http://schemas.openxmlformats.org/officeDocument/2006/relationships/hyperlink" Target="https://www.facebook.com/watch/?v=684555919511830" TargetMode="External"/><Relationship Id="rId696" Type="http://schemas.openxmlformats.org/officeDocument/2006/relationships/hyperlink" Target="https://www.facebook.com/rapplerdotcom/photos/a.317154781638645/5597612220259515/" TargetMode="External"/><Relationship Id="rId2377" Type="http://schemas.openxmlformats.org/officeDocument/2006/relationships/hyperlink" Target="https://www.facebook.com/profile.php?id=100064228440132" TargetMode="External"/><Relationship Id="rId2791" Type="http://schemas.openxmlformats.org/officeDocument/2006/relationships/hyperlink" Target="https://www.facebook.com/pensylvania.eightythree" TargetMode="External"/><Relationship Id="rId3428" Type="http://schemas.openxmlformats.org/officeDocument/2006/relationships/hyperlink" Target="https://www.facebook.com/rapplerdotcom/photos/a.317154781638645/5595372260483511/" TargetMode="External"/><Relationship Id="rId349" Type="http://schemas.openxmlformats.org/officeDocument/2006/relationships/hyperlink" Target="https://www.facebook.com/rapplerdotcom/photos/a.317154781638645/5598220220198715/" TargetMode="External"/><Relationship Id="rId763" Type="http://schemas.openxmlformats.org/officeDocument/2006/relationships/hyperlink" Target="https://www.facebook.com/debbie.garcia.71216141" TargetMode="External"/><Relationship Id="rId1393" Type="http://schemas.openxmlformats.org/officeDocument/2006/relationships/hyperlink" Target="https://www.facebook.com/profile.php?id=100009111409816" TargetMode="External"/><Relationship Id="rId2444" Type="http://schemas.openxmlformats.org/officeDocument/2006/relationships/hyperlink" Target="https://www.facebook.com/rapplerdotcom/posts/pfbid0TYP6syjYwznxJKdhWv9YMaXK9NvsSEhQ2cyyCQCPMvGapWXrQBHehywgT156wqNPl" TargetMode="External"/><Relationship Id="rId3842" Type="http://schemas.openxmlformats.org/officeDocument/2006/relationships/hyperlink" Target="https://www.facebook.com/rapplerdotcom/posts/pfbid0dyWpzxim3h4Z2SYriGakwQw85p7BCAgct7KU5EiMX1bmmgNHDD8nmES8rjrADsrPl" TargetMode="External"/><Relationship Id="rId416" Type="http://schemas.openxmlformats.org/officeDocument/2006/relationships/hyperlink" Target="https://www.facebook.com/profile.php?id=100069055685563" TargetMode="External"/><Relationship Id="rId1046" Type="http://schemas.openxmlformats.org/officeDocument/2006/relationships/hyperlink" Target="https://www.facebook.com/rapplerdotcom/posts/pfbid028Kg188FmebKa4aFvHZNp8zGTwjghWDDJuUmQ8agbSCvGAGJHZ7pBH9NmxLBmPZZdl" TargetMode="External"/><Relationship Id="rId830" Type="http://schemas.openxmlformats.org/officeDocument/2006/relationships/hyperlink" Target="https://www.facebook.com/rapplerdotcom/photos/a.317154781638645/5597612220259515/" TargetMode="External"/><Relationship Id="rId1460" Type="http://schemas.openxmlformats.org/officeDocument/2006/relationships/hyperlink" Target="https://www.facebook.com/rapplerdotcom/photos/a.317154781638645/5597116770309060/" TargetMode="External"/><Relationship Id="rId2511" Type="http://schemas.openxmlformats.org/officeDocument/2006/relationships/hyperlink" Target="https://www.facebook.com/profile.php?id=100077966070661" TargetMode="External"/><Relationship Id="rId5667" Type="http://schemas.openxmlformats.org/officeDocument/2006/relationships/hyperlink" Target="https://www.facebook.com/rapplerdotcom/photos/a.317154781638645/5594453700575367/" TargetMode="External"/><Relationship Id="rId1113" Type="http://schemas.openxmlformats.org/officeDocument/2006/relationships/hyperlink" Target="https://www.facebook.com/ronmsalvador" TargetMode="External"/><Relationship Id="rId4269" Type="http://schemas.openxmlformats.org/officeDocument/2006/relationships/hyperlink" Target="https://www.facebook.com/rapplerdotcom/photos/a.317154781638645/5594954703858600/" TargetMode="External"/><Relationship Id="rId4683" Type="http://schemas.openxmlformats.org/officeDocument/2006/relationships/hyperlink" Target="https://www.facebook.com/watch/live/?ref=watch_permalink&amp;v=923735834984653" TargetMode="External"/><Relationship Id="rId5734" Type="http://schemas.openxmlformats.org/officeDocument/2006/relationships/hyperlink" Target="https://www.facebook.com/luz.c.austria" TargetMode="External"/><Relationship Id="rId3285" Type="http://schemas.openxmlformats.org/officeDocument/2006/relationships/hyperlink" Target="https://www.facebook.com/jesmirabel" TargetMode="External"/><Relationship Id="rId4336" Type="http://schemas.openxmlformats.org/officeDocument/2006/relationships/hyperlink" Target="https://www.facebook.com/rachillecagwin" TargetMode="External"/><Relationship Id="rId4750" Type="http://schemas.openxmlformats.org/officeDocument/2006/relationships/hyperlink" Target="https://www.facebook.com/ester.lualhati19" TargetMode="External"/><Relationship Id="rId5801" Type="http://schemas.openxmlformats.org/officeDocument/2006/relationships/hyperlink" Target="https://www.facebook.com/rapplerdotcom/photos/a.317154781638645/5594453700575367/" TargetMode="External"/><Relationship Id="rId3352" Type="http://schemas.openxmlformats.org/officeDocument/2006/relationships/hyperlink" Target="https://www.facebook.com/rapplerdotcom/photos/a.317154781638645/5595372260483511/" TargetMode="External"/><Relationship Id="rId4403" Type="http://schemas.openxmlformats.org/officeDocument/2006/relationships/hyperlink" Target="https://www.facebook.com/rapplerdotcom/photos/a.317154781638645/5594954703858600/" TargetMode="External"/><Relationship Id="rId273" Type="http://schemas.openxmlformats.org/officeDocument/2006/relationships/hyperlink" Target="https://www.facebook.com/rapplerdotcom/photos/a.317154781638645/5598220220198715/" TargetMode="External"/><Relationship Id="rId3005" Type="http://schemas.openxmlformats.org/officeDocument/2006/relationships/hyperlink" Target="https://www.facebook.com/jowel.geroy" TargetMode="External"/><Relationship Id="rId340" Type="http://schemas.openxmlformats.org/officeDocument/2006/relationships/hyperlink" Target="https://www.facebook.com/titomendiola345" TargetMode="External"/><Relationship Id="rId2021" Type="http://schemas.openxmlformats.org/officeDocument/2006/relationships/hyperlink" Target="https://www.facebook.com/ninotchka.rosca" TargetMode="External"/><Relationship Id="rId5177" Type="http://schemas.openxmlformats.org/officeDocument/2006/relationships/hyperlink" Target="https://www.facebook.com/rapplerdotcom/photos/a.317154781638645/5594264657260938/" TargetMode="External"/><Relationship Id="rId6228" Type="http://schemas.openxmlformats.org/officeDocument/2006/relationships/hyperlink" Target="https://www.facebook.com/profile.php?id=100073839987788" TargetMode="External"/><Relationship Id="rId4193" Type="http://schemas.openxmlformats.org/officeDocument/2006/relationships/hyperlink" Target="https://www.facebook.com/joey.abella.507" TargetMode="External"/><Relationship Id="rId5591" Type="http://schemas.openxmlformats.org/officeDocument/2006/relationships/hyperlink" Target="https://www.facebook.com/rapplerdotcom/photos/a.317154781638645/5594453700575367/" TargetMode="External"/><Relationship Id="rId1787" Type="http://schemas.openxmlformats.org/officeDocument/2006/relationships/hyperlink" Target="https://www.facebook.com/profile.php?id=100079988850982" TargetMode="External"/><Relationship Id="rId2838" Type="http://schemas.openxmlformats.org/officeDocument/2006/relationships/hyperlink" Target="https://www.facebook.com/watch/?v=570590637273208" TargetMode="External"/><Relationship Id="rId5244" Type="http://schemas.openxmlformats.org/officeDocument/2006/relationships/hyperlink" Target="https://www.facebook.com/nichi.egg" TargetMode="External"/><Relationship Id="rId79" Type="http://schemas.openxmlformats.org/officeDocument/2006/relationships/hyperlink" Target="https://www.facebook.com/profile.php?id=100078059580817" TargetMode="External"/><Relationship Id="rId1854" Type="http://schemas.openxmlformats.org/officeDocument/2006/relationships/hyperlink" Target="https://www.facebook.com/rapplerdotcom/photos/a.317154781638645/5596043783749692/" TargetMode="External"/><Relationship Id="rId2905" Type="http://schemas.openxmlformats.org/officeDocument/2006/relationships/hyperlink" Target="https://www.facebook.com/bella.iriberribuniel" TargetMode="External"/><Relationship Id="rId4260" Type="http://schemas.openxmlformats.org/officeDocument/2006/relationships/hyperlink" Target="https://www.facebook.com/divina.chicano" TargetMode="External"/><Relationship Id="rId5311" Type="http://schemas.openxmlformats.org/officeDocument/2006/relationships/hyperlink" Target="https://www.facebook.com/rapplerdotcom/photos/a.317154781638645/5594264657260938/" TargetMode="External"/><Relationship Id="rId1507" Type="http://schemas.openxmlformats.org/officeDocument/2006/relationships/hyperlink" Target="https://www.facebook.com/cleofe.nicolas.7" TargetMode="External"/><Relationship Id="rId1921" Type="http://schemas.openxmlformats.org/officeDocument/2006/relationships/hyperlink" Target="https://www.facebook.com/kim.sioson" TargetMode="External"/><Relationship Id="rId3679" Type="http://schemas.openxmlformats.org/officeDocument/2006/relationships/hyperlink" Target="https://www.facebook.com/rolan.conos" TargetMode="External"/><Relationship Id="rId6085" Type="http://schemas.openxmlformats.org/officeDocument/2006/relationships/hyperlink" Target="https://www.facebook.com/rapplerdotcom/photos/a.317154781638645/5594359700584767/" TargetMode="External"/><Relationship Id="rId6152" Type="http://schemas.openxmlformats.org/officeDocument/2006/relationships/hyperlink" Target="https://www.facebook.com/profile.php?id=100078672788984" TargetMode="External"/><Relationship Id="rId1297" Type="http://schemas.openxmlformats.org/officeDocument/2006/relationships/hyperlink" Target="https://www.facebook.com/nora.valenzuela.96742" TargetMode="External"/><Relationship Id="rId2695" Type="http://schemas.openxmlformats.org/officeDocument/2006/relationships/hyperlink" Target="https://www.facebook.com/alex.guza" TargetMode="External"/><Relationship Id="rId3746" Type="http://schemas.openxmlformats.org/officeDocument/2006/relationships/hyperlink" Target="https://www.facebook.com/rapplerdotcom/posts/pfbid0dyWpzxim3h4Z2SYriGakwQw85p7BCAgct7KU5EiMX1bmmgNHDD8nmES8rjrADsrPl" TargetMode="External"/><Relationship Id="rId667" Type="http://schemas.openxmlformats.org/officeDocument/2006/relationships/hyperlink" Target="https://www.facebook.com/profile.php?id=100070178707772" TargetMode="External"/><Relationship Id="rId2348" Type="http://schemas.openxmlformats.org/officeDocument/2006/relationships/hyperlink" Target="https://www.facebook.com/rapplerdotcom/posts/pfbid0TYP6syjYwznxJKdhWv9YMaXK9NvsSEhQ2cyyCQCPMvGapWXrQBHehywgT156wqNPl" TargetMode="External"/><Relationship Id="rId2762" Type="http://schemas.openxmlformats.org/officeDocument/2006/relationships/hyperlink" Target="https://www.facebook.com/rapplerdotcom/photos/a.317154781638645/5595733810447356/" TargetMode="External"/><Relationship Id="rId3813" Type="http://schemas.openxmlformats.org/officeDocument/2006/relationships/hyperlink" Target="https://www.facebook.com/michelle.leslie.92102" TargetMode="External"/><Relationship Id="rId734" Type="http://schemas.openxmlformats.org/officeDocument/2006/relationships/hyperlink" Target="https://www.facebook.com/rapplerdotcom/photos/a.317154781638645/5597612220259515/" TargetMode="External"/><Relationship Id="rId1364" Type="http://schemas.openxmlformats.org/officeDocument/2006/relationships/hyperlink" Target="https://www.facebook.com/rapplerdotcom/photos/a.317154781638645/5597116770309060/" TargetMode="External"/><Relationship Id="rId2415" Type="http://schemas.openxmlformats.org/officeDocument/2006/relationships/hyperlink" Target="https://www.facebook.com/profile.php?id=100067476167968" TargetMode="External"/><Relationship Id="rId5985" Type="http://schemas.openxmlformats.org/officeDocument/2006/relationships/hyperlink" Target="https://www.facebook.com/rapplerdotcom/photos/a.317154781638645/5594359700584767/" TargetMode="External"/><Relationship Id="rId70" Type="http://schemas.openxmlformats.org/officeDocument/2006/relationships/hyperlink" Target="https://www.facebook.com/rapplerdotcom/posts/pfbid0DUh4iFcrxZuR1UbiGhcAHcMdzsaV29GSeHCY1HabtqcnUWkjStX9TDaVqzzt92GDl" TargetMode="External"/><Relationship Id="rId801" Type="http://schemas.openxmlformats.org/officeDocument/2006/relationships/hyperlink" Target="https://www.facebook.com/lourdes.tobias.16" TargetMode="External"/><Relationship Id="rId1017" Type="http://schemas.openxmlformats.org/officeDocument/2006/relationships/hyperlink" Target="https://www.facebook.com/profile.php?id=100078787512312" TargetMode="External"/><Relationship Id="rId1431" Type="http://schemas.openxmlformats.org/officeDocument/2006/relationships/hyperlink" Target="https://www.facebook.com/tararirat" TargetMode="External"/><Relationship Id="rId4587" Type="http://schemas.openxmlformats.org/officeDocument/2006/relationships/hyperlink" Target="https://www.facebook.com/watch/live/?ref=watch_permalink&amp;v=923735834984653" TargetMode="External"/><Relationship Id="rId5638" Type="http://schemas.openxmlformats.org/officeDocument/2006/relationships/hyperlink" Target="https://www.facebook.com/odad.aucsap" TargetMode="External"/><Relationship Id="rId3189" Type="http://schemas.openxmlformats.org/officeDocument/2006/relationships/hyperlink" Target="https://www.facebook.com/nikka.santos" TargetMode="External"/><Relationship Id="rId4654" Type="http://schemas.openxmlformats.org/officeDocument/2006/relationships/hyperlink" Target="https://www.facebook.com/oreng.lam.92" TargetMode="External"/><Relationship Id="rId3256" Type="http://schemas.openxmlformats.org/officeDocument/2006/relationships/hyperlink" Target="https://www.facebook.com/rapplerdotcom/posts/pfbid035u2RhZvcYSiCeymgBfXLoFoq87y2V8v81A9xDtyoKJgzTGtotsEEoj2bH7Zd4mtzl" TargetMode="External"/><Relationship Id="rId4307" Type="http://schemas.openxmlformats.org/officeDocument/2006/relationships/hyperlink" Target="https://www.facebook.com/rapplerdotcom/photos/a.317154781638645/5594954703858600/" TargetMode="External"/><Relationship Id="rId5705" Type="http://schemas.openxmlformats.org/officeDocument/2006/relationships/hyperlink" Target="https://www.facebook.com/rapplerdotcom/photos/a.317154781638645/5594453700575367/" TargetMode="External"/><Relationship Id="rId177" Type="http://schemas.openxmlformats.org/officeDocument/2006/relationships/hyperlink" Target="https://www.facebook.com/terry.daktil.75" TargetMode="External"/><Relationship Id="rId591" Type="http://schemas.openxmlformats.org/officeDocument/2006/relationships/hyperlink" Target="https://www.facebook.com/ameliaarana12345" TargetMode="External"/><Relationship Id="rId2272" Type="http://schemas.openxmlformats.org/officeDocument/2006/relationships/hyperlink" Target="https://www.facebook.com/rapplerdotcom/photos/a.317154781638645/5596022273751843/" TargetMode="External"/><Relationship Id="rId3670" Type="http://schemas.openxmlformats.org/officeDocument/2006/relationships/hyperlink" Target="https://www.facebook.com/rapplerdotcom/photos/a.317154781638645/5595162900504447/" TargetMode="External"/><Relationship Id="rId4721" Type="http://schemas.openxmlformats.org/officeDocument/2006/relationships/hyperlink" Target="https://www.facebook.com/watch/live/?ref=watch_permalink&amp;v=923735834984653" TargetMode="External"/><Relationship Id="rId244" Type="http://schemas.openxmlformats.org/officeDocument/2006/relationships/hyperlink" Target="https://www.facebook.com/profile.php?id=100078627702377" TargetMode="External"/><Relationship Id="rId3323" Type="http://schemas.openxmlformats.org/officeDocument/2006/relationships/hyperlink" Target="https://www.facebook.com/myla.malbasbelleza" TargetMode="External"/><Relationship Id="rId5495" Type="http://schemas.openxmlformats.org/officeDocument/2006/relationships/hyperlink" Target="https://www.facebook.com/watch/live/?ref=watch_permalink&amp;v=312865720941798" TargetMode="External"/><Relationship Id="rId311" Type="http://schemas.openxmlformats.org/officeDocument/2006/relationships/hyperlink" Target="https://www.facebook.com/rapplerdotcom/photos/a.317154781638645/5598220220198715/" TargetMode="External"/><Relationship Id="rId4097" Type="http://schemas.openxmlformats.org/officeDocument/2006/relationships/hyperlink" Target="https://www.facebook.com/gregorio.deo" TargetMode="External"/><Relationship Id="rId5148" Type="http://schemas.openxmlformats.org/officeDocument/2006/relationships/hyperlink" Target="https://www.facebook.com/jacqueline.reynado" TargetMode="External"/><Relationship Id="rId5562" Type="http://schemas.openxmlformats.org/officeDocument/2006/relationships/hyperlink" Target="https://www.facebook.com/profile.php?id=100010227300304" TargetMode="External"/><Relationship Id="rId1758" Type="http://schemas.openxmlformats.org/officeDocument/2006/relationships/hyperlink" Target="https://www.facebook.com/rapplerdotcom/photos/a.317154781638645/5596043783749692/" TargetMode="External"/><Relationship Id="rId2809" Type="http://schemas.openxmlformats.org/officeDocument/2006/relationships/hyperlink" Target="https://www.facebook.com/indiping.cosmetic" TargetMode="External"/><Relationship Id="rId4164" Type="http://schemas.openxmlformats.org/officeDocument/2006/relationships/hyperlink" Target="https://www.facebook.com/rapplerdotcom/photos/a.317154781638645/5594954703858600/" TargetMode="External"/><Relationship Id="rId5215" Type="http://schemas.openxmlformats.org/officeDocument/2006/relationships/hyperlink" Target="https://www.facebook.com/rapplerdotcom/photos/a.317154781638645/5594264657260938/" TargetMode="External"/><Relationship Id="rId3180" Type="http://schemas.openxmlformats.org/officeDocument/2006/relationships/hyperlink" Target="https://www.facebook.com/watch/live/?ref=watch_permalink&amp;v=332681445500650" TargetMode="External"/><Relationship Id="rId4231" Type="http://schemas.openxmlformats.org/officeDocument/2006/relationships/hyperlink" Target="https://www.facebook.com/yenflorida" TargetMode="External"/><Relationship Id="rId1825" Type="http://schemas.openxmlformats.org/officeDocument/2006/relationships/hyperlink" Target="https://www.facebook.com/nigeltan.ph" TargetMode="External"/><Relationship Id="rId3997" Type="http://schemas.openxmlformats.org/officeDocument/2006/relationships/hyperlink" Target="https://www.facebook.com/noel.isorena.7" TargetMode="External"/><Relationship Id="rId6056" Type="http://schemas.openxmlformats.org/officeDocument/2006/relationships/hyperlink" Target="https://www.facebook.com/tony.alcazar.127" TargetMode="External"/><Relationship Id="rId2599" Type="http://schemas.openxmlformats.org/officeDocument/2006/relationships/hyperlink" Target="https://www.facebook.com/IamRoselleBaltazar" TargetMode="External"/><Relationship Id="rId985" Type="http://schemas.openxmlformats.org/officeDocument/2006/relationships/hyperlink" Target="https://www.facebook.com/marlene.deximo" TargetMode="External"/><Relationship Id="rId2666" Type="http://schemas.openxmlformats.org/officeDocument/2006/relationships/hyperlink" Target="https://www.facebook.com/rapplerdotcom/photos/a.317154781638645/5595733810447356/" TargetMode="External"/><Relationship Id="rId3717" Type="http://schemas.openxmlformats.org/officeDocument/2006/relationships/hyperlink" Target="https://www.facebook.com/ameliaarana12345" TargetMode="External"/><Relationship Id="rId5072" Type="http://schemas.openxmlformats.org/officeDocument/2006/relationships/hyperlink" Target="https://www.facebook.com/rgrino1" TargetMode="External"/><Relationship Id="rId6123" Type="http://schemas.openxmlformats.org/officeDocument/2006/relationships/hyperlink" Target="https://www.facebook.com/rapplerdotcom/posts/pfbid0JJW97xH5fR5tDSLUQ8AnEgkPMU9Aigs9CgcNy2Q7AzJY4R8mRoicBgu3PLdqpf2Tl" TargetMode="External"/><Relationship Id="rId638" Type="http://schemas.openxmlformats.org/officeDocument/2006/relationships/hyperlink" Target="https://www.facebook.com/rapplerdotcom/photos/a.317154781638645/5597874143566656" TargetMode="External"/><Relationship Id="rId1268" Type="http://schemas.openxmlformats.org/officeDocument/2006/relationships/hyperlink" Target="https://www.facebook.com/rapplerdotcom/posts/pfbid023goEfA6e1ABSWYJFy8fQ5LFWDv4QTSTmAfzySGtMSpy12iqywB2MUZjiZ8GjCxrGl" TargetMode="External"/><Relationship Id="rId1682" Type="http://schemas.openxmlformats.org/officeDocument/2006/relationships/hyperlink" Target="https://www.facebook.com/rapplerdotcom/photos/a.317154781638645/5596043783749692/" TargetMode="External"/><Relationship Id="rId2319" Type="http://schemas.openxmlformats.org/officeDocument/2006/relationships/hyperlink" Target="https://www.facebook.com/steve.tamayo.18" TargetMode="External"/><Relationship Id="rId2733" Type="http://schemas.openxmlformats.org/officeDocument/2006/relationships/hyperlink" Target="https://www.facebook.com/profile.php?id=100009060038408" TargetMode="External"/><Relationship Id="rId5889" Type="http://schemas.openxmlformats.org/officeDocument/2006/relationships/hyperlink" Target="https://www.facebook.com/rapplerdotcom/photos/a.317154781638645/5594359700584767/" TargetMode="External"/><Relationship Id="rId705" Type="http://schemas.openxmlformats.org/officeDocument/2006/relationships/hyperlink" Target="https://www.facebook.com/nikolo.romeo" TargetMode="External"/><Relationship Id="rId1335" Type="http://schemas.openxmlformats.org/officeDocument/2006/relationships/hyperlink" Target="https://www.facebook.com/ino.reyes.1441" TargetMode="External"/><Relationship Id="rId2800" Type="http://schemas.openxmlformats.org/officeDocument/2006/relationships/hyperlink" Target="https://www.facebook.com/watch/?v=570590637273208" TargetMode="External"/><Relationship Id="rId5956" Type="http://schemas.openxmlformats.org/officeDocument/2006/relationships/hyperlink" Target="https://www.facebook.com/onie.abon.98" TargetMode="External"/><Relationship Id="rId41" Type="http://schemas.openxmlformats.org/officeDocument/2006/relationships/hyperlink" Target="https://www.facebook.com/roselyn.pira.1" TargetMode="External"/><Relationship Id="rId1402" Type="http://schemas.openxmlformats.org/officeDocument/2006/relationships/hyperlink" Target="https://www.facebook.com/rapplerdotcom/photos/a.317154781638645/5597116770309060/" TargetMode="External"/><Relationship Id="rId4558" Type="http://schemas.openxmlformats.org/officeDocument/2006/relationships/hyperlink" Target="https://www.facebook.com/julia.evangelista.18488" TargetMode="External"/><Relationship Id="rId4972" Type="http://schemas.openxmlformats.org/officeDocument/2006/relationships/hyperlink" Target="https://www.facebook.com/cel.servando" TargetMode="External"/><Relationship Id="rId5609" Type="http://schemas.openxmlformats.org/officeDocument/2006/relationships/hyperlink" Target="https://www.facebook.com/rapplerdotcom/photos/a.317154781638645/5594453700575367/" TargetMode="External"/><Relationship Id="rId3574" Type="http://schemas.openxmlformats.org/officeDocument/2006/relationships/hyperlink" Target="https://www.facebook.com/rapplerdotcom/photos/a.317154781638645/5595372260483511/" TargetMode="External"/><Relationship Id="rId4625" Type="http://schemas.openxmlformats.org/officeDocument/2006/relationships/hyperlink" Target="https://www.facebook.com/watch/live/?ref=watch_permalink&amp;v=923735834984653" TargetMode="External"/><Relationship Id="rId495" Type="http://schemas.openxmlformats.org/officeDocument/2006/relationships/hyperlink" Target="https://www.facebook.com/rapplerdotcom/photos/a.317154781638645/5598220220198715/" TargetMode="External"/><Relationship Id="rId2176" Type="http://schemas.openxmlformats.org/officeDocument/2006/relationships/hyperlink" Target="https://www.facebook.com/rapplerdotcom/photos/a.317154781638645/5596022273751843/" TargetMode="External"/><Relationship Id="rId2590" Type="http://schemas.openxmlformats.org/officeDocument/2006/relationships/hyperlink" Target="https://www.facebook.com/rapplerdotcom/photos/a.317154781638645/5595733810447356/" TargetMode="External"/><Relationship Id="rId3227" Type="http://schemas.openxmlformats.org/officeDocument/2006/relationships/hyperlink" Target="https://www.facebook.com/ghaga.c.landero" TargetMode="External"/><Relationship Id="rId3641" Type="http://schemas.openxmlformats.org/officeDocument/2006/relationships/hyperlink" Target="https://www.facebook.com/joshybanez" TargetMode="External"/><Relationship Id="rId148" Type="http://schemas.openxmlformats.org/officeDocument/2006/relationships/hyperlink" Target="https://www.facebook.com/rapplerdotcom/posts/pfbid0DUh4iFcrxZuR1UbiGhcAHcMdzsaV29GSeHCY1HabtqcnUWkjStX9TDaVqzzt92GDl" TargetMode="External"/><Relationship Id="rId562" Type="http://schemas.openxmlformats.org/officeDocument/2006/relationships/hyperlink" Target="https://www.facebook.com/rapplerdotcom/photos/a.317154781638645/5597874143566656" TargetMode="External"/><Relationship Id="rId1192" Type="http://schemas.openxmlformats.org/officeDocument/2006/relationships/hyperlink" Target="https://www.facebook.com/rapplerdotcom/posts/pfbid023goEfA6e1ABSWYJFy8fQ5LFWDv4QTSTmAfzySGtMSpy12iqywB2MUZjiZ8GjCxrGl" TargetMode="External"/><Relationship Id="rId2243" Type="http://schemas.openxmlformats.org/officeDocument/2006/relationships/hyperlink" Target="https://www.facebook.com/undress.bonifacio.100" TargetMode="External"/><Relationship Id="rId5399" Type="http://schemas.openxmlformats.org/officeDocument/2006/relationships/hyperlink" Target="https://www.facebook.com/watch/live/?ref=watch_permalink&amp;v=312865720941798" TargetMode="External"/><Relationship Id="rId215" Type="http://schemas.openxmlformats.org/officeDocument/2006/relationships/hyperlink" Target="https://www.facebook.com/pauljeric.queipo.1" TargetMode="External"/><Relationship Id="rId2310" Type="http://schemas.openxmlformats.org/officeDocument/2006/relationships/hyperlink" Target="https://www.facebook.com/rapplerdotcom/posts/pfbid0TYP6syjYwznxJKdhWv9YMaXK9NvsSEhQ2cyyCQCPMvGapWXrQBHehywgT156wqNPl" TargetMode="External"/><Relationship Id="rId5466" Type="http://schemas.openxmlformats.org/officeDocument/2006/relationships/hyperlink" Target="https://www.facebook.com/inmate041908" TargetMode="External"/><Relationship Id="rId4068" Type="http://schemas.openxmlformats.org/officeDocument/2006/relationships/hyperlink" Target="https://www.facebook.com/rapplerdotcom/posts/pfbid0231hbcbuKeQLDkPH8oZAdZbuU8MPPgRANx152V3xWpbjZ6EvfpohwQMvxHYAgrGPul" TargetMode="External"/><Relationship Id="rId4482" Type="http://schemas.openxmlformats.org/officeDocument/2006/relationships/hyperlink" Target="https://www.facebook.com/profile.php?id=100069483934379" TargetMode="External"/><Relationship Id="rId5119" Type="http://schemas.openxmlformats.org/officeDocument/2006/relationships/hyperlink" Target="https://www.facebook.com/rapplerdotcom/photos/a.317154781638645/5594264657260938/" TargetMode="External"/><Relationship Id="rId5880" Type="http://schemas.openxmlformats.org/officeDocument/2006/relationships/hyperlink" Target="https://www.facebook.com/champoybulletelbow" TargetMode="External"/><Relationship Id="rId3084" Type="http://schemas.openxmlformats.org/officeDocument/2006/relationships/hyperlink" Target="https://www.facebook.com/watch/live/?ref=watch_permalink&amp;v=360307549312104" TargetMode="External"/><Relationship Id="rId4135" Type="http://schemas.openxmlformats.org/officeDocument/2006/relationships/hyperlink" Target="https://www.facebook.com/aldo.lavingu" TargetMode="External"/><Relationship Id="rId5533" Type="http://schemas.openxmlformats.org/officeDocument/2006/relationships/hyperlink" Target="https://www.facebook.com/rapplerdotcom/photos/a.317154781638645/5594453700575367/" TargetMode="External"/><Relationship Id="rId1729" Type="http://schemas.openxmlformats.org/officeDocument/2006/relationships/hyperlink" Target="https://www.facebook.com/nedned.anobla" TargetMode="External"/><Relationship Id="rId5600" Type="http://schemas.openxmlformats.org/officeDocument/2006/relationships/hyperlink" Target="https://www.facebook.com/rosendo.delatorre.50" TargetMode="External"/><Relationship Id="rId3151" Type="http://schemas.openxmlformats.org/officeDocument/2006/relationships/hyperlink" Target="https://www.facebook.com/lito.ramos.14" TargetMode="External"/><Relationship Id="rId4202" Type="http://schemas.openxmlformats.org/officeDocument/2006/relationships/hyperlink" Target="https://www.facebook.com/rapplerdotcom/photos/a.317154781638645/5594954703858600/" TargetMode="External"/><Relationship Id="rId3968" Type="http://schemas.openxmlformats.org/officeDocument/2006/relationships/hyperlink" Target="https://www.facebook.com/rapplerdotcom/posts/pfbid0dyWpzxim3h4Z2SYriGakwQw85p7BCAgct7KU5EiMX1bmmgNHDD8nmES8rjrADsrPl" TargetMode="External"/><Relationship Id="rId5" Type="http://schemas.openxmlformats.org/officeDocument/2006/relationships/hyperlink" Target="https://www.facebook.com/janjan.sugang" TargetMode="External"/><Relationship Id="rId889" Type="http://schemas.openxmlformats.org/officeDocument/2006/relationships/hyperlink" Target="https://www.facebook.com/profile.php?id=100010227300304" TargetMode="External"/><Relationship Id="rId5390" Type="http://schemas.openxmlformats.org/officeDocument/2006/relationships/hyperlink" Target="https://www.facebook.com/jerald.fradejas" TargetMode="External"/><Relationship Id="rId6027" Type="http://schemas.openxmlformats.org/officeDocument/2006/relationships/hyperlink" Target="https://www.facebook.com/rapplerdotcom/photos/a.317154781638645/5594359700584767/" TargetMode="External"/><Relationship Id="rId1586" Type="http://schemas.openxmlformats.org/officeDocument/2006/relationships/hyperlink" Target="https://www.facebook.com/rapplerdotcom/posts/pfbid02AsSA4LQqjQ2Y8SVathQmtduoE3fhoGvQSNhvrzsMerDaJSQJ6jDvApCCiuaE7XCol" TargetMode="External"/><Relationship Id="rId2984" Type="http://schemas.openxmlformats.org/officeDocument/2006/relationships/hyperlink" Target="https://www.facebook.com/watch/live/?ref=watch_permalink&amp;v=360307549312104" TargetMode="External"/><Relationship Id="rId5043" Type="http://schemas.openxmlformats.org/officeDocument/2006/relationships/hyperlink" Target="https://www.facebook.com/rapplerdotcom/posts/pfbid02BCyyacWVuuu1bwX5PwYK8PvqDGTANxekqEMy7qyV9vMmaGKTbC8sBf7i5j3Wbx9Ll" TargetMode="External"/><Relationship Id="rId609" Type="http://schemas.openxmlformats.org/officeDocument/2006/relationships/hyperlink" Target="https://www.facebook.com/profile.php?id=100079722041118" TargetMode="External"/><Relationship Id="rId956" Type="http://schemas.openxmlformats.org/officeDocument/2006/relationships/hyperlink" Target="https://www.facebook.com/rapplerdotcom/photos/a.317154781638645/5597592673594803/" TargetMode="External"/><Relationship Id="rId1239" Type="http://schemas.openxmlformats.org/officeDocument/2006/relationships/hyperlink" Target="https://www.facebook.com/profile.php?id=100075281044190" TargetMode="External"/><Relationship Id="rId2637" Type="http://schemas.openxmlformats.org/officeDocument/2006/relationships/hyperlink" Target="https://www.facebook.com/profile.php?id=100069842376386" TargetMode="External"/><Relationship Id="rId5110" Type="http://schemas.openxmlformats.org/officeDocument/2006/relationships/hyperlink" Target="https://www.facebook.com/zion.poliquit.54" TargetMode="External"/><Relationship Id="rId1653" Type="http://schemas.openxmlformats.org/officeDocument/2006/relationships/hyperlink" Target="https://www.facebook.com/henkendeman" TargetMode="External"/><Relationship Id="rId2704" Type="http://schemas.openxmlformats.org/officeDocument/2006/relationships/hyperlink" Target="https://www.facebook.com/rapplerdotcom/photos/a.317154781638645/5595733810447356/" TargetMode="External"/><Relationship Id="rId1306" Type="http://schemas.openxmlformats.org/officeDocument/2006/relationships/hyperlink" Target="https://www.facebook.com/rapplerdotcom/posts/pfbid023goEfA6e1ABSWYJFy8fQ5LFWDv4QTSTmAfzySGtMSpy12iqywB2MUZjiZ8GjCxrGl" TargetMode="External"/><Relationship Id="rId1720" Type="http://schemas.openxmlformats.org/officeDocument/2006/relationships/hyperlink" Target="https://www.facebook.com/rapplerdotcom/photos/a.317154781638645/5596043783749692/" TargetMode="External"/><Relationship Id="rId4876" Type="http://schemas.openxmlformats.org/officeDocument/2006/relationships/hyperlink" Target="https://www.facebook.com/randy.aniano" TargetMode="External"/><Relationship Id="rId5927" Type="http://schemas.openxmlformats.org/officeDocument/2006/relationships/hyperlink" Target="https://www.facebook.com/rapplerdotcom/photos/a.317154781638645/5594359700584767/" TargetMode="External"/><Relationship Id="rId12" Type="http://schemas.openxmlformats.org/officeDocument/2006/relationships/hyperlink" Target="https://www.facebook.com/rapplerdotcom/posts/pfbid0DUh4iFcrxZuR1UbiGhcAHcMdzsaV29GSeHCY1HabtqcnUWkjStX9TDaVqzzt92GDl" TargetMode="External"/><Relationship Id="rId3478" Type="http://schemas.openxmlformats.org/officeDocument/2006/relationships/hyperlink" Target="https://www.facebook.com/rapplerdotcom/photos/a.317154781638645/5595372260483511/" TargetMode="External"/><Relationship Id="rId3892" Type="http://schemas.openxmlformats.org/officeDocument/2006/relationships/hyperlink" Target="https://www.facebook.com/rapplerdotcom/posts/pfbid0dyWpzxim3h4Z2SYriGakwQw85p7BCAgct7KU5EiMX1bmmgNHDD8nmES8rjrADsrPl" TargetMode="External"/><Relationship Id="rId4529" Type="http://schemas.openxmlformats.org/officeDocument/2006/relationships/hyperlink" Target="https://www.facebook.com/rapplerdotcom/photos/a.317154781638645/5594954703858600/" TargetMode="External"/><Relationship Id="rId4943" Type="http://schemas.openxmlformats.org/officeDocument/2006/relationships/hyperlink" Target="https://www.facebook.com/rapplerdotcom/posts/pfbid02BCyyacWVuuu1bwX5PwYK8PvqDGTANxekqEMy7qyV9vMmaGKTbC8sBf7i5j3Wbx9Ll" TargetMode="External"/><Relationship Id="rId399" Type="http://schemas.openxmlformats.org/officeDocument/2006/relationships/hyperlink" Target="https://www.facebook.com/rapplerdotcom/photos/a.317154781638645/5598220220198715/" TargetMode="External"/><Relationship Id="rId2494" Type="http://schemas.openxmlformats.org/officeDocument/2006/relationships/hyperlink" Target="https://www.facebook.com/rapplerdotcom/posts/pfbid0TYP6syjYwznxJKdhWv9YMaXK9NvsSEhQ2cyyCQCPMvGapWXrQBHehywgT156wqNPl" TargetMode="External"/><Relationship Id="rId3545" Type="http://schemas.openxmlformats.org/officeDocument/2006/relationships/hyperlink" Target="https://www.facebook.com/jasperg5" TargetMode="External"/><Relationship Id="rId466" Type="http://schemas.openxmlformats.org/officeDocument/2006/relationships/hyperlink" Target="https://www.facebook.com/jeroh.amis" TargetMode="External"/><Relationship Id="rId880" Type="http://schemas.openxmlformats.org/officeDocument/2006/relationships/hyperlink" Target="https://www.facebook.com/rapplerdotcom/photos/a.317154781638645/5597612220259515/" TargetMode="External"/><Relationship Id="rId1096" Type="http://schemas.openxmlformats.org/officeDocument/2006/relationships/hyperlink" Target="https://www.facebook.com/rapplerdotcom/posts/pfbid028Kg188FmebKa4aFvHZNp8zGTwjghWDDJuUmQ8agbSCvGAGJHZ7pBH9NmxLBmPZZdl" TargetMode="External"/><Relationship Id="rId2147" Type="http://schemas.openxmlformats.org/officeDocument/2006/relationships/hyperlink" Target="https://www.facebook.com/uycheskaanne" TargetMode="External"/><Relationship Id="rId2561" Type="http://schemas.openxmlformats.org/officeDocument/2006/relationships/hyperlink" Target="https://www.facebook.com/pilar.alejo.9" TargetMode="External"/><Relationship Id="rId119" Type="http://schemas.openxmlformats.org/officeDocument/2006/relationships/hyperlink" Target="https://www.facebook.com/don.salabay" TargetMode="External"/><Relationship Id="rId533" Type="http://schemas.openxmlformats.org/officeDocument/2006/relationships/hyperlink" Target="https://www.facebook.com/rapplerdotcom/photos/a.317154781638645/5598220220198715/" TargetMode="External"/><Relationship Id="rId1163" Type="http://schemas.openxmlformats.org/officeDocument/2006/relationships/hyperlink" Target="https://www.facebook.com/profile.php?id=100000527554200" TargetMode="External"/><Relationship Id="rId2214" Type="http://schemas.openxmlformats.org/officeDocument/2006/relationships/hyperlink" Target="https://www.facebook.com/rapplerdotcom/photos/a.317154781638645/5596022273751843/" TargetMode="External"/><Relationship Id="rId3612" Type="http://schemas.openxmlformats.org/officeDocument/2006/relationships/hyperlink" Target="https://www.facebook.com/rapplerdotcom/photos/a.317154781638645/5595372260483511/" TargetMode="External"/><Relationship Id="rId5784" Type="http://schemas.openxmlformats.org/officeDocument/2006/relationships/hyperlink" Target="https://www.facebook.com/pjp021055" TargetMode="External"/><Relationship Id="rId600" Type="http://schemas.openxmlformats.org/officeDocument/2006/relationships/hyperlink" Target="https://www.facebook.com/rapplerdotcom/photos/a.317154781638645/5597874143566656" TargetMode="External"/><Relationship Id="rId1230" Type="http://schemas.openxmlformats.org/officeDocument/2006/relationships/hyperlink" Target="https://www.facebook.com/rapplerdotcom/posts/pfbid023goEfA6e1ABSWYJFy8fQ5LFWDv4QTSTmAfzySGtMSpy12iqywB2MUZjiZ8GjCxrGl" TargetMode="External"/><Relationship Id="rId4386" Type="http://schemas.openxmlformats.org/officeDocument/2006/relationships/hyperlink" Target="https://www.facebook.com/rogen.divinagracia.1" TargetMode="External"/><Relationship Id="rId5437" Type="http://schemas.openxmlformats.org/officeDocument/2006/relationships/hyperlink" Target="https://www.facebook.com/watch/live/?ref=watch_permalink&amp;v=312865720941798" TargetMode="External"/><Relationship Id="rId5851" Type="http://schemas.openxmlformats.org/officeDocument/2006/relationships/hyperlink" Target="https://www.facebook.com/rapplerdotcom/photos/a.317154781638645/5594453700575367/" TargetMode="External"/><Relationship Id="rId4039" Type="http://schemas.openxmlformats.org/officeDocument/2006/relationships/hyperlink" Target="https://www.facebook.com/editha.silvestre" TargetMode="External"/><Relationship Id="rId4453" Type="http://schemas.openxmlformats.org/officeDocument/2006/relationships/hyperlink" Target="https://www.facebook.com/rapplerdotcom/photos/a.317154781638645/5594954703858600/" TargetMode="External"/><Relationship Id="rId5504" Type="http://schemas.openxmlformats.org/officeDocument/2006/relationships/hyperlink" Target="https://www.facebook.com/profile.php?id=100075733818877" TargetMode="External"/><Relationship Id="rId3055" Type="http://schemas.openxmlformats.org/officeDocument/2006/relationships/hyperlink" Target="https://www.facebook.com/maryjean.larion" TargetMode="External"/><Relationship Id="rId4106" Type="http://schemas.openxmlformats.org/officeDocument/2006/relationships/hyperlink" Target="https://www.facebook.com/rapplerdotcom/posts/pfbid0231hbcbuKeQLDkPH8oZAdZbuU8MPPgRANx152V3xWpbjZ6EvfpohwQMvxHYAgrGPul" TargetMode="External"/><Relationship Id="rId4520" Type="http://schemas.openxmlformats.org/officeDocument/2006/relationships/hyperlink" Target="https://www.facebook.com/jb.chua28" TargetMode="External"/><Relationship Id="rId390" Type="http://schemas.openxmlformats.org/officeDocument/2006/relationships/hyperlink" Target="https://www.facebook.com/Jadiz50" TargetMode="External"/><Relationship Id="rId2071" Type="http://schemas.openxmlformats.org/officeDocument/2006/relationships/hyperlink" Target="https://www.facebook.com/juliette.faith" TargetMode="External"/><Relationship Id="rId3122" Type="http://schemas.openxmlformats.org/officeDocument/2006/relationships/hyperlink" Target="https://www.facebook.com/watch/live/?ref=watch_permalink&amp;v=360307549312104" TargetMode="External"/><Relationship Id="rId5294" Type="http://schemas.openxmlformats.org/officeDocument/2006/relationships/hyperlink" Target="https://www.facebook.com/escudero28" TargetMode="External"/><Relationship Id="rId110" Type="http://schemas.openxmlformats.org/officeDocument/2006/relationships/hyperlink" Target="https://www.facebook.com/rapplerdotcom/posts/pfbid0DUh4iFcrxZuR1UbiGhcAHcMdzsaV29GSeHCY1HabtqcnUWkjStX9TDaVqzzt92GDl" TargetMode="External"/><Relationship Id="rId2888" Type="http://schemas.openxmlformats.org/officeDocument/2006/relationships/hyperlink" Target="https://www.facebook.com/watch/live/?ref=watch_permalink&amp;v=360307549312104" TargetMode="External"/><Relationship Id="rId3939" Type="http://schemas.openxmlformats.org/officeDocument/2006/relationships/hyperlink" Target="https://www.facebook.com/Valladoresjude1988" TargetMode="External"/><Relationship Id="rId2955" Type="http://schemas.openxmlformats.org/officeDocument/2006/relationships/hyperlink" Target="https://www.facebook.com/Stain0826" TargetMode="External"/><Relationship Id="rId5361" Type="http://schemas.openxmlformats.org/officeDocument/2006/relationships/hyperlink" Target="https://www.facebook.com/rapplerdotcom/photos/a.317154781638645/5594264657260938/" TargetMode="External"/><Relationship Id="rId927" Type="http://schemas.openxmlformats.org/officeDocument/2006/relationships/hyperlink" Target="https://www.facebook.com/emeterio.sarvilla" TargetMode="External"/><Relationship Id="rId1557" Type="http://schemas.openxmlformats.org/officeDocument/2006/relationships/hyperlink" Target="https://www.facebook.com/Aprilche888" TargetMode="External"/><Relationship Id="rId1971" Type="http://schemas.openxmlformats.org/officeDocument/2006/relationships/hyperlink" Target="https://www.facebook.com/madammaharlika" TargetMode="External"/><Relationship Id="rId2608" Type="http://schemas.openxmlformats.org/officeDocument/2006/relationships/hyperlink" Target="https://www.facebook.com/rapplerdotcom/photos/a.317154781638645/5595733810447356/" TargetMode="External"/><Relationship Id="rId5014" Type="http://schemas.openxmlformats.org/officeDocument/2006/relationships/hyperlink" Target="https://www.facebook.com/pangetkoh30" TargetMode="External"/><Relationship Id="rId1624" Type="http://schemas.openxmlformats.org/officeDocument/2006/relationships/hyperlink" Target="https://www.facebook.com/rapplerdotcom/posts/pfbid02AsSA4LQqjQ2Y8SVathQmtduoE3fhoGvQSNhvrzsMerDaJSQJ6jDvApCCiuaE7XCol" TargetMode="External"/><Relationship Id="rId4030" Type="http://schemas.openxmlformats.org/officeDocument/2006/relationships/hyperlink" Target="https://www.facebook.com/rapplerdotcom/posts/pfbid02kmyrDmvYtHxz51VdR228sTCyvbHYDrwL4TgeoVAenoprSKkWhUFLyRmAuKBuGtXXl" TargetMode="External"/><Relationship Id="rId3796" Type="http://schemas.openxmlformats.org/officeDocument/2006/relationships/hyperlink" Target="https://www.facebook.com/rapplerdotcom/posts/pfbid0dyWpzxim3h4Z2SYriGakwQw85p7BCAgct7KU5EiMX1bmmgNHDD8nmES8rjrADsrPl" TargetMode="External"/><Relationship Id="rId2398" Type="http://schemas.openxmlformats.org/officeDocument/2006/relationships/hyperlink" Target="https://www.facebook.com/rapplerdotcom/posts/pfbid0TYP6syjYwznxJKdhWv9YMaXK9NvsSEhQ2cyyCQCPMvGapWXrQBHehywgT156wqNPl" TargetMode="External"/><Relationship Id="rId3449" Type="http://schemas.openxmlformats.org/officeDocument/2006/relationships/hyperlink" Target="https://www.facebook.com/profile.php?id=100008200051155" TargetMode="External"/><Relationship Id="rId4847" Type="http://schemas.openxmlformats.org/officeDocument/2006/relationships/hyperlink" Target="https://www.facebook.com/watch/live/?ref=watch_permalink&amp;v=923735834984653" TargetMode="External"/><Relationship Id="rId3863" Type="http://schemas.openxmlformats.org/officeDocument/2006/relationships/hyperlink" Target="https://www.facebook.com/niwafrancis" TargetMode="External"/><Relationship Id="rId4914" Type="http://schemas.openxmlformats.org/officeDocument/2006/relationships/hyperlink" Target="https://www.facebook.com/rose.ranario.58" TargetMode="External"/><Relationship Id="rId784" Type="http://schemas.openxmlformats.org/officeDocument/2006/relationships/hyperlink" Target="https://www.facebook.com/rapplerdotcom/photos/a.317154781638645/5597612220259515/" TargetMode="External"/><Relationship Id="rId1067" Type="http://schemas.openxmlformats.org/officeDocument/2006/relationships/hyperlink" Target="https://www.facebook.com/marissa.cadacio" TargetMode="External"/><Relationship Id="rId2465" Type="http://schemas.openxmlformats.org/officeDocument/2006/relationships/hyperlink" Target="https://www.facebook.com/profile.php?id=100009085638334" TargetMode="External"/><Relationship Id="rId3516" Type="http://schemas.openxmlformats.org/officeDocument/2006/relationships/hyperlink" Target="https://www.facebook.com/rapplerdotcom/photos/a.317154781638645/5595372260483511/" TargetMode="External"/><Relationship Id="rId3930" Type="http://schemas.openxmlformats.org/officeDocument/2006/relationships/hyperlink" Target="https://www.facebook.com/rapplerdotcom/posts/pfbid0dyWpzxim3h4Z2SYriGakwQw85p7BCAgct7KU5EiMX1bmmgNHDD8nmES8rjrADsrPl" TargetMode="External"/><Relationship Id="rId437" Type="http://schemas.openxmlformats.org/officeDocument/2006/relationships/hyperlink" Target="https://www.facebook.com/rapplerdotcom/photos/a.317154781638645/5598220220198715/" TargetMode="External"/><Relationship Id="rId851" Type="http://schemas.openxmlformats.org/officeDocument/2006/relationships/hyperlink" Target="https://www.facebook.com/asuncion.calayan.9" TargetMode="External"/><Relationship Id="rId1481" Type="http://schemas.openxmlformats.org/officeDocument/2006/relationships/hyperlink" Target="https://www.facebook.com/otep.delaroz" TargetMode="External"/><Relationship Id="rId2118" Type="http://schemas.openxmlformats.org/officeDocument/2006/relationships/hyperlink" Target="https://www.facebook.com/rapplerdotcom/photos/a.317154781638645/5596022273751843/" TargetMode="External"/><Relationship Id="rId2532" Type="http://schemas.openxmlformats.org/officeDocument/2006/relationships/hyperlink" Target="https://www.facebook.com/rapplerdotcom/posts/pfbid0TYP6syjYwznxJKdhWv9YMaXK9NvsSEhQ2cyyCQCPMvGapWXrQBHehywgT156wqNPl" TargetMode="External"/><Relationship Id="rId5688" Type="http://schemas.openxmlformats.org/officeDocument/2006/relationships/hyperlink" Target="https://www.facebook.com/malou.b.delapaz" TargetMode="External"/><Relationship Id="rId504" Type="http://schemas.openxmlformats.org/officeDocument/2006/relationships/hyperlink" Target="https://www.facebook.com/marcoantonio.bursky" TargetMode="External"/><Relationship Id="rId1134" Type="http://schemas.openxmlformats.org/officeDocument/2006/relationships/hyperlink" Target="https://www.facebook.com/rapplerdotcom/posts/pfbid02dNgAR64VTtp94Rus4o9MNbU55E2H9Wp7KMKzJGkk6u4UxRyHU8j2pPpwa5iwGcD3l" TargetMode="External"/><Relationship Id="rId5755" Type="http://schemas.openxmlformats.org/officeDocument/2006/relationships/hyperlink" Target="https://www.facebook.com/rapplerdotcom/photos/a.317154781638645/5594453700575367/" TargetMode="External"/><Relationship Id="rId1201" Type="http://schemas.openxmlformats.org/officeDocument/2006/relationships/hyperlink" Target="https://www.facebook.com/lina.adlao.cayong" TargetMode="External"/><Relationship Id="rId4357" Type="http://schemas.openxmlformats.org/officeDocument/2006/relationships/hyperlink" Target="https://www.facebook.com/rapplerdotcom/photos/a.317154781638645/5594954703858600/" TargetMode="External"/><Relationship Id="rId4771" Type="http://schemas.openxmlformats.org/officeDocument/2006/relationships/hyperlink" Target="https://www.facebook.com/watch/live/?ref=watch_permalink&amp;v=923735834984653" TargetMode="External"/><Relationship Id="rId5408" Type="http://schemas.openxmlformats.org/officeDocument/2006/relationships/hyperlink" Target="https://www.facebook.com/emskie.parreno" TargetMode="External"/><Relationship Id="rId3373" Type="http://schemas.openxmlformats.org/officeDocument/2006/relationships/hyperlink" Target="https://www.facebook.com/profile.php?id=100076940169855" TargetMode="External"/><Relationship Id="rId4424" Type="http://schemas.openxmlformats.org/officeDocument/2006/relationships/hyperlink" Target="https://www.facebook.com/solito.barana.86" TargetMode="External"/><Relationship Id="rId5822" Type="http://schemas.openxmlformats.org/officeDocument/2006/relationships/hyperlink" Target="https://www.facebook.com/jessie.villagracia.37" TargetMode="External"/><Relationship Id="rId294" Type="http://schemas.openxmlformats.org/officeDocument/2006/relationships/hyperlink" Target="https://www.facebook.com/messengah" TargetMode="External"/><Relationship Id="rId3026" Type="http://schemas.openxmlformats.org/officeDocument/2006/relationships/hyperlink" Target="https://www.facebook.com/watch/live/?ref=watch_permalink&amp;v=360307549312104" TargetMode="External"/><Relationship Id="rId361" Type="http://schemas.openxmlformats.org/officeDocument/2006/relationships/hyperlink" Target="https://www.facebook.com/rapplerdotcom/photos/a.317154781638645/5598220220198715/" TargetMode="External"/><Relationship Id="rId2042" Type="http://schemas.openxmlformats.org/officeDocument/2006/relationships/hyperlink" Target="https://www.facebook.com/rapplerdotcom/photos/a.317154781638645/5596022273751843/" TargetMode="External"/><Relationship Id="rId3440" Type="http://schemas.openxmlformats.org/officeDocument/2006/relationships/hyperlink" Target="https://www.facebook.com/rapplerdotcom/photos/a.317154781638645/5595372260483511/" TargetMode="External"/><Relationship Id="rId5198" Type="http://schemas.openxmlformats.org/officeDocument/2006/relationships/hyperlink" Target="https://www.facebook.com/profile.php?id=100075263366177" TargetMode="External"/><Relationship Id="rId2859" Type="http://schemas.openxmlformats.org/officeDocument/2006/relationships/hyperlink" Target="https://www.facebook.com/ojcuison109" TargetMode="External"/><Relationship Id="rId5265" Type="http://schemas.openxmlformats.org/officeDocument/2006/relationships/hyperlink" Target="https://www.facebook.com/rapplerdotcom/photos/a.317154781638645/5594264657260938/" TargetMode="External"/><Relationship Id="rId1875" Type="http://schemas.openxmlformats.org/officeDocument/2006/relationships/hyperlink" Target="https://www.facebook.com/profile.php?id=100072506056935" TargetMode="External"/><Relationship Id="rId4281" Type="http://schemas.openxmlformats.org/officeDocument/2006/relationships/hyperlink" Target="https://www.facebook.com/rapplerdotcom/photos/a.317154781638645/5594954703858600/" TargetMode="External"/><Relationship Id="rId5332" Type="http://schemas.openxmlformats.org/officeDocument/2006/relationships/hyperlink" Target="https://www.facebook.com/johncalamba.saguimpa" TargetMode="External"/><Relationship Id="rId1528" Type="http://schemas.openxmlformats.org/officeDocument/2006/relationships/hyperlink" Target="https://www.facebook.com/rapplerdotcom/photos/a.317154781638645/5597116770309060/" TargetMode="External"/><Relationship Id="rId2926" Type="http://schemas.openxmlformats.org/officeDocument/2006/relationships/hyperlink" Target="https://www.facebook.com/watch/live/?ref=watch_permalink&amp;v=360307549312104" TargetMode="External"/><Relationship Id="rId1942" Type="http://schemas.openxmlformats.org/officeDocument/2006/relationships/hyperlink" Target="https://www.facebook.com/rapplerdotcom/photos/a.317154781638645/5596043783749692/" TargetMode="External"/><Relationship Id="rId4001" Type="http://schemas.openxmlformats.org/officeDocument/2006/relationships/hyperlink" Target="https://www.facebook.com/noel.isorena.7" TargetMode="External"/><Relationship Id="rId6173" Type="http://schemas.openxmlformats.org/officeDocument/2006/relationships/hyperlink" Target="https://www.facebook.com/watch/?v=684555919511830" TargetMode="External"/><Relationship Id="rId3767" Type="http://schemas.openxmlformats.org/officeDocument/2006/relationships/hyperlink" Target="https://www.facebook.com/profile.php?id=100005010463773" TargetMode="External"/><Relationship Id="rId4818" Type="http://schemas.openxmlformats.org/officeDocument/2006/relationships/hyperlink" Target="https://www.facebook.com/mayeth.suller" TargetMode="External"/><Relationship Id="rId688" Type="http://schemas.openxmlformats.org/officeDocument/2006/relationships/hyperlink" Target="https://www.facebook.com/rapplerdotcom/photos/a.317154781638645/5597612220259515/" TargetMode="External"/><Relationship Id="rId2369" Type="http://schemas.openxmlformats.org/officeDocument/2006/relationships/hyperlink" Target="https://www.facebook.com/marissa.bernabetecson" TargetMode="External"/><Relationship Id="rId2783" Type="http://schemas.openxmlformats.org/officeDocument/2006/relationships/hyperlink" Target="https://www.facebook.com/vincedexter.teves" TargetMode="External"/><Relationship Id="rId3834" Type="http://schemas.openxmlformats.org/officeDocument/2006/relationships/hyperlink" Target="https://www.facebook.com/rapplerdotcom/posts/pfbid0dyWpzxim3h4Z2SYriGakwQw85p7BCAgct7KU5EiMX1bmmgNHDD8nmES8rjrADsrPl" TargetMode="External"/><Relationship Id="rId755" Type="http://schemas.openxmlformats.org/officeDocument/2006/relationships/hyperlink" Target="https://www.facebook.com/cristyherreralu" TargetMode="External"/><Relationship Id="rId1385" Type="http://schemas.openxmlformats.org/officeDocument/2006/relationships/hyperlink" Target="https://www.facebook.com/profile.php?id=100011919187220" TargetMode="External"/><Relationship Id="rId2436" Type="http://schemas.openxmlformats.org/officeDocument/2006/relationships/hyperlink" Target="https://www.facebook.com/rapplerdotcom/posts/pfbid0TYP6syjYwznxJKdhWv9YMaXK9NvsSEhQ2cyyCQCPMvGapWXrQBHehywgT156wqNPl" TargetMode="External"/><Relationship Id="rId2850" Type="http://schemas.openxmlformats.org/officeDocument/2006/relationships/hyperlink" Target="https://www.facebook.com/watch/?v=570590637273208" TargetMode="External"/><Relationship Id="rId91" Type="http://schemas.openxmlformats.org/officeDocument/2006/relationships/hyperlink" Target="https://www.facebook.com/alvin.quibilan" TargetMode="External"/><Relationship Id="rId408" Type="http://schemas.openxmlformats.org/officeDocument/2006/relationships/hyperlink" Target="https://www.facebook.com/PKMmatters" TargetMode="External"/><Relationship Id="rId822" Type="http://schemas.openxmlformats.org/officeDocument/2006/relationships/hyperlink" Target="https://www.facebook.com/rapplerdotcom/photos/a.317154781638645/5597612220259515/" TargetMode="External"/><Relationship Id="rId1038" Type="http://schemas.openxmlformats.org/officeDocument/2006/relationships/hyperlink" Target="https://www.facebook.com/rapplerdotcom/photos/a.317154781638645/5597592673594803/" TargetMode="External"/><Relationship Id="rId1452" Type="http://schemas.openxmlformats.org/officeDocument/2006/relationships/hyperlink" Target="https://www.facebook.com/rapplerdotcom/photos/a.317154781638645/5597116770309060/" TargetMode="External"/><Relationship Id="rId2503" Type="http://schemas.openxmlformats.org/officeDocument/2006/relationships/hyperlink" Target="https://www.facebook.com/profile.php?id=100079992361922" TargetMode="External"/><Relationship Id="rId3901" Type="http://schemas.openxmlformats.org/officeDocument/2006/relationships/hyperlink" Target="https://www.facebook.com/celine.avila.50" TargetMode="External"/><Relationship Id="rId5659" Type="http://schemas.openxmlformats.org/officeDocument/2006/relationships/hyperlink" Target="https://www.facebook.com/rapplerdotcom/photos/a.317154781638645/5594453700575367/" TargetMode="External"/><Relationship Id="rId1105" Type="http://schemas.openxmlformats.org/officeDocument/2006/relationships/hyperlink" Target="https://www.facebook.com/mely.jamandre" TargetMode="External"/><Relationship Id="rId3277" Type="http://schemas.openxmlformats.org/officeDocument/2006/relationships/hyperlink" Target="https://www.facebook.com/bulacan.trolley" TargetMode="External"/><Relationship Id="rId4675" Type="http://schemas.openxmlformats.org/officeDocument/2006/relationships/hyperlink" Target="https://www.facebook.com/watch/live/?ref=watch_permalink&amp;v=923735834984653" TargetMode="External"/><Relationship Id="rId5726" Type="http://schemas.openxmlformats.org/officeDocument/2006/relationships/hyperlink" Target="https://www.facebook.com/rodel.palmones.58" TargetMode="External"/><Relationship Id="rId198" Type="http://schemas.openxmlformats.org/officeDocument/2006/relationships/hyperlink" Target="https://www.facebook.com/rapplerdotcom/posts/pfbid0DUh4iFcrxZuR1UbiGhcAHcMdzsaV29GSeHCY1HabtqcnUWkjStX9TDaVqzzt92GDl" TargetMode="External"/><Relationship Id="rId3691" Type="http://schemas.openxmlformats.org/officeDocument/2006/relationships/hyperlink" Target="https://www.facebook.com/sally.benasfre" TargetMode="External"/><Relationship Id="rId4328" Type="http://schemas.openxmlformats.org/officeDocument/2006/relationships/hyperlink" Target="https://www.facebook.com/profile.php?id=100011150311111" TargetMode="External"/><Relationship Id="rId4742" Type="http://schemas.openxmlformats.org/officeDocument/2006/relationships/hyperlink" Target="https://www.facebook.com/profile.php?id=100009431943421" TargetMode="External"/><Relationship Id="rId2293" Type="http://schemas.openxmlformats.org/officeDocument/2006/relationships/hyperlink" Target="https://www.facebook.com/lmfloralde" TargetMode="External"/><Relationship Id="rId3344" Type="http://schemas.openxmlformats.org/officeDocument/2006/relationships/hyperlink" Target="https://www.facebook.com/rapplerdotcom/photos/a.317154781638645/5595372260483511/" TargetMode="External"/><Relationship Id="rId265" Type="http://schemas.openxmlformats.org/officeDocument/2006/relationships/hyperlink" Target="https://www.facebook.com/rapplerdotcom/photos/a.317154781638645/5598220220198715/" TargetMode="External"/><Relationship Id="rId2360" Type="http://schemas.openxmlformats.org/officeDocument/2006/relationships/hyperlink" Target="https://www.facebook.com/rapplerdotcom/posts/pfbid0TYP6syjYwznxJKdhWv9YMaXK9NvsSEhQ2cyyCQCPMvGapWXrQBHehywgT156wqNPl" TargetMode="External"/><Relationship Id="rId3411" Type="http://schemas.openxmlformats.org/officeDocument/2006/relationships/hyperlink" Target="https://www.facebook.com/eduardo.m.lombo" TargetMode="External"/><Relationship Id="rId332" Type="http://schemas.openxmlformats.org/officeDocument/2006/relationships/hyperlink" Target="https://www.facebook.com/maria.delapena.714" TargetMode="External"/><Relationship Id="rId2013" Type="http://schemas.openxmlformats.org/officeDocument/2006/relationships/hyperlink" Target="https://www.facebook.com/nolie.mantaring" TargetMode="External"/><Relationship Id="rId5169" Type="http://schemas.openxmlformats.org/officeDocument/2006/relationships/hyperlink" Target="https://www.facebook.com/rapplerdotcom/photos/a.317154781638645/5594264657260938/" TargetMode="External"/><Relationship Id="rId5583" Type="http://schemas.openxmlformats.org/officeDocument/2006/relationships/hyperlink" Target="https://www.facebook.com/rapplerdotcom/photos/a.317154781638645/5594453700575367/" TargetMode="External"/><Relationship Id="rId4185" Type="http://schemas.openxmlformats.org/officeDocument/2006/relationships/hyperlink" Target="https://www.facebook.com/janet.estal" TargetMode="External"/><Relationship Id="rId5236" Type="http://schemas.openxmlformats.org/officeDocument/2006/relationships/hyperlink" Target="https://www.facebook.com/gectojennieca" TargetMode="External"/><Relationship Id="rId1779" Type="http://schemas.openxmlformats.org/officeDocument/2006/relationships/hyperlink" Target="https://www.facebook.com/arnel.sagorsor" TargetMode="External"/><Relationship Id="rId4252" Type="http://schemas.openxmlformats.org/officeDocument/2006/relationships/hyperlink" Target="https://www.facebook.com/drixsaydie" TargetMode="External"/><Relationship Id="rId5650" Type="http://schemas.openxmlformats.org/officeDocument/2006/relationships/hyperlink" Target="https://www.facebook.com/eliseo.calimlim" TargetMode="External"/><Relationship Id="rId1846" Type="http://schemas.openxmlformats.org/officeDocument/2006/relationships/hyperlink" Target="https://www.facebook.com/rapplerdotcom/photos/a.317154781638645/5596043783749692/" TargetMode="External"/><Relationship Id="rId5303" Type="http://schemas.openxmlformats.org/officeDocument/2006/relationships/hyperlink" Target="https://www.facebook.com/rapplerdotcom/photos/a.317154781638645/5594264657260938/" TargetMode="External"/><Relationship Id="rId1913" Type="http://schemas.openxmlformats.org/officeDocument/2006/relationships/hyperlink" Target="https://www.facebook.com/kim.sioson" TargetMode="External"/><Relationship Id="rId6077" Type="http://schemas.openxmlformats.org/officeDocument/2006/relationships/hyperlink" Target="https://www.facebook.com/rapplerdotcom/photos/a.317154781638645/5594359700584767/" TargetMode="External"/><Relationship Id="rId2687" Type="http://schemas.openxmlformats.org/officeDocument/2006/relationships/hyperlink" Target="https://www.facebook.com/obiso.clarissa" TargetMode="External"/><Relationship Id="rId3738" Type="http://schemas.openxmlformats.org/officeDocument/2006/relationships/hyperlink" Target="https://www.facebook.com/rapplerdotcom/photos/a.317154781638645/5595162900504447/" TargetMode="External"/><Relationship Id="rId5093" Type="http://schemas.openxmlformats.org/officeDocument/2006/relationships/hyperlink" Target="https://www.facebook.com/rapplerdotcom/posts/pfbid0231hbcbuKeQLDkPH8oZAdZbuU8MPPgRANx152V3xWpbjZ6EvfpohwQMvxHYAgrGPul" TargetMode="External"/><Relationship Id="rId6144" Type="http://schemas.openxmlformats.org/officeDocument/2006/relationships/hyperlink" Target="https://www.facebook.com/profile.php?id=100078910084321" TargetMode="External"/><Relationship Id="rId659" Type="http://schemas.openxmlformats.org/officeDocument/2006/relationships/hyperlink" Target="https://www.facebook.com/Itz.me.leo.reyes" TargetMode="External"/><Relationship Id="rId1289" Type="http://schemas.openxmlformats.org/officeDocument/2006/relationships/hyperlink" Target="https://www.facebook.com/marialucresia.laureno.1" TargetMode="External"/><Relationship Id="rId5160" Type="http://schemas.openxmlformats.org/officeDocument/2006/relationships/hyperlink" Target="https://www.facebook.com/reniel.carandang.56" TargetMode="External"/><Relationship Id="rId6211" Type="http://schemas.openxmlformats.org/officeDocument/2006/relationships/hyperlink" Target="https://www.facebook.com/watch/?v=684555919511830" TargetMode="External"/><Relationship Id="rId1356" Type="http://schemas.openxmlformats.org/officeDocument/2006/relationships/hyperlink" Target="https://www.facebook.com/rapplerdotcom/photos/a.317154781638645/5597116770309060/" TargetMode="External"/><Relationship Id="rId2754" Type="http://schemas.openxmlformats.org/officeDocument/2006/relationships/hyperlink" Target="https://www.facebook.com/rapplerdotcom/photos/a.317154781638645/5595733810447356/" TargetMode="External"/><Relationship Id="rId3805" Type="http://schemas.openxmlformats.org/officeDocument/2006/relationships/hyperlink" Target="https://www.facebook.com/nilo.asas" TargetMode="External"/><Relationship Id="rId726" Type="http://schemas.openxmlformats.org/officeDocument/2006/relationships/hyperlink" Target="https://www.facebook.com/rapplerdotcom/photos/a.317154781638645/5597612220259515/" TargetMode="External"/><Relationship Id="rId1009" Type="http://schemas.openxmlformats.org/officeDocument/2006/relationships/hyperlink" Target="https://www.facebook.com/rndllbailey" TargetMode="External"/><Relationship Id="rId1770" Type="http://schemas.openxmlformats.org/officeDocument/2006/relationships/hyperlink" Target="https://www.facebook.com/rapplerdotcom/photos/a.317154781638645/5596043783749692/" TargetMode="External"/><Relationship Id="rId2407" Type="http://schemas.openxmlformats.org/officeDocument/2006/relationships/hyperlink" Target="https://www.facebook.com/triplovers143" TargetMode="External"/><Relationship Id="rId2821" Type="http://schemas.openxmlformats.org/officeDocument/2006/relationships/hyperlink" Target="https://www.facebook.com/theresa.ysabella.75" TargetMode="External"/><Relationship Id="rId5977" Type="http://schemas.openxmlformats.org/officeDocument/2006/relationships/hyperlink" Target="https://www.facebook.com/rapplerdotcom/photos/a.317154781638645/5594359700584767/" TargetMode="External"/><Relationship Id="rId62" Type="http://schemas.openxmlformats.org/officeDocument/2006/relationships/hyperlink" Target="https://www.facebook.com/rapplerdotcom/posts/pfbid0DUh4iFcrxZuR1UbiGhcAHcMdzsaV29GSeHCY1HabtqcnUWkjStX9TDaVqzzt92GDl" TargetMode="External"/><Relationship Id="rId1423" Type="http://schemas.openxmlformats.org/officeDocument/2006/relationships/hyperlink" Target="https://www.facebook.com/profile.php?id=100073915835880" TargetMode="External"/><Relationship Id="rId4579" Type="http://schemas.openxmlformats.org/officeDocument/2006/relationships/hyperlink" Target="https://www.facebook.com/watch/live/?ref=watch_permalink&amp;v=923735834984653" TargetMode="External"/><Relationship Id="rId4993" Type="http://schemas.openxmlformats.org/officeDocument/2006/relationships/hyperlink" Target="https://www.facebook.com/rapplerdotcom/posts/pfbid02BCyyacWVuuu1bwX5PwYK8PvqDGTANxekqEMy7qyV9vMmaGKTbC8sBf7i5j3Wbx9Ll" TargetMode="External"/><Relationship Id="rId3595" Type="http://schemas.openxmlformats.org/officeDocument/2006/relationships/hyperlink" Target="https://www.facebook.com/elmer.cordero.3" TargetMode="External"/><Relationship Id="rId4646" Type="http://schemas.openxmlformats.org/officeDocument/2006/relationships/hyperlink" Target="https://www.facebook.com/alhen.zafe" TargetMode="External"/><Relationship Id="rId2197" Type="http://schemas.openxmlformats.org/officeDocument/2006/relationships/hyperlink" Target="https://www.facebook.com/finkvarna" TargetMode="External"/><Relationship Id="rId3248" Type="http://schemas.openxmlformats.org/officeDocument/2006/relationships/hyperlink" Target="https://www.facebook.com/rapplerdotcom/posts/pfbid035u2RhZvcYSiCeymgBfXLoFoq87y2V8v81A9xDtyoKJgzTGtotsEEoj2bH7Zd4mtzl" TargetMode="External"/><Relationship Id="rId3662" Type="http://schemas.openxmlformats.org/officeDocument/2006/relationships/hyperlink" Target="https://www.facebook.com/rapplerdotcom/photos/a.317154781638645/5595372260483511/" TargetMode="External"/><Relationship Id="rId4713" Type="http://schemas.openxmlformats.org/officeDocument/2006/relationships/hyperlink" Target="https://www.facebook.com/watch/live/?ref=watch_permalink&amp;v=923735834984653" TargetMode="External"/><Relationship Id="rId169" Type="http://schemas.openxmlformats.org/officeDocument/2006/relationships/hyperlink" Target="https://www.facebook.com/myraparreno" TargetMode="External"/><Relationship Id="rId583" Type="http://schemas.openxmlformats.org/officeDocument/2006/relationships/hyperlink" Target="https://www.facebook.com/brrianjooseph.31" TargetMode="External"/><Relationship Id="rId2264" Type="http://schemas.openxmlformats.org/officeDocument/2006/relationships/hyperlink" Target="https://www.facebook.com/rapplerdotcom/photos/a.317154781638645/5596022273751843/" TargetMode="External"/><Relationship Id="rId3315" Type="http://schemas.openxmlformats.org/officeDocument/2006/relationships/hyperlink" Target="https://www.facebook.com/profile.php?id=100009126387339" TargetMode="External"/><Relationship Id="rId236" Type="http://schemas.openxmlformats.org/officeDocument/2006/relationships/hyperlink" Target="https://www.facebook.com/profile.php?id=100078461366052" TargetMode="External"/><Relationship Id="rId650" Type="http://schemas.openxmlformats.org/officeDocument/2006/relationships/hyperlink" Target="https://www.facebook.com/rapplerdotcom/photos/a.317154781638645/5597874143566656" TargetMode="External"/><Relationship Id="rId1280" Type="http://schemas.openxmlformats.org/officeDocument/2006/relationships/hyperlink" Target="https://www.facebook.com/rapplerdotcom/posts/pfbid023goEfA6e1ABSWYJFy8fQ5LFWDv4QTSTmAfzySGtMSpy12iqywB2MUZjiZ8GjCxrGl" TargetMode="External"/><Relationship Id="rId2331" Type="http://schemas.openxmlformats.org/officeDocument/2006/relationships/hyperlink" Target="https://www.facebook.com/profile.php?id=100075207451456" TargetMode="External"/><Relationship Id="rId5487" Type="http://schemas.openxmlformats.org/officeDocument/2006/relationships/hyperlink" Target="https://www.facebook.com/watch/live/?ref=watch_permalink&amp;v=312865720941798" TargetMode="External"/><Relationship Id="rId303" Type="http://schemas.openxmlformats.org/officeDocument/2006/relationships/hyperlink" Target="https://www.facebook.com/rapplerdotcom/photos/a.317154781638645/5598220220198715/" TargetMode="External"/><Relationship Id="rId4089" Type="http://schemas.openxmlformats.org/officeDocument/2006/relationships/hyperlink" Target="https://www.facebook.com/ronel.padrqiue" TargetMode="External"/><Relationship Id="rId5554" Type="http://schemas.openxmlformats.org/officeDocument/2006/relationships/hyperlink" Target="https://www.facebook.com/akihiro.sato.940098" TargetMode="External"/><Relationship Id="rId1000" Type="http://schemas.openxmlformats.org/officeDocument/2006/relationships/hyperlink" Target="https://www.facebook.com/rapplerdotcom/photos/a.317154781638645/5597592673594803/" TargetMode="External"/><Relationship Id="rId4156" Type="http://schemas.openxmlformats.org/officeDocument/2006/relationships/hyperlink" Target="https://www.facebook.com/rapplerdotcom/photos/a.317154781638645/5594954703858600/" TargetMode="External"/><Relationship Id="rId4570" Type="http://schemas.openxmlformats.org/officeDocument/2006/relationships/hyperlink" Target="https://www.facebook.com/menchie.delrosario" TargetMode="External"/><Relationship Id="rId5207" Type="http://schemas.openxmlformats.org/officeDocument/2006/relationships/hyperlink" Target="https://www.facebook.com/rapplerdotcom/photos/a.317154781638645/5594264657260938/" TargetMode="External"/><Relationship Id="rId5621" Type="http://schemas.openxmlformats.org/officeDocument/2006/relationships/hyperlink" Target="https://www.facebook.com/rapplerdotcom/photos/a.317154781638645/5594453700575367/" TargetMode="External"/><Relationship Id="rId1817" Type="http://schemas.openxmlformats.org/officeDocument/2006/relationships/hyperlink" Target="https://www.facebook.com/bobet.julian" TargetMode="External"/><Relationship Id="rId3172" Type="http://schemas.openxmlformats.org/officeDocument/2006/relationships/hyperlink" Target="https://www.facebook.com/watch/live/?ref=watch_permalink&amp;v=332681445500650" TargetMode="External"/><Relationship Id="rId4223" Type="http://schemas.openxmlformats.org/officeDocument/2006/relationships/hyperlink" Target="https://www.facebook.com/joey.abella.507" TargetMode="External"/><Relationship Id="rId160" Type="http://schemas.openxmlformats.org/officeDocument/2006/relationships/hyperlink" Target="https://www.facebook.com/rapplerdotcom/posts/pfbid0DUh4iFcrxZuR1UbiGhcAHcMdzsaV29GSeHCY1HabtqcnUWkjStX9TDaVqzzt92GDl" TargetMode="External"/><Relationship Id="rId3989" Type="http://schemas.openxmlformats.org/officeDocument/2006/relationships/hyperlink" Target="https://www.facebook.com/athaliecruzedez" TargetMode="External"/><Relationship Id="rId6048" Type="http://schemas.openxmlformats.org/officeDocument/2006/relationships/hyperlink" Target="https://www.facebook.com/danilo.mica" TargetMode="External"/><Relationship Id="rId5064" Type="http://schemas.openxmlformats.org/officeDocument/2006/relationships/hyperlink" Target="https://www.facebook.com/alma.bautista.148" TargetMode="External"/><Relationship Id="rId6115" Type="http://schemas.openxmlformats.org/officeDocument/2006/relationships/hyperlink" Target="https://www.facebook.com/rapplerdotcom/posts/pfbid0JJW97xH5fR5tDSLUQ8AnEgkPMU9Aigs9CgcNy2Q7AzJY4R8mRoicBgu3PLdqpf2Tl" TargetMode="External"/><Relationship Id="rId977" Type="http://schemas.openxmlformats.org/officeDocument/2006/relationships/hyperlink" Target="https://www.facebook.com/shirley.narra" TargetMode="External"/><Relationship Id="rId2658" Type="http://schemas.openxmlformats.org/officeDocument/2006/relationships/hyperlink" Target="https://www.facebook.com/rapplerdotcom/photos/a.317154781638645/5595733810447356/" TargetMode="External"/><Relationship Id="rId3709" Type="http://schemas.openxmlformats.org/officeDocument/2006/relationships/hyperlink" Target="https://www.facebook.com/rey.sumam" TargetMode="External"/><Relationship Id="rId4080" Type="http://schemas.openxmlformats.org/officeDocument/2006/relationships/hyperlink" Target="https://www.facebook.com/rapplerdotcom/posts/pfbid0231hbcbuKeQLDkPH8oZAdZbuU8MPPgRANx152V3xWpbjZ6EvfpohwQMvxHYAgrGPul" TargetMode="External"/><Relationship Id="rId1674" Type="http://schemas.openxmlformats.org/officeDocument/2006/relationships/hyperlink" Target="https://www.facebook.com/rapplerdotcom/photos/a.317154781638645/5596043783749692/" TargetMode="External"/><Relationship Id="rId2725" Type="http://schemas.openxmlformats.org/officeDocument/2006/relationships/hyperlink" Target="https://www.facebook.com/carlomanuel.mendoza" TargetMode="External"/><Relationship Id="rId5131" Type="http://schemas.openxmlformats.org/officeDocument/2006/relationships/hyperlink" Target="https://www.facebook.com/rapplerdotcom/photos/a.317154781638645/5594264657260938/" TargetMode="External"/><Relationship Id="rId1327" Type="http://schemas.openxmlformats.org/officeDocument/2006/relationships/hyperlink" Target="https://www.facebook.com/BimBirimBimBim" TargetMode="External"/><Relationship Id="rId1741" Type="http://schemas.openxmlformats.org/officeDocument/2006/relationships/hyperlink" Target="https://www.facebook.com/ellen.barrios" TargetMode="External"/><Relationship Id="rId4897" Type="http://schemas.openxmlformats.org/officeDocument/2006/relationships/hyperlink" Target="https://www.facebook.com/watch/live/?ref=watch_permalink&amp;v=923735834984653" TargetMode="External"/><Relationship Id="rId5948" Type="http://schemas.openxmlformats.org/officeDocument/2006/relationships/hyperlink" Target="https://www.facebook.com/lut.aver.3" TargetMode="External"/><Relationship Id="rId33" Type="http://schemas.openxmlformats.org/officeDocument/2006/relationships/hyperlink" Target="https://www.facebook.com/eon.flux.33" TargetMode="External"/><Relationship Id="rId3499" Type="http://schemas.openxmlformats.org/officeDocument/2006/relationships/hyperlink" Target="https://www.facebook.com/profile.php?id=100000429193684" TargetMode="External"/><Relationship Id="rId3566" Type="http://schemas.openxmlformats.org/officeDocument/2006/relationships/hyperlink" Target="https://www.facebook.com/rapplerdotcom/photos/a.317154781638645/5595372260483511/" TargetMode="External"/><Relationship Id="rId4964" Type="http://schemas.openxmlformats.org/officeDocument/2006/relationships/hyperlink" Target="https://www.facebook.com/melinda.santelices" TargetMode="External"/><Relationship Id="rId487" Type="http://schemas.openxmlformats.org/officeDocument/2006/relationships/hyperlink" Target="https://www.facebook.com/rapplerdotcom/photos/a.317154781638645/5598220220198715/" TargetMode="External"/><Relationship Id="rId2168" Type="http://schemas.openxmlformats.org/officeDocument/2006/relationships/hyperlink" Target="https://www.facebook.com/rapplerdotcom/photos/a.317154781638645/5596022273751843/" TargetMode="External"/><Relationship Id="rId3219" Type="http://schemas.openxmlformats.org/officeDocument/2006/relationships/hyperlink" Target="https://www.facebook.com/danielle.reyeshabla" TargetMode="External"/><Relationship Id="rId3980" Type="http://schemas.openxmlformats.org/officeDocument/2006/relationships/hyperlink" Target="https://www.facebook.com/rapplerdotcom/posts/pfbid0dyWpzxim3h4Z2SYriGakwQw85p7BCAgct7KU5EiMX1bmmgNHDD8nmES8rjrADsrPl" TargetMode="External"/><Relationship Id="rId4617" Type="http://schemas.openxmlformats.org/officeDocument/2006/relationships/hyperlink" Target="https://www.facebook.com/watch/live/?ref=watch_permalink&amp;v=923735834984653" TargetMode="External"/><Relationship Id="rId1184" Type="http://schemas.openxmlformats.org/officeDocument/2006/relationships/hyperlink" Target="https://www.facebook.com/rapplerdotcom/posts/pfbid02dNgAR64VTtp94Rus4o9MNbU55E2H9Wp7KMKzJGkk6u4UxRyHU8j2pPpwa5iwGcD3l" TargetMode="External"/><Relationship Id="rId2582" Type="http://schemas.openxmlformats.org/officeDocument/2006/relationships/hyperlink" Target="https://www.facebook.com/rapplerdotcom/photos/a.317154781638645/5595733810447356/" TargetMode="External"/><Relationship Id="rId3633" Type="http://schemas.openxmlformats.org/officeDocument/2006/relationships/hyperlink" Target="https://www.facebook.com/adelina.francisco.3" TargetMode="External"/><Relationship Id="rId554" Type="http://schemas.openxmlformats.org/officeDocument/2006/relationships/hyperlink" Target="https://www.facebook.com/rapplerdotcom/photos/a.317154781638645/5597874143566656" TargetMode="External"/><Relationship Id="rId2235" Type="http://schemas.openxmlformats.org/officeDocument/2006/relationships/hyperlink" Target="https://www.facebook.com/ferdinand.arellano.92" TargetMode="External"/><Relationship Id="rId3700" Type="http://schemas.openxmlformats.org/officeDocument/2006/relationships/hyperlink" Target="https://www.facebook.com/rapplerdotcom/photos/a.317154781638645/5595162900504447/" TargetMode="External"/><Relationship Id="rId207" Type="http://schemas.openxmlformats.org/officeDocument/2006/relationships/hyperlink" Target="https://www.facebook.com/ismael.manikan" TargetMode="External"/><Relationship Id="rId621" Type="http://schemas.openxmlformats.org/officeDocument/2006/relationships/hyperlink" Target="https://www.facebook.com/profile.php?id=100074363201711" TargetMode="External"/><Relationship Id="rId1251" Type="http://schemas.openxmlformats.org/officeDocument/2006/relationships/hyperlink" Target="https://www.facebook.com/jo.talisaysay" TargetMode="External"/><Relationship Id="rId2302" Type="http://schemas.openxmlformats.org/officeDocument/2006/relationships/hyperlink" Target="https://www.facebook.com/rapplerdotcom/photos/a.317154781638645/5596022273751843/" TargetMode="External"/><Relationship Id="rId5458" Type="http://schemas.openxmlformats.org/officeDocument/2006/relationships/hyperlink" Target="https://www.facebook.com/mar.salesinap" TargetMode="External"/><Relationship Id="rId5872" Type="http://schemas.openxmlformats.org/officeDocument/2006/relationships/hyperlink" Target="https://www.facebook.com/regine.tamayo1" TargetMode="External"/><Relationship Id="rId4474" Type="http://schemas.openxmlformats.org/officeDocument/2006/relationships/hyperlink" Target="https://www.facebook.com/marvin.andasan.5" TargetMode="External"/><Relationship Id="rId5525" Type="http://schemas.openxmlformats.org/officeDocument/2006/relationships/hyperlink" Target="https://www.facebook.com/rapplerdotcom/photos/a.317154781638645/5594453700575367/" TargetMode="External"/><Relationship Id="rId3076" Type="http://schemas.openxmlformats.org/officeDocument/2006/relationships/hyperlink" Target="https://www.facebook.com/watch/live/?ref=watch_permalink&amp;v=360307549312104" TargetMode="External"/><Relationship Id="rId3490" Type="http://schemas.openxmlformats.org/officeDocument/2006/relationships/hyperlink" Target="https://www.facebook.com/rapplerdotcom/photos/a.317154781638645/5595372260483511/" TargetMode="External"/><Relationship Id="rId4127" Type="http://schemas.openxmlformats.org/officeDocument/2006/relationships/hyperlink" Target="https://www.facebook.com/BraveHearT.Marzan" TargetMode="External"/><Relationship Id="rId4541" Type="http://schemas.openxmlformats.org/officeDocument/2006/relationships/hyperlink" Target="https://www.facebook.com/rapplerdotcom/photos/a.317154781638645/5594954703858600/" TargetMode="External"/><Relationship Id="rId2092" Type="http://schemas.openxmlformats.org/officeDocument/2006/relationships/hyperlink" Target="https://www.facebook.com/rapplerdotcom/photos/a.317154781638645/5596022273751843/" TargetMode="External"/><Relationship Id="rId3143" Type="http://schemas.openxmlformats.org/officeDocument/2006/relationships/hyperlink" Target="https://www.facebook.com/gin.elle.100" TargetMode="External"/><Relationship Id="rId131" Type="http://schemas.openxmlformats.org/officeDocument/2006/relationships/hyperlink" Target="https://www.facebook.com/pauljeric.queipo.1" TargetMode="External"/><Relationship Id="rId3210" Type="http://schemas.openxmlformats.org/officeDocument/2006/relationships/hyperlink" Target="https://www.facebook.com/watch/live/?ref=watch_permalink&amp;v=332681445500650" TargetMode="External"/><Relationship Id="rId2976" Type="http://schemas.openxmlformats.org/officeDocument/2006/relationships/hyperlink" Target="https://www.facebook.com/watch/live/?ref=watch_permalink&amp;v=360307549312104" TargetMode="External"/><Relationship Id="rId5382" Type="http://schemas.openxmlformats.org/officeDocument/2006/relationships/hyperlink" Target="https://www.facebook.com/lawrence.macadangdang.10" TargetMode="External"/><Relationship Id="rId6019" Type="http://schemas.openxmlformats.org/officeDocument/2006/relationships/hyperlink" Target="https://www.facebook.com/rapplerdotcom/photos/a.317154781638645/5594359700584767/" TargetMode="External"/><Relationship Id="rId948" Type="http://schemas.openxmlformats.org/officeDocument/2006/relationships/hyperlink" Target="https://www.facebook.com/rapplerdotcom/photos/a.317154781638645/5597592673594803/" TargetMode="External"/><Relationship Id="rId1578" Type="http://schemas.openxmlformats.org/officeDocument/2006/relationships/hyperlink" Target="https://www.facebook.com/rapplerdotcom/photos/a.317154781638645/5597116770309060/" TargetMode="External"/><Relationship Id="rId1992" Type="http://schemas.openxmlformats.org/officeDocument/2006/relationships/hyperlink" Target="https://www.facebook.com/rapplerdotcom/photos/a.317154781638645/5596022273751843/" TargetMode="External"/><Relationship Id="rId2629" Type="http://schemas.openxmlformats.org/officeDocument/2006/relationships/hyperlink" Target="https://www.facebook.com/rdoroon1" TargetMode="External"/><Relationship Id="rId5035" Type="http://schemas.openxmlformats.org/officeDocument/2006/relationships/hyperlink" Target="https://www.facebook.com/rapplerdotcom/posts/pfbid02BCyyacWVuuu1bwX5PwYK8PvqDGTANxekqEMy7qyV9vMmaGKTbC8sBf7i5j3Wbx9Ll" TargetMode="External"/><Relationship Id="rId1645" Type="http://schemas.openxmlformats.org/officeDocument/2006/relationships/hyperlink" Target="https://www.facebook.com/DBTunacao" TargetMode="External"/><Relationship Id="rId4051" Type="http://schemas.openxmlformats.org/officeDocument/2006/relationships/hyperlink" Target="https://www.facebook.com/demboy2000" TargetMode="External"/><Relationship Id="rId5102" Type="http://schemas.openxmlformats.org/officeDocument/2006/relationships/hyperlink" Target="https://www.facebook.com/gahimaeeeeee" TargetMode="External"/><Relationship Id="rId1712" Type="http://schemas.openxmlformats.org/officeDocument/2006/relationships/hyperlink" Target="https://www.facebook.com/rapplerdotcom/photos/a.317154781638645/5596043783749692/" TargetMode="External"/><Relationship Id="rId4868" Type="http://schemas.openxmlformats.org/officeDocument/2006/relationships/hyperlink" Target="https://www.facebook.com/nelia.forteza.1" TargetMode="External"/><Relationship Id="rId5919" Type="http://schemas.openxmlformats.org/officeDocument/2006/relationships/hyperlink" Target="https://www.facebook.com/rapplerdotcom/photos/a.317154781638645/5594359700584767/" TargetMode="External"/><Relationship Id="rId3884" Type="http://schemas.openxmlformats.org/officeDocument/2006/relationships/hyperlink" Target="https://www.facebook.com/rapplerdotcom/posts/pfbid0dyWpzxim3h4Z2SYriGakwQw85p7BCAgct7KU5EiMX1bmmgNHDD8nmES8rjrADsrPl" TargetMode="External"/><Relationship Id="rId4935" Type="http://schemas.openxmlformats.org/officeDocument/2006/relationships/hyperlink" Target="https://www.facebook.com/rapplerdotcom/posts/pfbid02BCyyacWVuuu1bwX5PwYK8PvqDGTANxekqEMy7qyV9vMmaGKTbC8sBf7i5j3Wbx9Ll" TargetMode="External"/><Relationship Id="rId2486" Type="http://schemas.openxmlformats.org/officeDocument/2006/relationships/hyperlink" Target="https://www.facebook.com/rapplerdotcom/posts/pfbid0TYP6syjYwznxJKdhWv9YMaXK9NvsSEhQ2cyyCQCPMvGapWXrQBHehywgT156wqNPl" TargetMode="External"/><Relationship Id="rId3537" Type="http://schemas.openxmlformats.org/officeDocument/2006/relationships/hyperlink" Target="https://www.facebook.com/cyrilljoy.baldera.3" TargetMode="External"/><Relationship Id="rId3951" Type="http://schemas.openxmlformats.org/officeDocument/2006/relationships/hyperlink" Target="https://www.facebook.com/Valladoresjude1988" TargetMode="External"/><Relationship Id="rId458" Type="http://schemas.openxmlformats.org/officeDocument/2006/relationships/hyperlink" Target="https://www.facebook.com/profile.php?id=100069959550032" TargetMode="External"/><Relationship Id="rId872" Type="http://schemas.openxmlformats.org/officeDocument/2006/relationships/hyperlink" Target="https://www.facebook.com/rapplerdotcom/photos/a.317154781638645/5597612220259515/" TargetMode="External"/><Relationship Id="rId1088" Type="http://schemas.openxmlformats.org/officeDocument/2006/relationships/hyperlink" Target="https://www.facebook.com/rapplerdotcom/posts/pfbid028Kg188FmebKa4aFvHZNp8zGTwjghWDDJuUmQ8agbSCvGAGJHZ7pBH9NmxLBmPZZdl" TargetMode="External"/><Relationship Id="rId2139" Type="http://schemas.openxmlformats.org/officeDocument/2006/relationships/hyperlink" Target="https://www.facebook.com/regina.r.bastida" TargetMode="External"/><Relationship Id="rId2553" Type="http://schemas.openxmlformats.org/officeDocument/2006/relationships/hyperlink" Target="https://www.facebook.com/gejan" TargetMode="External"/><Relationship Id="rId3604" Type="http://schemas.openxmlformats.org/officeDocument/2006/relationships/hyperlink" Target="https://www.facebook.com/rapplerdotcom/photos/a.317154781638645/5595372260483511/" TargetMode="External"/><Relationship Id="rId6010" Type="http://schemas.openxmlformats.org/officeDocument/2006/relationships/hyperlink" Target="https://www.facebook.com/zenyrj" TargetMode="External"/><Relationship Id="rId525" Type="http://schemas.openxmlformats.org/officeDocument/2006/relationships/hyperlink" Target="https://www.facebook.com/rapplerdotcom/photos/a.317154781638645/5598220220198715/" TargetMode="External"/><Relationship Id="rId1155" Type="http://schemas.openxmlformats.org/officeDocument/2006/relationships/hyperlink" Target="https://www.facebook.com/Soyiee25" TargetMode="External"/><Relationship Id="rId2206" Type="http://schemas.openxmlformats.org/officeDocument/2006/relationships/hyperlink" Target="https://www.facebook.com/rapplerdotcom/photos/a.317154781638645/5596022273751843/" TargetMode="External"/><Relationship Id="rId2620" Type="http://schemas.openxmlformats.org/officeDocument/2006/relationships/hyperlink" Target="https://www.facebook.com/rapplerdotcom/photos/a.317154781638645/5595733810447356/" TargetMode="External"/><Relationship Id="rId5776" Type="http://schemas.openxmlformats.org/officeDocument/2006/relationships/hyperlink" Target="https://www.facebook.com/bernardo.hermogenes" TargetMode="External"/><Relationship Id="rId1222" Type="http://schemas.openxmlformats.org/officeDocument/2006/relationships/hyperlink" Target="https://www.facebook.com/rapplerdotcom/posts/pfbid023goEfA6e1ABSWYJFy8fQ5LFWDv4QTSTmAfzySGtMSpy12iqywB2MUZjiZ8GjCxrGl" TargetMode="External"/><Relationship Id="rId4378" Type="http://schemas.openxmlformats.org/officeDocument/2006/relationships/hyperlink" Target="https://www.facebook.com/profile.php?id=100009754082201" TargetMode="External"/><Relationship Id="rId5429" Type="http://schemas.openxmlformats.org/officeDocument/2006/relationships/hyperlink" Target="https://www.facebook.com/watch/live/?ref=watch_permalink&amp;v=312865720941798" TargetMode="External"/><Relationship Id="rId3394" Type="http://schemas.openxmlformats.org/officeDocument/2006/relationships/hyperlink" Target="https://www.facebook.com/rapplerdotcom/photos/a.317154781638645/5595372260483511/" TargetMode="External"/><Relationship Id="rId4792" Type="http://schemas.openxmlformats.org/officeDocument/2006/relationships/hyperlink" Target="https://www.facebook.com/alectv07" TargetMode="External"/><Relationship Id="rId5843" Type="http://schemas.openxmlformats.org/officeDocument/2006/relationships/hyperlink" Target="https://www.facebook.com/rapplerdotcom/photos/a.317154781638645/5594453700575367/" TargetMode="External"/><Relationship Id="rId3047" Type="http://schemas.openxmlformats.org/officeDocument/2006/relationships/hyperlink" Target="https://www.facebook.com/mariane.mangubat" TargetMode="External"/><Relationship Id="rId4445" Type="http://schemas.openxmlformats.org/officeDocument/2006/relationships/hyperlink" Target="https://www.facebook.com/rapplerdotcom/photos/a.317154781638645/5594954703858600/" TargetMode="External"/><Relationship Id="rId5910" Type="http://schemas.openxmlformats.org/officeDocument/2006/relationships/hyperlink" Target="https://www.facebook.com/milagrosilidan" TargetMode="External"/><Relationship Id="rId3461" Type="http://schemas.openxmlformats.org/officeDocument/2006/relationships/hyperlink" Target="https://www.facebook.com/victoriano.pimentel.980" TargetMode="External"/><Relationship Id="rId4512" Type="http://schemas.openxmlformats.org/officeDocument/2006/relationships/hyperlink" Target="https://www.facebook.com/buenaventura.romy" TargetMode="External"/><Relationship Id="rId382" Type="http://schemas.openxmlformats.org/officeDocument/2006/relationships/hyperlink" Target="https://www.facebook.com/joyce.orena" TargetMode="External"/><Relationship Id="rId2063" Type="http://schemas.openxmlformats.org/officeDocument/2006/relationships/hyperlink" Target="https://www.facebook.com/maria.dizon1" TargetMode="External"/><Relationship Id="rId3114" Type="http://schemas.openxmlformats.org/officeDocument/2006/relationships/hyperlink" Target="https://www.facebook.com/watch/live/?ref=watch_permalink&amp;v=360307549312104" TargetMode="External"/><Relationship Id="rId2130" Type="http://schemas.openxmlformats.org/officeDocument/2006/relationships/hyperlink" Target="https://www.facebook.com/rapplerdotcom/photos/a.317154781638645/5596022273751843/" TargetMode="External"/><Relationship Id="rId5286" Type="http://schemas.openxmlformats.org/officeDocument/2006/relationships/hyperlink" Target="https://www.facebook.com/danilo.bergonio.9" TargetMode="External"/><Relationship Id="rId102" Type="http://schemas.openxmlformats.org/officeDocument/2006/relationships/hyperlink" Target="https://www.facebook.com/rapplerdotcom/posts/pfbid0DUh4iFcrxZuR1UbiGhcAHcMdzsaV29GSeHCY1HabtqcnUWkjStX9TDaVqzzt92GDl" TargetMode="External"/><Relationship Id="rId5353" Type="http://schemas.openxmlformats.org/officeDocument/2006/relationships/hyperlink" Target="https://www.facebook.com/rapplerdotcom/photos/a.317154781638645/5594264657260938/" TargetMode="External"/><Relationship Id="rId1896" Type="http://schemas.openxmlformats.org/officeDocument/2006/relationships/hyperlink" Target="https://www.facebook.com/rapplerdotcom/photos/a.317154781638645/5596043783749692/" TargetMode="External"/><Relationship Id="rId2947" Type="http://schemas.openxmlformats.org/officeDocument/2006/relationships/hyperlink" Target="https://www.facebook.com/road.mccane" TargetMode="External"/><Relationship Id="rId5006" Type="http://schemas.openxmlformats.org/officeDocument/2006/relationships/hyperlink" Target="https://www.facebook.com/rommel.carpio.315" TargetMode="External"/><Relationship Id="rId919" Type="http://schemas.openxmlformats.org/officeDocument/2006/relationships/hyperlink" Target="https://www.facebook.com/paul.a.estrada.5" TargetMode="External"/><Relationship Id="rId1549" Type="http://schemas.openxmlformats.org/officeDocument/2006/relationships/hyperlink" Target="https://www.facebook.com/jf.ortega.9" TargetMode="External"/><Relationship Id="rId1963" Type="http://schemas.openxmlformats.org/officeDocument/2006/relationships/hyperlink" Target="https://www.facebook.com/madammaharlika" TargetMode="External"/><Relationship Id="rId4022" Type="http://schemas.openxmlformats.org/officeDocument/2006/relationships/hyperlink" Target="https://www.facebook.com/rapplerdotcom/posts/pfbid02kmyrDmvYtHxz51VdR228sTCyvbHYDrwL4TgeoVAenoprSKkWhUFLyRmAuKBuGtXXl" TargetMode="External"/><Relationship Id="rId5420" Type="http://schemas.openxmlformats.org/officeDocument/2006/relationships/hyperlink" Target="https://www.facebook.com/jones.davis.1884" TargetMode="External"/><Relationship Id="rId1616" Type="http://schemas.openxmlformats.org/officeDocument/2006/relationships/hyperlink" Target="https://www.facebook.com/rapplerdotcom/posts/pfbid02AsSA4LQqjQ2Y8SVathQmtduoE3fhoGvQSNhvrzsMerDaJSQJ6jDvApCCiuaE7XCol" TargetMode="External"/><Relationship Id="rId3788" Type="http://schemas.openxmlformats.org/officeDocument/2006/relationships/hyperlink" Target="https://www.facebook.com/rapplerdotcom/posts/pfbid0dyWpzxim3h4Z2SYriGakwQw85p7BCAgct7KU5EiMX1bmmgNHDD8nmES8rjrADsrPl" TargetMode="External"/><Relationship Id="rId4839" Type="http://schemas.openxmlformats.org/officeDocument/2006/relationships/hyperlink" Target="https://www.facebook.com/watch/live/?ref=watch_permalink&amp;v=923735834984653" TargetMode="External"/><Relationship Id="rId6194" Type="http://schemas.openxmlformats.org/officeDocument/2006/relationships/hyperlink" Target="https://www.facebook.com/mayette.miranda.9" TargetMode="External"/><Relationship Id="rId3855" Type="http://schemas.openxmlformats.org/officeDocument/2006/relationships/hyperlink" Target="https://www.facebook.com/alonzonoel.miclat.5" TargetMode="External"/><Relationship Id="rId776" Type="http://schemas.openxmlformats.org/officeDocument/2006/relationships/hyperlink" Target="https://www.facebook.com/rapplerdotcom/photos/a.317154781638645/5597612220259515/" TargetMode="External"/><Relationship Id="rId2457" Type="http://schemas.openxmlformats.org/officeDocument/2006/relationships/hyperlink" Target="https://www.facebook.com/jauny.marifecdoguinon" TargetMode="External"/><Relationship Id="rId3508" Type="http://schemas.openxmlformats.org/officeDocument/2006/relationships/hyperlink" Target="https://www.facebook.com/rapplerdotcom/photos/a.317154781638645/5595372260483511/" TargetMode="External"/><Relationship Id="rId4906" Type="http://schemas.openxmlformats.org/officeDocument/2006/relationships/hyperlink" Target="https://www.facebook.com/kaie.decal" TargetMode="External"/><Relationship Id="rId429" Type="http://schemas.openxmlformats.org/officeDocument/2006/relationships/hyperlink" Target="https://www.facebook.com/rapplerdotcom/photos/a.317154781638645/5598220220198715/" TargetMode="External"/><Relationship Id="rId1059" Type="http://schemas.openxmlformats.org/officeDocument/2006/relationships/hyperlink" Target="https://www.facebook.com/lou.vega.16" TargetMode="External"/><Relationship Id="rId1473" Type="http://schemas.openxmlformats.org/officeDocument/2006/relationships/hyperlink" Target="https://www.facebook.com/profile.php?id=100009111409816" TargetMode="External"/><Relationship Id="rId2871" Type="http://schemas.openxmlformats.org/officeDocument/2006/relationships/hyperlink" Target="https://www.facebook.com/maryrosetimbol.bual" TargetMode="External"/><Relationship Id="rId3922" Type="http://schemas.openxmlformats.org/officeDocument/2006/relationships/hyperlink" Target="https://www.facebook.com/rapplerdotcom/posts/pfbid0dyWpzxim3h4Z2SYriGakwQw85p7BCAgct7KU5EiMX1bmmgNHDD8nmES8rjrADsrPl" TargetMode="External"/><Relationship Id="rId843" Type="http://schemas.openxmlformats.org/officeDocument/2006/relationships/hyperlink" Target="https://www.facebook.com/factolerin.e" TargetMode="External"/><Relationship Id="rId1126" Type="http://schemas.openxmlformats.org/officeDocument/2006/relationships/hyperlink" Target="https://www.facebook.com/rapplerdotcom/posts/pfbid02dNgAR64VTtp94Rus4o9MNbU55E2H9Wp7KMKzJGkk6u4UxRyHU8j2pPpwa5iwGcD3l" TargetMode="External"/><Relationship Id="rId2524" Type="http://schemas.openxmlformats.org/officeDocument/2006/relationships/hyperlink" Target="https://www.facebook.com/rapplerdotcom/posts/pfbid0TYP6syjYwznxJKdhWv9YMaXK9NvsSEhQ2cyyCQCPMvGapWXrQBHehywgT156wqNPl" TargetMode="External"/><Relationship Id="rId910" Type="http://schemas.openxmlformats.org/officeDocument/2006/relationships/hyperlink" Target="https://www.facebook.com/rapplerdotcom/photos/a.317154781638645/5597592673594803/" TargetMode="External"/><Relationship Id="rId1540" Type="http://schemas.openxmlformats.org/officeDocument/2006/relationships/hyperlink" Target="https://www.facebook.com/rapplerdotcom/photos/a.317154781638645/5597116770309060/" TargetMode="External"/><Relationship Id="rId4696" Type="http://schemas.openxmlformats.org/officeDocument/2006/relationships/hyperlink" Target="https://www.facebook.com/annabelle.ventus" TargetMode="External"/><Relationship Id="rId5747" Type="http://schemas.openxmlformats.org/officeDocument/2006/relationships/hyperlink" Target="https://www.facebook.com/rapplerdotcom/photos/a.317154781638645/5594453700575367/" TargetMode="External"/><Relationship Id="rId3298" Type="http://schemas.openxmlformats.org/officeDocument/2006/relationships/hyperlink" Target="https://www.facebook.com/rapplerdotcom/photos/a.317154781638645/5595372260483511/" TargetMode="External"/><Relationship Id="rId4349" Type="http://schemas.openxmlformats.org/officeDocument/2006/relationships/hyperlink" Target="https://www.facebook.com/rapplerdotcom/photos/a.317154781638645/5594954703858600/" TargetMode="External"/><Relationship Id="rId4763" Type="http://schemas.openxmlformats.org/officeDocument/2006/relationships/hyperlink" Target="https://www.facebook.com/watch/live/?ref=watch_permalink&amp;v=923735834984653" TargetMode="External"/><Relationship Id="rId5814" Type="http://schemas.openxmlformats.org/officeDocument/2006/relationships/hyperlink" Target="https://www.facebook.com/teresa.plamor" TargetMode="External"/><Relationship Id="rId3365" Type="http://schemas.openxmlformats.org/officeDocument/2006/relationships/hyperlink" Target="https://www.facebook.com/VictoriaLPoblete" TargetMode="External"/><Relationship Id="rId4416" Type="http://schemas.openxmlformats.org/officeDocument/2006/relationships/hyperlink" Target="https://www.facebook.com/shelongrace.fernando.96" TargetMode="External"/><Relationship Id="rId4830" Type="http://schemas.openxmlformats.org/officeDocument/2006/relationships/hyperlink" Target="https://www.facebook.com/danica.ucillos.90" TargetMode="External"/><Relationship Id="rId286" Type="http://schemas.openxmlformats.org/officeDocument/2006/relationships/hyperlink" Target="https://www.facebook.com/luz.baldoz" TargetMode="External"/><Relationship Id="rId2381" Type="http://schemas.openxmlformats.org/officeDocument/2006/relationships/hyperlink" Target="https://www.facebook.com/nyx.deleon" TargetMode="External"/><Relationship Id="rId3018" Type="http://schemas.openxmlformats.org/officeDocument/2006/relationships/hyperlink" Target="https://www.facebook.com/watch/live/?ref=watch_permalink&amp;v=360307549312104" TargetMode="External"/><Relationship Id="rId3432" Type="http://schemas.openxmlformats.org/officeDocument/2006/relationships/hyperlink" Target="https://www.facebook.com/rapplerdotcom/photos/a.317154781638645/5595372260483511/" TargetMode="External"/><Relationship Id="rId353" Type="http://schemas.openxmlformats.org/officeDocument/2006/relationships/hyperlink" Target="https://www.facebook.com/rapplerdotcom/photos/a.317154781638645/5598220220198715/" TargetMode="External"/><Relationship Id="rId2034" Type="http://schemas.openxmlformats.org/officeDocument/2006/relationships/hyperlink" Target="https://www.facebook.com/rapplerdotcom/photos/a.317154781638645/5596022273751843/" TargetMode="External"/><Relationship Id="rId420" Type="http://schemas.openxmlformats.org/officeDocument/2006/relationships/hyperlink" Target="https://www.facebook.com/versusversi" TargetMode="External"/><Relationship Id="rId1050" Type="http://schemas.openxmlformats.org/officeDocument/2006/relationships/hyperlink" Target="https://www.facebook.com/rapplerdotcom/posts/pfbid028Kg188FmebKa4aFvHZNp8zGTwjghWDDJuUmQ8agbSCvGAGJHZ7pBH9NmxLBmPZZdl" TargetMode="External"/><Relationship Id="rId2101" Type="http://schemas.openxmlformats.org/officeDocument/2006/relationships/hyperlink" Target="https://www.facebook.com/maryrose.t.zamora" TargetMode="External"/><Relationship Id="rId5257" Type="http://schemas.openxmlformats.org/officeDocument/2006/relationships/hyperlink" Target="https://www.facebook.com/rapplerdotcom/photos/a.317154781638645/5594264657260938/" TargetMode="External"/><Relationship Id="rId5671" Type="http://schemas.openxmlformats.org/officeDocument/2006/relationships/hyperlink" Target="https://www.facebook.com/rapplerdotcom/photos/a.317154781638645/5594453700575367/" TargetMode="External"/><Relationship Id="rId1867" Type="http://schemas.openxmlformats.org/officeDocument/2006/relationships/hyperlink" Target="https://www.facebook.com/yongcoonang" TargetMode="External"/><Relationship Id="rId2918" Type="http://schemas.openxmlformats.org/officeDocument/2006/relationships/hyperlink" Target="https://www.facebook.com/watch/live/?ref=watch_permalink&amp;v=360307549312104" TargetMode="External"/><Relationship Id="rId4273" Type="http://schemas.openxmlformats.org/officeDocument/2006/relationships/hyperlink" Target="https://www.facebook.com/rapplerdotcom/photos/a.317154781638645/5594954703858600/" TargetMode="External"/><Relationship Id="rId5324" Type="http://schemas.openxmlformats.org/officeDocument/2006/relationships/hyperlink" Target="https://www.facebook.com/essieangcaya" TargetMode="External"/><Relationship Id="rId1934" Type="http://schemas.openxmlformats.org/officeDocument/2006/relationships/hyperlink" Target="https://www.facebook.com/rapplerdotcom/photos/a.317154781638645/5596043783749692/" TargetMode="External"/><Relationship Id="rId4340" Type="http://schemas.openxmlformats.org/officeDocument/2006/relationships/hyperlink" Target="https://www.facebook.com/areumdawoyo" TargetMode="External"/><Relationship Id="rId6098" Type="http://schemas.openxmlformats.org/officeDocument/2006/relationships/hyperlink" Target="https://www.facebook.com/maldz.marcial04" TargetMode="External"/><Relationship Id="rId6165" Type="http://schemas.openxmlformats.org/officeDocument/2006/relationships/hyperlink" Target="https://www.facebook.com/watch/?v=684555919511830" TargetMode="External"/><Relationship Id="rId3759" Type="http://schemas.openxmlformats.org/officeDocument/2006/relationships/hyperlink" Target="https://www.facebook.com/imeldatorres.perocho" TargetMode="External"/><Relationship Id="rId5181" Type="http://schemas.openxmlformats.org/officeDocument/2006/relationships/hyperlink" Target="https://www.facebook.com/rapplerdotcom/photos/a.317154781638645/5594264657260938/" TargetMode="External"/><Relationship Id="rId2775" Type="http://schemas.openxmlformats.org/officeDocument/2006/relationships/hyperlink" Target="https://www.facebook.com/profile.php?id=100076165174797" TargetMode="External"/><Relationship Id="rId3826" Type="http://schemas.openxmlformats.org/officeDocument/2006/relationships/hyperlink" Target="https://www.facebook.com/rapplerdotcom/posts/pfbid0dyWpzxim3h4Z2SYriGakwQw85p7BCAgct7KU5EiMX1bmmgNHDD8nmES8rjrADsrPl" TargetMode="External"/><Relationship Id="rId747" Type="http://schemas.openxmlformats.org/officeDocument/2006/relationships/hyperlink" Target="https://www.facebook.com/wilbert.favor" TargetMode="External"/><Relationship Id="rId1377" Type="http://schemas.openxmlformats.org/officeDocument/2006/relationships/hyperlink" Target="https://www.facebook.com/joanamarcelabauson" TargetMode="External"/><Relationship Id="rId1791" Type="http://schemas.openxmlformats.org/officeDocument/2006/relationships/hyperlink" Target="https://www.facebook.com/profile.php?id=100079988850982" TargetMode="External"/><Relationship Id="rId2428" Type="http://schemas.openxmlformats.org/officeDocument/2006/relationships/hyperlink" Target="https://www.facebook.com/rapplerdotcom/posts/pfbid0TYP6syjYwznxJKdhWv9YMaXK9NvsSEhQ2cyyCQCPMvGapWXrQBHehywgT156wqNPl" TargetMode="External"/><Relationship Id="rId2842" Type="http://schemas.openxmlformats.org/officeDocument/2006/relationships/hyperlink" Target="https://www.facebook.com/watch/?v=570590637273208" TargetMode="External"/><Relationship Id="rId5998" Type="http://schemas.openxmlformats.org/officeDocument/2006/relationships/hyperlink" Target="https://www.facebook.com/mcdolawcarla" TargetMode="External"/><Relationship Id="rId83" Type="http://schemas.openxmlformats.org/officeDocument/2006/relationships/hyperlink" Target="https://www.facebook.com/rey.pilapil.940" TargetMode="External"/><Relationship Id="rId814" Type="http://schemas.openxmlformats.org/officeDocument/2006/relationships/hyperlink" Target="https://www.facebook.com/rapplerdotcom/photos/a.317154781638645/5597612220259515/" TargetMode="External"/><Relationship Id="rId1444" Type="http://schemas.openxmlformats.org/officeDocument/2006/relationships/hyperlink" Target="https://www.facebook.com/rapplerdotcom/photos/a.317154781638645/5597116770309060/" TargetMode="External"/><Relationship Id="rId1511" Type="http://schemas.openxmlformats.org/officeDocument/2006/relationships/hyperlink" Target="https://www.facebook.com/lydia.demecais" TargetMode="External"/><Relationship Id="rId4667" Type="http://schemas.openxmlformats.org/officeDocument/2006/relationships/hyperlink" Target="https://www.facebook.com/watch/live/?ref=watch_permalink&amp;v=923735834984653" TargetMode="External"/><Relationship Id="rId5718" Type="http://schemas.openxmlformats.org/officeDocument/2006/relationships/hyperlink" Target="https://www.facebook.com/gina.rico.55" TargetMode="External"/><Relationship Id="rId3269" Type="http://schemas.openxmlformats.org/officeDocument/2006/relationships/hyperlink" Target="https://www.facebook.com/carandang.rnold" TargetMode="External"/><Relationship Id="rId3683" Type="http://schemas.openxmlformats.org/officeDocument/2006/relationships/hyperlink" Target="https://www.facebook.com/bodick.cruz" TargetMode="External"/><Relationship Id="rId2285" Type="http://schemas.openxmlformats.org/officeDocument/2006/relationships/hyperlink" Target="https://www.facebook.com/profile.php?id=100005732081750" TargetMode="External"/><Relationship Id="rId3336" Type="http://schemas.openxmlformats.org/officeDocument/2006/relationships/hyperlink" Target="https://www.facebook.com/rapplerdotcom/photos/a.317154781638645/5595372260483511/" TargetMode="External"/><Relationship Id="rId4734" Type="http://schemas.openxmlformats.org/officeDocument/2006/relationships/hyperlink" Target="https://www.facebook.com/victoria.pimentel.507027" TargetMode="External"/><Relationship Id="rId257" Type="http://schemas.openxmlformats.org/officeDocument/2006/relationships/hyperlink" Target="https://www.facebook.com/rapplerdotcom/photos/a.317154781638645/5598220220198715/" TargetMode="External"/><Relationship Id="rId3750" Type="http://schemas.openxmlformats.org/officeDocument/2006/relationships/hyperlink" Target="https://www.facebook.com/rapplerdotcom/posts/pfbid0dyWpzxim3h4Z2SYriGakwQw85p7BCAgct7KU5EiMX1bmmgNHDD8nmES8rjrADsrPl" TargetMode="External"/><Relationship Id="rId4801" Type="http://schemas.openxmlformats.org/officeDocument/2006/relationships/hyperlink" Target="https://www.facebook.com/watch/live/?ref=watch_permalink&amp;v=923735834984653" TargetMode="External"/><Relationship Id="rId671" Type="http://schemas.openxmlformats.org/officeDocument/2006/relationships/hyperlink" Target="https://www.facebook.com/christianjerry.castillo" TargetMode="External"/><Relationship Id="rId2352" Type="http://schemas.openxmlformats.org/officeDocument/2006/relationships/hyperlink" Target="https://www.facebook.com/rapplerdotcom/posts/pfbid0TYP6syjYwznxJKdhWv9YMaXK9NvsSEhQ2cyyCQCPMvGapWXrQBHehywgT156wqNPl" TargetMode="External"/><Relationship Id="rId3403" Type="http://schemas.openxmlformats.org/officeDocument/2006/relationships/hyperlink" Target="https://www.facebook.com/eduardo.m.lombo" TargetMode="External"/><Relationship Id="rId324" Type="http://schemas.openxmlformats.org/officeDocument/2006/relationships/hyperlink" Target="https://www.facebook.com/profile.php?id=100079089531211" TargetMode="External"/><Relationship Id="rId2005" Type="http://schemas.openxmlformats.org/officeDocument/2006/relationships/hyperlink" Target="https://www.facebook.com/ronfrias" TargetMode="External"/><Relationship Id="rId5575" Type="http://schemas.openxmlformats.org/officeDocument/2006/relationships/hyperlink" Target="https://www.facebook.com/rapplerdotcom/photos/a.317154781638645/5594453700575367/" TargetMode="External"/><Relationship Id="rId1021" Type="http://schemas.openxmlformats.org/officeDocument/2006/relationships/hyperlink" Target="https://www.facebook.com/jose.a.bautista.98" TargetMode="External"/><Relationship Id="rId4177" Type="http://schemas.openxmlformats.org/officeDocument/2006/relationships/hyperlink" Target="https://www.facebook.com/kuyah.tan" TargetMode="External"/><Relationship Id="rId4591" Type="http://schemas.openxmlformats.org/officeDocument/2006/relationships/hyperlink" Target="https://www.facebook.com/watch/live/?ref=watch_permalink&amp;v=923735834984653" TargetMode="External"/><Relationship Id="rId5228" Type="http://schemas.openxmlformats.org/officeDocument/2006/relationships/hyperlink" Target="https://www.facebook.com/layf.lacatango.3" TargetMode="External"/><Relationship Id="rId5642" Type="http://schemas.openxmlformats.org/officeDocument/2006/relationships/hyperlink" Target="https://www.facebook.com/marvz.mendoza.5" TargetMode="External"/><Relationship Id="rId3193" Type="http://schemas.openxmlformats.org/officeDocument/2006/relationships/hyperlink" Target="https://www.facebook.com/del.ching" TargetMode="External"/><Relationship Id="rId4244" Type="http://schemas.openxmlformats.org/officeDocument/2006/relationships/hyperlink" Target="https://www.facebook.com/loreta.ardaban.3" TargetMode="External"/><Relationship Id="rId1838" Type="http://schemas.openxmlformats.org/officeDocument/2006/relationships/hyperlink" Target="https://www.facebook.com/rapplerdotcom/photos/a.317154781638645/5596043783749692/" TargetMode="External"/><Relationship Id="rId3260" Type="http://schemas.openxmlformats.org/officeDocument/2006/relationships/hyperlink" Target="https://www.facebook.com/rapplerdotcom/posts/pfbid035u2RhZvcYSiCeymgBfXLoFoq87y2V8v81A9xDtyoKJgzTGtotsEEoj2bH7Zd4mtzl" TargetMode="External"/><Relationship Id="rId4311" Type="http://schemas.openxmlformats.org/officeDocument/2006/relationships/hyperlink" Target="https://www.facebook.com/rapplerdotcom/photos/a.317154781638645/5594954703858600/" TargetMode="External"/><Relationship Id="rId181" Type="http://schemas.openxmlformats.org/officeDocument/2006/relationships/hyperlink" Target="https://www.facebook.com/profile.php?id=100009426127646" TargetMode="External"/><Relationship Id="rId1905" Type="http://schemas.openxmlformats.org/officeDocument/2006/relationships/hyperlink" Target="https://www.facebook.com/bernardo.nicolas.3382" TargetMode="External"/><Relationship Id="rId6069" Type="http://schemas.openxmlformats.org/officeDocument/2006/relationships/hyperlink" Target="https://www.facebook.com/rapplerdotcom/photos/a.317154781638645/5594359700584767/" TargetMode="External"/><Relationship Id="rId5085" Type="http://schemas.openxmlformats.org/officeDocument/2006/relationships/hyperlink" Target="https://www.facebook.com/rapplerdotcom/posts/pfbid0231hbcbuKeQLDkPH8oZAdZbuU8MPPgRANx152V3xWpbjZ6EvfpohwQMvxHYAgrGPul" TargetMode="External"/><Relationship Id="rId998" Type="http://schemas.openxmlformats.org/officeDocument/2006/relationships/hyperlink" Target="https://www.facebook.com/rapplerdotcom/photos/a.317154781638645/5597592673594803/" TargetMode="External"/><Relationship Id="rId2679" Type="http://schemas.openxmlformats.org/officeDocument/2006/relationships/hyperlink" Target="https://www.facebook.com/profile.php?id=100079988850982" TargetMode="External"/><Relationship Id="rId6136" Type="http://schemas.openxmlformats.org/officeDocument/2006/relationships/hyperlink" Target="https://www.facebook.com/profile.php?id=100077311853138" TargetMode="External"/><Relationship Id="rId1695" Type="http://schemas.openxmlformats.org/officeDocument/2006/relationships/hyperlink" Target="https://www.facebook.com/felix.bauya.9" TargetMode="External"/><Relationship Id="rId2746" Type="http://schemas.openxmlformats.org/officeDocument/2006/relationships/hyperlink" Target="https://www.facebook.com/rapplerdotcom/photos/a.317154781638645/5595733810447356/" TargetMode="External"/><Relationship Id="rId5152" Type="http://schemas.openxmlformats.org/officeDocument/2006/relationships/hyperlink" Target="https://www.facebook.com/nilo.asas" TargetMode="External"/><Relationship Id="rId6203" Type="http://schemas.openxmlformats.org/officeDocument/2006/relationships/hyperlink" Target="https://www.facebook.com/watch/?v=684555919511830" TargetMode="External"/><Relationship Id="rId718" Type="http://schemas.openxmlformats.org/officeDocument/2006/relationships/hyperlink" Target="https://www.facebook.com/rapplerdotcom/photos/a.317154781638645/5597612220259515/" TargetMode="External"/><Relationship Id="rId1348" Type="http://schemas.openxmlformats.org/officeDocument/2006/relationships/hyperlink" Target="https://www.facebook.com/rapplerdotcom/photos/a.317154781638645/5597116770309060/" TargetMode="External"/><Relationship Id="rId1762" Type="http://schemas.openxmlformats.org/officeDocument/2006/relationships/hyperlink" Target="https://www.facebook.com/rapplerdotcom/photos/a.317154781638645/5596043783749692/" TargetMode="External"/><Relationship Id="rId1415" Type="http://schemas.openxmlformats.org/officeDocument/2006/relationships/hyperlink" Target="https://www.facebook.com/melgalimba" TargetMode="External"/><Relationship Id="rId2813" Type="http://schemas.openxmlformats.org/officeDocument/2006/relationships/hyperlink" Target="https://www.facebook.com/buday.7777777" TargetMode="External"/><Relationship Id="rId5969" Type="http://schemas.openxmlformats.org/officeDocument/2006/relationships/hyperlink" Target="https://www.facebook.com/rapplerdotcom/photos/a.317154781638645/5594359700584767/" TargetMode="External"/><Relationship Id="rId54" Type="http://schemas.openxmlformats.org/officeDocument/2006/relationships/hyperlink" Target="https://www.facebook.com/rapplerdotcom/posts/pfbid0DUh4iFcrxZuR1UbiGhcAHcMdzsaV29GSeHCY1HabtqcnUWkjStX9TDaVqzzt92GDl" TargetMode="External"/><Relationship Id="rId4985" Type="http://schemas.openxmlformats.org/officeDocument/2006/relationships/hyperlink" Target="https://www.facebook.com/rapplerdotcom/posts/pfbid02BCyyacWVuuu1bwX5PwYK8PvqDGTANxekqEMy7qyV9vMmaGKTbC8sBf7i5j3Wbx9Ll" TargetMode="External"/><Relationship Id="rId2189" Type="http://schemas.openxmlformats.org/officeDocument/2006/relationships/hyperlink" Target="https://www.facebook.com/marygracie.tamayo" TargetMode="External"/><Relationship Id="rId3587" Type="http://schemas.openxmlformats.org/officeDocument/2006/relationships/hyperlink" Target="https://www.facebook.com/profile.php?id=100074949353472" TargetMode="External"/><Relationship Id="rId4638" Type="http://schemas.openxmlformats.org/officeDocument/2006/relationships/hyperlink" Target="https://www.facebook.com/briggite.pineda.9" TargetMode="External"/><Relationship Id="rId6060" Type="http://schemas.openxmlformats.org/officeDocument/2006/relationships/hyperlink" Target="https://www.facebook.com/profile.php?id=100061205663342" TargetMode="External"/><Relationship Id="rId3654" Type="http://schemas.openxmlformats.org/officeDocument/2006/relationships/hyperlink" Target="https://www.facebook.com/rapplerdotcom/photos/a.317154781638645/5595372260483511/" TargetMode="External"/><Relationship Id="rId4705" Type="http://schemas.openxmlformats.org/officeDocument/2006/relationships/hyperlink" Target="https://www.facebook.com/watch/live/?ref=watch_permalink&amp;v=923735834984653" TargetMode="External"/><Relationship Id="rId575" Type="http://schemas.openxmlformats.org/officeDocument/2006/relationships/hyperlink" Target="https://www.facebook.com/brrianjooseph.31" TargetMode="External"/><Relationship Id="rId2256" Type="http://schemas.openxmlformats.org/officeDocument/2006/relationships/hyperlink" Target="https://www.facebook.com/rapplerdotcom/photos/a.317154781638645/5596022273751843/" TargetMode="External"/><Relationship Id="rId2670" Type="http://schemas.openxmlformats.org/officeDocument/2006/relationships/hyperlink" Target="https://www.facebook.com/rapplerdotcom/photos/a.317154781638645/5595733810447356/" TargetMode="External"/><Relationship Id="rId3307" Type="http://schemas.openxmlformats.org/officeDocument/2006/relationships/hyperlink" Target="https://www.facebook.com/adrian.nepomuceno.58" TargetMode="External"/><Relationship Id="rId3721" Type="http://schemas.openxmlformats.org/officeDocument/2006/relationships/hyperlink" Target="https://www.facebook.com/profile.php?id=100040658171991" TargetMode="External"/><Relationship Id="rId228" Type="http://schemas.openxmlformats.org/officeDocument/2006/relationships/hyperlink" Target="https://www.facebook.com/alvinjoseph.supan" TargetMode="External"/><Relationship Id="rId642" Type="http://schemas.openxmlformats.org/officeDocument/2006/relationships/hyperlink" Target="https://www.facebook.com/rapplerdotcom/photos/a.317154781638645/5597874143566656" TargetMode="External"/><Relationship Id="rId1272" Type="http://schemas.openxmlformats.org/officeDocument/2006/relationships/hyperlink" Target="https://www.facebook.com/rapplerdotcom/posts/pfbid023goEfA6e1ABSWYJFy8fQ5LFWDv4QTSTmAfzySGtMSpy12iqywB2MUZjiZ8GjCxrGl" TargetMode="External"/><Relationship Id="rId2323" Type="http://schemas.openxmlformats.org/officeDocument/2006/relationships/hyperlink" Target="https://www.facebook.com/lian.calizo" TargetMode="External"/><Relationship Id="rId5479" Type="http://schemas.openxmlformats.org/officeDocument/2006/relationships/hyperlink" Target="https://www.facebook.com/watch/live/?ref=watch_permalink&amp;v=312865720941798" TargetMode="External"/><Relationship Id="rId5893" Type="http://schemas.openxmlformats.org/officeDocument/2006/relationships/hyperlink" Target="https://www.facebook.com/rapplerdotcom/photos/a.317154781638645/5594359700584767/" TargetMode="External"/><Relationship Id="rId4495" Type="http://schemas.openxmlformats.org/officeDocument/2006/relationships/hyperlink" Target="https://www.facebook.com/rapplerdotcom/photos/a.317154781638645/5594954703858600/" TargetMode="External"/><Relationship Id="rId5546" Type="http://schemas.openxmlformats.org/officeDocument/2006/relationships/hyperlink" Target="https://www.facebook.com/profile.php?id=100075733818877" TargetMode="External"/><Relationship Id="rId3097" Type="http://schemas.openxmlformats.org/officeDocument/2006/relationships/hyperlink" Target="https://www.facebook.com/rona.baltazar.16" TargetMode="External"/><Relationship Id="rId4148" Type="http://schemas.openxmlformats.org/officeDocument/2006/relationships/hyperlink" Target="https://www.facebook.com/rapplerdotcom/photos/a.317154781638645/5594954703858600/" TargetMode="External"/><Relationship Id="rId5960" Type="http://schemas.openxmlformats.org/officeDocument/2006/relationships/hyperlink" Target="https://www.facebook.com/profile.php?id=100008274437577" TargetMode="External"/><Relationship Id="rId3164" Type="http://schemas.openxmlformats.org/officeDocument/2006/relationships/hyperlink" Target="https://www.facebook.com/watch/live/?ref=watch_permalink&amp;v=332681445500650" TargetMode="External"/><Relationship Id="rId4562" Type="http://schemas.openxmlformats.org/officeDocument/2006/relationships/hyperlink" Target="https://www.facebook.com/nabinagnap.seyer" TargetMode="External"/><Relationship Id="rId5613" Type="http://schemas.openxmlformats.org/officeDocument/2006/relationships/hyperlink" Target="https://www.facebook.com/rapplerdotcom/photos/a.317154781638645/5594453700575367/" TargetMode="External"/><Relationship Id="rId1809" Type="http://schemas.openxmlformats.org/officeDocument/2006/relationships/hyperlink" Target="https://www.facebook.com/panagsi" TargetMode="External"/><Relationship Id="rId4215" Type="http://schemas.openxmlformats.org/officeDocument/2006/relationships/hyperlink" Target="https://www.facebook.com/recheejhon.carlos.58" TargetMode="External"/><Relationship Id="rId2180" Type="http://schemas.openxmlformats.org/officeDocument/2006/relationships/hyperlink" Target="https://www.facebook.com/rapplerdotcom/photos/a.317154781638645/5596022273751843/" TargetMode="External"/><Relationship Id="rId3231" Type="http://schemas.openxmlformats.org/officeDocument/2006/relationships/hyperlink" Target="https://www.facebook.com/gigidominguezdelosreyes" TargetMode="External"/><Relationship Id="rId152" Type="http://schemas.openxmlformats.org/officeDocument/2006/relationships/hyperlink" Target="https://www.facebook.com/rapplerdotcom/posts/pfbid0DUh4iFcrxZuR1UbiGhcAHcMdzsaV29GSeHCY1HabtqcnUWkjStX9TDaVqzzt92GDl" TargetMode="External"/><Relationship Id="rId2997" Type="http://schemas.openxmlformats.org/officeDocument/2006/relationships/hyperlink" Target="https://www.facebook.com/marygrace.bruma" TargetMode="External"/><Relationship Id="rId969" Type="http://schemas.openxmlformats.org/officeDocument/2006/relationships/hyperlink" Target="https://www.facebook.com/virgilio.panolino" TargetMode="External"/><Relationship Id="rId1599" Type="http://schemas.openxmlformats.org/officeDocument/2006/relationships/hyperlink" Target="https://www.facebook.com/profile.php?id=100077649885354" TargetMode="External"/><Relationship Id="rId5056" Type="http://schemas.openxmlformats.org/officeDocument/2006/relationships/hyperlink" Target="https://www.facebook.com/profile.php?id=100004103093312" TargetMode="External"/><Relationship Id="rId5470" Type="http://schemas.openxmlformats.org/officeDocument/2006/relationships/hyperlink" Target="https://www.facebook.com/haniaalonto.orandang" TargetMode="External"/><Relationship Id="rId6107" Type="http://schemas.openxmlformats.org/officeDocument/2006/relationships/hyperlink" Target="https://www.facebook.com/rapplerdotcom/photos/a.317154781638645/5594359700584767/" TargetMode="External"/><Relationship Id="rId4072" Type="http://schemas.openxmlformats.org/officeDocument/2006/relationships/hyperlink" Target="https://www.facebook.com/rapplerdotcom/posts/pfbid0231hbcbuKeQLDkPH8oZAdZbuU8MPPgRANx152V3xWpbjZ6EvfpohwQMvxHYAgrGPul" TargetMode="External"/><Relationship Id="rId5123" Type="http://schemas.openxmlformats.org/officeDocument/2006/relationships/hyperlink" Target="https://www.facebook.com/rapplerdotcom/photos/a.317154781638645/5594264657260938/" TargetMode="External"/><Relationship Id="rId1666" Type="http://schemas.openxmlformats.org/officeDocument/2006/relationships/hyperlink" Target="https://www.facebook.com/rapplerdotcom/posts/pfbid02AsSA4LQqjQ2Y8SVathQmtduoE3fhoGvQSNhvrzsMerDaJSQJ6jDvApCCiuaE7XCol" TargetMode="External"/><Relationship Id="rId2717" Type="http://schemas.openxmlformats.org/officeDocument/2006/relationships/hyperlink" Target="https://www.facebook.com/wilbert.gadayan" TargetMode="External"/><Relationship Id="rId1319" Type="http://schemas.openxmlformats.org/officeDocument/2006/relationships/hyperlink" Target="https://www.facebook.com/BimBirimBimBim" TargetMode="External"/><Relationship Id="rId1733" Type="http://schemas.openxmlformats.org/officeDocument/2006/relationships/hyperlink" Target="https://www.facebook.com/jean.salmorin.731" TargetMode="External"/><Relationship Id="rId4889" Type="http://schemas.openxmlformats.org/officeDocument/2006/relationships/hyperlink" Target="https://www.facebook.com/watch/live/?ref=watch_permalink&amp;v=923735834984653" TargetMode="External"/><Relationship Id="rId25" Type="http://schemas.openxmlformats.org/officeDocument/2006/relationships/hyperlink" Target="https://www.facebook.com/rdsarmiento1" TargetMode="External"/><Relationship Id="rId1800" Type="http://schemas.openxmlformats.org/officeDocument/2006/relationships/hyperlink" Target="https://www.facebook.com/rapplerdotcom/photos/a.317154781638645/5596043783749692/" TargetMode="External"/><Relationship Id="rId4956" Type="http://schemas.openxmlformats.org/officeDocument/2006/relationships/hyperlink" Target="https://www.facebook.com/melinda.santelices" TargetMode="External"/><Relationship Id="rId3558" Type="http://schemas.openxmlformats.org/officeDocument/2006/relationships/hyperlink" Target="https://www.facebook.com/rapplerdotcom/photos/a.317154781638645/5595372260483511/" TargetMode="External"/><Relationship Id="rId3972" Type="http://schemas.openxmlformats.org/officeDocument/2006/relationships/hyperlink" Target="https://www.facebook.com/rapplerdotcom/posts/pfbid0dyWpzxim3h4Z2SYriGakwQw85p7BCAgct7KU5EiMX1bmmgNHDD8nmES8rjrADsrPl" TargetMode="External"/><Relationship Id="rId4609" Type="http://schemas.openxmlformats.org/officeDocument/2006/relationships/hyperlink" Target="https://www.facebook.com/watch/live/?ref=watch_permalink&amp;v=923735834984653" TargetMode="External"/><Relationship Id="rId479" Type="http://schemas.openxmlformats.org/officeDocument/2006/relationships/hyperlink" Target="https://www.facebook.com/rapplerdotcom/photos/a.317154781638645/5598220220198715/" TargetMode="External"/><Relationship Id="rId893" Type="http://schemas.openxmlformats.org/officeDocument/2006/relationships/hyperlink" Target="https://www.facebook.com/nextnehszph" TargetMode="External"/><Relationship Id="rId2574" Type="http://schemas.openxmlformats.org/officeDocument/2006/relationships/hyperlink" Target="https://www.facebook.com/rapplerdotcom/photos/a.317154781638645/5595733810447356/" TargetMode="External"/><Relationship Id="rId3625" Type="http://schemas.openxmlformats.org/officeDocument/2006/relationships/hyperlink" Target="https://www.facebook.com/dez.delmundosamson" TargetMode="External"/><Relationship Id="rId6031" Type="http://schemas.openxmlformats.org/officeDocument/2006/relationships/hyperlink" Target="https://www.facebook.com/rapplerdotcom/photos/a.317154781638645/5594359700584767/" TargetMode="External"/><Relationship Id="rId546" Type="http://schemas.openxmlformats.org/officeDocument/2006/relationships/hyperlink" Target="https://www.facebook.com/rapplerdotcom/photos/a.317154781638645/5597874143566656" TargetMode="External"/><Relationship Id="rId1176" Type="http://schemas.openxmlformats.org/officeDocument/2006/relationships/hyperlink" Target="https://www.facebook.com/rapplerdotcom/posts/pfbid02dNgAR64VTtp94Rus4o9MNbU55E2H9Wp7KMKzJGkk6u4UxRyHU8j2pPpwa5iwGcD3l" TargetMode="External"/><Relationship Id="rId2227" Type="http://schemas.openxmlformats.org/officeDocument/2006/relationships/hyperlink" Target="https://www.facebook.com/joelcueno30" TargetMode="External"/><Relationship Id="rId960" Type="http://schemas.openxmlformats.org/officeDocument/2006/relationships/hyperlink" Target="https://www.facebook.com/rapplerdotcom/photos/a.317154781638645/5597592673594803/" TargetMode="External"/><Relationship Id="rId1243" Type="http://schemas.openxmlformats.org/officeDocument/2006/relationships/hyperlink" Target="https://www.facebook.com/rey.santos.1426876" TargetMode="External"/><Relationship Id="rId1590" Type="http://schemas.openxmlformats.org/officeDocument/2006/relationships/hyperlink" Target="https://www.facebook.com/rapplerdotcom/posts/pfbid02AsSA4LQqjQ2Y8SVathQmtduoE3fhoGvQSNhvrzsMerDaJSQJ6jDvApCCiuaE7XCol" TargetMode="External"/><Relationship Id="rId2641" Type="http://schemas.openxmlformats.org/officeDocument/2006/relationships/hyperlink" Target="https://www.facebook.com/mariano.josh99" TargetMode="External"/><Relationship Id="rId4399" Type="http://schemas.openxmlformats.org/officeDocument/2006/relationships/hyperlink" Target="https://www.facebook.com/rapplerdotcom/photos/a.317154781638645/5594954703858600/" TargetMode="External"/><Relationship Id="rId5797" Type="http://schemas.openxmlformats.org/officeDocument/2006/relationships/hyperlink" Target="https://www.facebook.com/rapplerdotcom/photos/a.317154781638645/5594453700575367/" TargetMode="External"/><Relationship Id="rId613" Type="http://schemas.openxmlformats.org/officeDocument/2006/relationships/hyperlink" Target="https://www.facebook.com/F16FalconV" TargetMode="External"/><Relationship Id="rId5864" Type="http://schemas.openxmlformats.org/officeDocument/2006/relationships/hyperlink" Target="https://www.facebook.com/santiago.meneses.31542" TargetMode="External"/><Relationship Id="rId1310" Type="http://schemas.openxmlformats.org/officeDocument/2006/relationships/hyperlink" Target="https://www.facebook.com/rapplerdotcom/photos/a.317154781638645/5597116770309060/" TargetMode="External"/><Relationship Id="rId4466" Type="http://schemas.openxmlformats.org/officeDocument/2006/relationships/hyperlink" Target="https://www.facebook.com/raks.vppablo" TargetMode="External"/><Relationship Id="rId4880" Type="http://schemas.openxmlformats.org/officeDocument/2006/relationships/hyperlink" Target="https://www.facebook.com/ricardo.malonzo" TargetMode="External"/><Relationship Id="rId5517" Type="http://schemas.openxmlformats.org/officeDocument/2006/relationships/hyperlink" Target="https://www.facebook.com/rapplerdotcom/photos/a.317154781638645/5594453700575367/" TargetMode="External"/><Relationship Id="rId5931" Type="http://schemas.openxmlformats.org/officeDocument/2006/relationships/hyperlink" Target="https://www.facebook.com/rapplerdotcom/photos/a.317154781638645/5594359700584767/" TargetMode="External"/><Relationship Id="rId3068" Type="http://schemas.openxmlformats.org/officeDocument/2006/relationships/hyperlink" Target="https://www.facebook.com/watch/live/?ref=watch_permalink&amp;v=360307549312104" TargetMode="External"/><Relationship Id="rId3482" Type="http://schemas.openxmlformats.org/officeDocument/2006/relationships/hyperlink" Target="https://www.facebook.com/rapplerdotcom/photos/a.317154781638645/5595372260483511/" TargetMode="External"/><Relationship Id="rId4119" Type="http://schemas.openxmlformats.org/officeDocument/2006/relationships/hyperlink" Target="https://www.facebook.com/sethestoy.montero" TargetMode="External"/><Relationship Id="rId4533" Type="http://schemas.openxmlformats.org/officeDocument/2006/relationships/hyperlink" Target="https://www.facebook.com/rapplerdotcom/photos/a.317154781638645/5594954703858600/" TargetMode="External"/><Relationship Id="rId2084" Type="http://schemas.openxmlformats.org/officeDocument/2006/relationships/hyperlink" Target="https://www.facebook.com/rapplerdotcom/photos/a.317154781638645/5596022273751843/" TargetMode="External"/><Relationship Id="rId3135" Type="http://schemas.openxmlformats.org/officeDocument/2006/relationships/hyperlink" Target="https://www.facebook.com/madonna.bagalayfulgar.3" TargetMode="External"/><Relationship Id="rId4600" Type="http://schemas.openxmlformats.org/officeDocument/2006/relationships/hyperlink" Target="https://www.facebook.com/rsvillarama" TargetMode="External"/><Relationship Id="rId470" Type="http://schemas.openxmlformats.org/officeDocument/2006/relationships/hyperlink" Target="https://www.facebook.com/janna.bahinteng" TargetMode="External"/><Relationship Id="rId2151" Type="http://schemas.openxmlformats.org/officeDocument/2006/relationships/hyperlink" Target="https://www.facebook.com/joseph.aniversario.9" TargetMode="External"/><Relationship Id="rId3202" Type="http://schemas.openxmlformats.org/officeDocument/2006/relationships/hyperlink" Target="https://www.facebook.com/watch/live/?ref=watch_permalink&amp;v=332681445500650" TargetMode="External"/><Relationship Id="rId123" Type="http://schemas.openxmlformats.org/officeDocument/2006/relationships/hyperlink" Target="https://www.facebook.com/naning.palajorin" TargetMode="External"/><Relationship Id="rId5374" Type="http://schemas.openxmlformats.org/officeDocument/2006/relationships/hyperlink" Target="https://www.facebook.com/pehyni" TargetMode="External"/><Relationship Id="rId2968" Type="http://schemas.openxmlformats.org/officeDocument/2006/relationships/hyperlink" Target="https://www.facebook.com/watch/live/?ref=watch_permalink&amp;v=360307549312104" TargetMode="External"/><Relationship Id="rId5027" Type="http://schemas.openxmlformats.org/officeDocument/2006/relationships/hyperlink" Target="https://www.facebook.com/rapplerdotcom/posts/pfbid02BCyyacWVuuu1bwX5PwYK8PvqDGTANxekqEMy7qyV9vMmaGKTbC8sBf7i5j3Wbx9Ll" TargetMode="External"/><Relationship Id="rId1984" Type="http://schemas.openxmlformats.org/officeDocument/2006/relationships/hyperlink" Target="https://www.facebook.com/rapplerdotcom/photos/a.317154781638645/5596022273751843/" TargetMode="External"/><Relationship Id="rId4390" Type="http://schemas.openxmlformats.org/officeDocument/2006/relationships/hyperlink" Target="https://www.facebook.com/ester.barcelon" TargetMode="External"/><Relationship Id="rId5441" Type="http://schemas.openxmlformats.org/officeDocument/2006/relationships/hyperlink" Target="https://www.facebook.com/watch/live/?ref=watch_permalink&amp;v=312865720941798" TargetMode="External"/><Relationship Id="rId1637" Type="http://schemas.openxmlformats.org/officeDocument/2006/relationships/hyperlink" Target="https://www.facebook.com/0menP0" TargetMode="External"/><Relationship Id="rId4043" Type="http://schemas.openxmlformats.org/officeDocument/2006/relationships/hyperlink" Target="https://www.facebook.com/annejhov" TargetMode="External"/><Relationship Id="rId1704" Type="http://schemas.openxmlformats.org/officeDocument/2006/relationships/hyperlink" Target="https://www.facebook.com/rapplerdotcom/photos/a.317154781638645/5596043783749692/" TargetMode="External"/><Relationship Id="rId4110" Type="http://schemas.openxmlformats.org/officeDocument/2006/relationships/hyperlink" Target="https://www.facebook.com/rapplerdotcom/photos/a.317154781638645/5594954703858600/" TargetMode="External"/><Relationship Id="rId797" Type="http://schemas.openxmlformats.org/officeDocument/2006/relationships/hyperlink" Target="https://www.facebook.com/marizz.monzoncordova" TargetMode="External"/><Relationship Id="rId2478" Type="http://schemas.openxmlformats.org/officeDocument/2006/relationships/hyperlink" Target="https://www.facebook.com/rapplerdotcom/posts/pfbid0TYP6syjYwznxJKdhWv9YMaXK9NvsSEhQ2cyyCQCPMvGapWXrQBHehywgT156wqNPl" TargetMode="External"/><Relationship Id="rId3876" Type="http://schemas.openxmlformats.org/officeDocument/2006/relationships/hyperlink" Target="https://www.facebook.com/rapplerdotcom/posts/pfbid0dyWpzxim3h4Z2SYriGakwQw85p7BCAgct7KU5EiMX1bmmgNHDD8nmES8rjrADsrPl" TargetMode="External"/><Relationship Id="rId4927" Type="http://schemas.openxmlformats.org/officeDocument/2006/relationships/hyperlink" Target="https://www.facebook.com/rapplerdotcom/posts/pfbid02BCyyacWVuuu1bwX5PwYK8PvqDGTANxekqEMy7qyV9vMmaGKTbC8sBf7i5j3Wbx9Ll" TargetMode="External"/><Relationship Id="rId2892" Type="http://schemas.openxmlformats.org/officeDocument/2006/relationships/hyperlink" Target="https://www.facebook.com/watch/live/?ref=watch_permalink&amp;v=360307549312104" TargetMode="External"/><Relationship Id="rId3529" Type="http://schemas.openxmlformats.org/officeDocument/2006/relationships/hyperlink" Target="https://www.facebook.com/ed.saenz" TargetMode="External"/><Relationship Id="rId3943" Type="http://schemas.openxmlformats.org/officeDocument/2006/relationships/hyperlink" Target="https://www.facebook.com/Valladoresjude1988" TargetMode="External"/><Relationship Id="rId6002" Type="http://schemas.openxmlformats.org/officeDocument/2006/relationships/hyperlink" Target="https://www.facebook.com/roberto.jabon.9" TargetMode="External"/><Relationship Id="rId864" Type="http://schemas.openxmlformats.org/officeDocument/2006/relationships/hyperlink" Target="https://www.facebook.com/rapplerdotcom/photos/a.317154781638645/5597612220259515/" TargetMode="External"/><Relationship Id="rId1494" Type="http://schemas.openxmlformats.org/officeDocument/2006/relationships/hyperlink" Target="https://www.facebook.com/rapplerdotcom/photos/a.317154781638645/5597116770309060/" TargetMode="External"/><Relationship Id="rId2545" Type="http://schemas.openxmlformats.org/officeDocument/2006/relationships/hyperlink" Target="https://www.facebook.com/chelle.alvarez.581" TargetMode="External"/><Relationship Id="rId517" Type="http://schemas.openxmlformats.org/officeDocument/2006/relationships/hyperlink" Target="https://www.facebook.com/rapplerdotcom/photos/a.317154781638645/5598220220198715/" TargetMode="External"/><Relationship Id="rId931" Type="http://schemas.openxmlformats.org/officeDocument/2006/relationships/hyperlink" Target="https://www.facebook.com/jaredhdown" TargetMode="External"/><Relationship Id="rId1147" Type="http://schemas.openxmlformats.org/officeDocument/2006/relationships/hyperlink" Target="https://www.facebook.com/khaylifatakeru" TargetMode="External"/><Relationship Id="rId1561" Type="http://schemas.openxmlformats.org/officeDocument/2006/relationships/hyperlink" Target="https://www.facebook.com/manchelle01" TargetMode="External"/><Relationship Id="rId2612" Type="http://schemas.openxmlformats.org/officeDocument/2006/relationships/hyperlink" Target="https://www.facebook.com/rapplerdotcom/photos/a.317154781638645/5595733810447356/" TargetMode="External"/><Relationship Id="rId5768" Type="http://schemas.openxmlformats.org/officeDocument/2006/relationships/hyperlink" Target="https://www.facebook.com/narciso.santos.980967" TargetMode="External"/><Relationship Id="rId1214" Type="http://schemas.openxmlformats.org/officeDocument/2006/relationships/hyperlink" Target="https://www.facebook.com/rapplerdotcom/posts/pfbid023goEfA6e1ABSWYJFy8fQ5LFWDv4QTSTmAfzySGtMSpy12iqywB2MUZjiZ8GjCxrGl" TargetMode="External"/><Relationship Id="rId4784" Type="http://schemas.openxmlformats.org/officeDocument/2006/relationships/hyperlink" Target="https://www.facebook.com/emelisa.bautista" TargetMode="External"/><Relationship Id="rId5835" Type="http://schemas.openxmlformats.org/officeDocument/2006/relationships/hyperlink" Target="https://www.facebook.com/rapplerdotcom/photos/a.317154781638645/5594453700575367/" TargetMode="External"/><Relationship Id="rId3386" Type="http://schemas.openxmlformats.org/officeDocument/2006/relationships/hyperlink" Target="https://www.facebook.com/rapplerdotcom/photos/a.317154781638645/5595372260483511/" TargetMode="External"/><Relationship Id="rId4437" Type="http://schemas.openxmlformats.org/officeDocument/2006/relationships/hyperlink" Target="https://www.facebook.com/rapplerdotcom/photos/a.317154781638645/5594954703858600/" TargetMode="External"/><Relationship Id="rId3039" Type="http://schemas.openxmlformats.org/officeDocument/2006/relationships/hyperlink" Target="https://www.facebook.com/cora.ropeta" TargetMode="External"/><Relationship Id="rId3453" Type="http://schemas.openxmlformats.org/officeDocument/2006/relationships/hyperlink" Target="https://www.facebook.com/profile.php?id=100008200051155" TargetMode="External"/><Relationship Id="rId4851" Type="http://schemas.openxmlformats.org/officeDocument/2006/relationships/hyperlink" Target="https://www.facebook.com/watch/live/?ref=watch_permalink&amp;v=923735834984653" TargetMode="External"/><Relationship Id="rId5902" Type="http://schemas.openxmlformats.org/officeDocument/2006/relationships/hyperlink" Target="https://www.facebook.com/edilberto.fermil.9" TargetMode="External"/><Relationship Id="rId374" Type="http://schemas.openxmlformats.org/officeDocument/2006/relationships/hyperlink" Target="https://www.facebook.com/RomelManugidLorilla07" TargetMode="External"/><Relationship Id="rId2055" Type="http://schemas.openxmlformats.org/officeDocument/2006/relationships/hyperlink" Target="https://www.facebook.com/winet.bautista" TargetMode="External"/><Relationship Id="rId3106" Type="http://schemas.openxmlformats.org/officeDocument/2006/relationships/hyperlink" Target="https://www.facebook.com/watch/live/?ref=watch_permalink&amp;v=360307549312104" TargetMode="External"/><Relationship Id="rId4504" Type="http://schemas.openxmlformats.org/officeDocument/2006/relationships/hyperlink" Target="https://www.facebook.com/letecia.gonzales.31" TargetMode="External"/><Relationship Id="rId3520" Type="http://schemas.openxmlformats.org/officeDocument/2006/relationships/hyperlink" Target="https://www.facebook.com/rapplerdotcom/photos/a.317154781638645/5595372260483511/" TargetMode="External"/><Relationship Id="rId441" Type="http://schemas.openxmlformats.org/officeDocument/2006/relationships/hyperlink" Target="https://www.facebook.com/rapplerdotcom/photos/a.317154781638645/5598220220198715/" TargetMode="External"/><Relationship Id="rId1071" Type="http://schemas.openxmlformats.org/officeDocument/2006/relationships/hyperlink" Target="https://www.facebook.com/ed.tangarcia" TargetMode="External"/><Relationship Id="rId2122" Type="http://schemas.openxmlformats.org/officeDocument/2006/relationships/hyperlink" Target="https://www.facebook.com/rapplerdotcom/photos/a.317154781638645/5596022273751843/" TargetMode="External"/><Relationship Id="rId5278" Type="http://schemas.openxmlformats.org/officeDocument/2006/relationships/hyperlink" Target="https://www.facebook.com/profile.php?id=100065857924899" TargetMode="External"/><Relationship Id="rId5692" Type="http://schemas.openxmlformats.org/officeDocument/2006/relationships/hyperlink" Target="https://www.facebook.com/Babe.Serrano" TargetMode="External"/><Relationship Id="rId1888" Type="http://schemas.openxmlformats.org/officeDocument/2006/relationships/hyperlink" Target="https://www.facebook.com/rapplerdotcom/photos/a.317154781638645/5596043783749692/" TargetMode="External"/><Relationship Id="rId2939" Type="http://schemas.openxmlformats.org/officeDocument/2006/relationships/hyperlink" Target="https://www.facebook.com/0331Dva" TargetMode="External"/><Relationship Id="rId4294" Type="http://schemas.openxmlformats.org/officeDocument/2006/relationships/hyperlink" Target="https://www.facebook.com/profile.php?id=100005805521954" TargetMode="External"/><Relationship Id="rId5345" Type="http://schemas.openxmlformats.org/officeDocument/2006/relationships/hyperlink" Target="https://www.facebook.com/rapplerdotcom/photos/a.317154781638645/5594264657260938/" TargetMode="External"/><Relationship Id="rId4361" Type="http://schemas.openxmlformats.org/officeDocument/2006/relationships/hyperlink" Target="https://www.facebook.com/rapplerdotcom/photos/a.317154781638645/5594954703858600/" TargetMode="External"/><Relationship Id="rId5412" Type="http://schemas.openxmlformats.org/officeDocument/2006/relationships/hyperlink" Target="https://www.facebook.com/rhexiesolita" TargetMode="External"/><Relationship Id="rId1955" Type="http://schemas.openxmlformats.org/officeDocument/2006/relationships/hyperlink" Target="https://www.facebook.com/luisxmaaliw" TargetMode="External"/><Relationship Id="rId4014" Type="http://schemas.openxmlformats.org/officeDocument/2006/relationships/hyperlink" Target="https://www.facebook.com/rapplerdotcom/posts/pfbid02kmyrDmvYtHxz51VdR228sTCyvbHYDrwL4TgeoVAenoprSKkWhUFLyRmAuKBuGtXXl" TargetMode="External"/><Relationship Id="rId1608" Type="http://schemas.openxmlformats.org/officeDocument/2006/relationships/hyperlink" Target="https://www.facebook.com/rapplerdotcom/posts/pfbid02AsSA4LQqjQ2Y8SVathQmtduoE3fhoGvQSNhvrzsMerDaJSQJ6jDvApCCiuaE7XCol" TargetMode="External"/><Relationship Id="rId3030" Type="http://schemas.openxmlformats.org/officeDocument/2006/relationships/hyperlink" Target="https://www.facebook.com/watch/live/?ref=watch_permalink&amp;v=360307549312104" TargetMode="External"/><Relationship Id="rId6186" Type="http://schemas.openxmlformats.org/officeDocument/2006/relationships/hyperlink" Target="https://www.facebook.com/profile.php?id=100079559509251" TargetMode="External"/><Relationship Id="rId2796" Type="http://schemas.openxmlformats.org/officeDocument/2006/relationships/hyperlink" Target="https://www.facebook.com/watch/?v=570590637273208" TargetMode="External"/><Relationship Id="rId3847" Type="http://schemas.openxmlformats.org/officeDocument/2006/relationships/hyperlink" Target="https://www.facebook.com/TEJAYYYY.ihsakat" TargetMode="External"/><Relationship Id="rId768" Type="http://schemas.openxmlformats.org/officeDocument/2006/relationships/hyperlink" Target="https://www.facebook.com/rapplerdotcom/photos/a.317154781638645/5597612220259515/" TargetMode="External"/><Relationship Id="rId1398" Type="http://schemas.openxmlformats.org/officeDocument/2006/relationships/hyperlink" Target="https://www.facebook.com/rapplerdotcom/photos/a.317154781638645/5597116770309060/" TargetMode="External"/><Relationship Id="rId2449" Type="http://schemas.openxmlformats.org/officeDocument/2006/relationships/hyperlink" Target="https://www.facebook.com/babeleth.inigo" TargetMode="External"/><Relationship Id="rId2863" Type="http://schemas.openxmlformats.org/officeDocument/2006/relationships/hyperlink" Target="https://www.facebook.com/melyn.eridao" TargetMode="External"/><Relationship Id="rId3914" Type="http://schemas.openxmlformats.org/officeDocument/2006/relationships/hyperlink" Target="https://www.facebook.com/rapplerdotcom/posts/pfbid0dyWpzxim3h4Z2SYriGakwQw85p7BCAgct7KU5EiMX1bmmgNHDD8nmES8rjrADsrPl" TargetMode="External"/><Relationship Id="rId835" Type="http://schemas.openxmlformats.org/officeDocument/2006/relationships/hyperlink" Target="https://www.facebook.com/matotubo" TargetMode="External"/><Relationship Id="rId1465" Type="http://schemas.openxmlformats.org/officeDocument/2006/relationships/hyperlink" Target="https://www.facebook.com/mech.bracero" TargetMode="External"/><Relationship Id="rId2516" Type="http://schemas.openxmlformats.org/officeDocument/2006/relationships/hyperlink" Target="https://www.facebook.com/rapplerdotcom/posts/pfbid0TYP6syjYwznxJKdhWv9YMaXK9NvsSEhQ2cyyCQCPMvGapWXrQBHehywgT156wqNPl" TargetMode="External"/><Relationship Id="rId1118" Type="http://schemas.openxmlformats.org/officeDocument/2006/relationships/hyperlink" Target="https://www.facebook.com/rapplerdotcom/posts/pfbid02dNgAR64VTtp94Rus4o9MNbU55E2H9Wp7KMKzJGkk6u4UxRyHU8j2pPpwa5iwGcD3l" TargetMode="External"/><Relationship Id="rId1532" Type="http://schemas.openxmlformats.org/officeDocument/2006/relationships/hyperlink" Target="https://www.facebook.com/rapplerdotcom/photos/a.317154781638645/5597116770309060/" TargetMode="External"/><Relationship Id="rId2930" Type="http://schemas.openxmlformats.org/officeDocument/2006/relationships/hyperlink" Target="https://www.facebook.com/watch/live/?ref=watch_permalink&amp;v=360307549312104" TargetMode="External"/><Relationship Id="rId4688" Type="http://schemas.openxmlformats.org/officeDocument/2006/relationships/hyperlink" Target="https://www.facebook.com/choba.dunato" TargetMode="External"/><Relationship Id="rId902" Type="http://schemas.openxmlformats.org/officeDocument/2006/relationships/hyperlink" Target="https://www.facebook.com/rapplerdotcom/photos/a.317154781638645/5597592673594803/" TargetMode="External"/><Relationship Id="rId5739" Type="http://schemas.openxmlformats.org/officeDocument/2006/relationships/hyperlink" Target="https://www.facebook.com/rapplerdotcom/photos/a.317154781638645/5594453700575367/" TargetMode="External"/><Relationship Id="rId4755" Type="http://schemas.openxmlformats.org/officeDocument/2006/relationships/hyperlink" Target="https://www.facebook.com/watch/live/?ref=watch_permalink&amp;v=923735834984653" TargetMode="External"/><Relationship Id="rId5806" Type="http://schemas.openxmlformats.org/officeDocument/2006/relationships/hyperlink" Target="https://www.facebook.com/johannis.dihayco" TargetMode="External"/><Relationship Id="rId278" Type="http://schemas.openxmlformats.org/officeDocument/2006/relationships/hyperlink" Target="https://www.facebook.com/cielo.dupayamendiola" TargetMode="External"/><Relationship Id="rId3357" Type="http://schemas.openxmlformats.org/officeDocument/2006/relationships/hyperlink" Target="https://www.facebook.com/fcyrylguray07" TargetMode="External"/><Relationship Id="rId3771" Type="http://schemas.openxmlformats.org/officeDocument/2006/relationships/hyperlink" Target="https://www.facebook.com/armando.guevarra.90" TargetMode="External"/><Relationship Id="rId4408" Type="http://schemas.openxmlformats.org/officeDocument/2006/relationships/hyperlink" Target="https://www.facebook.com/myrna.gipulan" TargetMode="External"/><Relationship Id="rId4822" Type="http://schemas.openxmlformats.org/officeDocument/2006/relationships/hyperlink" Target="https://www.facebook.com/emerald.pieris" TargetMode="External"/><Relationship Id="rId692" Type="http://schemas.openxmlformats.org/officeDocument/2006/relationships/hyperlink" Target="https://www.facebook.com/rapplerdotcom/photos/a.317154781638645/5597612220259515/" TargetMode="External"/><Relationship Id="rId2373" Type="http://schemas.openxmlformats.org/officeDocument/2006/relationships/hyperlink" Target="https://www.facebook.com/juliette.faith" TargetMode="External"/><Relationship Id="rId3424" Type="http://schemas.openxmlformats.org/officeDocument/2006/relationships/hyperlink" Target="https://www.facebook.com/rapplerdotcom/photos/a.317154781638645/5595372260483511/" TargetMode="External"/><Relationship Id="rId345" Type="http://schemas.openxmlformats.org/officeDocument/2006/relationships/hyperlink" Target="https://www.facebook.com/rapplerdotcom/photos/a.317154781638645/5598220220198715/" TargetMode="External"/><Relationship Id="rId2026" Type="http://schemas.openxmlformats.org/officeDocument/2006/relationships/hyperlink" Target="https://www.facebook.com/rapplerdotcom/photos/a.317154781638645/5596022273751843/" TargetMode="External"/><Relationship Id="rId2440" Type="http://schemas.openxmlformats.org/officeDocument/2006/relationships/hyperlink" Target="https://www.facebook.com/rapplerdotcom/posts/pfbid0TYP6syjYwznxJKdhWv9YMaXK9NvsSEhQ2cyyCQCPMvGapWXrQBHehywgT156wqNPl" TargetMode="External"/><Relationship Id="rId5596" Type="http://schemas.openxmlformats.org/officeDocument/2006/relationships/hyperlink" Target="https://www.facebook.com/carmi.paulino1" TargetMode="External"/><Relationship Id="rId412" Type="http://schemas.openxmlformats.org/officeDocument/2006/relationships/hyperlink" Target="https://www.facebook.com/eduardo.arboleda.1257" TargetMode="External"/><Relationship Id="rId1042" Type="http://schemas.openxmlformats.org/officeDocument/2006/relationships/hyperlink" Target="https://www.facebook.com/rapplerdotcom/photos/a.317154781638645/5597592673594803/" TargetMode="External"/><Relationship Id="rId4198" Type="http://schemas.openxmlformats.org/officeDocument/2006/relationships/hyperlink" Target="https://www.facebook.com/rapplerdotcom/photos/a.317154781638645/5594954703858600/" TargetMode="External"/><Relationship Id="rId5249" Type="http://schemas.openxmlformats.org/officeDocument/2006/relationships/hyperlink" Target="https://www.facebook.com/rapplerdotcom/photos/a.317154781638645/5594264657260938/" TargetMode="External"/><Relationship Id="rId5663" Type="http://schemas.openxmlformats.org/officeDocument/2006/relationships/hyperlink" Target="https://www.facebook.com/rapplerdotcom/photos/a.317154781638645/5594453700575367/" TargetMode="External"/><Relationship Id="rId4265" Type="http://schemas.openxmlformats.org/officeDocument/2006/relationships/hyperlink" Target="https://www.facebook.com/rapplerdotcom/photos/a.317154781638645/5594954703858600/" TargetMode="External"/><Relationship Id="rId5316" Type="http://schemas.openxmlformats.org/officeDocument/2006/relationships/hyperlink" Target="https://www.facebook.com/profile.php?id=100077657222039" TargetMode="External"/><Relationship Id="rId1859" Type="http://schemas.openxmlformats.org/officeDocument/2006/relationships/hyperlink" Target="https://www.facebook.com/ronaldace.inaldo" TargetMode="External"/><Relationship Id="rId5730" Type="http://schemas.openxmlformats.org/officeDocument/2006/relationships/hyperlink" Target="https://www.facebook.com/melbie.carpentero.7" TargetMode="External"/><Relationship Id="rId1926" Type="http://schemas.openxmlformats.org/officeDocument/2006/relationships/hyperlink" Target="https://www.facebook.com/rapplerdotcom/photos/a.317154781638645/5596043783749692/" TargetMode="External"/><Relationship Id="rId3281" Type="http://schemas.openxmlformats.org/officeDocument/2006/relationships/hyperlink" Target="https://www.facebook.com/profile.php?id=100072652930837" TargetMode="External"/><Relationship Id="rId4332" Type="http://schemas.openxmlformats.org/officeDocument/2006/relationships/hyperlink" Target="https://www.facebook.com/sayunara.lisura" TargetMode="External"/><Relationship Id="rId3001" Type="http://schemas.openxmlformats.org/officeDocument/2006/relationships/hyperlink" Target="https://www.facebook.com/jowel.geroy" TargetMode="External"/><Relationship Id="rId6157" Type="http://schemas.openxmlformats.org/officeDocument/2006/relationships/hyperlink" Target="https://www.facebook.com/rapplerdotcom/posts/pfbid0JJW97xH5fR5tDSLUQ8AnEgkPMU9Aigs9CgcNy2Q7AzJY4R8mRoicBgu3PLdqpf2Tl" TargetMode="External"/><Relationship Id="rId2767" Type="http://schemas.openxmlformats.org/officeDocument/2006/relationships/hyperlink" Target="https://www.facebook.com/minato.batousai" TargetMode="External"/><Relationship Id="rId5173" Type="http://schemas.openxmlformats.org/officeDocument/2006/relationships/hyperlink" Target="https://www.facebook.com/rapplerdotcom/photos/a.317154781638645/5594264657260938/" TargetMode="External"/><Relationship Id="rId6224" Type="http://schemas.openxmlformats.org/officeDocument/2006/relationships/hyperlink" Target="https://www.facebook.com/sumalpong.juwelsaberon" TargetMode="External"/><Relationship Id="rId739" Type="http://schemas.openxmlformats.org/officeDocument/2006/relationships/hyperlink" Target="https://www.facebook.com/hector.t.padilla" TargetMode="External"/><Relationship Id="rId1369" Type="http://schemas.openxmlformats.org/officeDocument/2006/relationships/hyperlink" Target="https://www.facebook.com/profile.php?id=100070135061875" TargetMode="External"/><Relationship Id="rId3818" Type="http://schemas.openxmlformats.org/officeDocument/2006/relationships/hyperlink" Target="https://www.facebook.com/rapplerdotcom/posts/pfbid0dyWpzxim3h4Z2SYriGakwQw85p7BCAgct7KU5EiMX1bmmgNHDD8nmES8rjrADsrPl" TargetMode="External"/><Relationship Id="rId5240" Type="http://schemas.openxmlformats.org/officeDocument/2006/relationships/hyperlink" Target="https://www.facebook.com/gectojennieca" TargetMode="External"/><Relationship Id="rId1783" Type="http://schemas.openxmlformats.org/officeDocument/2006/relationships/hyperlink" Target="https://www.facebook.com/profile.php?id=100075991434197" TargetMode="External"/><Relationship Id="rId2834" Type="http://schemas.openxmlformats.org/officeDocument/2006/relationships/hyperlink" Target="https://www.facebook.com/watch/?v=570590637273208" TargetMode="External"/><Relationship Id="rId75" Type="http://schemas.openxmlformats.org/officeDocument/2006/relationships/hyperlink" Target="https://www.facebook.com/rey.pilapil.940" TargetMode="External"/><Relationship Id="rId806" Type="http://schemas.openxmlformats.org/officeDocument/2006/relationships/hyperlink" Target="https://www.facebook.com/rapplerdotcom/photos/a.317154781638645/5597612220259515/" TargetMode="External"/><Relationship Id="rId1436" Type="http://schemas.openxmlformats.org/officeDocument/2006/relationships/hyperlink" Target="https://www.facebook.com/rapplerdotcom/photos/a.317154781638645/5597116770309060/" TargetMode="External"/><Relationship Id="rId1850" Type="http://schemas.openxmlformats.org/officeDocument/2006/relationships/hyperlink" Target="https://www.facebook.com/rapplerdotcom/photos/a.317154781638645/5596043783749692/" TargetMode="External"/><Relationship Id="rId2901" Type="http://schemas.openxmlformats.org/officeDocument/2006/relationships/hyperlink" Target="https://www.facebook.com/carizamae.mendoza" TargetMode="External"/><Relationship Id="rId1503" Type="http://schemas.openxmlformats.org/officeDocument/2006/relationships/hyperlink" Target="https://www.facebook.com/kurugaligala" TargetMode="External"/><Relationship Id="rId4659" Type="http://schemas.openxmlformats.org/officeDocument/2006/relationships/hyperlink" Target="https://www.facebook.com/watch/live/?ref=watch_permalink&amp;v=923735834984653" TargetMode="External"/><Relationship Id="rId3675" Type="http://schemas.openxmlformats.org/officeDocument/2006/relationships/hyperlink" Target="https://www.facebook.com/alma.deguzman.5891" TargetMode="External"/><Relationship Id="rId4726" Type="http://schemas.openxmlformats.org/officeDocument/2006/relationships/hyperlink" Target="https://www.facebook.com/jaime.gacusan.12" TargetMode="External"/><Relationship Id="rId6081" Type="http://schemas.openxmlformats.org/officeDocument/2006/relationships/hyperlink" Target="https://www.facebook.com/rapplerdotcom/photos/a.317154781638645/5594359700584767/" TargetMode="External"/><Relationship Id="rId596" Type="http://schemas.openxmlformats.org/officeDocument/2006/relationships/hyperlink" Target="https://www.facebook.com/rapplerdotcom/photos/a.317154781638645/5597874143566656" TargetMode="External"/><Relationship Id="rId2277" Type="http://schemas.openxmlformats.org/officeDocument/2006/relationships/hyperlink" Target="https://www.facebook.com/Agtakhanisla14" TargetMode="External"/><Relationship Id="rId2691" Type="http://schemas.openxmlformats.org/officeDocument/2006/relationships/hyperlink" Target="https://www.facebook.com/profile.php?id=100071816821889" TargetMode="External"/><Relationship Id="rId3328" Type="http://schemas.openxmlformats.org/officeDocument/2006/relationships/hyperlink" Target="https://www.facebook.com/rapplerdotcom/photos/a.317154781638645/5595372260483511/" TargetMode="External"/><Relationship Id="rId3742" Type="http://schemas.openxmlformats.org/officeDocument/2006/relationships/hyperlink" Target="https://www.facebook.com/rapplerdotcom/photos/a.317154781638645/5595162900504447/" TargetMode="External"/><Relationship Id="rId249" Type="http://schemas.openxmlformats.org/officeDocument/2006/relationships/hyperlink" Target="https://www.facebook.com/rapplerdotcom/photos/a.317154781638645/5598220220198715/" TargetMode="External"/><Relationship Id="rId663" Type="http://schemas.openxmlformats.org/officeDocument/2006/relationships/hyperlink" Target="https://www.facebook.com/jeko.balaquidan" TargetMode="External"/><Relationship Id="rId1293" Type="http://schemas.openxmlformats.org/officeDocument/2006/relationships/hyperlink" Target="https://www.facebook.com/profile.php?id=100075281044190" TargetMode="External"/><Relationship Id="rId2344" Type="http://schemas.openxmlformats.org/officeDocument/2006/relationships/hyperlink" Target="https://www.facebook.com/rapplerdotcom/posts/pfbid0TYP6syjYwznxJKdhWv9YMaXK9NvsSEhQ2cyyCQCPMvGapWXrQBHehywgT156wqNPl" TargetMode="External"/><Relationship Id="rId316" Type="http://schemas.openxmlformats.org/officeDocument/2006/relationships/hyperlink" Target="https://www.facebook.com/amalia.ledesma.56" TargetMode="External"/><Relationship Id="rId730" Type="http://schemas.openxmlformats.org/officeDocument/2006/relationships/hyperlink" Target="https://www.facebook.com/rapplerdotcom/photos/a.317154781638645/5597612220259515/" TargetMode="External"/><Relationship Id="rId1013" Type="http://schemas.openxmlformats.org/officeDocument/2006/relationships/hyperlink" Target="https://www.facebook.com/erwin.aquino.5249349" TargetMode="External"/><Relationship Id="rId1360" Type="http://schemas.openxmlformats.org/officeDocument/2006/relationships/hyperlink" Target="https://www.facebook.com/rapplerdotcom/photos/a.317154781638645/5597116770309060/" TargetMode="External"/><Relationship Id="rId2411" Type="http://schemas.openxmlformats.org/officeDocument/2006/relationships/hyperlink" Target="https://www.facebook.com/AmyCoyocaMeracap" TargetMode="External"/><Relationship Id="rId4169" Type="http://schemas.openxmlformats.org/officeDocument/2006/relationships/hyperlink" Target="https://www.facebook.com/mcclain.lumiares" TargetMode="External"/><Relationship Id="rId5567" Type="http://schemas.openxmlformats.org/officeDocument/2006/relationships/hyperlink" Target="https://www.facebook.com/rapplerdotcom/photos/a.317154781638645/5594453700575367/" TargetMode="External"/><Relationship Id="rId5981" Type="http://schemas.openxmlformats.org/officeDocument/2006/relationships/hyperlink" Target="https://www.facebook.com/rapplerdotcom/photos/a.317154781638645/5594359700584767/" TargetMode="External"/><Relationship Id="rId4583" Type="http://schemas.openxmlformats.org/officeDocument/2006/relationships/hyperlink" Target="https://www.facebook.com/watch/live/?ref=watch_permalink&amp;v=923735834984653" TargetMode="External"/><Relationship Id="rId5634" Type="http://schemas.openxmlformats.org/officeDocument/2006/relationships/hyperlink" Target="https://www.facebook.com/RichestDad" TargetMode="External"/><Relationship Id="rId3185" Type="http://schemas.openxmlformats.org/officeDocument/2006/relationships/hyperlink" Target="https://www.facebook.com/profile.php?id=100011416980940" TargetMode="External"/><Relationship Id="rId4236" Type="http://schemas.openxmlformats.org/officeDocument/2006/relationships/hyperlink" Target="https://www.facebook.com/honivmonts" TargetMode="External"/><Relationship Id="rId4650" Type="http://schemas.openxmlformats.org/officeDocument/2006/relationships/hyperlink" Target="https://www.facebook.com/purita.johnsen.14" TargetMode="External"/><Relationship Id="rId5701" Type="http://schemas.openxmlformats.org/officeDocument/2006/relationships/hyperlink" Target="https://www.facebook.com/rapplerdotcom/photos/a.317154781638645/5594453700575367/" TargetMode="External"/><Relationship Id="rId3252" Type="http://schemas.openxmlformats.org/officeDocument/2006/relationships/hyperlink" Target="https://www.facebook.com/rapplerdotcom/posts/pfbid035u2RhZvcYSiCeymgBfXLoFoq87y2V8v81A9xDtyoKJgzTGtotsEEoj2bH7Zd4mtzl" TargetMode="External"/><Relationship Id="rId4303" Type="http://schemas.openxmlformats.org/officeDocument/2006/relationships/hyperlink" Target="https://www.facebook.com/rapplerdotcom/photos/a.317154781638645/5594954703858600/" TargetMode="External"/><Relationship Id="rId173" Type="http://schemas.openxmlformats.org/officeDocument/2006/relationships/hyperlink" Target="https://www.facebook.com/joseph.geraldo.1232" TargetMode="External"/><Relationship Id="rId240" Type="http://schemas.openxmlformats.org/officeDocument/2006/relationships/hyperlink" Target="https://www.facebook.com/profile.php?id=100070634495786" TargetMode="External"/><Relationship Id="rId5077" Type="http://schemas.openxmlformats.org/officeDocument/2006/relationships/hyperlink" Target="https://www.facebook.com/rapplerdotcom/posts/pfbid0231hbcbuKeQLDkPH8oZAdZbuU8MPPgRANx152V3xWpbjZ6EvfpohwQMvxHYAgrGPul" TargetMode="External"/><Relationship Id="rId6128" Type="http://schemas.openxmlformats.org/officeDocument/2006/relationships/hyperlink" Target="https://www.facebook.com/profile.php?id=100077170219530" TargetMode="External"/><Relationship Id="rId4093" Type="http://schemas.openxmlformats.org/officeDocument/2006/relationships/hyperlink" Target="https://www.facebook.com/liv.viloria18" TargetMode="External"/><Relationship Id="rId5144" Type="http://schemas.openxmlformats.org/officeDocument/2006/relationships/hyperlink" Target="https://www.facebook.com/angela.delosreyes.543" TargetMode="External"/><Relationship Id="rId5491" Type="http://schemas.openxmlformats.org/officeDocument/2006/relationships/hyperlink" Target="https://www.facebook.com/watch/live/?ref=watch_permalink&amp;v=312865720941798" TargetMode="External"/><Relationship Id="rId1687" Type="http://schemas.openxmlformats.org/officeDocument/2006/relationships/hyperlink" Target="https://www.facebook.com/yongcoonang" TargetMode="External"/><Relationship Id="rId2738" Type="http://schemas.openxmlformats.org/officeDocument/2006/relationships/hyperlink" Target="https://www.facebook.com/rapplerdotcom/photos/a.317154781638645/5595733810447356/" TargetMode="External"/><Relationship Id="rId1754" Type="http://schemas.openxmlformats.org/officeDocument/2006/relationships/hyperlink" Target="https://www.facebook.com/rapplerdotcom/photos/a.317154781638645/5596043783749692/" TargetMode="External"/><Relationship Id="rId2805" Type="http://schemas.openxmlformats.org/officeDocument/2006/relationships/hyperlink" Target="https://www.facebook.com/ronski.alde" TargetMode="External"/><Relationship Id="rId4160" Type="http://schemas.openxmlformats.org/officeDocument/2006/relationships/hyperlink" Target="https://www.facebook.com/rapplerdotcom/photos/a.317154781638645/5594954703858600/" TargetMode="External"/><Relationship Id="rId5211" Type="http://schemas.openxmlformats.org/officeDocument/2006/relationships/hyperlink" Target="https://www.facebook.com/rapplerdotcom/photos/a.317154781638645/5594264657260938/" TargetMode="External"/><Relationship Id="rId46" Type="http://schemas.openxmlformats.org/officeDocument/2006/relationships/hyperlink" Target="https://www.facebook.com/rapplerdotcom/posts/pfbid0DUh4iFcrxZuR1UbiGhcAHcMdzsaV29GSeHCY1HabtqcnUWkjStX9TDaVqzzt92GDl" TargetMode="External"/><Relationship Id="rId1407" Type="http://schemas.openxmlformats.org/officeDocument/2006/relationships/hyperlink" Target="https://www.facebook.com/sonia.olba" TargetMode="External"/><Relationship Id="rId1821" Type="http://schemas.openxmlformats.org/officeDocument/2006/relationships/hyperlink" Target="https://www.facebook.com/christene.delacruz.777" TargetMode="External"/><Relationship Id="rId4977" Type="http://schemas.openxmlformats.org/officeDocument/2006/relationships/hyperlink" Target="https://www.facebook.com/rapplerdotcom/posts/pfbid02BCyyacWVuuu1bwX5PwYK8PvqDGTANxekqEMy7qyV9vMmaGKTbC8sBf7i5j3Wbx9Ll" TargetMode="External"/><Relationship Id="rId3579" Type="http://schemas.openxmlformats.org/officeDocument/2006/relationships/hyperlink" Target="https://www.facebook.com/pol.lareza.9" TargetMode="External"/><Relationship Id="rId2595" Type="http://schemas.openxmlformats.org/officeDocument/2006/relationships/hyperlink" Target="https://www.facebook.com/Mrs.prias.3" TargetMode="External"/><Relationship Id="rId3993" Type="http://schemas.openxmlformats.org/officeDocument/2006/relationships/hyperlink" Target="https://www.facebook.com/noel.isorena.7" TargetMode="External"/><Relationship Id="rId6052" Type="http://schemas.openxmlformats.org/officeDocument/2006/relationships/hyperlink" Target="https://www.facebook.com/mayonggarcia" TargetMode="External"/><Relationship Id="rId567" Type="http://schemas.openxmlformats.org/officeDocument/2006/relationships/hyperlink" Target="https://www.facebook.com/ino.reyes.1441" TargetMode="External"/><Relationship Id="rId1197" Type="http://schemas.openxmlformats.org/officeDocument/2006/relationships/hyperlink" Target="https://www.facebook.com/pepe.ledesma.7140" TargetMode="External"/><Relationship Id="rId2248" Type="http://schemas.openxmlformats.org/officeDocument/2006/relationships/hyperlink" Target="https://www.facebook.com/rapplerdotcom/photos/a.317154781638645/5596022273751843/" TargetMode="External"/><Relationship Id="rId3646" Type="http://schemas.openxmlformats.org/officeDocument/2006/relationships/hyperlink" Target="https://www.facebook.com/rapplerdotcom/photos/a.317154781638645/5595372260483511/" TargetMode="External"/><Relationship Id="rId981" Type="http://schemas.openxmlformats.org/officeDocument/2006/relationships/hyperlink" Target="https://www.facebook.com/christian.vicente.104" TargetMode="External"/><Relationship Id="rId2662" Type="http://schemas.openxmlformats.org/officeDocument/2006/relationships/hyperlink" Target="https://www.facebook.com/rapplerdotcom/photos/a.317154781638645/5595733810447356/" TargetMode="External"/><Relationship Id="rId3713" Type="http://schemas.openxmlformats.org/officeDocument/2006/relationships/hyperlink" Target="https://www.facebook.com/johndel.abella.7" TargetMode="External"/><Relationship Id="rId634" Type="http://schemas.openxmlformats.org/officeDocument/2006/relationships/hyperlink" Target="https://www.facebook.com/rapplerdotcom/photos/a.317154781638645/5597874143566656" TargetMode="External"/><Relationship Id="rId1264" Type="http://schemas.openxmlformats.org/officeDocument/2006/relationships/hyperlink" Target="https://www.facebook.com/rapplerdotcom/posts/pfbid023goEfA6e1ABSWYJFy8fQ5LFWDv4QTSTmAfzySGtMSpy12iqywB2MUZjiZ8GjCxrGl" TargetMode="External"/><Relationship Id="rId2315" Type="http://schemas.openxmlformats.org/officeDocument/2006/relationships/hyperlink" Target="https://www.facebook.com/blesilda.bolante" TargetMode="External"/><Relationship Id="rId5885" Type="http://schemas.openxmlformats.org/officeDocument/2006/relationships/hyperlink" Target="https://www.facebook.com/rapplerdotcom/posts/pfbid0Kg1RoVj1WsJryHzrsA3oSrLQ6DJc4g1o3yMhcNHB9BrPu7fZV7ugtw1hYVefEPE9l" TargetMode="External"/><Relationship Id="rId701" Type="http://schemas.openxmlformats.org/officeDocument/2006/relationships/hyperlink" Target="https://www.facebook.com/arsenio.tan.104418" TargetMode="External"/><Relationship Id="rId1331" Type="http://schemas.openxmlformats.org/officeDocument/2006/relationships/hyperlink" Target="https://www.facebook.com/We-Chose-Common-Sense-We-Voted-for-Leni-Kiko-2022-100975789090665/" TargetMode="External"/><Relationship Id="rId4487" Type="http://schemas.openxmlformats.org/officeDocument/2006/relationships/hyperlink" Target="https://www.facebook.com/rapplerdotcom/photos/a.317154781638645/5594954703858600/" TargetMode="External"/><Relationship Id="rId5538" Type="http://schemas.openxmlformats.org/officeDocument/2006/relationships/hyperlink" Target="https://www.facebook.com/escalante.diwata" TargetMode="External"/><Relationship Id="rId5952" Type="http://schemas.openxmlformats.org/officeDocument/2006/relationships/hyperlink" Target="https://www.facebook.com/profile.php?id=100069246870332" TargetMode="External"/><Relationship Id="rId3089" Type="http://schemas.openxmlformats.org/officeDocument/2006/relationships/hyperlink" Target="https://www.facebook.com/wilma.remobautista.9" TargetMode="External"/><Relationship Id="rId4554" Type="http://schemas.openxmlformats.org/officeDocument/2006/relationships/hyperlink" Target="https://www.facebook.com/nosgnoilaluap" TargetMode="External"/><Relationship Id="rId5605" Type="http://schemas.openxmlformats.org/officeDocument/2006/relationships/hyperlink" Target="https://www.facebook.com/rapplerdotcom/photos/a.317154781638645/5594453700575367/" TargetMode="External"/><Relationship Id="rId3156" Type="http://schemas.openxmlformats.org/officeDocument/2006/relationships/hyperlink" Target="https://www.facebook.com/watch/live/?ref=watch_permalink&amp;v=332681445500650" TargetMode="External"/><Relationship Id="rId4207" Type="http://schemas.openxmlformats.org/officeDocument/2006/relationships/hyperlink" Target="https://www.facebook.com/NGCD18" TargetMode="External"/><Relationship Id="rId491" Type="http://schemas.openxmlformats.org/officeDocument/2006/relationships/hyperlink" Target="https://www.facebook.com/rapplerdotcom/photos/a.317154781638645/5598220220198715/" TargetMode="External"/><Relationship Id="rId2172" Type="http://schemas.openxmlformats.org/officeDocument/2006/relationships/hyperlink" Target="https://www.facebook.com/rapplerdotcom/photos/a.317154781638645/5596022273751843/" TargetMode="External"/><Relationship Id="rId3223" Type="http://schemas.openxmlformats.org/officeDocument/2006/relationships/hyperlink" Target="https://www.facebook.com/profile.php?id=100071843274449" TargetMode="External"/><Relationship Id="rId3570" Type="http://schemas.openxmlformats.org/officeDocument/2006/relationships/hyperlink" Target="https://www.facebook.com/rapplerdotcom/photos/a.317154781638645/5595372260483511/" TargetMode="External"/><Relationship Id="rId4621" Type="http://schemas.openxmlformats.org/officeDocument/2006/relationships/hyperlink" Target="https://www.facebook.com/watch/live/?ref=watch_permalink&amp;v=923735834984653" TargetMode="External"/><Relationship Id="rId144" Type="http://schemas.openxmlformats.org/officeDocument/2006/relationships/hyperlink" Target="https://www.facebook.com/rapplerdotcom/posts/pfbid0DUh4iFcrxZuR1UbiGhcAHcMdzsaV29GSeHCY1HabtqcnUWkjStX9TDaVqzzt92GDl" TargetMode="External"/><Relationship Id="rId2989" Type="http://schemas.openxmlformats.org/officeDocument/2006/relationships/hyperlink" Target="https://www.facebook.com/profile.php?id=100073807421844" TargetMode="External"/><Relationship Id="rId5395" Type="http://schemas.openxmlformats.org/officeDocument/2006/relationships/hyperlink" Target="https://www.facebook.com/watch/live/?ref=watch_permalink&amp;v=312865720941798" TargetMode="External"/><Relationship Id="rId211" Type="http://schemas.openxmlformats.org/officeDocument/2006/relationships/hyperlink" Target="https://www.facebook.com/pauljeric.queipo.1" TargetMode="External"/><Relationship Id="rId5048" Type="http://schemas.openxmlformats.org/officeDocument/2006/relationships/hyperlink" Target="https://www.facebook.com/lceleste3" TargetMode="External"/><Relationship Id="rId5462" Type="http://schemas.openxmlformats.org/officeDocument/2006/relationships/hyperlink" Target="https://www.facebook.com/dante.vigo.56" TargetMode="External"/><Relationship Id="rId1658" Type="http://schemas.openxmlformats.org/officeDocument/2006/relationships/hyperlink" Target="https://www.facebook.com/rapplerdotcom/posts/pfbid02AsSA4LQqjQ2Y8SVathQmtduoE3fhoGvQSNhvrzsMerDaJSQJ6jDvApCCiuaE7XCol" TargetMode="External"/><Relationship Id="rId2709" Type="http://schemas.openxmlformats.org/officeDocument/2006/relationships/hyperlink" Target="https://www.facebook.com/maritesse.espinaz" TargetMode="External"/><Relationship Id="rId4064" Type="http://schemas.openxmlformats.org/officeDocument/2006/relationships/hyperlink" Target="https://www.facebook.com/rapplerdotcom/posts/pfbid0231hbcbuKeQLDkPH8oZAdZbuU8MPPgRANx152V3xWpbjZ6EvfpohwQMvxHYAgrGPul" TargetMode="External"/><Relationship Id="rId5115" Type="http://schemas.openxmlformats.org/officeDocument/2006/relationships/hyperlink" Target="https://www.facebook.com/rapplerdotcom/photos/a.317154781638645/5594264657260938/" TargetMode="External"/><Relationship Id="rId3080" Type="http://schemas.openxmlformats.org/officeDocument/2006/relationships/hyperlink" Target="https://www.facebook.com/watch/live/?ref=watch_permalink&amp;v=360307549312104" TargetMode="External"/><Relationship Id="rId4131" Type="http://schemas.openxmlformats.org/officeDocument/2006/relationships/hyperlink" Target="https://www.facebook.com/profile.php?id=100011150311111" TargetMode="External"/><Relationship Id="rId1725" Type="http://schemas.openxmlformats.org/officeDocument/2006/relationships/hyperlink" Target="https://www.facebook.com/xernes.martinez" TargetMode="External"/><Relationship Id="rId17" Type="http://schemas.openxmlformats.org/officeDocument/2006/relationships/hyperlink" Target="https://www.facebook.com/carrie.carisma" TargetMode="External"/><Relationship Id="rId3897" Type="http://schemas.openxmlformats.org/officeDocument/2006/relationships/hyperlink" Target="https://www.facebook.com/marvin.rafols.7" TargetMode="External"/><Relationship Id="rId4948" Type="http://schemas.openxmlformats.org/officeDocument/2006/relationships/hyperlink" Target="https://www.facebook.com/melinda.santelices" TargetMode="External"/><Relationship Id="rId2499" Type="http://schemas.openxmlformats.org/officeDocument/2006/relationships/hyperlink" Target="https://www.facebook.com/arni.reyes.5" TargetMode="External"/><Relationship Id="rId3964" Type="http://schemas.openxmlformats.org/officeDocument/2006/relationships/hyperlink" Target="https://www.facebook.com/rapplerdotcom/posts/pfbid0dyWpzxim3h4Z2SYriGakwQw85p7BCAgct7KU5EiMX1bmmgNHDD8nmES8rjrADsrPl" TargetMode="External"/><Relationship Id="rId1" Type="http://schemas.openxmlformats.org/officeDocument/2006/relationships/hyperlink" Target="https://www.facebook.com/angie.t.carlsen" TargetMode="External"/><Relationship Id="rId885" Type="http://schemas.openxmlformats.org/officeDocument/2006/relationships/hyperlink" Target="https://www.facebook.com/rey.magsayo.399" TargetMode="External"/><Relationship Id="rId2566" Type="http://schemas.openxmlformats.org/officeDocument/2006/relationships/hyperlink" Target="https://www.facebook.com/rapplerdotcom/photos/a.317154781638645/5595733810447356/" TargetMode="External"/><Relationship Id="rId2980" Type="http://schemas.openxmlformats.org/officeDocument/2006/relationships/hyperlink" Target="https://www.facebook.com/watch/live/?ref=watch_permalink&amp;v=360307549312104" TargetMode="External"/><Relationship Id="rId3617" Type="http://schemas.openxmlformats.org/officeDocument/2006/relationships/hyperlink" Target="https://www.facebook.com/dez.delmundosamson" TargetMode="External"/><Relationship Id="rId6023" Type="http://schemas.openxmlformats.org/officeDocument/2006/relationships/hyperlink" Target="https://www.facebook.com/rapplerdotcom/photos/a.317154781638645/5594359700584767/" TargetMode="External"/><Relationship Id="rId538" Type="http://schemas.openxmlformats.org/officeDocument/2006/relationships/hyperlink" Target="https://www.facebook.com/aldoranada2012" TargetMode="External"/><Relationship Id="rId952" Type="http://schemas.openxmlformats.org/officeDocument/2006/relationships/hyperlink" Target="https://www.facebook.com/rapplerdotcom/photos/a.317154781638645/5597592673594803/" TargetMode="External"/><Relationship Id="rId1168" Type="http://schemas.openxmlformats.org/officeDocument/2006/relationships/hyperlink" Target="https://www.facebook.com/rapplerdotcom/posts/pfbid02dNgAR64VTtp94Rus4o9MNbU55E2H9Wp7KMKzJGkk6u4UxRyHU8j2pPpwa5iwGcD3l" TargetMode="External"/><Relationship Id="rId1582" Type="http://schemas.openxmlformats.org/officeDocument/2006/relationships/hyperlink" Target="https://www.facebook.com/rapplerdotcom/photos/a.317154781638645/5597116770309060/" TargetMode="External"/><Relationship Id="rId2219" Type="http://schemas.openxmlformats.org/officeDocument/2006/relationships/hyperlink" Target="https://www.facebook.com/johnraffy.patrocinio" TargetMode="External"/><Relationship Id="rId2633" Type="http://schemas.openxmlformats.org/officeDocument/2006/relationships/hyperlink" Target="https://www.facebook.com/alexasophiaaa" TargetMode="External"/><Relationship Id="rId5789" Type="http://schemas.openxmlformats.org/officeDocument/2006/relationships/hyperlink" Target="https://www.facebook.com/rapplerdotcom/photos/a.317154781638645/5594453700575367/" TargetMode="External"/><Relationship Id="rId605" Type="http://schemas.openxmlformats.org/officeDocument/2006/relationships/hyperlink" Target="https://www.facebook.com/albertjohn.centra" TargetMode="External"/><Relationship Id="rId1235" Type="http://schemas.openxmlformats.org/officeDocument/2006/relationships/hyperlink" Target="https://www.facebook.com/raks.vppablo" TargetMode="External"/><Relationship Id="rId1302" Type="http://schemas.openxmlformats.org/officeDocument/2006/relationships/hyperlink" Target="https://www.facebook.com/rapplerdotcom/posts/pfbid023goEfA6e1ABSWYJFy8fQ5LFWDv4QTSTmAfzySGtMSpy12iqywB2MUZjiZ8GjCxrGl" TargetMode="External"/><Relationship Id="rId2700" Type="http://schemas.openxmlformats.org/officeDocument/2006/relationships/hyperlink" Target="https://www.facebook.com/rapplerdotcom/photos/a.317154781638645/5595733810447356/" TargetMode="External"/><Relationship Id="rId4458" Type="http://schemas.openxmlformats.org/officeDocument/2006/relationships/hyperlink" Target="https://www.facebook.com/Overhauled12" TargetMode="External"/><Relationship Id="rId5856" Type="http://schemas.openxmlformats.org/officeDocument/2006/relationships/hyperlink" Target="https://www.facebook.com/rnld29" TargetMode="External"/><Relationship Id="rId4872" Type="http://schemas.openxmlformats.org/officeDocument/2006/relationships/hyperlink" Target="https://www.facebook.com/nelia.forteza.1" TargetMode="External"/><Relationship Id="rId5509" Type="http://schemas.openxmlformats.org/officeDocument/2006/relationships/hyperlink" Target="https://www.facebook.com/rapplerdotcom/photos/a.317154781638645/5594453700575367/" TargetMode="External"/><Relationship Id="rId5923" Type="http://schemas.openxmlformats.org/officeDocument/2006/relationships/hyperlink" Target="https://www.facebook.com/rapplerdotcom/photos/a.317154781638645/5594359700584767/" TargetMode="External"/><Relationship Id="rId395" Type="http://schemas.openxmlformats.org/officeDocument/2006/relationships/hyperlink" Target="https://www.facebook.com/rapplerdotcom/photos/a.317154781638645/5598220220198715/" TargetMode="External"/><Relationship Id="rId2076" Type="http://schemas.openxmlformats.org/officeDocument/2006/relationships/hyperlink" Target="https://www.facebook.com/rapplerdotcom/photos/a.317154781638645/5596022273751843/" TargetMode="External"/><Relationship Id="rId3474" Type="http://schemas.openxmlformats.org/officeDocument/2006/relationships/hyperlink" Target="https://www.facebook.com/rapplerdotcom/photos/a.317154781638645/5595372260483511/" TargetMode="External"/><Relationship Id="rId4525" Type="http://schemas.openxmlformats.org/officeDocument/2006/relationships/hyperlink" Target="https://www.facebook.com/rapplerdotcom/photos/a.317154781638645/5594954703858600/" TargetMode="External"/><Relationship Id="rId2490" Type="http://schemas.openxmlformats.org/officeDocument/2006/relationships/hyperlink" Target="https://www.facebook.com/rapplerdotcom/posts/pfbid0TYP6syjYwznxJKdhWv9YMaXK9NvsSEhQ2cyyCQCPMvGapWXrQBHehywgT156wqNPl" TargetMode="External"/><Relationship Id="rId3127" Type="http://schemas.openxmlformats.org/officeDocument/2006/relationships/hyperlink" Target="https://www.facebook.com/madonna.bagalayfulgar.3" TargetMode="External"/><Relationship Id="rId3541" Type="http://schemas.openxmlformats.org/officeDocument/2006/relationships/hyperlink" Target="https://www.facebook.com/wagakopre123" TargetMode="External"/><Relationship Id="rId462" Type="http://schemas.openxmlformats.org/officeDocument/2006/relationships/hyperlink" Target="https://www.facebook.com/jhing.lagrimas" TargetMode="External"/><Relationship Id="rId1092" Type="http://schemas.openxmlformats.org/officeDocument/2006/relationships/hyperlink" Target="https://www.facebook.com/rapplerdotcom/posts/pfbid028Kg188FmebKa4aFvHZNp8zGTwjghWDDJuUmQ8agbSCvGAGJHZ7pBH9NmxLBmPZZdl" TargetMode="External"/><Relationship Id="rId2143" Type="http://schemas.openxmlformats.org/officeDocument/2006/relationships/hyperlink" Target="https://www.facebook.com/restituto.mangalindan" TargetMode="External"/><Relationship Id="rId5299" Type="http://schemas.openxmlformats.org/officeDocument/2006/relationships/hyperlink" Target="https://www.facebook.com/rapplerdotcom/photos/a.317154781638645/5594264657260938/" TargetMode="External"/><Relationship Id="rId115" Type="http://schemas.openxmlformats.org/officeDocument/2006/relationships/hyperlink" Target="https://www.facebook.com/profile.php?id=100078745816266" TargetMode="External"/><Relationship Id="rId2210" Type="http://schemas.openxmlformats.org/officeDocument/2006/relationships/hyperlink" Target="https://www.facebook.com/rapplerdotcom/photos/a.317154781638645/5596022273751843/" TargetMode="External"/><Relationship Id="rId5366" Type="http://schemas.openxmlformats.org/officeDocument/2006/relationships/hyperlink" Target="https://www.facebook.com/ecoroipac" TargetMode="External"/><Relationship Id="rId4382" Type="http://schemas.openxmlformats.org/officeDocument/2006/relationships/hyperlink" Target="https://www.facebook.com/erick.balbin" TargetMode="External"/><Relationship Id="rId5019" Type="http://schemas.openxmlformats.org/officeDocument/2006/relationships/hyperlink" Target="https://www.facebook.com/rapplerdotcom/posts/pfbid02BCyyacWVuuu1bwX5PwYK8PvqDGTANxekqEMy7qyV9vMmaGKTbC8sBf7i5j3Wbx9Ll" TargetMode="External"/><Relationship Id="rId5433" Type="http://schemas.openxmlformats.org/officeDocument/2006/relationships/hyperlink" Target="https://www.facebook.com/watch/live/?ref=watch_permalink&amp;v=312865720941798" TargetMode="External"/><Relationship Id="rId5780" Type="http://schemas.openxmlformats.org/officeDocument/2006/relationships/hyperlink" Target="https://www.facebook.com/anecia.comandantepore" TargetMode="External"/><Relationship Id="rId1976" Type="http://schemas.openxmlformats.org/officeDocument/2006/relationships/hyperlink" Target="https://www.facebook.com/rapplerdotcom/photos/a.317154781638645/5596022273751843/" TargetMode="External"/><Relationship Id="rId4035" Type="http://schemas.openxmlformats.org/officeDocument/2006/relationships/hyperlink" Target="https://www.facebook.com/cidernald" TargetMode="External"/><Relationship Id="rId1629" Type="http://schemas.openxmlformats.org/officeDocument/2006/relationships/hyperlink" Target="https://www.facebook.com/ramon.l.escueta" TargetMode="External"/><Relationship Id="rId5500" Type="http://schemas.openxmlformats.org/officeDocument/2006/relationships/hyperlink" Target="https://www.facebook.com/bren.bernales" TargetMode="External"/><Relationship Id="rId3051" Type="http://schemas.openxmlformats.org/officeDocument/2006/relationships/hyperlink" Target="https://www.facebook.com/arnold.alam.12" TargetMode="External"/><Relationship Id="rId4102" Type="http://schemas.openxmlformats.org/officeDocument/2006/relationships/hyperlink" Target="https://www.facebook.com/rapplerdotcom/posts/pfbid0231hbcbuKeQLDkPH8oZAdZbuU8MPPgRANx152V3xWpbjZ6EvfpohwQMvxHYAgrGPul" TargetMode="External"/><Relationship Id="rId3868" Type="http://schemas.openxmlformats.org/officeDocument/2006/relationships/hyperlink" Target="https://www.facebook.com/rapplerdotcom/posts/pfbid0dyWpzxim3h4Z2SYriGakwQw85p7BCAgct7KU5EiMX1bmmgNHDD8nmES8rjrADsrPl" TargetMode="External"/><Relationship Id="rId4919" Type="http://schemas.openxmlformats.org/officeDocument/2006/relationships/hyperlink" Target="https://www.facebook.com/rapplerdotcom/posts/pfbid02BCyyacWVuuu1bwX5PwYK8PvqDGTANxekqEMy7qyV9vMmaGKTbC8sBf7i5j3Wbx9Ll" TargetMode="External"/><Relationship Id="rId789" Type="http://schemas.openxmlformats.org/officeDocument/2006/relationships/hyperlink" Target="https://www.facebook.com/romeo.serrano.39" TargetMode="External"/><Relationship Id="rId2884" Type="http://schemas.openxmlformats.org/officeDocument/2006/relationships/hyperlink" Target="https://www.facebook.com/watch/live/?ref=watch_permalink&amp;v=360307549312104" TargetMode="External"/><Relationship Id="rId5290" Type="http://schemas.openxmlformats.org/officeDocument/2006/relationships/hyperlink" Target="https://www.facebook.com/jhayahr.santia" TargetMode="External"/><Relationship Id="rId856" Type="http://schemas.openxmlformats.org/officeDocument/2006/relationships/hyperlink" Target="https://www.facebook.com/rapplerdotcom/photos/a.317154781638645/5597612220259515/" TargetMode="External"/><Relationship Id="rId1486" Type="http://schemas.openxmlformats.org/officeDocument/2006/relationships/hyperlink" Target="https://www.facebook.com/rapplerdotcom/photos/a.317154781638645/5597116770309060/" TargetMode="External"/><Relationship Id="rId2537" Type="http://schemas.openxmlformats.org/officeDocument/2006/relationships/hyperlink" Target="https://www.facebook.com/pepe.ledesma.7140" TargetMode="External"/><Relationship Id="rId3935" Type="http://schemas.openxmlformats.org/officeDocument/2006/relationships/hyperlink" Target="https://www.facebook.com/Valladoresjude1988" TargetMode="External"/><Relationship Id="rId509" Type="http://schemas.openxmlformats.org/officeDocument/2006/relationships/hyperlink" Target="https://www.facebook.com/rapplerdotcom/photos/a.317154781638645/5598220220198715/" TargetMode="External"/><Relationship Id="rId1139" Type="http://schemas.openxmlformats.org/officeDocument/2006/relationships/hyperlink" Target="https://www.facebook.com/smileatmeliz" TargetMode="External"/><Relationship Id="rId2951" Type="http://schemas.openxmlformats.org/officeDocument/2006/relationships/hyperlink" Target="https://www.facebook.com/kimashley.simbillo" TargetMode="External"/><Relationship Id="rId5010" Type="http://schemas.openxmlformats.org/officeDocument/2006/relationships/hyperlink" Target="https://www.facebook.com/desireecastroventura" TargetMode="External"/><Relationship Id="rId923" Type="http://schemas.openxmlformats.org/officeDocument/2006/relationships/hyperlink" Target="https://www.facebook.com/ven.el.9" TargetMode="External"/><Relationship Id="rId1553" Type="http://schemas.openxmlformats.org/officeDocument/2006/relationships/hyperlink" Target="https://www.facebook.com/chelle.seyer" TargetMode="External"/><Relationship Id="rId2604" Type="http://schemas.openxmlformats.org/officeDocument/2006/relationships/hyperlink" Target="https://www.facebook.com/rapplerdotcom/photos/a.317154781638645/5595733810447356/" TargetMode="External"/><Relationship Id="rId1206" Type="http://schemas.openxmlformats.org/officeDocument/2006/relationships/hyperlink" Target="https://www.facebook.com/rapplerdotcom/posts/pfbid023goEfA6e1ABSWYJFy8fQ5LFWDv4QTSTmAfzySGtMSpy12iqywB2MUZjiZ8GjCxrGl" TargetMode="External"/><Relationship Id="rId1620" Type="http://schemas.openxmlformats.org/officeDocument/2006/relationships/hyperlink" Target="https://www.facebook.com/rapplerdotcom/posts/pfbid02AsSA4LQqjQ2Y8SVathQmtduoE3fhoGvQSNhvrzsMerDaJSQJ6jDvApCCiuaE7XCol" TargetMode="External"/><Relationship Id="rId4776" Type="http://schemas.openxmlformats.org/officeDocument/2006/relationships/hyperlink" Target="https://www.facebook.com/micoleizon" TargetMode="External"/><Relationship Id="rId5827" Type="http://schemas.openxmlformats.org/officeDocument/2006/relationships/hyperlink" Target="https://www.facebook.com/rapplerdotcom/photos/a.317154781638645/5594453700575367/" TargetMode="External"/><Relationship Id="rId3378" Type="http://schemas.openxmlformats.org/officeDocument/2006/relationships/hyperlink" Target="https://www.facebook.com/rapplerdotcom/photos/a.317154781638645/5595372260483511/" TargetMode="External"/><Relationship Id="rId3792" Type="http://schemas.openxmlformats.org/officeDocument/2006/relationships/hyperlink" Target="https://www.facebook.com/rapplerdotcom/posts/pfbid0dyWpzxim3h4Z2SYriGakwQw85p7BCAgct7KU5EiMX1bmmgNHDD8nmES8rjrADsrPl" TargetMode="External"/><Relationship Id="rId4429" Type="http://schemas.openxmlformats.org/officeDocument/2006/relationships/hyperlink" Target="https://www.facebook.com/rapplerdotcom/photos/a.317154781638645/5594954703858600/" TargetMode="External"/><Relationship Id="rId4843" Type="http://schemas.openxmlformats.org/officeDocument/2006/relationships/hyperlink" Target="https://www.facebook.com/watch/live/?ref=watch_permalink&amp;v=923735834984653" TargetMode="External"/><Relationship Id="rId299" Type="http://schemas.openxmlformats.org/officeDocument/2006/relationships/hyperlink" Target="https://www.facebook.com/rapplerdotcom/photos/a.317154781638645/5598220220198715/" TargetMode="External"/><Relationship Id="rId2394" Type="http://schemas.openxmlformats.org/officeDocument/2006/relationships/hyperlink" Target="https://www.facebook.com/rapplerdotcom/posts/pfbid0TYP6syjYwznxJKdhWv9YMaXK9NvsSEhQ2cyyCQCPMvGapWXrQBHehywgT156wqNPl" TargetMode="External"/><Relationship Id="rId3445" Type="http://schemas.openxmlformats.org/officeDocument/2006/relationships/hyperlink" Target="https://www.facebook.com/bautista.jimmy.98" TargetMode="External"/><Relationship Id="rId366" Type="http://schemas.openxmlformats.org/officeDocument/2006/relationships/hyperlink" Target="https://www.facebook.com/anita.tamayo.33671" TargetMode="External"/><Relationship Id="rId780" Type="http://schemas.openxmlformats.org/officeDocument/2006/relationships/hyperlink" Target="https://www.facebook.com/rapplerdotcom/photos/a.317154781638645/5597612220259515/" TargetMode="External"/><Relationship Id="rId2047" Type="http://schemas.openxmlformats.org/officeDocument/2006/relationships/hyperlink" Target="https://www.facebook.com/jamesruba777" TargetMode="External"/><Relationship Id="rId2461" Type="http://schemas.openxmlformats.org/officeDocument/2006/relationships/hyperlink" Target="https://www.facebook.com/jury.vibar" TargetMode="External"/><Relationship Id="rId3512" Type="http://schemas.openxmlformats.org/officeDocument/2006/relationships/hyperlink" Target="https://www.facebook.com/rapplerdotcom/photos/a.317154781638645/5595372260483511/" TargetMode="External"/><Relationship Id="rId4910" Type="http://schemas.openxmlformats.org/officeDocument/2006/relationships/hyperlink" Target="https://www.facebook.com/rose.ranario.58" TargetMode="External"/><Relationship Id="rId433" Type="http://schemas.openxmlformats.org/officeDocument/2006/relationships/hyperlink" Target="https://www.facebook.com/rapplerdotcom/photos/a.317154781638645/5598220220198715/" TargetMode="External"/><Relationship Id="rId1063" Type="http://schemas.openxmlformats.org/officeDocument/2006/relationships/hyperlink" Target="https://www.facebook.com/noli.palmero" TargetMode="External"/><Relationship Id="rId2114" Type="http://schemas.openxmlformats.org/officeDocument/2006/relationships/hyperlink" Target="https://www.facebook.com/rapplerdotcom/photos/a.317154781638645/5596022273751843/" TargetMode="External"/><Relationship Id="rId4286" Type="http://schemas.openxmlformats.org/officeDocument/2006/relationships/hyperlink" Target="https://www.facebook.com/drixsaydie" TargetMode="External"/><Relationship Id="rId5684" Type="http://schemas.openxmlformats.org/officeDocument/2006/relationships/hyperlink" Target="https://www.facebook.com/noel.manuel.52" TargetMode="External"/><Relationship Id="rId500" Type="http://schemas.openxmlformats.org/officeDocument/2006/relationships/hyperlink" Target="https://www.facebook.com/neil.torreon.7" TargetMode="External"/><Relationship Id="rId1130" Type="http://schemas.openxmlformats.org/officeDocument/2006/relationships/hyperlink" Target="https://www.facebook.com/rapplerdotcom/posts/pfbid02dNgAR64VTtp94Rus4o9MNbU55E2H9Wp7KMKzJGkk6u4UxRyHU8j2pPpwa5iwGcD3l" TargetMode="External"/><Relationship Id="rId5337" Type="http://schemas.openxmlformats.org/officeDocument/2006/relationships/hyperlink" Target="https://www.facebook.com/rapplerdotcom/photos/a.317154781638645/5594264657260938/" TargetMode="External"/><Relationship Id="rId5751" Type="http://schemas.openxmlformats.org/officeDocument/2006/relationships/hyperlink" Target="https://www.facebook.com/rapplerdotcom/photos/a.317154781638645/5594453700575367/" TargetMode="External"/><Relationship Id="rId1947" Type="http://schemas.openxmlformats.org/officeDocument/2006/relationships/hyperlink" Target="https://www.facebook.com/rapkarl04" TargetMode="External"/><Relationship Id="rId4353" Type="http://schemas.openxmlformats.org/officeDocument/2006/relationships/hyperlink" Target="https://www.facebook.com/rapplerdotcom/photos/a.317154781638645/5594954703858600/" TargetMode="External"/><Relationship Id="rId5404" Type="http://schemas.openxmlformats.org/officeDocument/2006/relationships/hyperlink" Target="https://www.facebook.com/salvie.maris.5" TargetMode="External"/><Relationship Id="rId4006" Type="http://schemas.openxmlformats.org/officeDocument/2006/relationships/hyperlink" Target="https://www.facebook.com/rapplerdotcom/posts/pfbid0dyWpzxim3h4Z2SYriGakwQw85p7BCAgct7KU5EiMX1bmmgNHDD8nmES8rjrADsrPl" TargetMode="External"/><Relationship Id="rId4420" Type="http://schemas.openxmlformats.org/officeDocument/2006/relationships/hyperlink" Target="https://www.facebook.com/profile.php?id=100007155289018" TargetMode="External"/><Relationship Id="rId290" Type="http://schemas.openxmlformats.org/officeDocument/2006/relationships/hyperlink" Target="https://www.facebook.com/profile.php?id=100011526405374" TargetMode="External"/><Relationship Id="rId3022" Type="http://schemas.openxmlformats.org/officeDocument/2006/relationships/hyperlink" Target="https://www.facebook.com/watch/live/?ref=watch_permalink&amp;v=360307549312104" TargetMode="External"/><Relationship Id="rId6178" Type="http://schemas.openxmlformats.org/officeDocument/2006/relationships/hyperlink" Target="https://www.facebook.com/tambay.lang.7792" TargetMode="External"/><Relationship Id="rId5194" Type="http://schemas.openxmlformats.org/officeDocument/2006/relationships/hyperlink" Target="https://www.facebook.com/ebucayan" TargetMode="External"/><Relationship Id="rId2788" Type="http://schemas.openxmlformats.org/officeDocument/2006/relationships/hyperlink" Target="https://www.facebook.com/watch/?v=570590637273208" TargetMode="External"/><Relationship Id="rId3839" Type="http://schemas.openxmlformats.org/officeDocument/2006/relationships/hyperlink" Target="https://www.facebook.com/cynthia.tumanut" TargetMode="External"/><Relationship Id="rId2855" Type="http://schemas.openxmlformats.org/officeDocument/2006/relationships/hyperlink" Target="https://www.facebook.com/marnito.peligro" TargetMode="External"/><Relationship Id="rId3906" Type="http://schemas.openxmlformats.org/officeDocument/2006/relationships/hyperlink" Target="https://www.facebook.com/rapplerdotcom/posts/pfbid0dyWpzxim3h4Z2SYriGakwQw85p7BCAgct7KU5EiMX1bmmgNHDD8nmES8rjrADsrPl" TargetMode="External"/><Relationship Id="rId5261" Type="http://schemas.openxmlformats.org/officeDocument/2006/relationships/hyperlink" Target="https://www.facebook.com/rapplerdotcom/photos/a.317154781638645/5594264657260938/" TargetMode="External"/><Relationship Id="rId96" Type="http://schemas.openxmlformats.org/officeDocument/2006/relationships/hyperlink" Target="https://www.facebook.com/rapplerdotcom/posts/pfbid0DUh4iFcrxZuR1UbiGhcAHcMdzsaV29GSeHCY1HabtqcnUWkjStX9TDaVqzzt92GDl" TargetMode="External"/><Relationship Id="rId827" Type="http://schemas.openxmlformats.org/officeDocument/2006/relationships/hyperlink" Target="https://www.facebook.com/duztinethewind" TargetMode="External"/><Relationship Id="rId1457" Type="http://schemas.openxmlformats.org/officeDocument/2006/relationships/hyperlink" Target="https://www.facebook.com/primo.dinglasan.1" TargetMode="External"/><Relationship Id="rId1871" Type="http://schemas.openxmlformats.org/officeDocument/2006/relationships/hyperlink" Target="https://www.facebook.com/ruth.pananganan" TargetMode="External"/><Relationship Id="rId2508" Type="http://schemas.openxmlformats.org/officeDocument/2006/relationships/hyperlink" Target="https://www.facebook.com/rapplerdotcom/posts/pfbid0TYP6syjYwznxJKdhWv9YMaXK9NvsSEhQ2cyyCQCPMvGapWXrQBHehywgT156wqNPl" TargetMode="External"/><Relationship Id="rId2922" Type="http://schemas.openxmlformats.org/officeDocument/2006/relationships/hyperlink" Target="https://www.facebook.com/watch/live/?ref=watch_permalink&amp;v=360307549312104" TargetMode="External"/><Relationship Id="rId1524" Type="http://schemas.openxmlformats.org/officeDocument/2006/relationships/hyperlink" Target="https://www.facebook.com/rapplerdotcom/photos/a.317154781638645/5597116770309060/" TargetMode="External"/><Relationship Id="rId3696" Type="http://schemas.openxmlformats.org/officeDocument/2006/relationships/hyperlink" Target="https://www.facebook.com/rapplerdotcom/photos/a.317154781638645/5595162900504447/" TargetMode="External"/><Relationship Id="rId4747" Type="http://schemas.openxmlformats.org/officeDocument/2006/relationships/hyperlink" Target="https://www.facebook.com/watch/live/?ref=watch_permalink&amp;v=923735834984653" TargetMode="External"/><Relationship Id="rId2298" Type="http://schemas.openxmlformats.org/officeDocument/2006/relationships/hyperlink" Target="https://www.facebook.com/rapplerdotcom/photos/a.317154781638645/5596022273751843/" TargetMode="External"/><Relationship Id="rId3349" Type="http://schemas.openxmlformats.org/officeDocument/2006/relationships/hyperlink" Target="https://www.facebook.com/paulpatrick.sapaden" TargetMode="External"/><Relationship Id="rId684" Type="http://schemas.openxmlformats.org/officeDocument/2006/relationships/hyperlink" Target="https://www.facebook.com/rapplerdotcom/photos/a.317154781638645/5597612220259515/" TargetMode="External"/><Relationship Id="rId2365" Type="http://schemas.openxmlformats.org/officeDocument/2006/relationships/hyperlink" Target="https://www.facebook.com/hermiehernandez07" TargetMode="External"/><Relationship Id="rId3763" Type="http://schemas.openxmlformats.org/officeDocument/2006/relationships/hyperlink" Target="https://www.facebook.com/xyrinageneve.tulbe" TargetMode="External"/><Relationship Id="rId4814" Type="http://schemas.openxmlformats.org/officeDocument/2006/relationships/hyperlink" Target="https://www.facebook.com/profile.php?id=100078514241454" TargetMode="External"/><Relationship Id="rId337" Type="http://schemas.openxmlformats.org/officeDocument/2006/relationships/hyperlink" Target="https://www.facebook.com/rapplerdotcom/photos/a.317154781638645/5598220220198715/" TargetMode="External"/><Relationship Id="rId2018" Type="http://schemas.openxmlformats.org/officeDocument/2006/relationships/hyperlink" Target="https://www.facebook.com/rapplerdotcom/photos/a.317154781638645/5596022273751843/" TargetMode="External"/><Relationship Id="rId3416" Type="http://schemas.openxmlformats.org/officeDocument/2006/relationships/hyperlink" Target="https://www.facebook.com/rapplerdotcom/photos/a.317154781638645/5595372260483511/" TargetMode="External"/><Relationship Id="rId3830" Type="http://schemas.openxmlformats.org/officeDocument/2006/relationships/hyperlink" Target="https://www.facebook.com/rapplerdotcom/posts/pfbid0dyWpzxim3h4Z2SYriGakwQw85p7BCAgct7KU5EiMX1bmmgNHDD8nmES8rjrADsrPl" TargetMode="External"/><Relationship Id="rId751" Type="http://schemas.openxmlformats.org/officeDocument/2006/relationships/hyperlink" Target="https://www.facebook.com/abelardo.l.cruz" TargetMode="External"/><Relationship Id="rId1381" Type="http://schemas.openxmlformats.org/officeDocument/2006/relationships/hyperlink" Target="https://www.facebook.com/eva.jimenez.39794895" TargetMode="External"/><Relationship Id="rId2432" Type="http://schemas.openxmlformats.org/officeDocument/2006/relationships/hyperlink" Target="https://www.facebook.com/rapplerdotcom/posts/pfbid0TYP6syjYwznxJKdhWv9YMaXK9NvsSEhQ2cyyCQCPMvGapWXrQBHehywgT156wqNPl" TargetMode="External"/><Relationship Id="rId5588" Type="http://schemas.openxmlformats.org/officeDocument/2006/relationships/hyperlink" Target="https://www.facebook.com/joshuadolor" TargetMode="External"/><Relationship Id="rId404" Type="http://schemas.openxmlformats.org/officeDocument/2006/relationships/hyperlink" Target="https://www.facebook.com/emele.maca.7" TargetMode="External"/><Relationship Id="rId1034" Type="http://schemas.openxmlformats.org/officeDocument/2006/relationships/hyperlink" Target="https://www.facebook.com/rapplerdotcom/photos/a.317154781638645/5597592673594803/" TargetMode="External"/><Relationship Id="rId5655" Type="http://schemas.openxmlformats.org/officeDocument/2006/relationships/hyperlink" Target="https://www.facebook.com/rapplerdotcom/photos/a.317154781638645/5594453700575367/" TargetMode="External"/><Relationship Id="rId1101" Type="http://schemas.openxmlformats.org/officeDocument/2006/relationships/hyperlink" Target="https://www.facebook.com/beng.decastro" TargetMode="External"/><Relationship Id="rId4257" Type="http://schemas.openxmlformats.org/officeDocument/2006/relationships/hyperlink" Target="https://www.facebook.com/rapplerdotcom/photos/a.317154781638645/5594954703858600/" TargetMode="External"/><Relationship Id="rId4671" Type="http://schemas.openxmlformats.org/officeDocument/2006/relationships/hyperlink" Target="https://www.facebook.com/watch/live/?ref=watch_permalink&amp;v=923735834984653" TargetMode="External"/><Relationship Id="rId5308" Type="http://schemas.openxmlformats.org/officeDocument/2006/relationships/hyperlink" Target="https://www.facebook.com/khrix.mirasol" TargetMode="External"/><Relationship Id="rId5722" Type="http://schemas.openxmlformats.org/officeDocument/2006/relationships/hyperlink" Target="https://www.facebook.com/jing.gambayan" TargetMode="External"/><Relationship Id="rId3273" Type="http://schemas.openxmlformats.org/officeDocument/2006/relationships/hyperlink" Target="https://www.facebook.com/nuelle.dominguezduterte.5" TargetMode="External"/><Relationship Id="rId4324" Type="http://schemas.openxmlformats.org/officeDocument/2006/relationships/hyperlink" Target="https://www.facebook.com/galit.jerol" TargetMode="External"/><Relationship Id="rId194" Type="http://schemas.openxmlformats.org/officeDocument/2006/relationships/hyperlink" Target="https://www.facebook.com/rapplerdotcom/posts/pfbid0DUh4iFcrxZuR1UbiGhcAHcMdzsaV29GSeHCY1HabtqcnUWkjStX9TDaVqzzt92GDl" TargetMode="External"/><Relationship Id="rId1918" Type="http://schemas.openxmlformats.org/officeDocument/2006/relationships/hyperlink" Target="https://www.facebook.com/rapplerdotcom/photos/a.317154781638645/5596043783749692/" TargetMode="External"/><Relationship Id="rId261" Type="http://schemas.openxmlformats.org/officeDocument/2006/relationships/hyperlink" Target="https://www.facebook.com/rapplerdotcom/photos/a.317154781638645/5598220220198715/" TargetMode="External"/><Relationship Id="rId3340" Type="http://schemas.openxmlformats.org/officeDocument/2006/relationships/hyperlink" Target="https://www.facebook.com/rapplerdotcom/photos/a.317154781638645/5595372260483511/" TargetMode="External"/><Relationship Id="rId5098" Type="http://schemas.openxmlformats.org/officeDocument/2006/relationships/hyperlink" Target="https://www.facebook.com/ness.lansang.1" TargetMode="External"/><Relationship Id="rId6149" Type="http://schemas.openxmlformats.org/officeDocument/2006/relationships/hyperlink" Target="https://www.facebook.com/rapplerdotcom/posts/pfbid0JJW97xH5fR5tDSLUQ8AnEgkPMU9Aigs9CgcNy2Q7AzJY4R8mRoicBgu3PLdqpf2Tl" TargetMode="External"/><Relationship Id="rId2759" Type="http://schemas.openxmlformats.org/officeDocument/2006/relationships/hyperlink" Target="https://www.facebook.com/profile.php?id=100074931561512" TargetMode="External"/><Relationship Id="rId5165" Type="http://schemas.openxmlformats.org/officeDocument/2006/relationships/hyperlink" Target="https://www.facebook.com/rapplerdotcom/photos/a.317154781638645/5594264657260938/" TargetMode="External"/><Relationship Id="rId6216" Type="http://schemas.openxmlformats.org/officeDocument/2006/relationships/hyperlink" Target="https://www.facebook.com/rigelle.fernandez.39" TargetMode="External"/><Relationship Id="rId1775" Type="http://schemas.openxmlformats.org/officeDocument/2006/relationships/hyperlink" Target="https://www.facebook.com/wengnyssa.wengnyssa" TargetMode="External"/><Relationship Id="rId2826" Type="http://schemas.openxmlformats.org/officeDocument/2006/relationships/hyperlink" Target="https://www.facebook.com/watch/?v=570590637273208" TargetMode="External"/><Relationship Id="rId4181" Type="http://schemas.openxmlformats.org/officeDocument/2006/relationships/hyperlink" Target="https://www.facebook.com/mario.guevarra.56" TargetMode="External"/><Relationship Id="rId5232" Type="http://schemas.openxmlformats.org/officeDocument/2006/relationships/hyperlink" Target="https://www.facebook.com/toto.sanpedro" TargetMode="External"/><Relationship Id="rId67" Type="http://schemas.openxmlformats.org/officeDocument/2006/relationships/hyperlink" Target="https://www.facebook.com/rey.pilapil.940" TargetMode="External"/><Relationship Id="rId1428" Type="http://schemas.openxmlformats.org/officeDocument/2006/relationships/hyperlink" Target="https://www.facebook.com/rapplerdotcom/photos/a.317154781638645/5597116770309060/" TargetMode="External"/><Relationship Id="rId1842" Type="http://schemas.openxmlformats.org/officeDocument/2006/relationships/hyperlink" Target="https://www.facebook.com/rapplerdotcom/photos/a.317154781638645/5596043783749692/" TargetMode="External"/><Relationship Id="rId4998" Type="http://schemas.openxmlformats.org/officeDocument/2006/relationships/hyperlink" Target="https://www.facebook.com/profile.php?id=100012069823437" TargetMode="External"/><Relationship Id="rId6073" Type="http://schemas.openxmlformats.org/officeDocument/2006/relationships/hyperlink" Target="https://www.facebook.com/rapplerdotcom/photos/a.317154781638645/5594359700584767/" TargetMode="External"/><Relationship Id="rId3667" Type="http://schemas.openxmlformats.org/officeDocument/2006/relationships/hyperlink" Target="https://www.facebook.com/jf.ortega.9" TargetMode="External"/><Relationship Id="rId4718" Type="http://schemas.openxmlformats.org/officeDocument/2006/relationships/hyperlink" Target="https://www.facebook.com/julia.evangelista.18488" TargetMode="External"/><Relationship Id="rId588" Type="http://schemas.openxmlformats.org/officeDocument/2006/relationships/hyperlink" Target="https://www.facebook.com/rapplerdotcom/photos/a.317154781638645/5597874143566656" TargetMode="External"/><Relationship Id="rId2269" Type="http://schemas.openxmlformats.org/officeDocument/2006/relationships/hyperlink" Target="https://www.facebook.com/mikhail.maslog" TargetMode="External"/><Relationship Id="rId2683" Type="http://schemas.openxmlformats.org/officeDocument/2006/relationships/hyperlink" Target="https://www.facebook.com/renato.francisco.16503" TargetMode="External"/><Relationship Id="rId3734" Type="http://schemas.openxmlformats.org/officeDocument/2006/relationships/hyperlink" Target="https://www.facebook.com/rapplerdotcom/photos/a.317154781638645/5595162900504447/" TargetMode="External"/><Relationship Id="rId6140" Type="http://schemas.openxmlformats.org/officeDocument/2006/relationships/hyperlink" Target="https://www.facebook.com/profile.php?id=100078958080591" TargetMode="External"/><Relationship Id="rId655" Type="http://schemas.openxmlformats.org/officeDocument/2006/relationships/hyperlink" Target="https://www.facebook.com/wrollee018" TargetMode="External"/><Relationship Id="rId1285" Type="http://schemas.openxmlformats.org/officeDocument/2006/relationships/hyperlink" Target="https://www.facebook.com/ADATL02" TargetMode="External"/><Relationship Id="rId2336" Type="http://schemas.openxmlformats.org/officeDocument/2006/relationships/hyperlink" Target="https://www.facebook.com/rapplerdotcom/posts/pfbid0TYP6syjYwznxJKdhWv9YMaXK9NvsSEhQ2cyyCQCPMvGapWXrQBHehywgT156wqNPl" TargetMode="External"/><Relationship Id="rId2750" Type="http://schemas.openxmlformats.org/officeDocument/2006/relationships/hyperlink" Target="https://www.facebook.com/rapplerdotcom/photos/a.317154781638645/5595733810447356/" TargetMode="External"/><Relationship Id="rId3801" Type="http://schemas.openxmlformats.org/officeDocument/2006/relationships/hyperlink" Target="https://www.facebook.com/ronan.alejandro" TargetMode="External"/><Relationship Id="rId308" Type="http://schemas.openxmlformats.org/officeDocument/2006/relationships/hyperlink" Target="https://www.facebook.com/ventura.mariejane" TargetMode="External"/><Relationship Id="rId722" Type="http://schemas.openxmlformats.org/officeDocument/2006/relationships/hyperlink" Target="https://www.facebook.com/rapplerdotcom/photos/a.317154781638645/5597612220259515/" TargetMode="External"/><Relationship Id="rId1352" Type="http://schemas.openxmlformats.org/officeDocument/2006/relationships/hyperlink" Target="https://www.facebook.com/rapplerdotcom/photos/a.317154781638645/5597116770309060/" TargetMode="External"/><Relationship Id="rId2403" Type="http://schemas.openxmlformats.org/officeDocument/2006/relationships/hyperlink" Target="https://www.facebook.com/pau.ruds" TargetMode="External"/><Relationship Id="rId5559" Type="http://schemas.openxmlformats.org/officeDocument/2006/relationships/hyperlink" Target="https://www.facebook.com/rapplerdotcom/photos/a.317154781638645/5594453700575367/" TargetMode="External"/><Relationship Id="rId1005" Type="http://schemas.openxmlformats.org/officeDocument/2006/relationships/hyperlink" Target="https://www.facebook.com/jenelyn.balili.31" TargetMode="External"/><Relationship Id="rId4575" Type="http://schemas.openxmlformats.org/officeDocument/2006/relationships/hyperlink" Target="https://www.facebook.com/watch/live/?ref=watch_permalink&amp;v=923735834984653" TargetMode="External"/><Relationship Id="rId5973" Type="http://schemas.openxmlformats.org/officeDocument/2006/relationships/hyperlink" Target="https://www.facebook.com/rapplerdotcom/photos/a.317154781638645/5594359700584767/" TargetMode="External"/><Relationship Id="rId3177" Type="http://schemas.openxmlformats.org/officeDocument/2006/relationships/hyperlink" Target="https://www.facebook.com/mutia.joyce.1" TargetMode="External"/><Relationship Id="rId4228" Type="http://schemas.openxmlformats.org/officeDocument/2006/relationships/hyperlink" Target="https://www.facebook.com/rapplerdotcom/photos/a.317154781638645/5594954703858600/" TargetMode="External"/><Relationship Id="rId5626" Type="http://schemas.openxmlformats.org/officeDocument/2006/relationships/hyperlink" Target="https://www.facebook.com/ricky.yanong.37" TargetMode="External"/><Relationship Id="rId3591" Type="http://schemas.openxmlformats.org/officeDocument/2006/relationships/hyperlink" Target="https://www.facebook.com/profile.php?id=100078467486543" TargetMode="External"/><Relationship Id="rId4642" Type="http://schemas.openxmlformats.org/officeDocument/2006/relationships/hyperlink" Target="https://www.facebook.com/menchie.delrosario" TargetMode="External"/><Relationship Id="rId2193" Type="http://schemas.openxmlformats.org/officeDocument/2006/relationships/hyperlink" Target="https://www.facebook.com/faithjoan.gaerlan.5" TargetMode="External"/><Relationship Id="rId3244" Type="http://schemas.openxmlformats.org/officeDocument/2006/relationships/hyperlink" Target="https://www.facebook.com/rapplerdotcom/posts/pfbid035u2RhZvcYSiCeymgBfXLoFoq87y2V8v81A9xDtyoKJgzTGtotsEEoj2bH7Zd4mtzl" TargetMode="External"/><Relationship Id="rId165" Type="http://schemas.openxmlformats.org/officeDocument/2006/relationships/hyperlink" Target="https://www.facebook.com/jose.bataller.16" TargetMode="External"/><Relationship Id="rId2260" Type="http://schemas.openxmlformats.org/officeDocument/2006/relationships/hyperlink" Target="https://www.facebook.com/rapplerdotcom/photos/a.317154781638645/5596022273751843/" TargetMode="External"/><Relationship Id="rId3311" Type="http://schemas.openxmlformats.org/officeDocument/2006/relationships/hyperlink" Target="https://www.facebook.com/marvin.dequina.773" TargetMode="External"/><Relationship Id="rId232" Type="http://schemas.openxmlformats.org/officeDocument/2006/relationships/hyperlink" Target="https://www.facebook.com/cehfabre" TargetMode="External"/><Relationship Id="rId5069" Type="http://schemas.openxmlformats.org/officeDocument/2006/relationships/hyperlink" Target="https://www.facebook.com/rapplerdotcom/posts/pfbid0231hbcbuKeQLDkPH8oZAdZbuU8MPPgRANx152V3xWpbjZ6EvfpohwQMvxHYAgrGPul" TargetMode="External"/><Relationship Id="rId5483" Type="http://schemas.openxmlformats.org/officeDocument/2006/relationships/hyperlink" Target="https://www.facebook.com/watch/live/?ref=watch_permalink&amp;v=312865720941798" TargetMode="External"/><Relationship Id="rId1679" Type="http://schemas.openxmlformats.org/officeDocument/2006/relationships/hyperlink" Target="https://www.facebook.com/yongcoonang" TargetMode="External"/><Relationship Id="rId4085" Type="http://schemas.openxmlformats.org/officeDocument/2006/relationships/hyperlink" Target="https://www.facebook.com/kawboy02" TargetMode="External"/><Relationship Id="rId5136" Type="http://schemas.openxmlformats.org/officeDocument/2006/relationships/hyperlink" Target="https://www.facebook.com/cydrex.bernabe.7" TargetMode="External"/><Relationship Id="rId4152" Type="http://schemas.openxmlformats.org/officeDocument/2006/relationships/hyperlink" Target="https://www.facebook.com/rapplerdotcom/photos/a.317154781638645/5594954703858600/" TargetMode="External"/><Relationship Id="rId5203" Type="http://schemas.openxmlformats.org/officeDocument/2006/relationships/hyperlink" Target="https://www.facebook.com/rapplerdotcom/photos/a.317154781638645/5594264657260938/" TargetMode="External"/><Relationship Id="rId5550" Type="http://schemas.openxmlformats.org/officeDocument/2006/relationships/hyperlink" Target="https://www.facebook.com/ester.yu.7" TargetMode="External"/><Relationship Id="rId1746" Type="http://schemas.openxmlformats.org/officeDocument/2006/relationships/hyperlink" Target="https://www.facebook.com/rapplerdotcom/photos/a.317154781638645/5596043783749692/" TargetMode="External"/><Relationship Id="rId38" Type="http://schemas.openxmlformats.org/officeDocument/2006/relationships/hyperlink" Target="https://www.facebook.com/rapplerdotcom/posts/pfbid0DUh4iFcrxZuR1UbiGhcAHcMdzsaV29GSeHCY1HabtqcnUWkjStX9TDaVqzzt92GDl" TargetMode="External"/><Relationship Id="rId1813" Type="http://schemas.openxmlformats.org/officeDocument/2006/relationships/hyperlink" Target="https://www.facebook.com/Ansabe-Ni-Kuya-2813308388893277/" TargetMode="External"/><Relationship Id="rId4969" Type="http://schemas.openxmlformats.org/officeDocument/2006/relationships/hyperlink" Target="https://www.facebook.com/rapplerdotcom/posts/pfbid02BCyyacWVuuu1bwX5PwYK8PvqDGTANxekqEMy7qyV9vMmaGKTbC8sBf7i5j3Wbx9Ll" TargetMode="External"/><Relationship Id="rId3985" Type="http://schemas.openxmlformats.org/officeDocument/2006/relationships/hyperlink" Target="https://www.facebook.com/aries.raphael" TargetMode="External"/><Relationship Id="rId2587" Type="http://schemas.openxmlformats.org/officeDocument/2006/relationships/hyperlink" Target="https://www.facebook.com/mariano.josh99" TargetMode="External"/><Relationship Id="rId3638" Type="http://schemas.openxmlformats.org/officeDocument/2006/relationships/hyperlink" Target="https://www.facebook.com/rapplerdotcom/photos/a.317154781638645/5595372260483511/" TargetMode="External"/><Relationship Id="rId6044" Type="http://schemas.openxmlformats.org/officeDocument/2006/relationships/hyperlink" Target="https://www.facebook.com/roland.romero.39" TargetMode="External"/><Relationship Id="rId559" Type="http://schemas.openxmlformats.org/officeDocument/2006/relationships/hyperlink" Target="https://www.facebook.com/florentino.quimbo" TargetMode="External"/><Relationship Id="rId1189" Type="http://schemas.openxmlformats.org/officeDocument/2006/relationships/hyperlink" Target="https://www.facebook.com/johndiazcortez" TargetMode="External"/><Relationship Id="rId5060" Type="http://schemas.openxmlformats.org/officeDocument/2006/relationships/hyperlink" Target="https://www.facebook.com/jingbong.suan" TargetMode="External"/><Relationship Id="rId6111" Type="http://schemas.openxmlformats.org/officeDocument/2006/relationships/hyperlink" Target="https://www.facebook.com/rapplerdotcom/photos/a.317154781638645/5594359700584767/" TargetMode="External"/><Relationship Id="rId626" Type="http://schemas.openxmlformats.org/officeDocument/2006/relationships/hyperlink" Target="https://www.facebook.com/rapplerdotcom/photos/a.317154781638645/5597874143566656" TargetMode="External"/><Relationship Id="rId973" Type="http://schemas.openxmlformats.org/officeDocument/2006/relationships/hyperlink" Target="https://www.facebook.com/profile.php?id=100040658171991" TargetMode="External"/><Relationship Id="rId1256" Type="http://schemas.openxmlformats.org/officeDocument/2006/relationships/hyperlink" Target="https://www.facebook.com/rapplerdotcom/posts/pfbid023goEfA6e1ABSWYJFy8fQ5LFWDv4QTSTmAfzySGtMSpy12iqywB2MUZjiZ8GjCxrGl" TargetMode="External"/><Relationship Id="rId2307" Type="http://schemas.openxmlformats.org/officeDocument/2006/relationships/hyperlink" Target="https://www.facebook.com/profile.php?id=100078461366052" TargetMode="External"/><Relationship Id="rId2654" Type="http://schemas.openxmlformats.org/officeDocument/2006/relationships/hyperlink" Target="https://www.facebook.com/rapplerdotcom/photos/a.317154781638645/5595733810447356/" TargetMode="External"/><Relationship Id="rId3705" Type="http://schemas.openxmlformats.org/officeDocument/2006/relationships/hyperlink" Target="https://www.facebook.com/profile.php?id=100008376073692" TargetMode="External"/><Relationship Id="rId1670" Type="http://schemas.openxmlformats.org/officeDocument/2006/relationships/hyperlink" Target="https://www.facebook.com/rapplerdotcom/posts/pfbid02AsSA4LQqjQ2Y8SVathQmtduoE3fhoGvQSNhvrzsMerDaJSQJ6jDvApCCiuaE7XCol" TargetMode="External"/><Relationship Id="rId2721" Type="http://schemas.openxmlformats.org/officeDocument/2006/relationships/hyperlink" Target="https://www.facebook.com/ariesian.eleazar" TargetMode="External"/><Relationship Id="rId5877" Type="http://schemas.openxmlformats.org/officeDocument/2006/relationships/hyperlink" Target="https://www.facebook.com/rapplerdotcom/posts/pfbid0Kg1RoVj1WsJryHzrsA3oSrLQ6DJc4g1o3yMhcNHB9BrPu7fZV7ugtw1hYVefEPE9l" TargetMode="External"/><Relationship Id="rId1323" Type="http://schemas.openxmlformats.org/officeDocument/2006/relationships/hyperlink" Target="https://www.facebook.com/BimBirimBimBim" TargetMode="External"/><Relationship Id="rId4479" Type="http://schemas.openxmlformats.org/officeDocument/2006/relationships/hyperlink" Target="https://www.facebook.com/rapplerdotcom/photos/a.317154781638645/5594954703858600/" TargetMode="External"/><Relationship Id="rId4893" Type="http://schemas.openxmlformats.org/officeDocument/2006/relationships/hyperlink" Target="https://www.facebook.com/watch/live/?ref=watch_permalink&amp;v=923735834984653" TargetMode="External"/><Relationship Id="rId5944" Type="http://schemas.openxmlformats.org/officeDocument/2006/relationships/hyperlink" Target="https://www.facebook.com/rodulfojr.bumaat" TargetMode="External"/><Relationship Id="rId3495" Type="http://schemas.openxmlformats.org/officeDocument/2006/relationships/hyperlink" Target="https://www.facebook.com/BimBirimBimBim" TargetMode="External"/><Relationship Id="rId4546" Type="http://schemas.openxmlformats.org/officeDocument/2006/relationships/hyperlink" Target="https://www.facebook.com/acsaudi" TargetMode="External"/><Relationship Id="rId4960" Type="http://schemas.openxmlformats.org/officeDocument/2006/relationships/hyperlink" Target="https://www.facebook.com/melinda.santelices" TargetMode="External"/><Relationship Id="rId2097" Type="http://schemas.openxmlformats.org/officeDocument/2006/relationships/hyperlink" Target="https://www.facebook.com/sophia.durmiendo" TargetMode="External"/><Relationship Id="rId3148" Type="http://schemas.openxmlformats.org/officeDocument/2006/relationships/hyperlink" Target="https://www.facebook.com/watch/live/?ref=watch_permalink&amp;v=360307549312104" TargetMode="External"/><Relationship Id="rId3562" Type="http://schemas.openxmlformats.org/officeDocument/2006/relationships/hyperlink" Target="https://www.facebook.com/rapplerdotcom/photos/a.317154781638645/5595372260483511/" TargetMode="External"/><Relationship Id="rId4613" Type="http://schemas.openxmlformats.org/officeDocument/2006/relationships/hyperlink" Target="https://www.facebook.com/watch/live/?ref=watch_permalink&amp;v=923735834984653" TargetMode="External"/><Relationship Id="rId483" Type="http://schemas.openxmlformats.org/officeDocument/2006/relationships/hyperlink" Target="https://www.facebook.com/rapplerdotcom/photos/a.317154781638645/5598220220198715/" TargetMode="External"/><Relationship Id="rId2164" Type="http://schemas.openxmlformats.org/officeDocument/2006/relationships/hyperlink" Target="https://www.facebook.com/rapplerdotcom/photos/a.317154781638645/5596022273751843/" TargetMode="External"/><Relationship Id="rId3215" Type="http://schemas.openxmlformats.org/officeDocument/2006/relationships/hyperlink" Target="https://www.facebook.com/paul.balite" TargetMode="External"/><Relationship Id="rId136" Type="http://schemas.openxmlformats.org/officeDocument/2006/relationships/hyperlink" Target="https://www.facebook.com/rapplerdotcom/posts/pfbid0DUh4iFcrxZuR1UbiGhcAHcMdzsaV29GSeHCY1HabtqcnUWkjStX9TDaVqzzt92GDl" TargetMode="External"/><Relationship Id="rId550" Type="http://schemas.openxmlformats.org/officeDocument/2006/relationships/hyperlink" Target="https://www.facebook.com/rapplerdotcom/photos/a.317154781638645/5597874143566656" TargetMode="External"/><Relationship Id="rId1180" Type="http://schemas.openxmlformats.org/officeDocument/2006/relationships/hyperlink" Target="https://www.facebook.com/rapplerdotcom/posts/pfbid02dNgAR64VTtp94Rus4o9MNbU55E2H9Wp7KMKzJGkk6u4UxRyHU8j2pPpwa5iwGcD3l" TargetMode="External"/><Relationship Id="rId2231" Type="http://schemas.openxmlformats.org/officeDocument/2006/relationships/hyperlink" Target="https://www.facebook.com/chabbykitz" TargetMode="External"/><Relationship Id="rId5387" Type="http://schemas.openxmlformats.org/officeDocument/2006/relationships/hyperlink" Target="https://www.facebook.com/rapplerdotcom/photos/a.317154781638645/5594264657260938/" TargetMode="External"/><Relationship Id="rId203" Type="http://schemas.openxmlformats.org/officeDocument/2006/relationships/hyperlink" Target="https://www.facebook.com/jeff.gallo.1213" TargetMode="External"/><Relationship Id="rId1997" Type="http://schemas.openxmlformats.org/officeDocument/2006/relationships/hyperlink" Target="https://www.facebook.com/lrelator" TargetMode="External"/><Relationship Id="rId4056" Type="http://schemas.openxmlformats.org/officeDocument/2006/relationships/hyperlink" Target="https://www.facebook.com/rapplerdotcom/posts/pfbid02kmyrDmvYtHxz51VdR228sTCyvbHYDrwL4TgeoVAenoprSKkWhUFLyRmAuKBuGtXXl" TargetMode="External"/><Relationship Id="rId5454" Type="http://schemas.openxmlformats.org/officeDocument/2006/relationships/hyperlink" Target="https://www.facebook.com/wilfredo.perez.581" TargetMode="External"/><Relationship Id="rId4470" Type="http://schemas.openxmlformats.org/officeDocument/2006/relationships/hyperlink" Target="https://www.facebook.com/profile.php?id=100003301642045" TargetMode="External"/><Relationship Id="rId5107" Type="http://schemas.openxmlformats.org/officeDocument/2006/relationships/hyperlink" Target="https://www.facebook.com/rapplerdotcom/photos/a.317154781638645/5594264657260938/" TargetMode="External"/><Relationship Id="rId5521" Type="http://schemas.openxmlformats.org/officeDocument/2006/relationships/hyperlink" Target="https://www.facebook.com/rapplerdotcom/photos/a.317154781638645/5594453700575367/" TargetMode="External"/><Relationship Id="rId1717" Type="http://schemas.openxmlformats.org/officeDocument/2006/relationships/hyperlink" Target="https://www.facebook.com/profile.php?id=100009486210065" TargetMode="External"/><Relationship Id="rId3072" Type="http://schemas.openxmlformats.org/officeDocument/2006/relationships/hyperlink" Target="https://www.facebook.com/watch/live/?ref=watch_permalink&amp;v=360307549312104" TargetMode="External"/><Relationship Id="rId4123" Type="http://schemas.openxmlformats.org/officeDocument/2006/relationships/hyperlink" Target="https://www.facebook.com/mariaana.fontamillas" TargetMode="External"/><Relationship Id="rId3889" Type="http://schemas.openxmlformats.org/officeDocument/2006/relationships/hyperlink" Target="https://www.facebook.com/jennifer.alison" TargetMode="External"/><Relationship Id="rId3956" Type="http://schemas.openxmlformats.org/officeDocument/2006/relationships/hyperlink" Target="https://www.facebook.com/rapplerdotcom/posts/pfbid0dyWpzxim3h4Z2SYriGakwQw85p7BCAgct7KU5EiMX1bmmgNHDD8nmES8rjrADsrPl" TargetMode="External"/><Relationship Id="rId6015" Type="http://schemas.openxmlformats.org/officeDocument/2006/relationships/hyperlink" Target="https://www.facebook.com/rapplerdotcom/photos/a.317154781638645/5594359700584767/" TargetMode="External"/><Relationship Id="rId877" Type="http://schemas.openxmlformats.org/officeDocument/2006/relationships/hyperlink" Target="https://www.facebook.com/debbie.garcia.71216141" TargetMode="External"/><Relationship Id="rId2558" Type="http://schemas.openxmlformats.org/officeDocument/2006/relationships/hyperlink" Target="https://www.facebook.com/rapplerdotcom/photos/a.317154781638645/5595733810447356/" TargetMode="External"/><Relationship Id="rId2972" Type="http://schemas.openxmlformats.org/officeDocument/2006/relationships/hyperlink" Target="https://www.facebook.com/watch/live/?ref=watch_permalink&amp;v=360307549312104" TargetMode="External"/><Relationship Id="rId3609" Type="http://schemas.openxmlformats.org/officeDocument/2006/relationships/hyperlink" Target="https://www.facebook.com/jeanpaul.jazmin" TargetMode="External"/><Relationship Id="rId944" Type="http://schemas.openxmlformats.org/officeDocument/2006/relationships/hyperlink" Target="https://www.facebook.com/rapplerdotcom/photos/a.317154781638645/5597592673594803/" TargetMode="External"/><Relationship Id="rId1574" Type="http://schemas.openxmlformats.org/officeDocument/2006/relationships/hyperlink" Target="https://www.facebook.com/rapplerdotcom/photos/a.317154781638645/5597116770309060/" TargetMode="External"/><Relationship Id="rId2625" Type="http://schemas.openxmlformats.org/officeDocument/2006/relationships/hyperlink" Target="https://www.facebook.com/aila0726" TargetMode="External"/><Relationship Id="rId5031" Type="http://schemas.openxmlformats.org/officeDocument/2006/relationships/hyperlink" Target="https://www.facebook.com/rapplerdotcom/posts/pfbid02BCyyacWVuuu1bwX5PwYK8PvqDGTANxekqEMy7qyV9vMmaGKTbC8sBf7i5j3Wbx9Ll" TargetMode="External"/><Relationship Id="rId1227" Type="http://schemas.openxmlformats.org/officeDocument/2006/relationships/hyperlink" Target="https://www.facebook.com/cecilia.rebong" TargetMode="External"/><Relationship Id="rId1641" Type="http://schemas.openxmlformats.org/officeDocument/2006/relationships/hyperlink" Target="https://www.facebook.com/nes.jularbal.69" TargetMode="External"/><Relationship Id="rId4797" Type="http://schemas.openxmlformats.org/officeDocument/2006/relationships/hyperlink" Target="https://www.facebook.com/watch/live/?ref=watch_permalink&amp;v=923735834984653" TargetMode="External"/><Relationship Id="rId5848" Type="http://schemas.openxmlformats.org/officeDocument/2006/relationships/hyperlink" Target="https://www.facebook.com/jessie.villagracia.37" TargetMode="External"/><Relationship Id="rId3399" Type="http://schemas.openxmlformats.org/officeDocument/2006/relationships/hyperlink" Target="https://www.facebook.com/eduardo.m.lombo" TargetMode="External"/><Relationship Id="rId4864" Type="http://schemas.openxmlformats.org/officeDocument/2006/relationships/hyperlink" Target="https://www.facebook.com/oliverioalicabo.orland.9" TargetMode="External"/><Relationship Id="rId3466" Type="http://schemas.openxmlformats.org/officeDocument/2006/relationships/hyperlink" Target="https://www.facebook.com/rapplerdotcom/photos/a.317154781638645/5595372260483511/" TargetMode="External"/><Relationship Id="rId4517" Type="http://schemas.openxmlformats.org/officeDocument/2006/relationships/hyperlink" Target="https://www.facebook.com/rapplerdotcom/photos/a.317154781638645/5594954703858600/" TargetMode="External"/><Relationship Id="rId5915" Type="http://schemas.openxmlformats.org/officeDocument/2006/relationships/hyperlink" Target="https://www.facebook.com/rapplerdotcom/photos/a.317154781638645/5594359700584767/" TargetMode="External"/><Relationship Id="rId387" Type="http://schemas.openxmlformats.org/officeDocument/2006/relationships/hyperlink" Target="https://www.facebook.com/rapplerdotcom/photos/a.317154781638645/5598220220198715/" TargetMode="External"/><Relationship Id="rId2068" Type="http://schemas.openxmlformats.org/officeDocument/2006/relationships/hyperlink" Target="https://www.facebook.com/rapplerdotcom/photos/a.317154781638645/5596022273751843/" TargetMode="External"/><Relationship Id="rId3119" Type="http://schemas.openxmlformats.org/officeDocument/2006/relationships/hyperlink" Target="https://www.facebook.com/profile.php?id=100070669880767" TargetMode="External"/><Relationship Id="rId3880" Type="http://schemas.openxmlformats.org/officeDocument/2006/relationships/hyperlink" Target="https://www.facebook.com/rapplerdotcom/posts/pfbid0dyWpzxim3h4Z2SYriGakwQw85p7BCAgct7KU5EiMX1bmmgNHDD8nmES8rjrADsrPl" TargetMode="External"/><Relationship Id="rId4931" Type="http://schemas.openxmlformats.org/officeDocument/2006/relationships/hyperlink" Target="https://www.facebook.com/rapplerdotcom/posts/pfbid02BCyyacWVuuu1bwX5PwYK8PvqDGTANxekqEMy7qyV9vMmaGKTbC8sBf7i5j3Wbx9Ll" TargetMode="External"/><Relationship Id="rId1084" Type="http://schemas.openxmlformats.org/officeDocument/2006/relationships/hyperlink" Target="https://www.facebook.com/rapplerdotcom/posts/pfbid028Kg188FmebKa4aFvHZNp8zGTwjghWDDJuUmQ8agbSCvGAGJHZ7pBH9NmxLBmPZZdl" TargetMode="External"/><Relationship Id="rId2482" Type="http://schemas.openxmlformats.org/officeDocument/2006/relationships/hyperlink" Target="https://www.facebook.com/rapplerdotcom/posts/pfbid0TYP6syjYwznxJKdhWv9YMaXK9NvsSEhQ2cyyCQCPMvGapWXrQBHehywgT156wqNPl" TargetMode="External"/><Relationship Id="rId3533" Type="http://schemas.openxmlformats.org/officeDocument/2006/relationships/hyperlink" Target="https://www.facebook.com/rohan2009" TargetMode="External"/><Relationship Id="rId107" Type="http://schemas.openxmlformats.org/officeDocument/2006/relationships/hyperlink" Target="https://www.facebook.com/profile.php?id=100009426127646" TargetMode="External"/><Relationship Id="rId454" Type="http://schemas.openxmlformats.org/officeDocument/2006/relationships/hyperlink" Target="https://www.facebook.com/scott.dejitomccall" TargetMode="External"/><Relationship Id="rId2135" Type="http://schemas.openxmlformats.org/officeDocument/2006/relationships/hyperlink" Target="https://www.facebook.com/asset.serrano" TargetMode="External"/><Relationship Id="rId3600" Type="http://schemas.openxmlformats.org/officeDocument/2006/relationships/hyperlink" Target="https://www.facebook.com/rapplerdotcom/photos/a.317154781638645/5595372260483511/" TargetMode="External"/><Relationship Id="rId521" Type="http://schemas.openxmlformats.org/officeDocument/2006/relationships/hyperlink" Target="https://www.facebook.com/rapplerdotcom/photos/a.317154781638645/5598220220198715/" TargetMode="External"/><Relationship Id="rId1151" Type="http://schemas.openxmlformats.org/officeDocument/2006/relationships/hyperlink" Target="https://www.facebook.com/mariatheresa.aguilar.35" TargetMode="External"/><Relationship Id="rId2202" Type="http://schemas.openxmlformats.org/officeDocument/2006/relationships/hyperlink" Target="https://www.facebook.com/rapplerdotcom/photos/a.317154781638645/5596022273751843/" TargetMode="External"/><Relationship Id="rId5358" Type="http://schemas.openxmlformats.org/officeDocument/2006/relationships/hyperlink" Target="https://www.facebook.com/holaissa.jaboneta" TargetMode="External"/><Relationship Id="rId5772" Type="http://schemas.openxmlformats.org/officeDocument/2006/relationships/hyperlink" Target="https://www.facebook.com/profile.php?id=100076414760032" TargetMode="External"/><Relationship Id="rId1968" Type="http://schemas.openxmlformats.org/officeDocument/2006/relationships/hyperlink" Target="https://www.facebook.com/rapplerdotcom/photos/a.317154781638645/5596043783749692/" TargetMode="External"/><Relationship Id="rId4374" Type="http://schemas.openxmlformats.org/officeDocument/2006/relationships/hyperlink" Target="https://www.facebook.com/dianjane.sy" TargetMode="External"/><Relationship Id="rId5425" Type="http://schemas.openxmlformats.org/officeDocument/2006/relationships/hyperlink" Target="https://www.facebook.com/watch/live/?ref=watch_permalink&amp;v=312865720941798" TargetMode="External"/><Relationship Id="rId3390" Type="http://schemas.openxmlformats.org/officeDocument/2006/relationships/hyperlink" Target="https://www.facebook.com/rapplerdotcom/photos/a.317154781638645/5595372260483511/" TargetMode="External"/><Relationship Id="rId4027" Type="http://schemas.openxmlformats.org/officeDocument/2006/relationships/hyperlink" Target="https://www.facebook.com/mark.pahate" TargetMode="External"/><Relationship Id="rId4441" Type="http://schemas.openxmlformats.org/officeDocument/2006/relationships/hyperlink" Target="https://www.facebook.com/rapplerdotcom/photos/a.317154781638645/5594954703858600/" TargetMode="External"/><Relationship Id="rId3043" Type="http://schemas.openxmlformats.org/officeDocument/2006/relationships/hyperlink" Target="https://www.facebook.com/dollysampane" TargetMode="External"/><Relationship Id="rId6199" Type="http://schemas.openxmlformats.org/officeDocument/2006/relationships/hyperlink" Target="https://www.facebook.com/watch/?v=684555919511830" TargetMode="External"/><Relationship Id="rId3110" Type="http://schemas.openxmlformats.org/officeDocument/2006/relationships/hyperlink" Target="https://www.facebook.com/watch/live/?ref=watch_permalink&amp;v=360307549312104" TargetMode="External"/><Relationship Id="rId2876" Type="http://schemas.openxmlformats.org/officeDocument/2006/relationships/hyperlink" Target="https://www.facebook.com/watch/?v=570590637273208" TargetMode="External"/><Relationship Id="rId3927" Type="http://schemas.openxmlformats.org/officeDocument/2006/relationships/hyperlink" Target="https://www.facebook.com/juliza.gulandrina.56" TargetMode="External"/><Relationship Id="rId5282" Type="http://schemas.openxmlformats.org/officeDocument/2006/relationships/hyperlink" Target="https://www.facebook.com/renato.visitacion" TargetMode="External"/><Relationship Id="rId848" Type="http://schemas.openxmlformats.org/officeDocument/2006/relationships/hyperlink" Target="https://www.facebook.com/rapplerdotcom/photos/a.317154781638645/5597612220259515/" TargetMode="External"/><Relationship Id="rId1478" Type="http://schemas.openxmlformats.org/officeDocument/2006/relationships/hyperlink" Target="https://www.facebook.com/rapplerdotcom/photos/a.317154781638645/5597116770309060/" TargetMode="External"/><Relationship Id="rId1892" Type="http://schemas.openxmlformats.org/officeDocument/2006/relationships/hyperlink" Target="https://www.facebook.com/rapplerdotcom/photos/a.317154781638645/5596043783749692/" TargetMode="External"/><Relationship Id="rId2529" Type="http://schemas.openxmlformats.org/officeDocument/2006/relationships/hyperlink" Target="https://www.facebook.com/shootafar" TargetMode="External"/><Relationship Id="rId915" Type="http://schemas.openxmlformats.org/officeDocument/2006/relationships/hyperlink" Target="https://www.facebook.com/angelitoljaojr" TargetMode="External"/><Relationship Id="rId1545" Type="http://schemas.openxmlformats.org/officeDocument/2006/relationships/hyperlink" Target="https://www.facebook.com/mcdolawcarla" TargetMode="External"/><Relationship Id="rId2943" Type="http://schemas.openxmlformats.org/officeDocument/2006/relationships/hyperlink" Target="https://www.facebook.com/edralin.munoz.7" TargetMode="External"/><Relationship Id="rId5002" Type="http://schemas.openxmlformats.org/officeDocument/2006/relationships/hyperlink" Target="https://www.facebook.com/fonzy.alfonso.79" TargetMode="External"/><Relationship Id="rId1612" Type="http://schemas.openxmlformats.org/officeDocument/2006/relationships/hyperlink" Target="https://www.facebook.com/rapplerdotcom/posts/pfbid02AsSA4LQqjQ2Y8SVathQmtduoE3fhoGvQSNhvrzsMerDaJSQJ6jDvApCCiuaE7XCol" TargetMode="External"/><Relationship Id="rId4768" Type="http://schemas.openxmlformats.org/officeDocument/2006/relationships/hyperlink" Target="https://www.facebook.com/glenda.calvario.129" TargetMode="External"/><Relationship Id="rId5819" Type="http://schemas.openxmlformats.org/officeDocument/2006/relationships/hyperlink" Target="https://www.facebook.com/rapplerdotcom/photos/a.317154781638645/5594453700575367/" TargetMode="External"/><Relationship Id="rId6190" Type="http://schemas.openxmlformats.org/officeDocument/2006/relationships/hyperlink" Target="https://www.facebook.com/profile.php?id=100008940702894" TargetMode="External"/><Relationship Id="rId3784" Type="http://schemas.openxmlformats.org/officeDocument/2006/relationships/hyperlink" Target="https://www.facebook.com/rapplerdotcom/posts/pfbid0dyWpzxim3h4Z2SYriGakwQw85p7BCAgct7KU5EiMX1bmmgNHDD8nmES8rjrADsrPl" TargetMode="External"/><Relationship Id="rId4835" Type="http://schemas.openxmlformats.org/officeDocument/2006/relationships/hyperlink" Target="https://www.facebook.com/watch/live/?ref=watch_permalink&amp;v=923735834984653" TargetMode="External"/><Relationship Id="rId2386" Type="http://schemas.openxmlformats.org/officeDocument/2006/relationships/hyperlink" Target="https://www.facebook.com/rapplerdotcom/posts/pfbid0TYP6syjYwznxJKdhWv9YMaXK9NvsSEhQ2cyyCQCPMvGapWXrQBHehywgT156wqNPl" TargetMode="External"/><Relationship Id="rId3437" Type="http://schemas.openxmlformats.org/officeDocument/2006/relationships/hyperlink" Target="https://www.facebook.com/herdie.092020" TargetMode="External"/><Relationship Id="rId3851" Type="http://schemas.openxmlformats.org/officeDocument/2006/relationships/hyperlink" Target="https://www.facebook.com/rodrigo.lapidario16" TargetMode="External"/><Relationship Id="rId4902" Type="http://schemas.openxmlformats.org/officeDocument/2006/relationships/hyperlink" Target="https://www.facebook.com/profile.php?id=100005160163120" TargetMode="External"/><Relationship Id="rId358" Type="http://schemas.openxmlformats.org/officeDocument/2006/relationships/hyperlink" Target="https://www.facebook.com/ner.estrellado" TargetMode="External"/><Relationship Id="rId772" Type="http://schemas.openxmlformats.org/officeDocument/2006/relationships/hyperlink" Target="https://www.facebook.com/rapplerdotcom/photos/a.317154781638645/5597612220259515/" TargetMode="External"/><Relationship Id="rId2039" Type="http://schemas.openxmlformats.org/officeDocument/2006/relationships/hyperlink" Target="https://www.facebook.com/sam.banaan.7" TargetMode="External"/><Relationship Id="rId2453" Type="http://schemas.openxmlformats.org/officeDocument/2006/relationships/hyperlink" Target="https://www.facebook.com/alistairjason.tamayou" TargetMode="External"/><Relationship Id="rId3504" Type="http://schemas.openxmlformats.org/officeDocument/2006/relationships/hyperlink" Target="https://www.facebook.com/rapplerdotcom/photos/a.317154781638645/5595372260483511/" TargetMode="External"/><Relationship Id="rId425" Type="http://schemas.openxmlformats.org/officeDocument/2006/relationships/hyperlink" Target="https://www.facebook.com/rapplerdotcom/photos/a.317154781638645/5598220220198715/" TargetMode="External"/><Relationship Id="rId1055" Type="http://schemas.openxmlformats.org/officeDocument/2006/relationships/hyperlink" Target="https://www.facebook.com/jening.martinez" TargetMode="External"/><Relationship Id="rId2106" Type="http://schemas.openxmlformats.org/officeDocument/2006/relationships/hyperlink" Target="https://www.facebook.com/rapplerdotcom/photos/a.317154781638645/5596022273751843/" TargetMode="External"/><Relationship Id="rId2520" Type="http://schemas.openxmlformats.org/officeDocument/2006/relationships/hyperlink" Target="https://www.facebook.com/rapplerdotcom/posts/pfbid0TYP6syjYwznxJKdhWv9YMaXK9NvsSEhQ2cyyCQCPMvGapWXrQBHehywgT156wqNPl" TargetMode="External"/><Relationship Id="rId5676" Type="http://schemas.openxmlformats.org/officeDocument/2006/relationships/hyperlink" Target="https://www.facebook.com/danilo.onggona.16" TargetMode="External"/><Relationship Id="rId1122" Type="http://schemas.openxmlformats.org/officeDocument/2006/relationships/hyperlink" Target="https://www.facebook.com/rapplerdotcom/posts/pfbid02dNgAR64VTtp94Rus4o9MNbU55E2H9Wp7KMKzJGkk6u4UxRyHU8j2pPpwa5iwGcD3l" TargetMode="External"/><Relationship Id="rId4278" Type="http://schemas.openxmlformats.org/officeDocument/2006/relationships/hyperlink" Target="https://www.facebook.com/cayetano.cabello.3" TargetMode="External"/><Relationship Id="rId5329" Type="http://schemas.openxmlformats.org/officeDocument/2006/relationships/hyperlink" Target="https://www.facebook.com/rapplerdotcom/photos/a.317154781638645/5594264657260938/" TargetMode="External"/><Relationship Id="rId3294" Type="http://schemas.openxmlformats.org/officeDocument/2006/relationships/hyperlink" Target="https://www.facebook.com/rapplerdotcom/photos/a.317154781638645/5595372260483511/" TargetMode="External"/><Relationship Id="rId4345" Type="http://schemas.openxmlformats.org/officeDocument/2006/relationships/hyperlink" Target="https://www.facebook.com/rapplerdotcom/photos/a.317154781638645/5594954703858600/" TargetMode="External"/><Relationship Id="rId4692" Type="http://schemas.openxmlformats.org/officeDocument/2006/relationships/hyperlink" Target="https://www.facebook.com/salvie.maris.5" TargetMode="External"/><Relationship Id="rId5743" Type="http://schemas.openxmlformats.org/officeDocument/2006/relationships/hyperlink" Target="https://www.facebook.com/rapplerdotcom/photos/a.317154781638645/5594453700575367/" TargetMode="External"/><Relationship Id="rId1939" Type="http://schemas.openxmlformats.org/officeDocument/2006/relationships/hyperlink" Target="https://www.facebook.com/kim.sioson" TargetMode="External"/><Relationship Id="rId5810" Type="http://schemas.openxmlformats.org/officeDocument/2006/relationships/hyperlink" Target="https://www.facebook.com/jessie.villagracia.37" TargetMode="External"/><Relationship Id="rId3361" Type="http://schemas.openxmlformats.org/officeDocument/2006/relationships/hyperlink" Target="https://www.facebook.com/nilo.asas" TargetMode="External"/><Relationship Id="rId4412" Type="http://schemas.openxmlformats.org/officeDocument/2006/relationships/hyperlink" Target="https://www.facebook.com/josie.roncal.3" TargetMode="External"/><Relationship Id="rId282" Type="http://schemas.openxmlformats.org/officeDocument/2006/relationships/hyperlink" Target="https://www.facebook.com/bella.sarenas" TargetMode="External"/><Relationship Id="rId3014" Type="http://schemas.openxmlformats.org/officeDocument/2006/relationships/hyperlink" Target="https://www.facebook.com/watch/live/?ref=watch_permalink&amp;v=360307549312104" TargetMode="External"/><Relationship Id="rId2030" Type="http://schemas.openxmlformats.org/officeDocument/2006/relationships/hyperlink" Target="https://www.facebook.com/rapplerdotcom/photos/a.317154781638645/5596022273751843/" TargetMode="External"/><Relationship Id="rId5186" Type="http://schemas.openxmlformats.org/officeDocument/2006/relationships/hyperlink" Target="https://www.facebook.com/lilian.sunglao" TargetMode="External"/><Relationship Id="rId5253" Type="http://schemas.openxmlformats.org/officeDocument/2006/relationships/hyperlink" Target="https://www.facebook.com/rapplerdotcom/photos/a.317154781638645/5594264657260938/" TargetMode="External"/><Relationship Id="rId1449" Type="http://schemas.openxmlformats.org/officeDocument/2006/relationships/hyperlink" Target="https://www.facebook.com/danny.vedua" TargetMode="External"/><Relationship Id="rId1796" Type="http://schemas.openxmlformats.org/officeDocument/2006/relationships/hyperlink" Target="https://www.facebook.com/rapplerdotcom/photos/a.317154781638645/5596043783749692/" TargetMode="External"/><Relationship Id="rId2847" Type="http://schemas.openxmlformats.org/officeDocument/2006/relationships/hyperlink" Target="https://www.facebook.com/benjie.roquejr" TargetMode="External"/><Relationship Id="rId88" Type="http://schemas.openxmlformats.org/officeDocument/2006/relationships/hyperlink" Target="https://www.facebook.com/rapplerdotcom/posts/pfbid0DUh4iFcrxZuR1UbiGhcAHcMdzsaV29GSeHCY1HabtqcnUWkjStX9TDaVqzzt92GDl" TargetMode="External"/><Relationship Id="rId819" Type="http://schemas.openxmlformats.org/officeDocument/2006/relationships/hyperlink" Target="https://www.facebook.com/tirso.musa.94" TargetMode="External"/><Relationship Id="rId1863" Type="http://schemas.openxmlformats.org/officeDocument/2006/relationships/hyperlink" Target="https://www.facebook.com/rensoriframos" TargetMode="External"/><Relationship Id="rId2914" Type="http://schemas.openxmlformats.org/officeDocument/2006/relationships/hyperlink" Target="https://www.facebook.com/watch/live/?ref=watch_permalink&amp;v=360307549312104" TargetMode="External"/><Relationship Id="rId5320" Type="http://schemas.openxmlformats.org/officeDocument/2006/relationships/hyperlink" Target="https://www.facebook.com/drea.parcon" TargetMode="External"/><Relationship Id="rId1516" Type="http://schemas.openxmlformats.org/officeDocument/2006/relationships/hyperlink" Target="https://www.facebook.com/rapplerdotcom/photos/a.317154781638645/5597116770309060/" TargetMode="External"/><Relationship Id="rId1930" Type="http://schemas.openxmlformats.org/officeDocument/2006/relationships/hyperlink" Target="https://www.facebook.com/rapplerdotcom/photos/a.317154781638645/5596043783749692/" TargetMode="External"/><Relationship Id="rId3688" Type="http://schemas.openxmlformats.org/officeDocument/2006/relationships/hyperlink" Target="https://www.facebook.com/rapplerdotcom/photos/a.317154781638645/5595162900504447/" TargetMode="External"/><Relationship Id="rId4739" Type="http://schemas.openxmlformats.org/officeDocument/2006/relationships/hyperlink" Target="https://www.facebook.com/watch/live/?ref=watch_permalink&amp;v=923735834984653" TargetMode="External"/><Relationship Id="rId6094" Type="http://schemas.openxmlformats.org/officeDocument/2006/relationships/hyperlink" Target="https://www.facebook.com/verminda.raymundo.96" TargetMode="External"/><Relationship Id="rId3755" Type="http://schemas.openxmlformats.org/officeDocument/2006/relationships/hyperlink" Target="https://www.facebook.com/cehfabre" TargetMode="External"/><Relationship Id="rId4806" Type="http://schemas.openxmlformats.org/officeDocument/2006/relationships/hyperlink" Target="https://www.facebook.com/nelia.forteza.1" TargetMode="External"/><Relationship Id="rId6161" Type="http://schemas.openxmlformats.org/officeDocument/2006/relationships/hyperlink" Target="https://www.facebook.com/rapplerdotcom/posts/pfbid0JJW97xH5fR5tDSLUQ8AnEgkPMU9Aigs9CgcNy2Q7AzJY4R8mRoicBgu3PLdqpf2Tl" TargetMode="External"/><Relationship Id="rId676" Type="http://schemas.openxmlformats.org/officeDocument/2006/relationships/hyperlink" Target="https://www.facebook.com/rapplerdotcom/photos/a.317154781638645/5597612220259515/" TargetMode="External"/><Relationship Id="rId2357" Type="http://schemas.openxmlformats.org/officeDocument/2006/relationships/hyperlink" Target="https://www.facebook.com/yisamagallanes" TargetMode="External"/><Relationship Id="rId3408" Type="http://schemas.openxmlformats.org/officeDocument/2006/relationships/hyperlink" Target="https://www.facebook.com/rapplerdotcom/photos/a.317154781638645/5595372260483511/" TargetMode="External"/><Relationship Id="rId329" Type="http://schemas.openxmlformats.org/officeDocument/2006/relationships/hyperlink" Target="https://www.facebook.com/rapplerdotcom/photos/a.317154781638645/5598220220198715/" TargetMode="External"/><Relationship Id="rId1373" Type="http://schemas.openxmlformats.org/officeDocument/2006/relationships/hyperlink" Target="https://www.facebook.com/jeery.s.gerard" TargetMode="External"/><Relationship Id="rId2771" Type="http://schemas.openxmlformats.org/officeDocument/2006/relationships/hyperlink" Target="https://www.facebook.com/djlansang" TargetMode="External"/><Relationship Id="rId3822" Type="http://schemas.openxmlformats.org/officeDocument/2006/relationships/hyperlink" Target="https://www.facebook.com/rapplerdotcom/posts/pfbid0dyWpzxim3h4Z2SYriGakwQw85p7BCAgct7KU5EiMX1bmmgNHDD8nmES8rjrADsrPl" TargetMode="External"/><Relationship Id="rId743" Type="http://schemas.openxmlformats.org/officeDocument/2006/relationships/hyperlink" Target="https://www.facebook.com/nelson.figueroa.1048" TargetMode="External"/><Relationship Id="rId1026" Type="http://schemas.openxmlformats.org/officeDocument/2006/relationships/hyperlink" Target="https://www.facebook.com/rapplerdotcom/photos/a.317154781638645/5597592673594803/" TargetMode="External"/><Relationship Id="rId2424" Type="http://schemas.openxmlformats.org/officeDocument/2006/relationships/hyperlink" Target="https://www.facebook.com/rapplerdotcom/posts/pfbid0TYP6syjYwznxJKdhWv9YMaXK9NvsSEhQ2cyyCQCPMvGapWXrQBHehywgT156wqNPl" TargetMode="External"/><Relationship Id="rId5994" Type="http://schemas.openxmlformats.org/officeDocument/2006/relationships/hyperlink" Target="https://www.facebook.com/rboy.escaran" TargetMode="External"/><Relationship Id="rId810" Type="http://schemas.openxmlformats.org/officeDocument/2006/relationships/hyperlink" Target="https://www.facebook.com/rapplerdotcom/photos/a.317154781638645/5597612220259515/" TargetMode="External"/><Relationship Id="rId1440" Type="http://schemas.openxmlformats.org/officeDocument/2006/relationships/hyperlink" Target="https://www.facebook.com/rapplerdotcom/photos/a.317154781638645/5597116770309060/" TargetMode="External"/><Relationship Id="rId4596" Type="http://schemas.openxmlformats.org/officeDocument/2006/relationships/hyperlink" Target="https://www.facebook.com/julia.evangelista.18488" TargetMode="External"/><Relationship Id="rId5647" Type="http://schemas.openxmlformats.org/officeDocument/2006/relationships/hyperlink" Target="https://www.facebook.com/rapplerdotcom/photos/a.317154781638645/5594453700575367/" TargetMode="External"/><Relationship Id="rId3198" Type="http://schemas.openxmlformats.org/officeDocument/2006/relationships/hyperlink" Target="https://www.facebook.com/watch/live/?ref=watch_permalink&amp;v=332681445500650" TargetMode="External"/><Relationship Id="rId4249" Type="http://schemas.openxmlformats.org/officeDocument/2006/relationships/hyperlink" Target="https://www.facebook.com/rapplerdotcom/photos/a.317154781638645/5594954703858600/" TargetMode="External"/><Relationship Id="rId4663" Type="http://schemas.openxmlformats.org/officeDocument/2006/relationships/hyperlink" Target="https://www.facebook.com/watch/live/?ref=watch_permalink&amp;v=923735834984653" TargetMode="External"/><Relationship Id="rId5714" Type="http://schemas.openxmlformats.org/officeDocument/2006/relationships/hyperlink" Target="https://www.facebook.com/machristina.zaragoza" TargetMode="External"/><Relationship Id="rId3265" Type="http://schemas.openxmlformats.org/officeDocument/2006/relationships/hyperlink" Target="https://www.facebook.com/rene.r.galang.5" TargetMode="External"/><Relationship Id="rId4316" Type="http://schemas.openxmlformats.org/officeDocument/2006/relationships/hyperlink" Target="https://www.facebook.com/karyata.gwapako" TargetMode="External"/><Relationship Id="rId4730" Type="http://schemas.openxmlformats.org/officeDocument/2006/relationships/hyperlink" Target="https://www.facebook.com/profile.php?id=100074773967745" TargetMode="External"/><Relationship Id="rId186" Type="http://schemas.openxmlformats.org/officeDocument/2006/relationships/hyperlink" Target="https://www.facebook.com/rapplerdotcom/posts/pfbid0DUh4iFcrxZuR1UbiGhcAHcMdzsaV29GSeHCY1HabtqcnUWkjStX9TDaVqzzt92GDl" TargetMode="External"/><Relationship Id="rId2281" Type="http://schemas.openxmlformats.org/officeDocument/2006/relationships/hyperlink" Target="https://www.facebook.com/lmfloralde" TargetMode="External"/><Relationship Id="rId3332" Type="http://schemas.openxmlformats.org/officeDocument/2006/relationships/hyperlink" Target="https://www.facebook.com/rapplerdotcom/photos/a.317154781638645/5595372260483511/" TargetMode="External"/><Relationship Id="rId253" Type="http://schemas.openxmlformats.org/officeDocument/2006/relationships/hyperlink" Target="https://www.facebook.com/rapplerdotcom/photos/a.317154781638645/5598220220198715/" TargetMode="External"/><Relationship Id="rId320" Type="http://schemas.openxmlformats.org/officeDocument/2006/relationships/hyperlink" Target="https://www.facebook.com/sweetverni" TargetMode="External"/><Relationship Id="rId2001" Type="http://schemas.openxmlformats.org/officeDocument/2006/relationships/hyperlink" Target="https://www.facebook.com/maryjonesoledad.gonzaga" TargetMode="External"/><Relationship Id="rId5157" Type="http://schemas.openxmlformats.org/officeDocument/2006/relationships/hyperlink" Target="https://www.facebook.com/rapplerdotcom/photos/a.317154781638645/5594264657260938/" TargetMode="External"/><Relationship Id="rId6208" Type="http://schemas.openxmlformats.org/officeDocument/2006/relationships/hyperlink" Target="https://www.facebook.com/rlyn.caipang" TargetMode="External"/><Relationship Id="rId5571" Type="http://schemas.openxmlformats.org/officeDocument/2006/relationships/hyperlink" Target="https://www.facebook.com/rapplerdotcom/photos/a.317154781638645/5594453700575367/" TargetMode="External"/><Relationship Id="rId1767" Type="http://schemas.openxmlformats.org/officeDocument/2006/relationships/hyperlink" Target="https://www.facebook.com/marietta.tanglao" TargetMode="External"/><Relationship Id="rId2818" Type="http://schemas.openxmlformats.org/officeDocument/2006/relationships/hyperlink" Target="https://www.facebook.com/watch/?v=570590637273208" TargetMode="External"/><Relationship Id="rId4173" Type="http://schemas.openxmlformats.org/officeDocument/2006/relationships/hyperlink" Target="https://www.facebook.com/jane.quibilan" TargetMode="External"/><Relationship Id="rId5224" Type="http://schemas.openxmlformats.org/officeDocument/2006/relationships/hyperlink" Target="https://www.facebook.com/estherlyn1" TargetMode="External"/><Relationship Id="rId59" Type="http://schemas.openxmlformats.org/officeDocument/2006/relationships/hyperlink" Target="https://www.facebook.com/deliza.esmeralda" TargetMode="External"/><Relationship Id="rId1834" Type="http://schemas.openxmlformats.org/officeDocument/2006/relationships/hyperlink" Target="https://www.facebook.com/rapplerdotcom/photos/a.317154781638645/5596043783749692/" TargetMode="External"/><Relationship Id="rId4240" Type="http://schemas.openxmlformats.org/officeDocument/2006/relationships/hyperlink" Target="https://www.facebook.com/epal.aco.56" TargetMode="External"/><Relationship Id="rId1901" Type="http://schemas.openxmlformats.org/officeDocument/2006/relationships/hyperlink" Target="https://www.facebook.com/erl.lim" TargetMode="External"/><Relationship Id="rId3659" Type="http://schemas.openxmlformats.org/officeDocument/2006/relationships/hyperlink" Target="https://www.facebook.com/cora.ropeta" TargetMode="External"/><Relationship Id="rId6065" Type="http://schemas.openxmlformats.org/officeDocument/2006/relationships/hyperlink" Target="https://www.facebook.com/rapplerdotcom/photos/a.317154781638645/5594359700584767/" TargetMode="External"/><Relationship Id="rId5081" Type="http://schemas.openxmlformats.org/officeDocument/2006/relationships/hyperlink" Target="https://www.facebook.com/rapplerdotcom/posts/pfbid0231hbcbuKeQLDkPH8oZAdZbuU8MPPgRANx152V3xWpbjZ6EvfpohwQMvxHYAgrGPul" TargetMode="External"/><Relationship Id="rId6132" Type="http://schemas.openxmlformats.org/officeDocument/2006/relationships/hyperlink" Target="https://www.facebook.com/profile.php?id=100078360290135" TargetMode="External"/><Relationship Id="rId994" Type="http://schemas.openxmlformats.org/officeDocument/2006/relationships/hyperlink" Target="https://www.facebook.com/rapplerdotcom/photos/a.317154781638645/5597592673594803/" TargetMode="External"/><Relationship Id="rId2675" Type="http://schemas.openxmlformats.org/officeDocument/2006/relationships/hyperlink" Target="https://www.facebook.com/profile.php?id=100076597585055" TargetMode="External"/><Relationship Id="rId3726" Type="http://schemas.openxmlformats.org/officeDocument/2006/relationships/hyperlink" Target="https://www.facebook.com/rapplerdotcom/photos/a.317154781638645/5595162900504447/" TargetMode="External"/><Relationship Id="rId647" Type="http://schemas.openxmlformats.org/officeDocument/2006/relationships/hyperlink" Target="https://www.facebook.com/inocando.arnold" TargetMode="External"/><Relationship Id="rId1277" Type="http://schemas.openxmlformats.org/officeDocument/2006/relationships/hyperlink" Target="https://www.facebook.com/ADATL02" TargetMode="External"/><Relationship Id="rId1691" Type="http://schemas.openxmlformats.org/officeDocument/2006/relationships/hyperlink" Target="https://www.facebook.com/yongcoonang" TargetMode="External"/><Relationship Id="rId2328" Type="http://schemas.openxmlformats.org/officeDocument/2006/relationships/hyperlink" Target="https://www.facebook.com/rapplerdotcom/posts/pfbid0TYP6syjYwznxJKdhWv9YMaXK9NvsSEhQ2cyyCQCPMvGapWXrQBHehywgT156wqNPl" TargetMode="External"/><Relationship Id="rId2742" Type="http://schemas.openxmlformats.org/officeDocument/2006/relationships/hyperlink" Target="https://www.facebook.com/rapplerdotcom/photos/a.317154781638645/5595733810447356/" TargetMode="External"/><Relationship Id="rId5898" Type="http://schemas.openxmlformats.org/officeDocument/2006/relationships/hyperlink" Target="https://www.facebook.com/macristina.panaguiton.7" TargetMode="External"/><Relationship Id="rId714" Type="http://schemas.openxmlformats.org/officeDocument/2006/relationships/hyperlink" Target="https://www.facebook.com/rapplerdotcom/photos/a.317154781638645/5597612220259515/" TargetMode="External"/><Relationship Id="rId1344" Type="http://schemas.openxmlformats.org/officeDocument/2006/relationships/hyperlink" Target="https://www.facebook.com/rapplerdotcom/photos/a.317154781638645/5597116770309060/" TargetMode="External"/><Relationship Id="rId5965" Type="http://schemas.openxmlformats.org/officeDocument/2006/relationships/hyperlink" Target="https://www.facebook.com/rapplerdotcom/photos/a.317154781638645/5594359700584767/" TargetMode="External"/><Relationship Id="rId50" Type="http://schemas.openxmlformats.org/officeDocument/2006/relationships/hyperlink" Target="https://www.facebook.com/rapplerdotcom/posts/pfbid0DUh4iFcrxZuR1UbiGhcAHcMdzsaV29GSeHCY1HabtqcnUWkjStX9TDaVqzzt92GDl" TargetMode="External"/><Relationship Id="rId1411" Type="http://schemas.openxmlformats.org/officeDocument/2006/relationships/hyperlink" Target="https://www.facebook.com/molsky" TargetMode="External"/><Relationship Id="rId4567" Type="http://schemas.openxmlformats.org/officeDocument/2006/relationships/hyperlink" Target="https://www.facebook.com/watch/live/?ref=watch_permalink&amp;v=923735834984653" TargetMode="External"/><Relationship Id="rId5618" Type="http://schemas.openxmlformats.org/officeDocument/2006/relationships/hyperlink" Target="https://www.facebook.com/sha.karon" TargetMode="External"/><Relationship Id="rId3169" Type="http://schemas.openxmlformats.org/officeDocument/2006/relationships/hyperlink" Target="https://www.facebook.com/germie.arandia" TargetMode="External"/><Relationship Id="rId3583" Type="http://schemas.openxmlformats.org/officeDocument/2006/relationships/hyperlink" Target="https://www.facebook.com/rlduldulao" TargetMode="External"/><Relationship Id="rId4981" Type="http://schemas.openxmlformats.org/officeDocument/2006/relationships/hyperlink" Target="https://www.facebook.com/rapplerdotcom/posts/pfbid02BCyyacWVuuu1bwX5PwYK8PvqDGTANxekqEMy7qyV9vMmaGKTbC8sBf7i5j3Wbx9Ll" TargetMode="External"/><Relationship Id="rId2185" Type="http://schemas.openxmlformats.org/officeDocument/2006/relationships/hyperlink" Target="https://www.facebook.com/marygracie.tamayo" TargetMode="External"/><Relationship Id="rId3236" Type="http://schemas.openxmlformats.org/officeDocument/2006/relationships/hyperlink" Target="https://www.facebook.com/rapplerdotcom/posts/pfbid035u2RhZvcYSiCeymgBfXLoFoq87y2V8v81A9xDtyoKJgzTGtotsEEoj2bH7Zd4mtzl" TargetMode="External"/><Relationship Id="rId4634" Type="http://schemas.openxmlformats.org/officeDocument/2006/relationships/hyperlink" Target="https://www.facebook.com/profile.php?id=100012611887000" TargetMode="External"/><Relationship Id="rId157" Type="http://schemas.openxmlformats.org/officeDocument/2006/relationships/hyperlink" Target="https://www.facebook.com/Tell-Tale-Tweet-103754798693384/" TargetMode="External"/><Relationship Id="rId3650" Type="http://schemas.openxmlformats.org/officeDocument/2006/relationships/hyperlink" Target="https://www.facebook.com/rapplerdotcom/photos/a.317154781638645/5595372260483511/" TargetMode="External"/><Relationship Id="rId4701" Type="http://schemas.openxmlformats.org/officeDocument/2006/relationships/hyperlink" Target="https://www.facebook.com/watch/live/?ref=watch_permalink&amp;v=923735834984653" TargetMode="External"/><Relationship Id="rId571" Type="http://schemas.openxmlformats.org/officeDocument/2006/relationships/hyperlink" Target="https://www.facebook.com/brrianjooseph.31" TargetMode="External"/><Relationship Id="rId2252" Type="http://schemas.openxmlformats.org/officeDocument/2006/relationships/hyperlink" Target="https://www.facebook.com/rapplerdotcom/photos/a.317154781638645/5596022273751843/" TargetMode="External"/><Relationship Id="rId3303" Type="http://schemas.openxmlformats.org/officeDocument/2006/relationships/hyperlink" Target="https://www.facebook.com/evette.ramos.79" TargetMode="External"/><Relationship Id="rId224" Type="http://schemas.openxmlformats.org/officeDocument/2006/relationships/hyperlink" Target="https://www.facebook.com/rapplerdotcom/posts/pfbid0DUh4iFcrxZuR1UbiGhcAHcMdzsaV29GSeHCY1HabtqcnUWkjStX9TDaVqzzt92GDl" TargetMode="External"/><Relationship Id="rId5475" Type="http://schemas.openxmlformats.org/officeDocument/2006/relationships/hyperlink" Target="https://www.facebook.com/watch/live/?ref=watch_permalink&amp;v=312865720941798" TargetMode="External"/><Relationship Id="rId4077" Type="http://schemas.openxmlformats.org/officeDocument/2006/relationships/hyperlink" Target="https://www.facebook.com/jrockersgsm" TargetMode="External"/><Relationship Id="rId4491" Type="http://schemas.openxmlformats.org/officeDocument/2006/relationships/hyperlink" Target="https://www.facebook.com/rapplerdotcom/photos/a.317154781638645/5594954703858600/" TargetMode="External"/><Relationship Id="rId5128" Type="http://schemas.openxmlformats.org/officeDocument/2006/relationships/hyperlink" Target="https://www.facebook.com/zion.poliquit.54" TargetMode="External"/><Relationship Id="rId5542" Type="http://schemas.openxmlformats.org/officeDocument/2006/relationships/hyperlink" Target="https://www.facebook.com/profile.php?id=100013129274631" TargetMode="External"/><Relationship Id="rId1738" Type="http://schemas.openxmlformats.org/officeDocument/2006/relationships/hyperlink" Target="https://www.facebook.com/rapplerdotcom/photos/a.317154781638645/5596043783749692/" TargetMode="External"/><Relationship Id="rId3093" Type="http://schemas.openxmlformats.org/officeDocument/2006/relationships/hyperlink" Target="https://www.facebook.com/yhel.domingo.9" TargetMode="External"/><Relationship Id="rId4144" Type="http://schemas.openxmlformats.org/officeDocument/2006/relationships/hyperlink" Target="https://www.facebook.com/rapplerdotcom/photos/a.317154781638645/5594954703858600/" TargetMode="External"/><Relationship Id="rId3160" Type="http://schemas.openxmlformats.org/officeDocument/2006/relationships/hyperlink" Target="https://www.facebook.com/watch/live/?ref=watch_permalink&amp;v=332681445500650" TargetMode="External"/><Relationship Id="rId4211" Type="http://schemas.openxmlformats.org/officeDocument/2006/relationships/hyperlink" Target="https://www.facebook.com/recheejhon.carlos.58" TargetMode="External"/><Relationship Id="rId1805" Type="http://schemas.openxmlformats.org/officeDocument/2006/relationships/hyperlink" Target="https://www.facebook.com/profile.php?id=100027988665455" TargetMode="External"/><Relationship Id="rId3977" Type="http://schemas.openxmlformats.org/officeDocument/2006/relationships/hyperlink" Target="https://www.facebook.com/profile.php?id=100046010886575" TargetMode="External"/><Relationship Id="rId6036" Type="http://schemas.openxmlformats.org/officeDocument/2006/relationships/hyperlink" Target="https://www.facebook.com/clocie.rinocar" TargetMode="External"/><Relationship Id="rId898" Type="http://schemas.openxmlformats.org/officeDocument/2006/relationships/hyperlink" Target="https://www.facebook.com/rapplerdotcom/photos/a.317154781638645/5597592673594803/" TargetMode="External"/><Relationship Id="rId2579" Type="http://schemas.openxmlformats.org/officeDocument/2006/relationships/hyperlink" Target="https://www.facebook.com/xernes.martinez" TargetMode="External"/><Relationship Id="rId2993" Type="http://schemas.openxmlformats.org/officeDocument/2006/relationships/hyperlink" Target="https://www.facebook.com/adelfa.abuda" TargetMode="External"/><Relationship Id="rId965" Type="http://schemas.openxmlformats.org/officeDocument/2006/relationships/hyperlink" Target="https://www.facebook.com/christian.vicente.104" TargetMode="External"/><Relationship Id="rId1595" Type="http://schemas.openxmlformats.org/officeDocument/2006/relationships/hyperlink" Target="https://www.facebook.com/mila.magsayo" TargetMode="External"/><Relationship Id="rId2646" Type="http://schemas.openxmlformats.org/officeDocument/2006/relationships/hyperlink" Target="https://www.facebook.com/rapplerdotcom/photos/a.317154781638645/5595733810447356/" TargetMode="External"/><Relationship Id="rId5052" Type="http://schemas.openxmlformats.org/officeDocument/2006/relationships/hyperlink" Target="https://www.facebook.com/vhersapitula" TargetMode="External"/><Relationship Id="rId6103" Type="http://schemas.openxmlformats.org/officeDocument/2006/relationships/hyperlink" Target="https://www.facebook.com/rapplerdotcom/photos/a.317154781638645/5594359700584767/" TargetMode="External"/><Relationship Id="rId618" Type="http://schemas.openxmlformats.org/officeDocument/2006/relationships/hyperlink" Target="https://www.facebook.com/rapplerdotcom/photos/a.317154781638645/5597874143566656" TargetMode="External"/><Relationship Id="rId1248" Type="http://schemas.openxmlformats.org/officeDocument/2006/relationships/hyperlink" Target="https://www.facebook.com/rapplerdotcom/posts/pfbid023goEfA6e1ABSWYJFy8fQ5LFWDv4QTSTmAfzySGtMSpy12iqywB2MUZjiZ8GjCxrGl" TargetMode="External"/><Relationship Id="rId1662" Type="http://schemas.openxmlformats.org/officeDocument/2006/relationships/hyperlink" Target="https://www.facebook.com/rapplerdotcom/posts/pfbid02AsSA4LQqjQ2Y8SVathQmtduoE3fhoGvQSNhvrzsMerDaJSQJ6jDvApCCiuaE7XCol" TargetMode="External"/><Relationship Id="rId5869" Type="http://schemas.openxmlformats.org/officeDocument/2006/relationships/hyperlink" Target="https://www.facebook.com/rapplerdotcom/posts/pfbid0Kg1RoVj1WsJryHzrsA3oSrLQ6DJc4g1o3yMhcNHB9BrPu7fZV7ugtw1hYVefEPE9l" TargetMode="External"/><Relationship Id="rId1315" Type="http://schemas.openxmlformats.org/officeDocument/2006/relationships/hyperlink" Target="https://www.facebook.com/sol.reas" TargetMode="External"/><Relationship Id="rId2713" Type="http://schemas.openxmlformats.org/officeDocument/2006/relationships/hyperlink" Target="https://www.facebook.com/romeo.banderado.56" TargetMode="External"/><Relationship Id="rId4885" Type="http://schemas.openxmlformats.org/officeDocument/2006/relationships/hyperlink" Target="https://www.facebook.com/watch/live/?ref=watch_permalink&amp;v=923735834984653" TargetMode="External"/><Relationship Id="rId5936" Type="http://schemas.openxmlformats.org/officeDocument/2006/relationships/hyperlink" Target="https://www.facebook.com/dontimothy.buhain.5" TargetMode="External"/><Relationship Id="rId21" Type="http://schemas.openxmlformats.org/officeDocument/2006/relationships/hyperlink" Target="https://www.facebook.com/ronmsalvador" TargetMode="External"/><Relationship Id="rId2089" Type="http://schemas.openxmlformats.org/officeDocument/2006/relationships/hyperlink" Target="https://www.facebook.com/profile.php?id=100076057558004" TargetMode="External"/><Relationship Id="rId3487" Type="http://schemas.openxmlformats.org/officeDocument/2006/relationships/hyperlink" Target="https://www.facebook.com/icarro1821" TargetMode="External"/><Relationship Id="rId4538" Type="http://schemas.openxmlformats.org/officeDocument/2006/relationships/hyperlink" Target="https://www.facebook.com/denise.v.gatuslao" TargetMode="External"/><Relationship Id="rId4952" Type="http://schemas.openxmlformats.org/officeDocument/2006/relationships/hyperlink" Target="https://www.facebook.com/pangetkoh30" TargetMode="External"/><Relationship Id="rId3554" Type="http://schemas.openxmlformats.org/officeDocument/2006/relationships/hyperlink" Target="https://www.facebook.com/rapplerdotcom/photos/a.317154781638645/5595372260483511/" TargetMode="External"/><Relationship Id="rId4605" Type="http://schemas.openxmlformats.org/officeDocument/2006/relationships/hyperlink" Target="https://www.facebook.com/watch/live/?ref=watch_permalink&amp;v=923735834984653" TargetMode="External"/><Relationship Id="rId475" Type="http://schemas.openxmlformats.org/officeDocument/2006/relationships/hyperlink" Target="https://www.facebook.com/rapplerdotcom/photos/a.317154781638645/5598220220198715/" TargetMode="External"/><Relationship Id="rId2156" Type="http://schemas.openxmlformats.org/officeDocument/2006/relationships/hyperlink" Target="https://www.facebook.com/rapplerdotcom/photos/a.317154781638645/5596022273751843/" TargetMode="External"/><Relationship Id="rId2570" Type="http://schemas.openxmlformats.org/officeDocument/2006/relationships/hyperlink" Target="https://www.facebook.com/rapplerdotcom/photos/a.317154781638645/5595733810447356/" TargetMode="External"/><Relationship Id="rId3207" Type="http://schemas.openxmlformats.org/officeDocument/2006/relationships/hyperlink" Target="https://www.facebook.com/erlindaonaalbofera" TargetMode="External"/><Relationship Id="rId3621" Type="http://schemas.openxmlformats.org/officeDocument/2006/relationships/hyperlink" Target="https://www.facebook.com/dr.julius.uy" TargetMode="External"/><Relationship Id="rId128" Type="http://schemas.openxmlformats.org/officeDocument/2006/relationships/hyperlink" Target="https://www.facebook.com/rapplerdotcom/posts/pfbid0DUh4iFcrxZuR1UbiGhcAHcMdzsaV29GSeHCY1HabtqcnUWkjStX9TDaVqzzt92GDl" TargetMode="External"/><Relationship Id="rId542" Type="http://schemas.openxmlformats.org/officeDocument/2006/relationships/hyperlink" Target="https://www.facebook.com/paulpatrick.sapaden" TargetMode="External"/><Relationship Id="rId1172" Type="http://schemas.openxmlformats.org/officeDocument/2006/relationships/hyperlink" Target="https://www.facebook.com/rapplerdotcom/posts/pfbid02dNgAR64VTtp94Rus4o9MNbU55E2H9Wp7KMKzJGkk6u4UxRyHU8j2pPpwa5iwGcD3l" TargetMode="External"/><Relationship Id="rId2223" Type="http://schemas.openxmlformats.org/officeDocument/2006/relationships/hyperlink" Target="https://www.facebook.com/jbmcaballero" TargetMode="External"/><Relationship Id="rId5379" Type="http://schemas.openxmlformats.org/officeDocument/2006/relationships/hyperlink" Target="https://www.facebook.com/rapplerdotcom/photos/a.317154781638645/5594264657260938/" TargetMode="External"/><Relationship Id="rId5793" Type="http://schemas.openxmlformats.org/officeDocument/2006/relationships/hyperlink" Target="https://www.facebook.com/rapplerdotcom/photos/a.317154781638645/5594453700575367/" TargetMode="External"/><Relationship Id="rId4395" Type="http://schemas.openxmlformats.org/officeDocument/2006/relationships/hyperlink" Target="https://www.facebook.com/rapplerdotcom/photos/a.317154781638645/5594954703858600/" TargetMode="External"/><Relationship Id="rId5446" Type="http://schemas.openxmlformats.org/officeDocument/2006/relationships/hyperlink" Target="https://www.facebook.com/cynthia.estrada.393950" TargetMode="External"/><Relationship Id="rId1989" Type="http://schemas.openxmlformats.org/officeDocument/2006/relationships/hyperlink" Target="https://www.facebook.com/augustusfabonii" TargetMode="External"/><Relationship Id="rId4048" Type="http://schemas.openxmlformats.org/officeDocument/2006/relationships/hyperlink" Target="https://www.facebook.com/rapplerdotcom/posts/pfbid02kmyrDmvYtHxz51VdR228sTCyvbHYDrwL4TgeoVAenoprSKkWhUFLyRmAuKBuGtXXl" TargetMode="External"/><Relationship Id="rId5860" Type="http://schemas.openxmlformats.org/officeDocument/2006/relationships/hyperlink" Target="https://www.facebook.com/charlie.viejon.5" TargetMode="External"/><Relationship Id="rId3064" Type="http://schemas.openxmlformats.org/officeDocument/2006/relationships/hyperlink" Target="https://www.facebook.com/watch/live/?ref=watch_permalink&amp;v=360307549312104" TargetMode="External"/><Relationship Id="rId4462" Type="http://schemas.openxmlformats.org/officeDocument/2006/relationships/hyperlink" Target="https://www.facebook.com/amaya.sabado" TargetMode="External"/><Relationship Id="rId5513" Type="http://schemas.openxmlformats.org/officeDocument/2006/relationships/hyperlink" Target="https://www.facebook.com/rapplerdotcom/photos/a.317154781638645/5594453700575367/" TargetMode="External"/><Relationship Id="rId1709" Type="http://schemas.openxmlformats.org/officeDocument/2006/relationships/hyperlink" Target="https://www.facebook.com/geegee.lopez" TargetMode="External"/><Relationship Id="rId4115" Type="http://schemas.openxmlformats.org/officeDocument/2006/relationships/hyperlink" Target="https://www.facebook.com/aldo.lavingu" TargetMode="External"/><Relationship Id="rId2080" Type="http://schemas.openxmlformats.org/officeDocument/2006/relationships/hyperlink" Target="https://www.facebook.com/rapplerdotcom/photos/a.317154781638645/5596022273751843/" TargetMode="External"/><Relationship Id="rId3131" Type="http://schemas.openxmlformats.org/officeDocument/2006/relationships/hyperlink" Target="https://www.facebook.com/madonna.bagalayfulgar.3" TargetMode="External"/><Relationship Id="rId2897" Type="http://schemas.openxmlformats.org/officeDocument/2006/relationships/hyperlink" Target="https://www.facebook.com/mheldzkie.jean.1" TargetMode="External"/><Relationship Id="rId3948" Type="http://schemas.openxmlformats.org/officeDocument/2006/relationships/hyperlink" Target="https://www.facebook.com/rapplerdotcom/posts/pfbid0dyWpzxim3h4Z2SYriGakwQw85p7BCAgct7KU5EiMX1bmmgNHDD8nmES8rjrADsrPl" TargetMode="External"/><Relationship Id="rId869" Type="http://schemas.openxmlformats.org/officeDocument/2006/relationships/hyperlink" Target="https://www.facebook.com/jonel.c.sandiego" TargetMode="External"/><Relationship Id="rId1499" Type="http://schemas.openxmlformats.org/officeDocument/2006/relationships/hyperlink" Target="https://www.facebook.com/kurugaligala" TargetMode="External"/><Relationship Id="rId5370" Type="http://schemas.openxmlformats.org/officeDocument/2006/relationships/hyperlink" Target="https://www.facebook.com/xX.djhoaNn.Xx" TargetMode="External"/><Relationship Id="rId6007" Type="http://schemas.openxmlformats.org/officeDocument/2006/relationships/hyperlink" Target="https://www.facebook.com/rapplerdotcom/photos/a.317154781638645/5594359700584767/" TargetMode="External"/><Relationship Id="rId2964" Type="http://schemas.openxmlformats.org/officeDocument/2006/relationships/hyperlink" Target="https://www.facebook.com/watch/live/?ref=watch_permalink&amp;v=360307549312104" TargetMode="External"/><Relationship Id="rId5023" Type="http://schemas.openxmlformats.org/officeDocument/2006/relationships/hyperlink" Target="https://www.facebook.com/rapplerdotcom/posts/pfbid02BCyyacWVuuu1bwX5PwYK8PvqDGTANxekqEMy7qyV9vMmaGKTbC8sBf7i5j3Wbx9Ll" TargetMode="External"/><Relationship Id="rId936" Type="http://schemas.openxmlformats.org/officeDocument/2006/relationships/hyperlink" Target="https://www.facebook.com/rapplerdotcom/photos/a.317154781638645/5597592673594803/" TargetMode="External"/><Relationship Id="rId1219" Type="http://schemas.openxmlformats.org/officeDocument/2006/relationships/hyperlink" Target="https://www.facebook.com/profile.php?id=100077271243894" TargetMode="External"/><Relationship Id="rId1566" Type="http://schemas.openxmlformats.org/officeDocument/2006/relationships/hyperlink" Target="https://www.facebook.com/rapplerdotcom/photos/a.317154781638645/5597116770309060/" TargetMode="External"/><Relationship Id="rId1980" Type="http://schemas.openxmlformats.org/officeDocument/2006/relationships/hyperlink" Target="https://www.facebook.com/rapplerdotcom/photos/a.317154781638645/5596022273751843/" TargetMode="External"/><Relationship Id="rId2617" Type="http://schemas.openxmlformats.org/officeDocument/2006/relationships/hyperlink" Target="https://www.facebook.com/gina.parin.7" TargetMode="External"/><Relationship Id="rId1633" Type="http://schemas.openxmlformats.org/officeDocument/2006/relationships/hyperlink" Target="https://www.facebook.com/rodel.franco.925" TargetMode="External"/><Relationship Id="rId4789" Type="http://schemas.openxmlformats.org/officeDocument/2006/relationships/hyperlink" Target="https://www.facebook.com/watch/live/?ref=watch_permalink&amp;v=923735834984653" TargetMode="External"/><Relationship Id="rId1700" Type="http://schemas.openxmlformats.org/officeDocument/2006/relationships/hyperlink" Target="https://www.facebook.com/rapplerdotcom/photos/a.317154781638645/5596043783749692/" TargetMode="External"/><Relationship Id="rId4856" Type="http://schemas.openxmlformats.org/officeDocument/2006/relationships/hyperlink" Target="https://www.facebook.com/rick.galang.58" TargetMode="External"/><Relationship Id="rId5907" Type="http://schemas.openxmlformats.org/officeDocument/2006/relationships/hyperlink" Target="https://www.facebook.com/rapplerdotcom/photos/a.317154781638645/5594359700584767/" TargetMode="External"/><Relationship Id="rId3458" Type="http://schemas.openxmlformats.org/officeDocument/2006/relationships/hyperlink" Target="https://www.facebook.com/rapplerdotcom/photos/a.317154781638645/5595372260483511/" TargetMode="External"/><Relationship Id="rId3872" Type="http://schemas.openxmlformats.org/officeDocument/2006/relationships/hyperlink" Target="https://www.facebook.com/rapplerdotcom/posts/pfbid0dyWpzxim3h4Z2SYriGakwQw85p7BCAgct7KU5EiMX1bmmgNHDD8nmES8rjrADsrPl" TargetMode="External"/><Relationship Id="rId4509" Type="http://schemas.openxmlformats.org/officeDocument/2006/relationships/hyperlink" Target="https://www.facebook.com/rapplerdotcom/photos/a.317154781638645/5594954703858600/" TargetMode="External"/><Relationship Id="rId379" Type="http://schemas.openxmlformats.org/officeDocument/2006/relationships/hyperlink" Target="https://www.facebook.com/rapplerdotcom/photos/a.317154781638645/5598220220198715/" TargetMode="External"/><Relationship Id="rId793" Type="http://schemas.openxmlformats.org/officeDocument/2006/relationships/hyperlink" Target="https://www.facebook.com/melinda.santelices" TargetMode="External"/><Relationship Id="rId2474" Type="http://schemas.openxmlformats.org/officeDocument/2006/relationships/hyperlink" Target="https://www.facebook.com/rapplerdotcom/posts/pfbid0TYP6syjYwznxJKdhWv9YMaXK9NvsSEhQ2cyyCQCPMvGapWXrQBHehywgT156wqNPl" TargetMode="External"/><Relationship Id="rId3525" Type="http://schemas.openxmlformats.org/officeDocument/2006/relationships/hyperlink" Target="https://www.facebook.com/schezo12" TargetMode="External"/><Relationship Id="rId4923" Type="http://schemas.openxmlformats.org/officeDocument/2006/relationships/hyperlink" Target="https://www.facebook.com/rapplerdotcom/posts/pfbid02BCyyacWVuuu1bwX5PwYK8PvqDGTANxekqEMy7qyV9vMmaGKTbC8sBf7i5j3Wbx9Ll" TargetMode="External"/><Relationship Id="rId446" Type="http://schemas.openxmlformats.org/officeDocument/2006/relationships/hyperlink" Target="https://www.facebook.com/venass.mercado.1" TargetMode="External"/><Relationship Id="rId1076" Type="http://schemas.openxmlformats.org/officeDocument/2006/relationships/hyperlink" Target="https://www.facebook.com/rapplerdotcom/posts/pfbid028Kg188FmebKa4aFvHZNp8zGTwjghWDDJuUmQ8agbSCvGAGJHZ7pBH9NmxLBmPZZdl" TargetMode="External"/><Relationship Id="rId1490" Type="http://schemas.openxmlformats.org/officeDocument/2006/relationships/hyperlink" Target="https://www.facebook.com/rapplerdotcom/photos/a.317154781638645/5597116770309060/" TargetMode="External"/><Relationship Id="rId2127" Type="http://schemas.openxmlformats.org/officeDocument/2006/relationships/hyperlink" Target="https://www.facebook.com/analyn.bravo" TargetMode="External"/><Relationship Id="rId860" Type="http://schemas.openxmlformats.org/officeDocument/2006/relationships/hyperlink" Target="https://www.facebook.com/rapplerdotcom/photos/a.317154781638645/5597612220259515/" TargetMode="External"/><Relationship Id="rId1143" Type="http://schemas.openxmlformats.org/officeDocument/2006/relationships/hyperlink" Target="https://www.facebook.com/smileatmeliz" TargetMode="External"/><Relationship Id="rId2541" Type="http://schemas.openxmlformats.org/officeDocument/2006/relationships/hyperlink" Target="https://www.facebook.com/poli.lidi" TargetMode="External"/><Relationship Id="rId4299" Type="http://schemas.openxmlformats.org/officeDocument/2006/relationships/hyperlink" Target="https://www.facebook.com/rapplerdotcom/photos/a.317154781638645/5594954703858600/" TargetMode="External"/><Relationship Id="rId5697" Type="http://schemas.openxmlformats.org/officeDocument/2006/relationships/hyperlink" Target="https://www.facebook.com/rapplerdotcom/photos/a.317154781638645/5594453700575367/" TargetMode="External"/><Relationship Id="rId513" Type="http://schemas.openxmlformats.org/officeDocument/2006/relationships/hyperlink" Target="https://www.facebook.com/rapplerdotcom/photos/a.317154781638645/5598220220198715/" TargetMode="External"/><Relationship Id="rId5764" Type="http://schemas.openxmlformats.org/officeDocument/2006/relationships/hyperlink" Target="https://www.facebook.com/carmelita.panganiban.374" TargetMode="External"/><Relationship Id="rId1210" Type="http://schemas.openxmlformats.org/officeDocument/2006/relationships/hyperlink" Target="https://www.facebook.com/rapplerdotcom/posts/pfbid023goEfA6e1ABSWYJFy8fQ5LFWDv4QTSTmAfzySGtMSpy12iqywB2MUZjiZ8GjCxrGl" TargetMode="External"/><Relationship Id="rId4366" Type="http://schemas.openxmlformats.org/officeDocument/2006/relationships/hyperlink" Target="https://www.facebook.com/rick.capunihan" TargetMode="External"/><Relationship Id="rId4780" Type="http://schemas.openxmlformats.org/officeDocument/2006/relationships/hyperlink" Target="https://www.facebook.com/alectv07" TargetMode="External"/><Relationship Id="rId5417" Type="http://schemas.openxmlformats.org/officeDocument/2006/relationships/hyperlink" Target="https://www.facebook.com/watch/live/?ref=watch_permalink&amp;v=312865720941798" TargetMode="External"/><Relationship Id="rId5831" Type="http://schemas.openxmlformats.org/officeDocument/2006/relationships/hyperlink" Target="https://www.facebook.com/rapplerdotcom/photos/a.317154781638645/5594453700575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3116"/>
  <sheetViews>
    <sheetView tabSelected="1" topLeftCell="G1" workbookViewId="0">
      <selection activeCell="K1" sqref="K1:K1048576"/>
    </sheetView>
  </sheetViews>
  <sheetFormatPr defaultColWidth="12.5703125" defaultRowHeight="15.75" customHeight="1" x14ac:dyDescent="0.2"/>
  <cols>
    <col min="1" max="1" width="26.5703125" customWidth="1"/>
    <col min="5" max="5" width="85.140625" customWidth="1"/>
    <col min="9" max="9" width="70.5703125" customWidth="1"/>
  </cols>
  <sheetData>
    <row r="1" spans="1:10" x14ac:dyDescent="0.2">
      <c r="A1" s="1" t="str">
        <f ca="1">IFERROR(__xludf.DUMMYFUNCTION("importdata(""https://cache1.phantombooster.com/v7AfaPkLEUM/rUOb69AcpjKO4r1G6WjLSQ/RapplerMarch27.csv"")"),"profileUrl")</f>
        <v>profileUrl</v>
      </c>
      <c r="B1" s="1" t="str">
        <f ca="1">IFERROR(__xludf.DUMMYFUNCTION("""COMPUTED_VALUE"""),"name")</f>
        <v>name</v>
      </c>
      <c r="C1" s="1" t="str">
        <f ca="1">IFERROR(__xludf.DUMMYFUNCTION("""COMPUTED_VALUE"""),"firstName")</f>
        <v>firstName</v>
      </c>
      <c r="D1" s="1" t="str">
        <f ca="1">IFERROR(__xludf.DUMMYFUNCTION("""COMPUTED_VALUE"""),"lastName")</f>
        <v>lastName</v>
      </c>
      <c r="E1" s="1" t="str">
        <f ca="1">IFERROR(__xludf.DUMMYFUNCTION("""COMPUTED_VALUE"""),"comment")</f>
        <v>comment</v>
      </c>
      <c r="F1" s="1" t="str">
        <f ca="1">IFERROR(__xludf.DUMMYFUNCTION("""COMPUTED_VALUE"""),"reactionCount")</f>
        <v>reactionCount</v>
      </c>
      <c r="G1" s="1" t="str">
        <f ca="1">IFERROR(__xludf.DUMMYFUNCTION("""COMPUTED_VALUE"""),"commentDate")</f>
        <v>commentDate</v>
      </c>
      <c r="H1" s="1" t="str">
        <f ca="1">IFERROR(__xludf.DUMMYFUNCTION("""COMPUTED_VALUE"""),"type")</f>
        <v>type</v>
      </c>
      <c r="I1" s="1" t="str">
        <f ca="1">IFERROR(__xludf.DUMMYFUNCTION("""COMPUTED_VALUE"""),"query")</f>
        <v>query</v>
      </c>
      <c r="J1" s="1" t="str">
        <f ca="1">IFERROR(__xludf.DUMMYFUNCTION("""COMPUTED_VALUE"""),"timestamp")</f>
        <v>timestamp</v>
      </c>
    </row>
    <row r="2" spans="1:10" x14ac:dyDescent="0.2">
      <c r="A2" s="2" t="str">
        <f ca="1">IFERROR(__xludf.DUMMYFUNCTION("""COMPUTED_VALUE"""),"https://www.facebook.com/angie.t.carlsen")</f>
        <v>https://www.facebook.com/angie.t.carlsen</v>
      </c>
      <c r="B2" s="1" t="str">
        <f ca="1">IFERROR(__xludf.DUMMYFUNCTION("""COMPUTED_VALUE"""),"Angie Tan Carlsen")</f>
        <v>Angie Tan Carlsen</v>
      </c>
      <c r="C2" s="1" t="str">
        <f ca="1">IFERROR(__xludf.DUMMYFUNCTION("""COMPUTED_VALUE"""),"Angie")</f>
        <v>Angie</v>
      </c>
      <c r="D2" s="1" t="str">
        <f ca="1">IFERROR(__xludf.DUMMYFUNCTION("""COMPUTED_VALUE"""),"Tan Carlsen")</f>
        <v>Tan Carlsen</v>
      </c>
      <c r="E2" s="1" t="str">
        <f ca="1">IFERROR(__xludf.DUMMYFUNCTION("""COMPUTED_VALUE"""),"I wouldn’t say the same for the candidates. Hindi na nga makashow up sa debate, rain pa kaya.")</f>
        <v>I wouldn’t say the same for the candidates. Hindi na nga makashow up sa debate, rain pa kaya.</v>
      </c>
      <c r="F2" s="1">
        <f ca="1">IFERROR(__xludf.DUMMYFUNCTION("""COMPUTED_VALUE"""),50)</f>
        <v>50</v>
      </c>
      <c r="G2" s="1" t="str">
        <f ca="1">IFERROR(__xludf.DUMMYFUNCTION("""COMPUTED_VALUE"""),"3 mos")</f>
        <v>3 mos</v>
      </c>
      <c r="H2" s="1" t="str">
        <f ca="1">IFERROR(__xludf.DUMMYFUNCTION("""COMPUTED_VALUE"""),"comment")</f>
        <v>comment</v>
      </c>
      <c r="I2"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2" s="1" t="str">
        <f ca="1">IFERROR(__xludf.DUMMYFUNCTION("""COMPUTED_VALUE"""),"2022-07-04T11:08:02.658Z")</f>
        <v>2022-07-04T11:08:02.658Z</v>
      </c>
    </row>
    <row r="3" spans="1:10" x14ac:dyDescent="0.2">
      <c r="A3" s="2" t="str">
        <f ca="1">IFERROR(__xludf.DUMMYFUNCTION("""COMPUTED_VALUE"""),"https://www.facebook.com/agripina.timbrezabellobrillantes")</f>
        <v>https://www.facebook.com/agripina.timbrezabellobrillantes</v>
      </c>
      <c r="B3" s="1" t="str">
        <f ca="1">IFERROR(__xludf.DUMMYFUNCTION("""COMPUTED_VALUE"""),"Agripina Timbreza Bello Brillantes")</f>
        <v>Agripina Timbreza Bello Brillantes</v>
      </c>
      <c r="C3" s="1" t="str">
        <f ca="1">IFERROR(__xludf.DUMMYFUNCTION("""COMPUTED_VALUE"""),"Agripina")</f>
        <v>Agripina</v>
      </c>
      <c r="D3" s="1" t="str">
        <f ca="1">IFERROR(__xludf.DUMMYFUNCTION("""COMPUTED_VALUE"""),"Timbreza Bello Brillantes")</f>
        <v>Timbreza Bello Brillantes</v>
      </c>
      <c r="E3" s="1" t="str">
        <f ca="1">IFERROR(__xludf.DUMMYFUNCTION("""COMPUTED_VALUE"""),"Angie Tan Carlsen So yong tatlo na always nagshow up sa debate kayang  magpaulan.🤣🤣🤣🤣")</f>
        <v>Angie Tan Carlsen So yong tatlo na always nagshow up sa debate kayang  magpaulan.🤣🤣🤣🤣</v>
      </c>
      <c r="F3" s="1">
        <f ca="1">IFERROR(__xludf.DUMMYFUNCTION("""COMPUTED_VALUE"""),3)</f>
        <v>3</v>
      </c>
      <c r="G3" s="1" t="str">
        <f ca="1">IFERROR(__xludf.DUMMYFUNCTION("""COMPUTED_VALUE"""),"3 mos")</f>
        <v>3 mos</v>
      </c>
      <c r="H3" s="1" t="str">
        <f ca="1">IFERROR(__xludf.DUMMYFUNCTION("""COMPUTED_VALUE"""),"reply")</f>
        <v>reply</v>
      </c>
      <c r="I3"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3" s="1" t="str">
        <f ca="1">IFERROR(__xludf.DUMMYFUNCTION("""COMPUTED_VALUE"""),"2022-07-04T11:08:02.658Z")</f>
        <v>2022-07-04T11:08:02.658Z</v>
      </c>
    </row>
    <row r="4" spans="1:10" x14ac:dyDescent="0.2">
      <c r="A4" s="2" t="str">
        <f ca="1">IFERROR(__xludf.DUMMYFUNCTION("""COMPUTED_VALUE"""),"https://www.facebook.com/janjan.sugang")</f>
        <v>https://www.facebook.com/janjan.sugang</v>
      </c>
      <c r="B4" s="1" t="str">
        <f ca="1">IFERROR(__xludf.DUMMYFUNCTION("""COMPUTED_VALUE"""),"Sug-ang Remix")</f>
        <v>Sug-ang Remix</v>
      </c>
      <c r="C4" s="1" t="str">
        <f ca="1">IFERROR(__xludf.DUMMYFUNCTION("""COMPUTED_VALUE"""),"Sug-ang")</f>
        <v>Sug-ang</v>
      </c>
      <c r="D4" s="1" t="str">
        <f ca="1">IFERROR(__xludf.DUMMYFUNCTION("""COMPUTED_VALUE"""),"Remix")</f>
        <v>Remix</v>
      </c>
      <c r="E4" s="1" t="str">
        <f ca="1">IFERROR(__xludf.DUMMYFUNCTION("""COMPUTED_VALUE"""),"Angie Tan Carlsen Ikaw baka gusto mong sumali sa debate go")</f>
        <v>Angie Tan Carlsen Ikaw baka gusto mong sumali sa debate go</v>
      </c>
      <c r="F4" s="1"/>
      <c r="G4" s="1" t="str">
        <f ca="1">IFERROR(__xludf.DUMMYFUNCTION("""COMPUTED_VALUE"""),"3 mos")</f>
        <v>3 mos</v>
      </c>
      <c r="H4" s="1" t="str">
        <f ca="1">IFERROR(__xludf.DUMMYFUNCTION("""COMPUTED_VALUE"""),"reply")</f>
        <v>reply</v>
      </c>
      <c r="I4"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4" s="1" t="str">
        <f ca="1">IFERROR(__xludf.DUMMYFUNCTION("""COMPUTED_VALUE"""),"2022-07-04T11:08:02.658Z")</f>
        <v>2022-07-04T11:08:02.658Z</v>
      </c>
    </row>
    <row r="5" spans="1:10" x14ac:dyDescent="0.2">
      <c r="A5" s="2" t="str">
        <f ca="1">IFERROR(__xludf.DUMMYFUNCTION("""COMPUTED_VALUE"""),"https://www.facebook.com/rico.sanyo.7")</f>
        <v>https://www.facebook.com/rico.sanyo.7</v>
      </c>
      <c r="B5" s="1" t="str">
        <f ca="1">IFERROR(__xludf.DUMMYFUNCTION("""COMPUTED_VALUE"""),"Rico Sanyo")</f>
        <v>Rico Sanyo</v>
      </c>
      <c r="C5" s="1" t="str">
        <f ca="1">IFERROR(__xludf.DUMMYFUNCTION("""COMPUTED_VALUE"""),"Rico")</f>
        <v>Rico</v>
      </c>
      <c r="D5" s="1" t="str">
        <f ca="1">IFERROR(__xludf.DUMMYFUNCTION("""COMPUTED_VALUE"""),"Sanyo")</f>
        <v>Sanyo</v>
      </c>
      <c r="E5" s="1" t="str">
        <f ca="1">IFERROR(__xludf.DUMMYFUNCTION("""COMPUTED_VALUE"""),"Angie Tan Carlsen tana")</f>
        <v>Angie Tan Carlsen tana</v>
      </c>
      <c r="F5" s="1"/>
      <c r="G5" s="1" t="str">
        <f ca="1">IFERROR(__xludf.DUMMYFUNCTION("""COMPUTED_VALUE"""),"3 mos")</f>
        <v>3 mos</v>
      </c>
      <c r="H5" s="1" t="str">
        <f ca="1">IFERROR(__xludf.DUMMYFUNCTION("""COMPUTED_VALUE"""),"reply")</f>
        <v>reply</v>
      </c>
      <c r="I5"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5" s="1" t="str">
        <f ca="1">IFERROR(__xludf.DUMMYFUNCTION("""COMPUTED_VALUE"""),"2022-07-04T11:08:02.658Z")</f>
        <v>2022-07-04T11:08:02.658Z</v>
      </c>
    </row>
    <row r="6" spans="1:10" x14ac:dyDescent="0.2">
      <c r="A6" s="2" t="str">
        <f ca="1">IFERROR(__xludf.DUMMYFUNCTION("""COMPUTED_VALUE"""),"https://www.facebook.com/aqoucii.makmak")</f>
        <v>https://www.facebook.com/aqoucii.makmak</v>
      </c>
      <c r="B6" s="1" t="str">
        <f ca="1">IFERROR(__xludf.DUMMYFUNCTION("""COMPUTED_VALUE"""),"Makmak Sepi Panalunsong")</f>
        <v>Makmak Sepi Panalunsong</v>
      </c>
      <c r="C6" s="1" t="str">
        <f ca="1">IFERROR(__xludf.DUMMYFUNCTION("""COMPUTED_VALUE"""),"Makmak")</f>
        <v>Makmak</v>
      </c>
      <c r="D6" s="1" t="str">
        <f ca="1">IFERROR(__xludf.DUMMYFUNCTION("""COMPUTED_VALUE"""),"Sepi Panalunsong")</f>
        <v>Sepi Panalunsong</v>
      </c>
      <c r="E6" s="1" t="str">
        <f ca="1">IFERROR(__xludf.DUMMYFUNCTION("""COMPUTED_VALUE"""),"Angie Tan Carlsen ambabaw ng utak neto")</f>
        <v>Angie Tan Carlsen ambabaw ng utak neto</v>
      </c>
      <c r="F6" s="1"/>
      <c r="G6" s="1" t="str">
        <f ca="1">IFERROR(__xludf.DUMMYFUNCTION("""COMPUTED_VALUE"""),"3 mos")</f>
        <v>3 mos</v>
      </c>
      <c r="H6" s="1" t="str">
        <f ca="1">IFERROR(__xludf.DUMMYFUNCTION("""COMPUTED_VALUE"""),"reply")</f>
        <v>reply</v>
      </c>
      <c r="I6"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6" s="1" t="str">
        <f ca="1">IFERROR(__xludf.DUMMYFUNCTION("""COMPUTED_VALUE"""),"2022-07-04T11:08:02.658Z")</f>
        <v>2022-07-04T11:08:02.658Z</v>
      </c>
    </row>
    <row r="7" spans="1:10" x14ac:dyDescent="0.2">
      <c r="A7" s="2" t="str">
        <f ca="1">IFERROR(__xludf.DUMMYFUNCTION("""COMPUTED_VALUE"""),"https://www.facebook.com/profile.php?id=100073334618156")</f>
        <v>https://www.facebook.com/profile.php?id=100073334618156</v>
      </c>
      <c r="B7" s="1" t="str">
        <f ca="1">IFERROR(__xludf.DUMMYFUNCTION("""COMPUTED_VALUE"""),"Sonia Madlangbayan")</f>
        <v>Sonia Madlangbayan</v>
      </c>
      <c r="C7" s="1" t="str">
        <f ca="1">IFERROR(__xludf.DUMMYFUNCTION("""COMPUTED_VALUE"""),"Sonia")</f>
        <v>Sonia</v>
      </c>
      <c r="D7" s="1" t="str">
        <f ca="1">IFERROR(__xludf.DUMMYFUNCTION("""COMPUTED_VALUE"""),"Madlangbayan")</f>
        <v>Madlangbayan</v>
      </c>
      <c r="E7" s="1" t="str">
        <f ca="1">IFERROR(__xludf.DUMMYFUNCTION("""COMPUTED_VALUE"""),"Agripina Timbreza Bello Brillantes hindi lng ulan, kahit harangan man at sumakay sa sidecar gagawin makarating lng, kahit bigla bigla ang ipabungkal ng kalye dadating, itanong mo k Gob. Remulla")</f>
        <v>Agripina Timbreza Bello Brillantes hindi lng ulan, kahit harangan man at sumakay sa sidecar gagawin makarating lng, kahit bigla bigla ang ipabungkal ng kalye dadating, itanong mo k Gob. Remulla</v>
      </c>
      <c r="F7" s="1">
        <f ca="1">IFERROR(__xludf.DUMMYFUNCTION("""COMPUTED_VALUE"""),6)</f>
        <v>6</v>
      </c>
      <c r="G7" s="1" t="str">
        <f ca="1">IFERROR(__xludf.DUMMYFUNCTION("""COMPUTED_VALUE"""),"3 mos")</f>
        <v>3 mos</v>
      </c>
      <c r="H7" s="1" t="str">
        <f ca="1">IFERROR(__xludf.DUMMYFUNCTION("""COMPUTED_VALUE"""),"reply")</f>
        <v>reply</v>
      </c>
      <c r="I7"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7" s="1" t="str">
        <f ca="1">IFERROR(__xludf.DUMMYFUNCTION("""COMPUTED_VALUE"""),"2022-07-04T11:08:02.658Z")</f>
        <v>2022-07-04T11:08:02.658Z</v>
      </c>
    </row>
    <row r="8" spans="1:10" x14ac:dyDescent="0.2">
      <c r="A8" s="2" t="str">
        <f ca="1">IFERROR(__xludf.DUMMYFUNCTION("""COMPUTED_VALUE"""),"https://www.facebook.com/jellyanzerauj")</f>
        <v>https://www.facebook.com/jellyanzerauj</v>
      </c>
      <c r="B8" s="1" t="str">
        <f ca="1">IFERROR(__xludf.DUMMYFUNCTION("""COMPUTED_VALUE"""),"Jelly Mae Juarez")</f>
        <v>Jelly Mae Juarez</v>
      </c>
      <c r="C8" s="1" t="str">
        <f ca="1">IFERROR(__xludf.DUMMYFUNCTION("""COMPUTED_VALUE"""),"Jelly")</f>
        <v>Jelly</v>
      </c>
      <c r="D8" s="1" t="str">
        <f ca="1">IFERROR(__xludf.DUMMYFUNCTION("""COMPUTED_VALUE"""),"Mae Juarez")</f>
        <v>Mae Juarez</v>
      </c>
      <c r="E8" s="1" t="str">
        <f ca="1">IFERROR(__xludf.DUMMYFUNCTION("""COMPUTED_VALUE"""),"Angie Tan Carlsen wala daw sila pake sayo😂")</f>
        <v>Angie Tan Carlsen wala daw sila pake sayo😂</v>
      </c>
      <c r="F8" s="1"/>
      <c r="G8" s="1" t="str">
        <f ca="1">IFERROR(__xludf.DUMMYFUNCTION("""COMPUTED_VALUE"""),"3 mos")</f>
        <v>3 mos</v>
      </c>
      <c r="H8" s="1" t="str">
        <f ca="1">IFERROR(__xludf.DUMMYFUNCTION("""COMPUTED_VALUE"""),"reply")</f>
        <v>reply</v>
      </c>
      <c r="I8"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8" s="1" t="str">
        <f ca="1">IFERROR(__xludf.DUMMYFUNCTION("""COMPUTED_VALUE"""),"2022-07-04T11:08:02.658Z")</f>
        <v>2022-07-04T11:08:02.658Z</v>
      </c>
    </row>
    <row r="9" spans="1:10" x14ac:dyDescent="0.2">
      <c r="A9" s="2" t="str">
        <f ca="1">IFERROR(__xludf.DUMMYFUNCTION("""COMPUTED_VALUE"""),"https://www.facebook.com/berlanie18")</f>
        <v>https://www.facebook.com/berlanie18</v>
      </c>
      <c r="B9" s="1" t="str">
        <f ca="1">IFERROR(__xludf.DUMMYFUNCTION("""COMPUTED_VALUE"""),"Maliya Ortsac")</f>
        <v>Maliya Ortsac</v>
      </c>
      <c r="C9" s="1" t="str">
        <f ca="1">IFERROR(__xludf.DUMMYFUNCTION("""COMPUTED_VALUE"""),"Maliya")</f>
        <v>Maliya</v>
      </c>
      <c r="D9" s="1" t="str">
        <f ca="1">IFERROR(__xludf.DUMMYFUNCTION("""COMPUTED_VALUE"""),"Ortsac")</f>
        <v>Ortsac</v>
      </c>
      <c r="E9" s="1" t="str">
        <f ca="1">IFERROR(__xludf.DUMMYFUNCTION("""COMPUTED_VALUE"""),"Angie Tan Carlsen hahahaha look who's talking debate na may advance question! hahaha ayaw nila doon kay prof. clarita patawa ka rin ano! hilom oi")</f>
        <v>Angie Tan Carlsen hahahaha look who's talking debate na may advance question! hahaha ayaw nila doon kay prof. clarita patawa ka rin ano! hilom oi</v>
      </c>
      <c r="F9" s="1"/>
      <c r="G9" s="1" t="str">
        <f ca="1">IFERROR(__xludf.DUMMYFUNCTION("""COMPUTED_VALUE"""),"3 mos")</f>
        <v>3 mos</v>
      </c>
      <c r="H9" s="1" t="str">
        <f ca="1">IFERROR(__xludf.DUMMYFUNCTION("""COMPUTED_VALUE"""),"reply")</f>
        <v>reply</v>
      </c>
      <c r="I9"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9" s="1" t="str">
        <f ca="1">IFERROR(__xludf.DUMMYFUNCTION("""COMPUTED_VALUE"""),"2022-07-04T11:08:02.658Z")</f>
        <v>2022-07-04T11:08:02.658Z</v>
      </c>
    </row>
    <row r="10" spans="1:10" x14ac:dyDescent="0.2">
      <c r="A10" s="2" t="str">
        <f ca="1">IFERROR(__xludf.DUMMYFUNCTION("""COMPUTED_VALUE"""),"https://www.facebook.com/carrie.carisma")</f>
        <v>https://www.facebook.com/carrie.carisma</v>
      </c>
      <c r="B10" s="1" t="str">
        <f ca="1">IFERROR(__xludf.DUMMYFUNCTION("""COMPUTED_VALUE"""),"Cacay Amsirac")</f>
        <v>Cacay Amsirac</v>
      </c>
      <c r="C10" s="1" t="str">
        <f ca="1">IFERROR(__xludf.DUMMYFUNCTION("""COMPUTED_VALUE"""),"Cacay")</f>
        <v>Cacay</v>
      </c>
      <c r="D10" s="1" t="str">
        <f ca="1">IFERROR(__xludf.DUMMYFUNCTION("""COMPUTED_VALUE"""),"Amsirac")</f>
        <v>Amsirac</v>
      </c>
      <c r="E10" s="1" t="str">
        <f ca="1">IFERROR(__xludf.DUMMYFUNCTION("""COMPUTED_VALUE"""),"Finally, dinagdagan na at kasama sa  bayad  ang mabasa sa ulan para hindi magsiuwian. 😁😁😁")</f>
        <v>Finally, dinagdagan na at kasama sa  bayad  ang mabasa sa ulan para hindi magsiuwian. 😁😁😁</v>
      </c>
      <c r="F10" s="1">
        <f ca="1">IFERROR(__xludf.DUMMYFUNCTION("""COMPUTED_VALUE"""),5)</f>
        <v>5</v>
      </c>
      <c r="G10" s="1" t="str">
        <f ca="1">IFERROR(__xludf.DUMMYFUNCTION("""COMPUTED_VALUE"""),"3 mos")</f>
        <v>3 mos</v>
      </c>
      <c r="H10" s="1" t="str">
        <f ca="1">IFERROR(__xludf.DUMMYFUNCTION("""COMPUTED_VALUE"""),"comment")</f>
        <v>comment</v>
      </c>
      <c r="I10"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0" s="1" t="str">
        <f ca="1">IFERROR(__xludf.DUMMYFUNCTION("""COMPUTED_VALUE"""),"2022-07-04T11:08:02.658Z")</f>
        <v>2022-07-04T11:08:02.658Z</v>
      </c>
    </row>
    <row r="11" spans="1:10" x14ac:dyDescent="0.2">
      <c r="A11" s="2" t="str">
        <f ca="1">IFERROR(__xludf.DUMMYFUNCTION("""COMPUTED_VALUE"""),"https://www.facebook.com/emerita.sacluti")</f>
        <v>https://www.facebook.com/emerita.sacluti</v>
      </c>
      <c r="B11" s="1" t="str">
        <f ca="1">IFERROR(__xludf.DUMMYFUNCTION("""COMPUTED_VALUE"""),"Basilio Sacluti")</f>
        <v>Basilio Sacluti</v>
      </c>
      <c r="C11" s="1" t="str">
        <f ca="1">IFERROR(__xludf.DUMMYFUNCTION("""COMPUTED_VALUE"""),"Basilio")</f>
        <v>Basilio</v>
      </c>
      <c r="D11" s="1" t="str">
        <f ca="1">IFERROR(__xludf.DUMMYFUNCTION("""COMPUTED_VALUE"""),"Sacluti")</f>
        <v>Sacluti</v>
      </c>
      <c r="E11" s="1" t="str">
        <f ca="1">IFERROR(__xludf.DUMMYFUNCTION("""COMPUTED_VALUE"""),"It’s the money that make them anxious to see him.")</f>
        <v>It’s the money that make them anxious to see him.</v>
      </c>
      <c r="F11" s="1">
        <f ca="1">IFERROR(__xludf.DUMMYFUNCTION("""COMPUTED_VALUE"""),179)</f>
        <v>179</v>
      </c>
      <c r="G11" s="1" t="str">
        <f ca="1">IFERROR(__xludf.DUMMYFUNCTION("""COMPUTED_VALUE"""),"3 mos")</f>
        <v>3 mos</v>
      </c>
      <c r="H11" s="1" t="str">
        <f ca="1">IFERROR(__xludf.DUMMYFUNCTION("""COMPUTED_VALUE"""),"comment")</f>
        <v>comment</v>
      </c>
      <c r="I11"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1" s="1" t="str">
        <f ca="1">IFERROR(__xludf.DUMMYFUNCTION("""COMPUTED_VALUE"""),"2022-07-04T11:08:02.658Z")</f>
        <v>2022-07-04T11:08:02.658Z</v>
      </c>
    </row>
    <row r="12" spans="1:10" x14ac:dyDescent="0.2">
      <c r="A12" s="2" t="str">
        <f ca="1">IFERROR(__xludf.DUMMYFUNCTION("""COMPUTED_VALUE"""),"https://www.facebook.com/ronmsalvador")</f>
        <v>https://www.facebook.com/ronmsalvador</v>
      </c>
      <c r="B12" s="1" t="str">
        <f ca="1">IFERROR(__xludf.DUMMYFUNCTION("""COMPUTED_VALUE"""),"Ron Salvador")</f>
        <v>Ron Salvador</v>
      </c>
      <c r="C12" s="1" t="str">
        <f ca="1">IFERROR(__xludf.DUMMYFUNCTION("""COMPUTED_VALUE"""),"Ron")</f>
        <v>Ron</v>
      </c>
      <c r="D12" s="1" t="str">
        <f ca="1">IFERROR(__xludf.DUMMYFUNCTION("""COMPUTED_VALUE"""),"Salvador")</f>
        <v>Salvador</v>
      </c>
      <c r="E12" s="1" t="str">
        <f ca="1">IFERROR(__xludf.DUMMYFUNCTION("""COMPUTED_VALUE"""),"Joi D Avril tallano gold or yamashita treasure?")</f>
        <v>Joi D Avril tallano gold or yamashita treasure?</v>
      </c>
      <c r="F12" s="1"/>
      <c r="G12" s="1" t="str">
        <f ca="1">IFERROR(__xludf.DUMMYFUNCTION("""COMPUTED_VALUE"""),"3 mos")</f>
        <v>3 mos</v>
      </c>
      <c r="H12" s="1" t="str">
        <f ca="1">IFERROR(__xludf.DUMMYFUNCTION("""COMPUTED_VALUE"""),"reply")</f>
        <v>reply</v>
      </c>
      <c r="I12"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2" s="1" t="str">
        <f ca="1">IFERROR(__xludf.DUMMYFUNCTION("""COMPUTED_VALUE"""),"2022-07-04T11:08:02.658Z")</f>
        <v>2022-07-04T11:08:02.658Z</v>
      </c>
    </row>
    <row r="13" spans="1:10" x14ac:dyDescent="0.2">
      <c r="A13" s="2" t="str">
        <f ca="1">IFERROR(__xludf.DUMMYFUNCTION("""COMPUTED_VALUE"""),"https://www.facebook.com/oliver.susano")</f>
        <v>https://www.facebook.com/oliver.susano</v>
      </c>
      <c r="B13" s="1" t="str">
        <f ca="1">IFERROR(__xludf.DUMMYFUNCTION("""COMPUTED_VALUE"""),"Oliver Susano")</f>
        <v>Oliver Susano</v>
      </c>
      <c r="C13" s="1" t="str">
        <f ca="1">IFERROR(__xludf.DUMMYFUNCTION("""COMPUTED_VALUE"""),"Oliver")</f>
        <v>Oliver</v>
      </c>
      <c r="D13" s="1" t="str">
        <f ca="1">IFERROR(__xludf.DUMMYFUNCTION("""COMPUTED_VALUE"""),"Susano")</f>
        <v>Susano</v>
      </c>
      <c r="E13" s="1" t="str">
        <f ca="1">IFERROR(__xludf.DUMMYFUNCTION("""COMPUTED_VALUE"""),"Basilio Sacluti proof?")</f>
        <v>Basilio Sacluti proof?</v>
      </c>
      <c r="F13" s="1"/>
      <c r="G13" s="1" t="str">
        <f ca="1">IFERROR(__xludf.DUMMYFUNCTION("""COMPUTED_VALUE"""),"3 mos")</f>
        <v>3 mos</v>
      </c>
      <c r="H13" s="1" t="str">
        <f ca="1">IFERROR(__xludf.DUMMYFUNCTION("""COMPUTED_VALUE"""),"reply")</f>
        <v>reply</v>
      </c>
      <c r="I13"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3" s="1" t="str">
        <f ca="1">IFERROR(__xludf.DUMMYFUNCTION("""COMPUTED_VALUE"""),"2022-07-04T11:08:02.658Z")</f>
        <v>2022-07-04T11:08:02.658Z</v>
      </c>
    </row>
    <row r="14" spans="1:10" x14ac:dyDescent="0.2">
      <c r="A14" s="2" t="str">
        <f ca="1">IFERROR(__xludf.DUMMYFUNCTION("""COMPUTED_VALUE"""),"https://www.facebook.com/rdsarmiento1")</f>
        <v>https://www.facebook.com/rdsarmiento1</v>
      </c>
      <c r="B14" s="1" t="str">
        <f ca="1">IFERROR(__xludf.DUMMYFUNCTION("""COMPUTED_VALUE"""),"Robert Duran Sarmiento")</f>
        <v>Robert Duran Sarmiento</v>
      </c>
      <c r="C14" s="1" t="str">
        <f ca="1">IFERROR(__xludf.DUMMYFUNCTION("""COMPUTED_VALUE"""),"Robert")</f>
        <v>Robert</v>
      </c>
      <c r="D14" s="1" t="str">
        <f ca="1">IFERROR(__xludf.DUMMYFUNCTION("""COMPUTED_VALUE"""),"Duran Sarmiento")</f>
        <v>Duran Sarmiento</v>
      </c>
      <c r="E14" s="1" t="str">
        <f ca="1">IFERROR(__xludf.DUMMYFUNCTION("""COMPUTED_VALUE"""),"Basilio Sacluti so true, i think. 😁😁😁")</f>
        <v>Basilio Sacluti so true, i think. 😁😁😁</v>
      </c>
      <c r="F14" s="1">
        <f ca="1">IFERROR(__xludf.DUMMYFUNCTION("""COMPUTED_VALUE"""),5)</f>
        <v>5</v>
      </c>
      <c r="G14" s="1" t="str">
        <f ca="1">IFERROR(__xludf.DUMMYFUNCTION("""COMPUTED_VALUE"""),"3 mos")</f>
        <v>3 mos</v>
      </c>
      <c r="H14" s="1" t="str">
        <f ca="1">IFERROR(__xludf.DUMMYFUNCTION("""COMPUTED_VALUE"""),"reply")</f>
        <v>reply</v>
      </c>
      <c r="I14"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4" s="1" t="str">
        <f ca="1">IFERROR(__xludf.DUMMYFUNCTION("""COMPUTED_VALUE"""),"2022-07-04T11:08:02.658Z")</f>
        <v>2022-07-04T11:08:02.658Z</v>
      </c>
    </row>
    <row r="15" spans="1:10" x14ac:dyDescent="0.2">
      <c r="A15" s="2" t="str">
        <f ca="1">IFERROR(__xludf.DUMMYFUNCTION("""COMPUTED_VALUE"""),"https://www.facebook.com/julietamananquil")</f>
        <v>https://www.facebook.com/julietamananquil</v>
      </c>
      <c r="B15" s="1" t="str">
        <f ca="1">IFERROR(__xludf.DUMMYFUNCTION("""COMPUTED_VALUE"""),"Jhulz Mananquil")</f>
        <v>Jhulz Mananquil</v>
      </c>
      <c r="C15" s="1" t="str">
        <f ca="1">IFERROR(__xludf.DUMMYFUNCTION("""COMPUTED_VALUE"""),"Jhulz")</f>
        <v>Jhulz</v>
      </c>
      <c r="D15" s="1" t="str">
        <f ca="1">IFERROR(__xludf.DUMMYFUNCTION("""COMPUTED_VALUE"""),"Mananquil")</f>
        <v>Mananquil</v>
      </c>
      <c r="E15" s="1" t="str">
        <f ca="1">IFERROR(__xludf.DUMMYFUNCTION("""COMPUTED_VALUE"""),"That’s the reality of a good trapo hahaha old style kase si BabyM namana sa tatay na pilit nyang ginagaya. Ang layo naman nila tatay nya graduate ng UP at totoong may diploma eh sya ano bitbit nya PERA? O pera ng mga chuwariwa nya para manalo lang sya? Pa"&amp;"ra tuliy ang ligaya? Hahaha")</f>
        <v>That’s the reality of a good trapo hahaha old style kase si BabyM namana sa tatay na pilit nyang ginagaya. Ang layo naman nila tatay nya graduate ng UP at totoong may diploma eh sya ano bitbit nya PERA? O pera ng mga chuwariwa nya para manalo lang sya? Para tuliy ang ligaya? Hahaha</v>
      </c>
      <c r="F15" s="1">
        <f ca="1">IFERROR(__xludf.DUMMYFUNCTION("""COMPUTED_VALUE"""),13)</f>
        <v>13</v>
      </c>
      <c r="G15" s="1" t="str">
        <f ca="1">IFERROR(__xludf.DUMMYFUNCTION("""COMPUTED_VALUE"""),"3 mos")</f>
        <v>3 mos</v>
      </c>
      <c r="H15" s="1" t="str">
        <f ca="1">IFERROR(__xludf.DUMMYFUNCTION("""COMPUTED_VALUE"""),"reply")</f>
        <v>reply</v>
      </c>
      <c r="I15"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5" s="1" t="str">
        <f ca="1">IFERROR(__xludf.DUMMYFUNCTION("""COMPUTED_VALUE"""),"2022-07-04T11:08:02.658Z")</f>
        <v>2022-07-04T11:08:02.658Z</v>
      </c>
    </row>
    <row r="16" spans="1:10" x14ac:dyDescent="0.2">
      <c r="A16" s="2" t="str">
        <f ca="1">IFERROR(__xludf.DUMMYFUNCTION("""COMPUTED_VALUE"""),"https://www.facebook.com/jorelyn.salvador.7")</f>
        <v>https://www.facebook.com/jorelyn.salvador.7</v>
      </c>
      <c r="B16" s="1" t="str">
        <f ca="1">IFERROR(__xludf.DUMMYFUNCTION("""COMPUTED_VALUE"""),"Jorelyn Jamella Salvador")</f>
        <v>Jorelyn Jamella Salvador</v>
      </c>
      <c r="C16" s="1" t="str">
        <f ca="1">IFERROR(__xludf.DUMMYFUNCTION("""COMPUTED_VALUE"""),"Jorelyn")</f>
        <v>Jorelyn</v>
      </c>
      <c r="D16" s="1" t="str">
        <f ca="1">IFERROR(__xludf.DUMMYFUNCTION("""COMPUTED_VALUE"""),"Jamella Salvador")</f>
        <v>Jamella Salvador</v>
      </c>
      <c r="E16" s="1" t="str">
        <f ca="1">IFERROR(__xludf.DUMMYFUNCTION("""COMPUTED_VALUE"""),"Jhulz Mananquil Sure??")</f>
        <v>Jhulz Mananquil Sure??</v>
      </c>
      <c r="F16" s="1"/>
      <c r="G16" s="1" t="str">
        <f ca="1">IFERROR(__xludf.DUMMYFUNCTION("""COMPUTED_VALUE"""),"3 mos")</f>
        <v>3 mos</v>
      </c>
      <c r="H16" s="1" t="str">
        <f ca="1">IFERROR(__xludf.DUMMYFUNCTION("""COMPUTED_VALUE"""),"reply")</f>
        <v>reply</v>
      </c>
      <c r="I16"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6" s="1" t="str">
        <f ca="1">IFERROR(__xludf.DUMMYFUNCTION("""COMPUTED_VALUE"""),"2022-07-04T11:08:02.658Z")</f>
        <v>2022-07-04T11:08:02.658Z</v>
      </c>
    </row>
    <row r="17" spans="1:10" x14ac:dyDescent="0.2">
      <c r="A17" s="2" t="str">
        <f ca="1">IFERROR(__xludf.DUMMYFUNCTION("""COMPUTED_VALUE"""),"https://www.facebook.com/ju.nelle.3701")</f>
        <v>https://www.facebook.com/ju.nelle.3701</v>
      </c>
      <c r="B17" s="1" t="str">
        <f ca="1">IFERROR(__xludf.DUMMYFUNCTION("""COMPUTED_VALUE"""),"Brandon Bon")</f>
        <v>Brandon Bon</v>
      </c>
      <c r="C17" s="1" t="str">
        <f ca="1">IFERROR(__xludf.DUMMYFUNCTION("""COMPUTED_VALUE"""),"Brandon")</f>
        <v>Brandon</v>
      </c>
      <c r="D17" s="1" t="str">
        <f ca="1">IFERROR(__xludf.DUMMYFUNCTION("""COMPUTED_VALUE"""),"Bon")</f>
        <v>Bon</v>
      </c>
      <c r="E17" s="1" t="str">
        <f ca="1">IFERROR(__xludf.DUMMYFUNCTION("""COMPUTED_VALUE"""),"#cybercrime  #cyberbullying  #nbicybercrimeunit  #NBI")</f>
        <v>#cybercrime  #cyberbullying  #nbicybercrimeunit  #NBI</v>
      </c>
      <c r="F17" s="1"/>
      <c r="G17" s="1" t="str">
        <f ca="1">IFERROR(__xludf.DUMMYFUNCTION("""COMPUTED_VALUE"""),"3 mos")</f>
        <v>3 mos</v>
      </c>
      <c r="H17" s="1" t="str">
        <f ca="1">IFERROR(__xludf.DUMMYFUNCTION("""COMPUTED_VALUE"""),"reply")</f>
        <v>reply</v>
      </c>
      <c r="I17"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7" s="1" t="str">
        <f ca="1">IFERROR(__xludf.DUMMYFUNCTION("""COMPUTED_VALUE"""),"2022-07-04T11:08:02.658Z")</f>
        <v>2022-07-04T11:08:02.658Z</v>
      </c>
    </row>
    <row r="18" spans="1:10" x14ac:dyDescent="0.2">
      <c r="A18" s="2" t="str">
        <f ca="1">IFERROR(__xludf.DUMMYFUNCTION("""COMPUTED_VALUE"""),"https://www.facebook.com/eon.flux.33")</f>
        <v>https://www.facebook.com/eon.flux.33</v>
      </c>
      <c r="B18" s="1" t="str">
        <f ca="1">IFERROR(__xludf.DUMMYFUNCTION("""COMPUTED_VALUE"""),"Eon Flux")</f>
        <v>Eon Flux</v>
      </c>
      <c r="C18" s="1" t="str">
        <f ca="1">IFERROR(__xludf.DUMMYFUNCTION("""COMPUTED_VALUE"""),"Eon")</f>
        <v>Eon</v>
      </c>
      <c r="D18" s="1" t="str">
        <f ca="1">IFERROR(__xludf.DUMMYFUNCTION("""COMPUTED_VALUE"""),"Flux")</f>
        <v>Flux</v>
      </c>
      <c r="E18" s="1" t="str">
        <f ca="1">IFERROR(__xludf.DUMMYFUNCTION("""COMPUTED_VALUE"""),"Basilio Sacluti resibo?")</f>
        <v>Basilio Sacluti resibo?</v>
      </c>
      <c r="F18" s="1"/>
      <c r="G18" s="1" t="str">
        <f ca="1">IFERROR(__xludf.DUMMYFUNCTION("""COMPUTED_VALUE"""),"3 mos")</f>
        <v>3 mos</v>
      </c>
      <c r="H18" s="1" t="str">
        <f ca="1">IFERROR(__xludf.DUMMYFUNCTION("""COMPUTED_VALUE"""),"reply")</f>
        <v>reply</v>
      </c>
      <c r="I18"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8" s="1" t="str">
        <f ca="1">IFERROR(__xludf.DUMMYFUNCTION("""COMPUTED_VALUE"""),"2022-07-04T11:08:02.658Z")</f>
        <v>2022-07-04T11:08:02.658Z</v>
      </c>
    </row>
    <row r="19" spans="1:10" x14ac:dyDescent="0.2">
      <c r="A19" s="2" t="str">
        <f ca="1">IFERROR(__xludf.DUMMYFUNCTION("""COMPUTED_VALUE"""),"https://www.facebook.com/rogercasidsid.villanueva")</f>
        <v>https://www.facebook.com/rogercasidsid.villanueva</v>
      </c>
      <c r="B19" s="1" t="str">
        <f ca="1">IFERROR(__xludf.DUMMYFUNCTION("""COMPUTED_VALUE"""),"Ermalyn Pitua Villanueva")</f>
        <v>Ermalyn Pitua Villanueva</v>
      </c>
      <c r="C19" s="1" t="str">
        <f ca="1">IFERROR(__xludf.DUMMYFUNCTION("""COMPUTED_VALUE"""),"Ermalyn")</f>
        <v>Ermalyn</v>
      </c>
      <c r="D19" s="1" t="str">
        <f ca="1">IFERROR(__xludf.DUMMYFUNCTION("""COMPUTED_VALUE"""),"Pitua Villanueva")</f>
        <v>Pitua Villanueva</v>
      </c>
      <c r="E19" s="1" t="str">
        <f ca="1">IFERROR(__xludf.DUMMYFUNCTION("""COMPUTED_VALUE"""),"As if ung ibang kandidato sasabihing walang money involve!  Abunado pa kami!  2022 na oi.. Cge lang paglolokohin nyo mga sarili nyo!  #anghilignyomagmalinis")</f>
        <v>As if ung ibang kandidato sasabihing walang money involve!  Abunado pa kami!  2022 na oi.. Cge lang paglolokohin nyo mga sarili nyo!  #anghilignyomagmalinis</v>
      </c>
      <c r="F19" s="1">
        <f ca="1">IFERROR(__xludf.DUMMYFUNCTION("""COMPUTED_VALUE"""),1)</f>
        <v>1</v>
      </c>
      <c r="G19" s="1" t="str">
        <f ca="1">IFERROR(__xludf.DUMMYFUNCTION("""COMPUTED_VALUE"""),"3 mos")</f>
        <v>3 mos</v>
      </c>
      <c r="H19" s="1" t="str">
        <f ca="1">IFERROR(__xludf.DUMMYFUNCTION("""COMPUTED_VALUE"""),"reply")</f>
        <v>reply</v>
      </c>
      <c r="I19"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9" s="1" t="str">
        <f ca="1">IFERROR(__xludf.DUMMYFUNCTION("""COMPUTED_VALUE"""),"2022-07-04T11:08:02.658Z")</f>
        <v>2022-07-04T11:08:02.658Z</v>
      </c>
    </row>
    <row r="20" spans="1:10" x14ac:dyDescent="0.2">
      <c r="A20" s="2" t="str">
        <f ca="1">IFERROR(__xludf.DUMMYFUNCTION("""COMPUTED_VALUE"""),"https://www.facebook.com/alfredofabro.boking")</f>
        <v>https://www.facebook.com/alfredofabro.boking</v>
      </c>
      <c r="B20" s="1" t="str">
        <f ca="1">IFERROR(__xludf.DUMMYFUNCTION("""COMPUTED_VALUE"""),"Alfredo Fabro Boking")</f>
        <v>Alfredo Fabro Boking</v>
      </c>
      <c r="C20" s="1" t="str">
        <f ca="1">IFERROR(__xludf.DUMMYFUNCTION("""COMPUTED_VALUE"""),"Alfredo")</f>
        <v>Alfredo</v>
      </c>
      <c r="D20" s="1" t="str">
        <f ca="1">IFERROR(__xludf.DUMMYFUNCTION("""COMPUTED_VALUE"""),"Fabro Boking")</f>
        <v>Fabro Boking</v>
      </c>
      <c r="E20" s="1" t="str">
        <f ca="1">IFERROR(__xludf.DUMMYFUNCTION("""COMPUTED_VALUE"""),"Basilio Sacluti iyaaaakkk🤣😂🤣😂🤣")</f>
        <v>Basilio Sacluti iyaaaakkk🤣😂🤣😂🤣</v>
      </c>
      <c r="F20" s="1"/>
      <c r="G20" s="1" t="str">
        <f ca="1">IFERROR(__xludf.DUMMYFUNCTION("""COMPUTED_VALUE"""),"3 mos")</f>
        <v>3 mos</v>
      </c>
      <c r="H20" s="1" t="str">
        <f ca="1">IFERROR(__xludf.DUMMYFUNCTION("""COMPUTED_VALUE"""),"reply")</f>
        <v>reply</v>
      </c>
      <c r="I20"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20" s="1" t="str">
        <f ca="1">IFERROR(__xludf.DUMMYFUNCTION("""COMPUTED_VALUE"""),"2022-07-04T11:08:02.658Z")</f>
        <v>2022-07-04T11:08:02.658Z</v>
      </c>
    </row>
    <row r="21" spans="1:10" x14ac:dyDescent="0.2">
      <c r="A21" s="2" t="str">
        <f ca="1">IFERROR(__xludf.DUMMYFUNCTION("""COMPUTED_VALUE"""),"https://www.facebook.com/alfredofabro.boking")</f>
        <v>https://www.facebook.com/alfredofabro.boking</v>
      </c>
      <c r="B21" s="1" t="str">
        <f ca="1">IFERROR(__xludf.DUMMYFUNCTION("""COMPUTED_VALUE"""),"Alfredo Fabro Boking")</f>
        <v>Alfredo Fabro Boking</v>
      </c>
      <c r="C21" s="1" t="str">
        <f ca="1">IFERROR(__xludf.DUMMYFUNCTION("""COMPUTED_VALUE"""),"Alfredo")</f>
        <v>Alfredo</v>
      </c>
      <c r="D21" s="1" t="str">
        <f ca="1">IFERROR(__xludf.DUMMYFUNCTION("""COMPUTED_VALUE"""),"Fabro Boking")</f>
        <v>Fabro Boking</v>
      </c>
      <c r="E21" s="1" t="str">
        <f ca="1">IFERROR(__xludf.DUMMYFUNCTION("""COMPUTED_VALUE"""),"Jhulz Mananquil iyaaaakkkkk pa more 🤣🤣🤣🤣🤣🤣")</f>
        <v>Jhulz Mananquil iyaaaakkkkk pa more 🤣🤣🤣🤣🤣🤣</v>
      </c>
      <c r="F21" s="1"/>
      <c r="G21" s="1" t="str">
        <f ca="1">IFERROR(__xludf.DUMMYFUNCTION("""COMPUTED_VALUE"""),"3 mos")</f>
        <v>3 mos</v>
      </c>
      <c r="H21" s="1" t="str">
        <f ca="1">IFERROR(__xludf.DUMMYFUNCTION("""COMPUTED_VALUE"""),"reply")</f>
        <v>reply</v>
      </c>
      <c r="I21"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21" s="1" t="str">
        <f ca="1">IFERROR(__xludf.DUMMYFUNCTION("""COMPUTED_VALUE"""),"2022-07-04T11:08:02.658Z")</f>
        <v>2022-07-04T11:08:02.658Z</v>
      </c>
    </row>
    <row r="22" spans="1:10" x14ac:dyDescent="0.2">
      <c r="A22" s="2" t="str">
        <f ca="1">IFERROR(__xludf.DUMMYFUNCTION("""COMPUTED_VALUE"""),"https://www.facebook.com/roselyn.pira.1")</f>
        <v>https://www.facebook.com/roselyn.pira.1</v>
      </c>
      <c r="B22" s="1" t="str">
        <f ca="1">IFERROR(__xludf.DUMMYFUNCTION("""COMPUTED_VALUE"""),"Roselyn Pira")</f>
        <v>Roselyn Pira</v>
      </c>
      <c r="C22" s="1" t="str">
        <f ca="1">IFERROR(__xludf.DUMMYFUNCTION("""COMPUTED_VALUE"""),"Roselyn")</f>
        <v>Roselyn</v>
      </c>
      <c r="D22" s="1" t="str">
        <f ca="1">IFERROR(__xludf.DUMMYFUNCTION("""COMPUTED_VALUE"""),"Pira")</f>
        <v>Pira</v>
      </c>
      <c r="E22" s="1" t="str">
        <f ca="1">IFERROR(__xludf.DUMMYFUNCTION("""COMPUTED_VALUE"""),"Max Francine Bautista oo dto sa cavite panay pera ang inilabas kaya maraming pumunta..may raffle pa ..sanay na kami dyan...pati bigayan ..kaya okk lng election..")</f>
        <v>Max Francine Bautista oo dto sa cavite panay pera ang inilabas kaya maraming pumunta..may raffle pa ..sanay na kami dyan...pati bigayan ..kaya okk lng election..</v>
      </c>
      <c r="F22" s="1"/>
      <c r="G22" s="1" t="str">
        <f ca="1">IFERROR(__xludf.DUMMYFUNCTION("""COMPUTED_VALUE"""),"3 mos")</f>
        <v>3 mos</v>
      </c>
      <c r="H22" s="1" t="str">
        <f ca="1">IFERROR(__xludf.DUMMYFUNCTION("""COMPUTED_VALUE"""),"reply")</f>
        <v>reply</v>
      </c>
      <c r="I22"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22" s="1" t="str">
        <f ca="1">IFERROR(__xludf.DUMMYFUNCTION("""COMPUTED_VALUE"""),"2022-07-04T11:08:02.658Z")</f>
        <v>2022-07-04T11:08:02.658Z</v>
      </c>
    </row>
    <row r="23" spans="1:10" x14ac:dyDescent="0.2">
      <c r="A23" s="2" t="str">
        <f ca="1">IFERROR(__xludf.DUMMYFUNCTION("""COMPUTED_VALUE"""),"https://www.facebook.com/roselyn.pira.1")</f>
        <v>https://www.facebook.com/roselyn.pira.1</v>
      </c>
      <c r="B23" s="1" t="str">
        <f ca="1">IFERROR(__xludf.DUMMYFUNCTION("""COMPUTED_VALUE"""),"Roselyn Pira")</f>
        <v>Roselyn Pira</v>
      </c>
      <c r="C23" s="1" t="str">
        <f ca="1">IFERROR(__xludf.DUMMYFUNCTION("""COMPUTED_VALUE"""),"Roselyn")</f>
        <v>Roselyn</v>
      </c>
      <c r="D23" s="1" t="str">
        <f ca="1">IFERROR(__xludf.DUMMYFUNCTION("""COMPUTED_VALUE"""),"Pira")</f>
        <v>Pira</v>
      </c>
      <c r="E23" s="1" t="str">
        <f ca="1">IFERROR(__xludf.DUMMYFUNCTION("""COMPUTED_VALUE"""),"Jc Mintu ikaw hindi bayad ang iba bayad hahaha...ayaw mo aminin its okk its election kasi ..")</f>
        <v>Jc Mintu ikaw hindi bayad ang iba bayad hahaha...ayaw mo aminin its okk its election kasi ..</v>
      </c>
      <c r="F23" s="1"/>
      <c r="G23" s="1" t="str">
        <f ca="1">IFERROR(__xludf.DUMMYFUNCTION("""COMPUTED_VALUE"""),"3 mos")</f>
        <v>3 mos</v>
      </c>
      <c r="H23" s="1" t="str">
        <f ca="1">IFERROR(__xludf.DUMMYFUNCTION("""COMPUTED_VALUE"""),"reply")</f>
        <v>reply</v>
      </c>
      <c r="I23"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23" s="1" t="str">
        <f ca="1">IFERROR(__xludf.DUMMYFUNCTION("""COMPUTED_VALUE"""),"2022-07-04T11:08:02.658Z")</f>
        <v>2022-07-04T11:08:02.658Z</v>
      </c>
    </row>
    <row r="24" spans="1:10" x14ac:dyDescent="0.2">
      <c r="A24" s="2" t="str">
        <f ca="1">IFERROR(__xludf.DUMMYFUNCTION("""COMPUTED_VALUE"""),"https://www.facebook.com/pauljeric.queipo.1")</f>
        <v>https://www.facebook.com/pauljeric.queipo.1</v>
      </c>
      <c r="B24" s="1" t="str">
        <f ca="1">IFERROR(__xludf.DUMMYFUNCTION("""COMPUTED_VALUE"""),"Paul Jeric Queipo")</f>
        <v>Paul Jeric Queipo</v>
      </c>
      <c r="C24" s="1" t="str">
        <f ca="1">IFERROR(__xludf.DUMMYFUNCTION("""COMPUTED_VALUE"""),"Paul")</f>
        <v>Paul</v>
      </c>
      <c r="D24" s="1" t="str">
        <f ca="1">IFERROR(__xludf.DUMMYFUNCTION("""COMPUTED_VALUE"""),"Jeric Queipo")</f>
        <v>Jeric Queipo</v>
      </c>
      <c r="E24" s="1" t="str">
        <f ca="1">IFERROR(__xludf.DUMMYFUNCTION("""COMPUTED_VALUE"""),"Basilio Sacluti lol pag inggit pikit 🤣 walang hakotn bus yan 🤣🤣🤣🤣 ooops")</f>
        <v>Basilio Sacluti lol pag inggit pikit 🤣 walang hakotn bus yan 🤣🤣🤣🤣 ooops</v>
      </c>
      <c r="F24" s="1"/>
      <c r="G24" s="1" t="str">
        <f ca="1">IFERROR(__xludf.DUMMYFUNCTION("""COMPUTED_VALUE"""),"3 mos")</f>
        <v>3 mos</v>
      </c>
      <c r="H24" s="1" t="str">
        <f ca="1">IFERROR(__xludf.DUMMYFUNCTION("""COMPUTED_VALUE"""),"reply")</f>
        <v>reply</v>
      </c>
      <c r="I24"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24" s="1" t="str">
        <f ca="1">IFERROR(__xludf.DUMMYFUNCTION("""COMPUTED_VALUE"""),"2022-07-04T11:08:02.658Z")</f>
        <v>2022-07-04T11:08:02.658Z</v>
      </c>
    </row>
    <row r="25" spans="1:10" x14ac:dyDescent="0.2">
      <c r="A25" s="2" t="str">
        <f ca="1">IFERROR(__xludf.DUMMYFUNCTION("""COMPUTED_VALUE"""),"https://www.facebook.com/pauljeric.queipo.1")</f>
        <v>https://www.facebook.com/pauljeric.queipo.1</v>
      </c>
      <c r="B25" s="1" t="str">
        <f ca="1">IFERROR(__xludf.DUMMYFUNCTION("""COMPUTED_VALUE"""),"Paul Jeric Queipo")</f>
        <v>Paul Jeric Queipo</v>
      </c>
      <c r="C25" s="1" t="str">
        <f ca="1">IFERROR(__xludf.DUMMYFUNCTION("""COMPUTED_VALUE"""),"Paul")</f>
        <v>Paul</v>
      </c>
      <c r="D25" s="1" t="str">
        <f ca="1">IFERROR(__xludf.DUMMYFUNCTION("""COMPUTED_VALUE"""),"Jeric Queipo")</f>
        <v>Jeric Queipo</v>
      </c>
      <c r="E25" s="1" t="str">
        <f ca="1">IFERROR(__xludf.DUMMYFUNCTION("""COMPUTED_VALUE"""),"Rose Andrade Austria hindi bayad, hakot lang sabay sabay from 1700 hundred island of the Philippines hahaha loooooser")</f>
        <v>Rose Andrade Austria hindi bayad, hakot lang sabay sabay from 1700 hundred island of the Philippines hahaha loooooser</v>
      </c>
      <c r="F25" s="1">
        <f ca="1">IFERROR(__xludf.DUMMYFUNCTION("""COMPUTED_VALUE"""),4)</f>
        <v>4</v>
      </c>
      <c r="G25" s="1" t="str">
        <f ca="1">IFERROR(__xludf.DUMMYFUNCTION("""COMPUTED_VALUE"""),"3 mos")</f>
        <v>3 mos</v>
      </c>
      <c r="H25" s="1" t="str">
        <f ca="1">IFERROR(__xludf.DUMMYFUNCTION("""COMPUTED_VALUE"""),"reply")</f>
        <v>reply</v>
      </c>
      <c r="I25"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25" s="1" t="str">
        <f ca="1">IFERROR(__xludf.DUMMYFUNCTION("""COMPUTED_VALUE"""),"2022-07-04T11:08:02.658Z")</f>
        <v>2022-07-04T11:08:02.658Z</v>
      </c>
    </row>
    <row r="26" spans="1:10" x14ac:dyDescent="0.2">
      <c r="A26" s="2" t="str">
        <f ca="1">IFERROR(__xludf.DUMMYFUNCTION("""COMPUTED_VALUE"""),"https://www.facebook.com/pauljeric.queipo.1")</f>
        <v>https://www.facebook.com/pauljeric.queipo.1</v>
      </c>
      <c r="B26" s="1" t="str">
        <f ca="1">IFERROR(__xludf.DUMMYFUNCTION("""COMPUTED_VALUE"""),"Paul Jeric Queipo")</f>
        <v>Paul Jeric Queipo</v>
      </c>
      <c r="C26" s="1" t="str">
        <f ca="1">IFERROR(__xludf.DUMMYFUNCTION("""COMPUTED_VALUE"""),"Paul")</f>
        <v>Paul</v>
      </c>
      <c r="D26" s="1" t="str">
        <f ca="1">IFERROR(__xludf.DUMMYFUNCTION("""COMPUTED_VALUE"""),"Jeric Queipo")</f>
        <v>Jeric Queipo</v>
      </c>
      <c r="E26" s="1" t="str">
        <f ca="1">IFERROR(__xludf.DUMMYFUNCTION("""COMPUTED_VALUE"""),"Ermalyn Pitua Villanueva pilit na elite kasi hahaha mga poorita naman talaga")</f>
        <v>Ermalyn Pitua Villanueva pilit na elite kasi hahaha mga poorita naman talaga</v>
      </c>
      <c r="F26" s="1"/>
      <c r="G26" s="1" t="str">
        <f ca="1">IFERROR(__xludf.DUMMYFUNCTION("""COMPUTED_VALUE"""),"3 mos")</f>
        <v>3 mos</v>
      </c>
      <c r="H26" s="1" t="str">
        <f ca="1">IFERROR(__xludf.DUMMYFUNCTION("""COMPUTED_VALUE"""),"reply")</f>
        <v>reply</v>
      </c>
      <c r="I26"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26" s="1" t="str">
        <f ca="1">IFERROR(__xludf.DUMMYFUNCTION("""COMPUTED_VALUE"""),"2022-07-04T11:08:02.658Z")</f>
        <v>2022-07-04T11:08:02.658Z</v>
      </c>
    </row>
    <row r="27" spans="1:10" x14ac:dyDescent="0.2">
      <c r="A27" s="2" t="str">
        <f ca="1">IFERROR(__xludf.DUMMYFUNCTION("""COMPUTED_VALUE"""),"https://www.facebook.com/anthony.valeza")</f>
        <v>https://www.facebook.com/anthony.valeza</v>
      </c>
      <c r="B27" s="1" t="str">
        <f ca="1">IFERROR(__xludf.DUMMYFUNCTION("""COMPUTED_VALUE"""),"Anthony Valeza")</f>
        <v>Anthony Valeza</v>
      </c>
      <c r="C27" s="1" t="str">
        <f ca="1">IFERROR(__xludf.DUMMYFUNCTION("""COMPUTED_VALUE"""),"Anthony")</f>
        <v>Anthony</v>
      </c>
      <c r="D27" s="1" t="str">
        <f ca="1">IFERROR(__xludf.DUMMYFUNCTION("""COMPUTED_VALUE"""),"Valeza")</f>
        <v>Valeza</v>
      </c>
      <c r="E27" s="1" t="str">
        <f ca="1">IFERROR(__xludf.DUMMYFUNCTION("""COMPUTED_VALUE"""),"Basilio Sacluti agree.")</f>
        <v>Basilio Sacluti agree.</v>
      </c>
      <c r="F27" s="1"/>
      <c r="G27" s="1" t="str">
        <f ca="1">IFERROR(__xludf.DUMMYFUNCTION("""COMPUTED_VALUE"""),"3 mos")</f>
        <v>3 mos</v>
      </c>
      <c r="H27" s="1" t="str">
        <f ca="1">IFERROR(__xludf.DUMMYFUNCTION("""COMPUTED_VALUE"""),"reply")</f>
        <v>reply</v>
      </c>
      <c r="I27"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27" s="1" t="str">
        <f ca="1">IFERROR(__xludf.DUMMYFUNCTION("""COMPUTED_VALUE"""),"2022-07-04T11:08:02.658Z")</f>
        <v>2022-07-04T11:08:02.658Z</v>
      </c>
    </row>
    <row r="28" spans="1:10" x14ac:dyDescent="0.2">
      <c r="A28" s="2" t="str">
        <f ca="1">IFERROR(__xludf.DUMMYFUNCTION("""COMPUTED_VALUE"""),"https://www.facebook.com/www.joeysampang")</f>
        <v>https://www.facebook.com/www.joeysampang</v>
      </c>
      <c r="B28" s="1" t="str">
        <f ca="1">IFERROR(__xludf.DUMMYFUNCTION("""COMPUTED_VALUE"""),"Joey Villanueva Sampang")</f>
        <v>Joey Villanueva Sampang</v>
      </c>
      <c r="C28" s="1" t="str">
        <f ca="1">IFERROR(__xludf.DUMMYFUNCTION("""COMPUTED_VALUE"""),"Joey")</f>
        <v>Joey</v>
      </c>
      <c r="D28" s="1" t="str">
        <f ca="1">IFERROR(__xludf.DUMMYFUNCTION("""COMPUTED_VALUE"""),"Villanueva Sampang")</f>
        <v>Villanueva Sampang</v>
      </c>
      <c r="E28" s="1" t="str">
        <f ca="1">IFERROR(__xludf.DUMMYFUNCTION("""COMPUTED_VALUE"""),"Basilio Sacluti yes")</f>
        <v>Basilio Sacluti yes</v>
      </c>
      <c r="F28" s="1"/>
      <c r="G28" s="1" t="str">
        <f ca="1">IFERROR(__xludf.DUMMYFUNCTION("""COMPUTED_VALUE"""),"3 mos")</f>
        <v>3 mos</v>
      </c>
      <c r="H28" s="1" t="str">
        <f ca="1">IFERROR(__xludf.DUMMYFUNCTION("""COMPUTED_VALUE"""),"reply")</f>
        <v>reply</v>
      </c>
      <c r="I28"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28" s="1" t="str">
        <f ca="1">IFERROR(__xludf.DUMMYFUNCTION("""COMPUTED_VALUE"""),"2022-07-04T11:08:02.658Z")</f>
        <v>2022-07-04T11:08:02.658Z</v>
      </c>
    </row>
    <row r="29" spans="1:10" x14ac:dyDescent="0.2">
      <c r="A29" s="2" t="str">
        <f ca="1">IFERROR(__xludf.DUMMYFUNCTION("""COMPUTED_VALUE"""),"https://www.facebook.com/aqoucii.makmak")</f>
        <v>https://www.facebook.com/aqoucii.makmak</v>
      </c>
      <c r="B29" s="1" t="str">
        <f ca="1">IFERROR(__xludf.DUMMYFUNCTION("""COMPUTED_VALUE"""),"Makmak Sepi Panalunsong")</f>
        <v>Makmak Sepi Panalunsong</v>
      </c>
      <c r="C29" s="1" t="str">
        <f ca="1">IFERROR(__xludf.DUMMYFUNCTION("""COMPUTED_VALUE"""),"Makmak")</f>
        <v>Makmak</v>
      </c>
      <c r="D29" s="1" t="str">
        <f ca="1">IFERROR(__xludf.DUMMYFUNCTION("""COMPUTED_VALUE"""),"Sepi Panalunsong")</f>
        <v>Sepi Panalunsong</v>
      </c>
      <c r="E29" s="1" t="str">
        <f ca="1">IFERROR(__xludf.DUMMYFUNCTION("""COMPUTED_VALUE"""),"Basilio Sacluti are sure?u mean mukhang pera taga mindanao or taga cotabato?baka kau")</f>
        <v>Basilio Sacluti are sure?u mean mukhang pera taga mindanao or taga cotabato?baka kau</v>
      </c>
      <c r="F29" s="1">
        <f ca="1">IFERROR(__xludf.DUMMYFUNCTION("""COMPUTED_VALUE"""),1)</f>
        <v>1</v>
      </c>
      <c r="G29" s="1" t="str">
        <f ca="1">IFERROR(__xludf.DUMMYFUNCTION("""COMPUTED_VALUE"""),"3 mos")</f>
        <v>3 mos</v>
      </c>
      <c r="H29" s="1" t="str">
        <f ca="1">IFERROR(__xludf.DUMMYFUNCTION("""COMPUTED_VALUE"""),"reply")</f>
        <v>reply</v>
      </c>
      <c r="I29"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29" s="1" t="str">
        <f ca="1">IFERROR(__xludf.DUMMYFUNCTION("""COMPUTED_VALUE"""),"2022-07-04T11:08:02.659Z")</f>
        <v>2022-07-04T11:08:02.659Z</v>
      </c>
    </row>
    <row r="30" spans="1:10" x14ac:dyDescent="0.2">
      <c r="A30" s="2" t="str">
        <f ca="1">IFERROR(__xludf.DUMMYFUNCTION("""COMPUTED_VALUE"""),"https://www.facebook.com/rico.sanyo.7")</f>
        <v>https://www.facebook.com/rico.sanyo.7</v>
      </c>
      <c r="B30" s="1" t="str">
        <f ca="1">IFERROR(__xludf.DUMMYFUNCTION("""COMPUTED_VALUE"""),"Rico Sanyo")</f>
        <v>Rico Sanyo</v>
      </c>
      <c r="C30" s="1" t="str">
        <f ca="1">IFERROR(__xludf.DUMMYFUNCTION("""COMPUTED_VALUE"""),"Rico")</f>
        <v>Rico</v>
      </c>
      <c r="D30" s="1" t="str">
        <f ca="1">IFERROR(__xludf.DUMMYFUNCTION("""COMPUTED_VALUE"""),"Sanyo")</f>
        <v>Sanyo</v>
      </c>
      <c r="E30" s="1" t="str">
        <f ca="1">IFERROR(__xludf.DUMMYFUNCTION("""COMPUTED_VALUE"""),"Jhulz Mananquil  nag ngangalngal ng bunganga si babyjr pag nagsasalita.  bakit kaya?")</f>
        <v>Jhulz Mananquil  nag ngangalngal ng bunganga si babyjr pag nagsasalita.  bakit kaya?</v>
      </c>
      <c r="F30" s="1"/>
      <c r="G30" s="1" t="str">
        <f ca="1">IFERROR(__xludf.DUMMYFUNCTION("""COMPUTED_VALUE"""),"3 mos")</f>
        <v>3 mos</v>
      </c>
      <c r="H30" s="1" t="str">
        <f ca="1">IFERROR(__xludf.DUMMYFUNCTION("""COMPUTED_VALUE"""),"reply")</f>
        <v>reply</v>
      </c>
      <c r="I30"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30" s="1" t="str">
        <f ca="1">IFERROR(__xludf.DUMMYFUNCTION("""COMPUTED_VALUE"""),"2022-07-04T11:08:02.659Z")</f>
        <v>2022-07-04T11:08:02.659Z</v>
      </c>
    </row>
    <row r="31" spans="1:10" x14ac:dyDescent="0.2">
      <c r="A31" s="2" t="str">
        <f ca="1">IFERROR(__xludf.DUMMYFUNCTION("""COMPUTED_VALUE"""),"https://www.facebook.com/deliza.esmeralda")</f>
        <v>https://www.facebook.com/deliza.esmeralda</v>
      </c>
      <c r="B31" s="1" t="str">
        <f ca="1">IFERROR(__xludf.DUMMYFUNCTION("""COMPUTED_VALUE"""),"Tyrellyn Esmeralda Ace")</f>
        <v>Tyrellyn Esmeralda Ace</v>
      </c>
      <c r="C31" s="1" t="str">
        <f ca="1">IFERROR(__xludf.DUMMYFUNCTION("""COMPUTED_VALUE"""),"Tyrellyn")</f>
        <v>Tyrellyn</v>
      </c>
      <c r="D31" s="1" t="str">
        <f ca="1">IFERROR(__xludf.DUMMYFUNCTION("""COMPUTED_VALUE"""),"Esmeralda Ace")</f>
        <v>Esmeralda Ace</v>
      </c>
      <c r="E31" s="1" t="str">
        <f ca="1">IFERROR(__xludf.DUMMYFUNCTION("""COMPUTED_VALUE"""),"Rain is a blessing!!!!woow ha !!!!")</f>
        <v>Rain is a blessing!!!!woow ha !!!!</v>
      </c>
      <c r="F31" s="1"/>
      <c r="G31" s="1" t="str">
        <f ca="1">IFERROR(__xludf.DUMMYFUNCTION("""COMPUTED_VALUE"""),"3 mos")</f>
        <v>3 mos</v>
      </c>
      <c r="H31" s="1" t="str">
        <f ca="1">IFERROR(__xludf.DUMMYFUNCTION("""COMPUTED_VALUE"""),"reply")</f>
        <v>reply</v>
      </c>
      <c r="I31"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31" s="1" t="str">
        <f ca="1">IFERROR(__xludf.DUMMYFUNCTION("""COMPUTED_VALUE"""),"2022-07-04T11:08:02.659Z")</f>
        <v>2022-07-04T11:08:02.659Z</v>
      </c>
    </row>
    <row r="32" spans="1:10" x14ac:dyDescent="0.2">
      <c r="A32" s="2" t="str">
        <f ca="1">IFERROR(__xludf.DUMMYFUNCTION("""COMPUTED_VALUE"""),"https://www.facebook.com/chris.bugasto")</f>
        <v>https://www.facebook.com/chris.bugasto</v>
      </c>
      <c r="B32" s="1" t="str">
        <f ca="1">IFERROR(__xludf.DUMMYFUNCTION("""COMPUTED_VALUE"""),"Chris Thugz Bugasto")</f>
        <v>Chris Thugz Bugasto</v>
      </c>
      <c r="C32" s="1" t="str">
        <f ca="1">IFERROR(__xludf.DUMMYFUNCTION("""COMPUTED_VALUE"""),"Chris")</f>
        <v>Chris</v>
      </c>
      <c r="D32" s="1" t="str">
        <f ca="1">IFERROR(__xludf.DUMMYFUNCTION("""COMPUTED_VALUE"""),"Thugz Bugasto")</f>
        <v>Thugz Bugasto</v>
      </c>
      <c r="E32" s="1" t="str">
        <f ca="1">IFERROR(__xludf.DUMMYFUNCTION("""COMPUTED_VALUE"""),"Rose Andrade Austria siempre wala pa yung envelop... Tiis daw muna... 🤣🤣🤣")</f>
        <v>Rose Andrade Austria siempre wala pa yung envelop... Tiis daw muna... 🤣🤣🤣</v>
      </c>
      <c r="F32" s="1"/>
      <c r="G32" s="1" t="str">
        <f ca="1">IFERROR(__xludf.DUMMYFUNCTION("""COMPUTED_VALUE"""),"3 mos")</f>
        <v>3 mos</v>
      </c>
      <c r="H32" s="1" t="str">
        <f ca="1">IFERROR(__xludf.DUMMYFUNCTION("""COMPUTED_VALUE"""),"reply")</f>
        <v>reply</v>
      </c>
      <c r="I32"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32" s="1" t="str">
        <f ca="1">IFERROR(__xludf.DUMMYFUNCTION("""COMPUTED_VALUE"""),"2022-07-04T11:08:02.659Z")</f>
        <v>2022-07-04T11:08:02.659Z</v>
      </c>
    </row>
    <row r="33" spans="1:10" x14ac:dyDescent="0.2">
      <c r="A33" s="2" t="str">
        <f ca="1">IFERROR(__xludf.DUMMYFUNCTION("""COMPUTED_VALUE"""),"https://www.facebook.com/berlanie18")</f>
        <v>https://www.facebook.com/berlanie18</v>
      </c>
      <c r="B33" s="1" t="str">
        <f ca="1">IFERROR(__xludf.DUMMYFUNCTION("""COMPUTED_VALUE"""),"Maliya Ortsac")</f>
        <v>Maliya Ortsac</v>
      </c>
      <c r="C33" s="1" t="str">
        <f ca="1">IFERROR(__xludf.DUMMYFUNCTION("""COMPUTED_VALUE"""),"Maliya")</f>
        <v>Maliya</v>
      </c>
      <c r="D33" s="1" t="str">
        <f ca="1">IFERROR(__xludf.DUMMYFUNCTION("""COMPUTED_VALUE"""),"Ortsac")</f>
        <v>Ortsac</v>
      </c>
      <c r="E33" s="1" t="str">
        <f ca="1">IFERROR(__xludf.DUMMYFUNCTION("""COMPUTED_VALUE"""),"Basilio Sacluti may ebedensya ka po?!patawa ka din ano!")</f>
        <v>Basilio Sacluti may ebedensya ka po?!patawa ka din ano!</v>
      </c>
      <c r="F33" s="1"/>
      <c r="G33" s="1" t="str">
        <f ca="1">IFERROR(__xludf.DUMMYFUNCTION("""COMPUTED_VALUE"""),"3 mos")</f>
        <v>3 mos</v>
      </c>
      <c r="H33" s="1" t="str">
        <f ca="1">IFERROR(__xludf.DUMMYFUNCTION("""COMPUTED_VALUE"""),"reply")</f>
        <v>reply</v>
      </c>
      <c r="I33"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33" s="1" t="str">
        <f ca="1">IFERROR(__xludf.DUMMYFUNCTION("""COMPUTED_VALUE"""),"2022-07-04T11:08:02.659Z")</f>
        <v>2022-07-04T11:08:02.659Z</v>
      </c>
    </row>
    <row r="34" spans="1:10" x14ac:dyDescent="0.2">
      <c r="A34" s="2" t="str">
        <f ca="1">IFERROR(__xludf.DUMMYFUNCTION("""COMPUTED_VALUE"""),"https://www.facebook.com/evelyn.ruiz.79230305")</f>
        <v>https://www.facebook.com/evelyn.ruiz.79230305</v>
      </c>
      <c r="B34" s="1" t="str">
        <f ca="1">IFERROR(__xludf.DUMMYFUNCTION("""COMPUTED_VALUE"""),"Evelyn Ruiz")</f>
        <v>Evelyn Ruiz</v>
      </c>
      <c r="C34" s="1" t="str">
        <f ca="1">IFERROR(__xludf.DUMMYFUNCTION("""COMPUTED_VALUE"""),"Evelyn")</f>
        <v>Evelyn</v>
      </c>
      <c r="D34" s="1" t="str">
        <f ca="1">IFERROR(__xludf.DUMMYFUNCTION("""COMPUTED_VALUE"""),"Ruiz")</f>
        <v>Ruiz</v>
      </c>
      <c r="E34" s="1" t="str">
        <f ca="1">IFERROR(__xludf.DUMMYFUNCTION("""COMPUTED_VALUE"""),"Kawawa naman tayo pag nakabalik yan sa pwesto.")</f>
        <v>Kawawa naman tayo pag nakabalik yan sa pwesto.</v>
      </c>
      <c r="F34" s="1"/>
      <c r="G34" s="1" t="str">
        <f ca="1">IFERROR(__xludf.DUMMYFUNCTION("""COMPUTED_VALUE"""),"3 mos")</f>
        <v>3 mos</v>
      </c>
      <c r="H34" s="1" t="str">
        <f ca="1">IFERROR(__xludf.DUMMYFUNCTION("""COMPUTED_VALUE"""),"comment")</f>
        <v>comment</v>
      </c>
      <c r="I34"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34" s="1" t="str">
        <f ca="1">IFERROR(__xludf.DUMMYFUNCTION("""COMPUTED_VALUE"""),"2022-07-04T11:08:02.659Z")</f>
        <v>2022-07-04T11:08:02.659Z</v>
      </c>
    </row>
    <row r="35" spans="1:10" x14ac:dyDescent="0.2">
      <c r="A35" s="2" t="str">
        <f ca="1">IFERROR(__xludf.DUMMYFUNCTION("""COMPUTED_VALUE"""),"https://www.facebook.com/rey.pilapil.940")</f>
        <v>https://www.facebook.com/rey.pilapil.940</v>
      </c>
      <c r="B35" s="1" t="str">
        <f ca="1">IFERROR(__xludf.DUMMYFUNCTION("""COMPUTED_VALUE"""),"Rey Pilapil")</f>
        <v>Rey Pilapil</v>
      </c>
      <c r="C35" s="1" t="str">
        <f ca="1">IFERROR(__xludf.DUMMYFUNCTION("""COMPUTED_VALUE"""),"Rey")</f>
        <v>Rey</v>
      </c>
      <c r="D35" s="1" t="str">
        <f ca="1">IFERROR(__xludf.DUMMYFUNCTION("""COMPUTED_VALUE"""),"Pilapil")</f>
        <v>Pilapil</v>
      </c>
      <c r="E35" s="1" t="str">
        <f ca="1">IFERROR(__xludf.DUMMYFUNCTION("""COMPUTED_VALUE"""),"Pera hakot yan ang tatak nila 😂😂😂 kung walang pera walang suporta...")</f>
        <v>Pera hakot yan ang tatak nila 😂😂😂 kung walang pera walang suporta...</v>
      </c>
      <c r="F35" s="1">
        <f ca="1">IFERROR(__xludf.DUMMYFUNCTION("""COMPUTED_VALUE"""),2)</f>
        <v>2</v>
      </c>
      <c r="G35" s="1" t="str">
        <f ca="1">IFERROR(__xludf.DUMMYFUNCTION("""COMPUTED_VALUE"""),"3 mos")</f>
        <v>3 mos</v>
      </c>
      <c r="H35" s="1" t="str">
        <f ca="1">IFERROR(__xludf.DUMMYFUNCTION("""COMPUTED_VALUE"""),"comment")</f>
        <v>comment</v>
      </c>
      <c r="I35"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35" s="1" t="str">
        <f ca="1">IFERROR(__xludf.DUMMYFUNCTION("""COMPUTED_VALUE"""),"2022-07-04T11:08:02.659Z")</f>
        <v>2022-07-04T11:08:02.659Z</v>
      </c>
    </row>
    <row r="36" spans="1:10" x14ac:dyDescent="0.2">
      <c r="A36" s="2" t="str">
        <f ca="1">IFERROR(__xludf.DUMMYFUNCTION("""COMPUTED_VALUE"""),"https://www.facebook.com/profile.php?id=100076323624998")</f>
        <v>https://www.facebook.com/profile.php?id=100076323624998</v>
      </c>
      <c r="B36" s="1" t="str">
        <f ca="1">IFERROR(__xludf.DUMMYFUNCTION("""COMPUTED_VALUE"""),"Rodrigo Cua Lee")</f>
        <v>Rodrigo Cua Lee</v>
      </c>
      <c r="C36" s="1" t="str">
        <f ca="1">IFERROR(__xludf.DUMMYFUNCTION("""COMPUTED_VALUE"""),"Rodrigo")</f>
        <v>Rodrigo</v>
      </c>
      <c r="D36" s="1" t="str">
        <f ca="1">IFERROR(__xludf.DUMMYFUNCTION("""COMPUTED_VALUE"""),"Cua Lee")</f>
        <v>Cua Lee</v>
      </c>
      <c r="E36" s="1" t="str">
        <f ca="1">IFERROR(__xludf.DUMMYFUNCTION("""COMPUTED_VALUE"""),"Rey Pilapil katulad ni alvarez?800 million ?")</f>
        <v>Rey Pilapil katulad ni alvarez?800 million ?</v>
      </c>
      <c r="F36" s="1"/>
      <c r="G36" s="1" t="str">
        <f ca="1">IFERROR(__xludf.DUMMYFUNCTION("""COMPUTED_VALUE"""),"3 mos")</f>
        <v>3 mos</v>
      </c>
      <c r="H36" s="1" t="str">
        <f ca="1">IFERROR(__xludf.DUMMYFUNCTION("""COMPUTED_VALUE"""),"reply")</f>
        <v>reply</v>
      </c>
      <c r="I36"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36" s="1" t="str">
        <f ca="1">IFERROR(__xludf.DUMMYFUNCTION("""COMPUTED_VALUE"""),"2022-07-04T11:08:02.659Z")</f>
        <v>2022-07-04T11:08:02.659Z</v>
      </c>
    </row>
    <row r="37" spans="1:10" x14ac:dyDescent="0.2">
      <c r="A37" s="2" t="str">
        <f ca="1">IFERROR(__xludf.DUMMYFUNCTION("""COMPUTED_VALUE"""),"https://www.facebook.com/profile.php?id=100070766584402")</f>
        <v>https://www.facebook.com/profile.php?id=100070766584402</v>
      </c>
      <c r="B37" s="1" t="str">
        <f ca="1">IFERROR(__xludf.DUMMYFUNCTION("""COMPUTED_VALUE"""),"John Earl Caballero")</f>
        <v>John Earl Caballero</v>
      </c>
      <c r="C37" s="1" t="str">
        <f ca="1">IFERROR(__xludf.DUMMYFUNCTION("""COMPUTED_VALUE"""),"John")</f>
        <v>John</v>
      </c>
      <c r="D37" s="1" t="str">
        <f ca="1">IFERROR(__xludf.DUMMYFUNCTION("""COMPUTED_VALUE"""),"Earl Caballero")</f>
        <v>Earl Caballero</v>
      </c>
      <c r="E37" s="1" t="str">
        <f ca="1">IFERROR(__xludf.DUMMYFUNCTION("""COMPUTED_VALUE"""),"Rey Pilapil bhee wag piling inosente sa inyo rin naman😶👏😌")</f>
        <v>Rey Pilapil bhee wag piling inosente sa inyo rin naman😶👏😌</v>
      </c>
      <c r="F37" s="1"/>
      <c r="G37" s="1" t="str">
        <f ca="1">IFERROR(__xludf.DUMMYFUNCTION("""COMPUTED_VALUE"""),"3 mos")</f>
        <v>3 mos</v>
      </c>
      <c r="H37" s="1" t="str">
        <f ca="1">IFERROR(__xludf.DUMMYFUNCTION("""COMPUTED_VALUE"""),"reply")</f>
        <v>reply</v>
      </c>
      <c r="I37"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37" s="1" t="str">
        <f ca="1">IFERROR(__xludf.DUMMYFUNCTION("""COMPUTED_VALUE"""),"2022-07-04T11:08:02.659Z")</f>
        <v>2022-07-04T11:08:02.659Z</v>
      </c>
    </row>
    <row r="38" spans="1:10" x14ac:dyDescent="0.2">
      <c r="A38" s="2" t="str">
        <f ca="1">IFERROR(__xludf.DUMMYFUNCTION("""COMPUTED_VALUE"""),"https://www.facebook.com/profile.php?id=100078059580817")</f>
        <v>https://www.facebook.com/profile.php?id=100078059580817</v>
      </c>
      <c r="B38" s="1" t="str">
        <f ca="1">IFERROR(__xludf.DUMMYFUNCTION("""COMPUTED_VALUE"""),"Dwyane Johnson")</f>
        <v>Dwyane Johnson</v>
      </c>
      <c r="C38" s="1" t="str">
        <f ca="1">IFERROR(__xludf.DUMMYFUNCTION("""COMPUTED_VALUE"""),"Dwyane")</f>
        <v>Dwyane</v>
      </c>
      <c r="D38" s="1" t="str">
        <f ca="1">IFERROR(__xludf.DUMMYFUNCTION("""COMPUTED_VALUE"""),"Johnson")</f>
        <v>Johnson</v>
      </c>
      <c r="E38" s="1" t="str">
        <f ca="1">IFERROR(__xludf.DUMMYFUNCTION("""COMPUTED_VALUE"""),"Rey Pilapil Jesus Ang hakot c lutang sa cavite galing bicol Ang bus 20 piraso hahhaha")</f>
        <v>Rey Pilapil Jesus Ang hakot c lutang sa cavite galing bicol Ang bus 20 piraso hahhaha</v>
      </c>
      <c r="F38" s="1">
        <f ca="1">IFERROR(__xludf.DUMMYFUNCTION("""COMPUTED_VALUE"""),1)</f>
        <v>1</v>
      </c>
      <c r="G38" s="1" t="str">
        <f ca="1">IFERROR(__xludf.DUMMYFUNCTION("""COMPUTED_VALUE"""),"3 mos")</f>
        <v>3 mos</v>
      </c>
      <c r="H38" s="1" t="str">
        <f ca="1">IFERROR(__xludf.DUMMYFUNCTION("""COMPUTED_VALUE"""),"reply")</f>
        <v>reply</v>
      </c>
      <c r="I38"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38" s="1" t="str">
        <f ca="1">IFERROR(__xludf.DUMMYFUNCTION("""COMPUTED_VALUE"""),"2022-07-04T11:08:02.659Z")</f>
        <v>2022-07-04T11:08:02.659Z</v>
      </c>
    </row>
    <row r="39" spans="1:10" x14ac:dyDescent="0.2">
      <c r="A39" s="2" t="str">
        <f ca="1">IFERROR(__xludf.DUMMYFUNCTION("""COMPUTED_VALUE"""),"https://www.facebook.com/rey.pilapil.940")</f>
        <v>https://www.facebook.com/rey.pilapil.940</v>
      </c>
      <c r="B39" s="1" t="str">
        <f ca="1">IFERROR(__xludf.DUMMYFUNCTION("""COMPUTED_VALUE"""),"Rey Pilapil")</f>
        <v>Rey Pilapil</v>
      </c>
      <c r="C39" s="1" t="str">
        <f ca="1">IFERROR(__xludf.DUMMYFUNCTION("""COMPUTED_VALUE"""),"Rey")</f>
        <v>Rey</v>
      </c>
      <c r="D39" s="1" t="str">
        <f ca="1">IFERROR(__xludf.DUMMYFUNCTION("""COMPUTED_VALUE"""),"Pilapil")</f>
        <v>Pilapil</v>
      </c>
      <c r="E39" s="1" t="str">
        <f ca="1">IFERROR(__xludf.DUMMYFUNCTION("""COMPUTED_VALUE"""),"Dwyane Johnson taga cavite ka ba kung hindi wala kang alam sa sinasabi mo,pero kung taga gentri ka lutang ang utak mo dahil bulag ka 😂😂😂")</f>
        <v>Dwyane Johnson taga cavite ka ba kung hindi wala kang alam sa sinasabi mo,pero kung taga gentri ka lutang ang utak mo dahil bulag ka 😂😂😂</v>
      </c>
      <c r="F39" s="1"/>
      <c r="G39" s="1" t="str">
        <f ca="1">IFERROR(__xludf.DUMMYFUNCTION("""COMPUTED_VALUE"""),"3 mos")</f>
        <v>3 mos</v>
      </c>
      <c r="H39" s="1" t="str">
        <f ca="1">IFERROR(__xludf.DUMMYFUNCTION("""COMPUTED_VALUE"""),"reply")</f>
        <v>reply</v>
      </c>
      <c r="I39"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39" s="1" t="str">
        <f ca="1">IFERROR(__xludf.DUMMYFUNCTION("""COMPUTED_VALUE"""),"2022-07-04T11:08:02.659Z")</f>
        <v>2022-07-04T11:08:02.659Z</v>
      </c>
    </row>
    <row r="40" spans="1:10" x14ac:dyDescent="0.2">
      <c r="A40" s="2" t="str">
        <f ca="1">IFERROR(__xludf.DUMMYFUNCTION("""COMPUTED_VALUE"""),"https://www.facebook.com/profile.php?id=100078059580817")</f>
        <v>https://www.facebook.com/profile.php?id=100078059580817</v>
      </c>
      <c r="B40" s="1" t="str">
        <f ca="1">IFERROR(__xludf.DUMMYFUNCTION("""COMPUTED_VALUE"""),"Dwyane Johnson")</f>
        <v>Dwyane Johnson</v>
      </c>
      <c r="C40" s="1" t="str">
        <f ca="1">IFERROR(__xludf.DUMMYFUNCTION("""COMPUTED_VALUE"""),"Dwyane")</f>
        <v>Dwyane</v>
      </c>
      <c r="D40" s="1" t="str">
        <f ca="1">IFERROR(__xludf.DUMMYFUNCTION("""COMPUTED_VALUE"""),"Johnson")</f>
        <v>Johnson</v>
      </c>
      <c r="E40" s="1" t="str">
        <f ca="1">IFERROR(__xludf.DUMMYFUNCTION("""COMPUTED_VALUE"""),"Rey Pilapil anong sinabi ni remulia Ikaw Ang buang")</f>
        <v>Rey Pilapil anong sinabi ni remulia Ikaw Ang buang</v>
      </c>
      <c r="F40" s="1">
        <f ca="1">IFERROR(__xludf.DUMMYFUNCTION("""COMPUTED_VALUE"""),1)</f>
        <v>1</v>
      </c>
      <c r="G40" s="1" t="str">
        <f ca="1">IFERROR(__xludf.DUMMYFUNCTION("""COMPUTED_VALUE"""),"3 mos")</f>
        <v>3 mos</v>
      </c>
      <c r="H40" s="1" t="str">
        <f ca="1">IFERROR(__xludf.DUMMYFUNCTION("""COMPUTED_VALUE"""),"reply")</f>
        <v>reply</v>
      </c>
      <c r="I40"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40" s="1" t="str">
        <f ca="1">IFERROR(__xludf.DUMMYFUNCTION("""COMPUTED_VALUE"""),"2022-07-04T11:08:02.659Z")</f>
        <v>2022-07-04T11:08:02.659Z</v>
      </c>
    </row>
    <row r="41" spans="1:10" x14ac:dyDescent="0.2">
      <c r="A41" s="2" t="str">
        <f ca="1">IFERROR(__xludf.DUMMYFUNCTION("""COMPUTED_VALUE"""),"https://www.facebook.com/profile.php?id=100078059580817")</f>
        <v>https://www.facebook.com/profile.php?id=100078059580817</v>
      </c>
      <c r="B41" s="1" t="str">
        <f ca="1">IFERROR(__xludf.DUMMYFUNCTION("""COMPUTED_VALUE"""),"Dwyane Johnson")</f>
        <v>Dwyane Johnson</v>
      </c>
      <c r="C41" s="1" t="str">
        <f ca="1">IFERROR(__xludf.DUMMYFUNCTION("""COMPUTED_VALUE"""),"Dwyane")</f>
        <v>Dwyane</v>
      </c>
      <c r="D41" s="1" t="str">
        <f ca="1">IFERROR(__xludf.DUMMYFUNCTION("""COMPUTED_VALUE"""),"Johnson")</f>
        <v>Johnson</v>
      </c>
      <c r="E41" s="1" t="str">
        <f ca="1">IFERROR(__xludf.DUMMYFUNCTION("""COMPUTED_VALUE"""),"Rey Pilapil bading")</f>
        <v>Rey Pilapil bading</v>
      </c>
      <c r="F41" s="1">
        <f ca="1">IFERROR(__xludf.DUMMYFUNCTION("""COMPUTED_VALUE"""),1)</f>
        <v>1</v>
      </c>
      <c r="G41" s="1" t="str">
        <f ca="1">IFERROR(__xludf.DUMMYFUNCTION("""COMPUTED_VALUE"""),"3 mos")</f>
        <v>3 mos</v>
      </c>
      <c r="H41" s="1" t="str">
        <f ca="1">IFERROR(__xludf.DUMMYFUNCTION("""COMPUTED_VALUE"""),"reply")</f>
        <v>reply</v>
      </c>
      <c r="I41"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41" s="1" t="str">
        <f ca="1">IFERROR(__xludf.DUMMYFUNCTION("""COMPUTED_VALUE"""),"2022-07-04T11:08:02.659Z")</f>
        <v>2022-07-04T11:08:02.659Z</v>
      </c>
    </row>
    <row r="42" spans="1:10" x14ac:dyDescent="0.2">
      <c r="A42" s="2" t="str">
        <f ca="1">IFERROR(__xludf.DUMMYFUNCTION("""COMPUTED_VALUE"""),"https://www.facebook.com/rey.pilapil.940")</f>
        <v>https://www.facebook.com/rey.pilapil.940</v>
      </c>
      <c r="B42" s="1" t="str">
        <f ca="1">IFERROR(__xludf.DUMMYFUNCTION("""COMPUTED_VALUE"""),"Rey Pilapil")</f>
        <v>Rey Pilapil</v>
      </c>
      <c r="C42" s="1" t="str">
        <f ca="1">IFERROR(__xludf.DUMMYFUNCTION("""COMPUTED_VALUE"""),"Rey")</f>
        <v>Rey</v>
      </c>
      <c r="D42" s="1" t="str">
        <f ca="1">IFERROR(__xludf.DUMMYFUNCTION("""COMPUTED_VALUE"""),"Pilapil")</f>
        <v>Pilapil</v>
      </c>
      <c r="E42" s="1" t="str">
        <f ca="1">IFERROR(__xludf.DUMMYFUNCTION("""COMPUTED_VALUE"""),"Dwyane Johnson sino sa remulla ang sinasabi mo,sila ngang magkapatid hindi mag tugma ang sinasabi 😂😂😂")</f>
        <v>Dwyane Johnson sino sa remulla ang sinasabi mo,sila ngang magkapatid hindi mag tugma ang sinasabi 😂😂😂</v>
      </c>
      <c r="F42" s="1"/>
      <c r="G42" s="1" t="str">
        <f ca="1">IFERROR(__xludf.DUMMYFUNCTION("""COMPUTED_VALUE"""),"3 mos")</f>
        <v>3 mos</v>
      </c>
      <c r="H42" s="1" t="str">
        <f ca="1">IFERROR(__xludf.DUMMYFUNCTION("""COMPUTED_VALUE"""),"reply")</f>
        <v>reply</v>
      </c>
      <c r="I42"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42" s="1" t="str">
        <f ca="1">IFERROR(__xludf.DUMMYFUNCTION("""COMPUTED_VALUE"""),"2022-07-04T11:08:02.659Z")</f>
        <v>2022-07-04T11:08:02.659Z</v>
      </c>
    </row>
    <row r="43" spans="1:10" x14ac:dyDescent="0.2">
      <c r="A43" s="2" t="str">
        <f ca="1">IFERROR(__xludf.DUMMYFUNCTION("""COMPUTED_VALUE"""),"https://www.facebook.com/rey.pilapil.940")</f>
        <v>https://www.facebook.com/rey.pilapil.940</v>
      </c>
      <c r="B43" s="1" t="str">
        <f ca="1">IFERROR(__xludf.DUMMYFUNCTION("""COMPUTED_VALUE"""),"Rey Pilapil")</f>
        <v>Rey Pilapil</v>
      </c>
      <c r="C43" s="1" t="str">
        <f ca="1">IFERROR(__xludf.DUMMYFUNCTION("""COMPUTED_VALUE"""),"Rey")</f>
        <v>Rey</v>
      </c>
      <c r="D43" s="1" t="str">
        <f ca="1">IFERROR(__xludf.DUMMYFUNCTION("""COMPUTED_VALUE"""),"Pilapil")</f>
        <v>Pilapil</v>
      </c>
      <c r="E43" s="1" t="str">
        <f ca="1">IFERROR(__xludf.DUMMYFUNCTION("""COMPUTED_VALUE"""),"Dwyane Johnson")</f>
        <v>Dwyane Johnson</v>
      </c>
      <c r="F43" s="1"/>
      <c r="G43" s="1" t="str">
        <f ca="1">IFERROR(__xludf.DUMMYFUNCTION("""COMPUTED_VALUE"""),"3 mos")</f>
        <v>3 mos</v>
      </c>
      <c r="H43" s="1" t="str">
        <f ca="1">IFERROR(__xludf.DUMMYFUNCTION("""COMPUTED_VALUE"""),"reply")</f>
        <v>reply</v>
      </c>
      <c r="I43"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43" s="1" t="str">
        <f ca="1">IFERROR(__xludf.DUMMYFUNCTION("""COMPUTED_VALUE"""),"2022-07-04T11:08:02.659Z")</f>
        <v>2022-07-04T11:08:02.659Z</v>
      </c>
    </row>
    <row r="44" spans="1:10" x14ac:dyDescent="0.2">
      <c r="A44" s="2" t="str">
        <f ca="1">IFERROR(__xludf.DUMMYFUNCTION("""COMPUTED_VALUE"""),"https://www.facebook.com/profile.php?id=100078059580817")</f>
        <v>https://www.facebook.com/profile.php?id=100078059580817</v>
      </c>
      <c r="B44" s="1" t="str">
        <f ca="1">IFERROR(__xludf.DUMMYFUNCTION("""COMPUTED_VALUE"""),"Dwyane Johnson")</f>
        <v>Dwyane Johnson</v>
      </c>
      <c r="C44" s="1" t="str">
        <f ca="1">IFERROR(__xludf.DUMMYFUNCTION("""COMPUTED_VALUE"""),"Dwyane")</f>
        <v>Dwyane</v>
      </c>
      <c r="D44" s="1" t="str">
        <f ca="1">IFERROR(__xludf.DUMMYFUNCTION("""COMPUTED_VALUE"""),"Johnson")</f>
        <v>Johnson</v>
      </c>
      <c r="E44" s="1" t="str">
        <f ca="1">IFERROR(__xludf.DUMMYFUNCTION("""COMPUTED_VALUE"""),"Rey Pilapil D mag tugma sa ka lutang mo")</f>
        <v>Rey Pilapil D mag tugma sa ka lutang mo</v>
      </c>
      <c r="F44" s="1">
        <f ca="1">IFERROR(__xludf.DUMMYFUNCTION("""COMPUTED_VALUE"""),1)</f>
        <v>1</v>
      </c>
      <c r="G44" s="1" t="str">
        <f ca="1">IFERROR(__xludf.DUMMYFUNCTION("""COMPUTED_VALUE"""),"3 mos")</f>
        <v>3 mos</v>
      </c>
      <c r="H44" s="1" t="str">
        <f ca="1">IFERROR(__xludf.DUMMYFUNCTION("""COMPUTED_VALUE"""),"reply")</f>
        <v>reply</v>
      </c>
      <c r="I44"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44" s="1" t="str">
        <f ca="1">IFERROR(__xludf.DUMMYFUNCTION("""COMPUTED_VALUE"""),"2022-07-04T11:08:02.659Z")</f>
        <v>2022-07-04T11:08:02.659Z</v>
      </c>
    </row>
    <row r="45" spans="1:10" x14ac:dyDescent="0.2">
      <c r="A45" s="2" t="str">
        <f ca="1">IFERROR(__xludf.DUMMYFUNCTION("""COMPUTED_VALUE"""),"https://www.facebook.com/jim.nograles")</f>
        <v>https://www.facebook.com/jim.nograles</v>
      </c>
      <c r="B45" s="1" t="str">
        <f ca="1">IFERROR(__xludf.DUMMYFUNCTION("""COMPUTED_VALUE"""),"Jim Nograles")</f>
        <v>Jim Nograles</v>
      </c>
      <c r="C45" s="1" t="str">
        <f ca="1">IFERROR(__xludf.DUMMYFUNCTION("""COMPUTED_VALUE"""),"Jim")</f>
        <v>Jim</v>
      </c>
      <c r="D45" s="1" t="str">
        <f ca="1">IFERROR(__xludf.DUMMYFUNCTION("""COMPUTED_VALUE"""),"Nograles")</f>
        <v>Nograles</v>
      </c>
      <c r="E45" s="1" t="str">
        <f ca="1">IFERROR(__xludf.DUMMYFUNCTION("""COMPUTED_VALUE"""),"Bless us all bangon pinas together we can do it")</f>
        <v>Bless us all bangon pinas together we can do it</v>
      </c>
      <c r="F45" s="1">
        <f ca="1">IFERROR(__xludf.DUMMYFUNCTION("""COMPUTED_VALUE"""),2)</f>
        <v>2</v>
      </c>
      <c r="G45" s="1" t="str">
        <f ca="1">IFERROR(__xludf.DUMMYFUNCTION("""COMPUTED_VALUE"""),"3 mos")</f>
        <v>3 mos</v>
      </c>
      <c r="H45" s="1" t="str">
        <f ca="1">IFERROR(__xludf.DUMMYFUNCTION("""COMPUTED_VALUE"""),"comment")</f>
        <v>comment</v>
      </c>
      <c r="I45"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45" s="1" t="str">
        <f ca="1">IFERROR(__xludf.DUMMYFUNCTION("""COMPUTED_VALUE"""),"2022-07-04T11:08:02.659Z")</f>
        <v>2022-07-04T11:08:02.659Z</v>
      </c>
    </row>
    <row r="46" spans="1:10" x14ac:dyDescent="0.2">
      <c r="A46" s="2" t="str">
        <f ca="1">IFERROR(__xludf.DUMMYFUNCTION("""COMPUTED_VALUE"""),"https://www.facebook.com/spiderbeef23")</f>
        <v>https://www.facebook.com/spiderbeef23</v>
      </c>
      <c r="B46" s="1" t="str">
        <f ca="1">IFERROR(__xludf.DUMMYFUNCTION("""COMPUTED_VALUE"""),"Jan Karen Leoning")</f>
        <v>Jan Karen Leoning</v>
      </c>
      <c r="C46" s="1" t="str">
        <f ca="1">IFERROR(__xludf.DUMMYFUNCTION("""COMPUTED_VALUE"""),"Jan")</f>
        <v>Jan</v>
      </c>
      <c r="D46" s="1" t="str">
        <f ca="1">IFERROR(__xludf.DUMMYFUNCTION("""COMPUTED_VALUE"""),"Karen Leoning")</f>
        <v>Karen Leoning</v>
      </c>
      <c r="E46" s="1" t="str">
        <f ca="1">IFERROR(__xludf.DUMMYFUNCTION("""COMPUTED_VALUE"""),"Buti pa yung supporters marunong magshow up during difficult times. Di tulad nung kandidato 👀")</f>
        <v>Buti pa yung supporters marunong magshow up during difficult times. Di tulad nung kandidato 👀</v>
      </c>
      <c r="F46" s="1">
        <f ca="1">IFERROR(__xludf.DUMMYFUNCTION("""COMPUTED_VALUE"""),11)</f>
        <v>11</v>
      </c>
      <c r="G46" s="1" t="str">
        <f ca="1">IFERROR(__xludf.DUMMYFUNCTION("""COMPUTED_VALUE"""),"3 mos")</f>
        <v>3 mos</v>
      </c>
      <c r="H46" s="1" t="str">
        <f ca="1">IFERROR(__xludf.DUMMYFUNCTION("""COMPUTED_VALUE"""),"comment")</f>
        <v>comment</v>
      </c>
      <c r="I46"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46" s="1" t="str">
        <f ca="1">IFERROR(__xludf.DUMMYFUNCTION("""COMPUTED_VALUE"""),"2022-07-04T11:08:02.659Z")</f>
        <v>2022-07-04T11:08:02.659Z</v>
      </c>
    </row>
    <row r="47" spans="1:10" x14ac:dyDescent="0.2">
      <c r="A47" s="2" t="str">
        <f ca="1">IFERROR(__xludf.DUMMYFUNCTION("""COMPUTED_VALUE"""),"https://www.facebook.com/alvin.quibilan")</f>
        <v>https://www.facebook.com/alvin.quibilan</v>
      </c>
      <c r="B47" s="1" t="str">
        <f ca="1">IFERROR(__xludf.DUMMYFUNCTION("""COMPUTED_VALUE"""),"Vin Qui")</f>
        <v>Vin Qui</v>
      </c>
      <c r="C47" s="1" t="str">
        <f ca="1">IFERROR(__xludf.DUMMYFUNCTION("""COMPUTED_VALUE"""),"Vin")</f>
        <v>Vin</v>
      </c>
      <c r="D47" s="1" t="str">
        <f ca="1">IFERROR(__xludf.DUMMYFUNCTION("""COMPUTED_VALUE"""),"Qui")</f>
        <v>Qui</v>
      </c>
      <c r="E47" s="1" t="str">
        <f ca="1">IFERROR(__xludf.DUMMYFUNCTION("""COMPUTED_VALUE"""),"Siempre may bayad pakatapos yan.")</f>
        <v>Siempre may bayad pakatapos yan.</v>
      </c>
      <c r="F47" s="1">
        <f ca="1">IFERROR(__xludf.DUMMYFUNCTION("""COMPUTED_VALUE"""),12)</f>
        <v>12</v>
      </c>
      <c r="G47" s="1" t="str">
        <f ca="1">IFERROR(__xludf.DUMMYFUNCTION("""COMPUTED_VALUE"""),"3 mos")</f>
        <v>3 mos</v>
      </c>
      <c r="H47" s="1" t="str">
        <f ca="1">IFERROR(__xludf.DUMMYFUNCTION("""COMPUTED_VALUE"""),"comment")</f>
        <v>comment</v>
      </c>
      <c r="I47"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47" s="1" t="str">
        <f ca="1">IFERROR(__xludf.DUMMYFUNCTION("""COMPUTED_VALUE"""),"2022-07-04T11:08:02.659Z")</f>
        <v>2022-07-04T11:08:02.659Z</v>
      </c>
    </row>
    <row r="48" spans="1:10" x14ac:dyDescent="0.2">
      <c r="A48" s="2" t="str">
        <f ca="1">IFERROR(__xludf.DUMMYFUNCTION("""COMPUTED_VALUE"""),"https://www.facebook.com/profile.php?id=100069548558481")</f>
        <v>https://www.facebook.com/profile.php?id=100069548558481</v>
      </c>
      <c r="B48" s="1" t="str">
        <f ca="1">IFERROR(__xludf.DUMMYFUNCTION("""COMPUTED_VALUE"""),"Aira Ballentes")</f>
        <v>Aira Ballentes</v>
      </c>
      <c r="C48" s="1" t="str">
        <f ca="1">IFERROR(__xludf.DUMMYFUNCTION("""COMPUTED_VALUE"""),"Aira")</f>
        <v>Aira</v>
      </c>
      <c r="D48" s="1" t="str">
        <f ca="1">IFERROR(__xludf.DUMMYFUNCTION("""COMPUTED_VALUE"""),"Ballentes")</f>
        <v>Ballentes</v>
      </c>
      <c r="E48" s="1" t="str">
        <f ca="1">IFERROR(__xludf.DUMMYFUNCTION("""COMPUTED_VALUE"""),"Vin Qui based on experienced po ba ?")</f>
        <v>Vin Qui based on experienced po ba ?</v>
      </c>
      <c r="F48" s="1"/>
      <c r="G48" s="1" t="str">
        <f ca="1">IFERROR(__xludf.DUMMYFUNCTION("""COMPUTED_VALUE"""),"3 mos")</f>
        <v>3 mos</v>
      </c>
      <c r="H48" s="1" t="str">
        <f ca="1">IFERROR(__xludf.DUMMYFUNCTION("""COMPUTED_VALUE"""),"reply")</f>
        <v>reply</v>
      </c>
      <c r="I48"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48" s="1" t="str">
        <f ca="1">IFERROR(__xludf.DUMMYFUNCTION("""COMPUTED_VALUE"""),"2022-07-04T11:08:02.659Z")</f>
        <v>2022-07-04T11:08:02.659Z</v>
      </c>
    </row>
    <row r="49" spans="1:10" x14ac:dyDescent="0.2">
      <c r="A49" s="2" t="str">
        <f ca="1">IFERROR(__xludf.DUMMYFUNCTION("""COMPUTED_VALUE"""),"https://www.facebook.com/alvin.quibilan")</f>
        <v>https://www.facebook.com/alvin.quibilan</v>
      </c>
      <c r="B49" s="1" t="str">
        <f ca="1">IFERROR(__xludf.DUMMYFUNCTION("""COMPUTED_VALUE"""),"Vin Qui")</f>
        <v>Vin Qui</v>
      </c>
      <c r="C49" s="1" t="str">
        <f ca="1">IFERROR(__xludf.DUMMYFUNCTION("""COMPUTED_VALUE"""),"Vin")</f>
        <v>Vin</v>
      </c>
      <c r="D49" s="1" t="str">
        <f ca="1">IFERROR(__xludf.DUMMYFUNCTION("""COMPUTED_VALUE"""),"Qui")</f>
        <v>Qui</v>
      </c>
      <c r="E49" s="1" t="str">
        <f ca="1">IFERROR(__xludf.DUMMYFUNCTION("""COMPUTED_VALUE"""),"Max Francine Bautista kitangkita sa mga news. Wag kanang mag arte, alam mo ang totoo.")</f>
        <v>Max Francine Bautista kitangkita sa mga news. Wag kanang mag arte, alam mo ang totoo.</v>
      </c>
      <c r="F49" s="1">
        <f ca="1">IFERROR(__xludf.DUMMYFUNCTION("""COMPUTED_VALUE"""),1)</f>
        <v>1</v>
      </c>
      <c r="G49" s="1" t="str">
        <f ca="1">IFERROR(__xludf.DUMMYFUNCTION("""COMPUTED_VALUE"""),"3 mos")</f>
        <v>3 mos</v>
      </c>
      <c r="H49" s="1" t="str">
        <f ca="1">IFERROR(__xludf.DUMMYFUNCTION("""COMPUTED_VALUE"""),"reply")</f>
        <v>reply</v>
      </c>
      <c r="I49"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49" s="1" t="str">
        <f ca="1">IFERROR(__xludf.DUMMYFUNCTION("""COMPUTED_VALUE"""),"2022-07-04T11:08:02.659Z")</f>
        <v>2022-07-04T11:08:02.659Z</v>
      </c>
    </row>
    <row r="50" spans="1:10" x14ac:dyDescent="0.2">
      <c r="A50" s="2" t="str">
        <f ca="1">IFERROR(__xludf.DUMMYFUNCTION("""COMPUTED_VALUE"""),"https://www.facebook.com/profile.php?id=100069548558481")</f>
        <v>https://www.facebook.com/profile.php?id=100069548558481</v>
      </c>
      <c r="B50" s="1" t="str">
        <f ca="1">IFERROR(__xludf.DUMMYFUNCTION("""COMPUTED_VALUE"""),"Aira Ballentes")</f>
        <v>Aira Ballentes</v>
      </c>
      <c r="C50" s="1" t="str">
        <f ca="1">IFERROR(__xludf.DUMMYFUNCTION("""COMPUTED_VALUE"""),"Aira")</f>
        <v>Aira</v>
      </c>
      <c r="D50" s="1" t="str">
        <f ca="1">IFERROR(__xludf.DUMMYFUNCTION("""COMPUTED_VALUE"""),"Ballentes")</f>
        <v>Ballentes</v>
      </c>
      <c r="E50" s="1" t="str">
        <f ca="1">IFERROR(__xludf.DUMMYFUNCTION("""COMPUTED_VALUE"""),"Vin Qui di ako nag iinarte . Wag kase puro one sided na news yung pinapanood mo 🙃")</f>
        <v>Vin Qui di ako nag iinarte . Wag kase puro one sided na news yung pinapanood mo 🙃</v>
      </c>
      <c r="F50" s="1">
        <f ca="1">IFERROR(__xludf.DUMMYFUNCTION("""COMPUTED_VALUE"""),1)</f>
        <v>1</v>
      </c>
      <c r="G50" s="1" t="str">
        <f ca="1">IFERROR(__xludf.DUMMYFUNCTION("""COMPUTED_VALUE"""),"3 mos")</f>
        <v>3 mos</v>
      </c>
      <c r="H50" s="1" t="str">
        <f ca="1">IFERROR(__xludf.DUMMYFUNCTION("""COMPUTED_VALUE"""),"reply")</f>
        <v>reply</v>
      </c>
      <c r="I50"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50" s="1" t="str">
        <f ca="1">IFERROR(__xludf.DUMMYFUNCTION("""COMPUTED_VALUE"""),"2022-07-04T11:08:02.659Z")</f>
        <v>2022-07-04T11:08:02.659Z</v>
      </c>
    </row>
    <row r="51" spans="1:10" x14ac:dyDescent="0.2">
      <c r="A51" s="2" t="str">
        <f ca="1">IFERROR(__xludf.DUMMYFUNCTION("""COMPUTED_VALUE"""),"https://www.facebook.com/alvin.quibilan")</f>
        <v>https://www.facebook.com/alvin.quibilan</v>
      </c>
      <c r="B51" s="1" t="str">
        <f ca="1">IFERROR(__xludf.DUMMYFUNCTION("""COMPUTED_VALUE"""),"Vin Qui")</f>
        <v>Vin Qui</v>
      </c>
      <c r="C51" s="1" t="str">
        <f ca="1">IFERROR(__xludf.DUMMYFUNCTION("""COMPUTED_VALUE"""),"Vin")</f>
        <v>Vin</v>
      </c>
      <c r="D51" s="1" t="str">
        <f ca="1">IFERROR(__xludf.DUMMYFUNCTION("""COMPUTED_VALUE"""),"Qui")</f>
        <v>Qui</v>
      </c>
      <c r="E51" s="1" t="str">
        <f ca="1">IFERROR(__xludf.DUMMYFUNCTION("""COMPUTED_VALUE"""),"Max Francine Bautista hindi one sided ang GMA. Wag kanang mag comment kasi pang gulo kalang.")</f>
        <v>Max Francine Bautista hindi one sided ang GMA. Wag kanang mag comment kasi pang gulo kalang.</v>
      </c>
      <c r="F51" s="1">
        <f ca="1">IFERROR(__xludf.DUMMYFUNCTION("""COMPUTED_VALUE"""),2)</f>
        <v>2</v>
      </c>
      <c r="G51" s="1" t="str">
        <f ca="1">IFERROR(__xludf.DUMMYFUNCTION("""COMPUTED_VALUE"""),"3 mos")</f>
        <v>3 mos</v>
      </c>
      <c r="H51" s="1" t="str">
        <f ca="1">IFERROR(__xludf.DUMMYFUNCTION("""COMPUTED_VALUE"""),"reply")</f>
        <v>reply</v>
      </c>
      <c r="I51"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51" s="1" t="str">
        <f ca="1">IFERROR(__xludf.DUMMYFUNCTION("""COMPUTED_VALUE"""),"2022-07-04T11:08:02.659Z")</f>
        <v>2022-07-04T11:08:02.659Z</v>
      </c>
    </row>
    <row r="52" spans="1:10" x14ac:dyDescent="0.2">
      <c r="A52" s="2" t="str">
        <f ca="1">IFERROR(__xludf.DUMMYFUNCTION("""COMPUTED_VALUE"""),"https://www.facebook.com/profile.php?id=100069548558481")</f>
        <v>https://www.facebook.com/profile.php?id=100069548558481</v>
      </c>
      <c r="B52" s="1" t="str">
        <f ca="1">IFERROR(__xludf.DUMMYFUNCTION("""COMPUTED_VALUE"""),"Aira Ballentes")</f>
        <v>Aira Ballentes</v>
      </c>
      <c r="C52" s="1" t="str">
        <f ca="1">IFERROR(__xludf.DUMMYFUNCTION("""COMPUTED_VALUE"""),"Aira")</f>
        <v>Aira</v>
      </c>
      <c r="D52" s="1" t="str">
        <f ca="1">IFERROR(__xludf.DUMMYFUNCTION("""COMPUTED_VALUE"""),"Ballentes")</f>
        <v>Ballentes</v>
      </c>
      <c r="E52" s="1" t="str">
        <f ca="1">IFERROR(__xludf.DUMMYFUNCTION("""COMPUTED_VALUE"""),"Vin Qui https://fb.watch/c0gRio23Ir/")</f>
        <v>Vin Qui https://fb.watch/c0gRio23Ir/</v>
      </c>
      <c r="F52" s="1"/>
      <c r="G52" s="1" t="str">
        <f ca="1">IFERROR(__xludf.DUMMYFUNCTION("""COMPUTED_VALUE"""),"March 17 at 2:25 PM")</f>
        <v>March 17 at 2:25 PM</v>
      </c>
      <c r="H52" s="1" t="str">
        <f ca="1">IFERROR(__xludf.DUMMYFUNCTION("""COMPUTED_VALUE"""),"reply")</f>
        <v>reply</v>
      </c>
      <c r="I52"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52" s="1" t="str">
        <f ca="1">IFERROR(__xludf.DUMMYFUNCTION("""COMPUTED_VALUE"""),"2022-07-04T11:08:02.659Z")</f>
        <v>2022-07-04T11:08:02.659Z</v>
      </c>
    </row>
    <row r="53" spans="1:10" x14ac:dyDescent="0.2">
      <c r="A53" s="2" t="str">
        <f ca="1">IFERROR(__xludf.DUMMYFUNCTION("""COMPUTED_VALUE"""),"https://www.facebook.com/akr.bebelynpond")</f>
        <v>https://www.facebook.com/akr.bebelynpond</v>
      </c>
      <c r="B53" s="1" t="str">
        <f ca="1">IFERROR(__xludf.DUMMYFUNCTION("""COMPUTED_VALUE"""),"Chasly Pond")</f>
        <v>Chasly Pond</v>
      </c>
      <c r="C53" s="1" t="str">
        <f ca="1">IFERROR(__xludf.DUMMYFUNCTION("""COMPUTED_VALUE"""),"Chasly")</f>
        <v>Chasly</v>
      </c>
      <c r="D53" s="1" t="str">
        <f ca="1">IFERROR(__xludf.DUMMYFUNCTION("""COMPUTED_VALUE"""),"Pond")</f>
        <v>Pond</v>
      </c>
      <c r="E53" s="1" t="str">
        <f ca="1">IFERROR(__xludf.DUMMYFUNCTION("""COMPUTED_VALUE"""),"Vin Qui 🙄🙄🙄bakit yun nanay nyu kahapon di sumipot sa deep probe🤣🤣🤣takot vah sa englisan")</f>
        <v>Vin Qui 🙄🙄🙄bakit yun nanay nyu kahapon di sumipot sa deep probe🤣🤣🤣takot vah sa englisan</v>
      </c>
      <c r="F53" s="1">
        <f ca="1">IFERROR(__xludf.DUMMYFUNCTION("""COMPUTED_VALUE"""),3)</f>
        <v>3</v>
      </c>
      <c r="G53" s="1" t="str">
        <f ca="1">IFERROR(__xludf.DUMMYFUNCTION("""COMPUTED_VALUE"""),"3 mos")</f>
        <v>3 mos</v>
      </c>
      <c r="H53" s="1" t="str">
        <f ca="1">IFERROR(__xludf.DUMMYFUNCTION("""COMPUTED_VALUE"""),"reply")</f>
        <v>reply</v>
      </c>
      <c r="I53"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53" s="1" t="str">
        <f ca="1">IFERROR(__xludf.DUMMYFUNCTION("""COMPUTED_VALUE"""),"2022-07-04T11:08:02.659Z")</f>
        <v>2022-07-04T11:08:02.659Z</v>
      </c>
    </row>
    <row r="54" spans="1:10" x14ac:dyDescent="0.2">
      <c r="A54" s="2" t="str">
        <f ca="1">IFERROR(__xludf.DUMMYFUNCTION("""COMPUTED_VALUE"""),"https://www.facebook.com/alvin.quibilan")</f>
        <v>https://www.facebook.com/alvin.quibilan</v>
      </c>
      <c r="B54" s="1" t="str">
        <f ca="1">IFERROR(__xludf.DUMMYFUNCTION("""COMPUTED_VALUE"""),"Vin Qui")</f>
        <v>Vin Qui</v>
      </c>
      <c r="C54" s="1" t="str">
        <f ca="1">IFERROR(__xludf.DUMMYFUNCTION("""COMPUTED_VALUE"""),"Vin")</f>
        <v>Vin</v>
      </c>
      <c r="D54" s="1" t="str">
        <f ca="1">IFERROR(__xludf.DUMMYFUNCTION("""COMPUTED_VALUE"""),"Qui")</f>
        <v>Qui</v>
      </c>
      <c r="E54" s="1" t="str">
        <f ca="1">IFERROR(__xludf.DUMMYFUNCTION("""COMPUTED_VALUE"""),"Max Francine Bautista pagod lang siya. Pero yun Tatay niyo marunong mag english wala naman laman ang sinasabi. Mas mabuti pa Nanay namin nagsasalita sa sariling wika at maraming alam.")</f>
        <v>Max Francine Bautista pagod lang siya. Pero yun Tatay niyo marunong mag english wala naman laman ang sinasabi. Mas mabuti pa Nanay namin nagsasalita sa sariling wika at maraming alam.</v>
      </c>
      <c r="F54" s="1">
        <f ca="1">IFERROR(__xludf.DUMMYFUNCTION("""COMPUTED_VALUE"""),3)</f>
        <v>3</v>
      </c>
      <c r="G54" s="1" t="str">
        <f ca="1">IFERROR(__xludf.DUMMYFUNCTION("""COMPUTED_VALUE"""),"3 mos")</f>
        <v>3 mos</v>
      </c>
      <c r="H54" s="1" t="str">
        <f ca="1">IFERROR(__xludf.DUMMYFUNCTION("""COMPUTED_VALUE"""),"reply")</f>
        <v>reply</v>
      </c>
      <c r="I54"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54" s="1" t="str">
        <f ca="1">IFERROR(__xludf.DUMMYFUNCTION("""COMPUTED_VALUE"""),"2022-07-04T11:08:02.659Z")</f>
        <v>2022-07-04T11:08:02.659Z</v>
      </c>
    </row>
    <row r="55" spans="1:10" x14ac:dyDescent="0.2">
      <c r="A55" s="2" t="str">
        <f ca="1">IFERROR(__xludf.DUMMYFUNCTION("""COMPUTED_VALUE"""),"https://www.facebook.com/profile.php?id=100009426127646")</f>
        <v>https://www.facebook.com/profile.php?id=100009426127646</v>
      </c>
      <c r="B55" s="1" t="str">
        <f ca="1">IFERROR(__xludf.DUMMYFUNCTION("""COMPUTED_VALUE"""),"Krizzle Dawn Emboltorio Placero")</f>
        <v>Krizzle Dawn Emboltorio Placero</v>
      </c>
      <c r="C55" s="1" t="str">
        <f ca="1">IFERROR(__xludf.DUMMYFUNCTION("""COMPUTED_VALUE"""),"Krizzle")</f>
        <v>Krizzle</v>
      </c>
      <c r="D55" s="1" t="str">
        <f ca="1">IFERROR(__xludf.DUMMYFUNCTION("""COMPUTED_VALUE"""),"Dawn Emboltorio Placero")</f>
        <v>Dawn Emboltorio Placero</v>
      </c>
      <c r="E55" s="1" t="str">
        <f ca="1">IFERROR(__xludf.DUMMYFUNCTION("""COMPUTED_VALUE"""),"Vin Qui HIYANG HIYANG NAMAN KAMI SAINYO SIR! FOR YOUR INFORMATION PO HAH? HINDI PO KAMING NAYAD LAHAT!!!")</f>
        <v>Vin Qui HIYANG HIYANG NAMAN KAMI SAINYO SIR! FOR YOUR INFORMATION PO HAH? HINDI PO KAMING NAYAD LAHAT!!!</v>
      </c>
      <c r="F55" s="1">
        <f ca="1">IFERROR(__xludf.DUMMYFUNCTION("""COMPUTED_VALUE"""),1)</f>
        <v>1</v>
      </c>
      <c r="G55" s="1" t="str">
        <f ca="1">IFERROR(__xludf.DUMMYFUNCTION("""COMPUTED_VALUE"""),"3 mos")</f>
        <v>3 mos</v>
      </c>
      <c r="H55" s="1" t="str">
        <f ca="1">IFERROR(__xludf.DUMMYFUNCTION("""COMPUTED_VALUE"""),"reply")</f>
        <v>reply</v>
      </c>
      <c r="I55"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55" s="1" t="str">
        <f ca="1">IFERROR(__xludf.DUMMYFUNCTION("""COMPUTED_VALUE"""),"2022-07-04T11:08:02.659Z")</f>
        <v>2022-07-04T11:08:02.659Z</v>
      </c>
    </row>
    <row r="56" spans="1:10" x14ac:dyDescent="0.2">
      <c r="A56" s="2" t="str">
        <f ca="1">IFERROR(__xludf.DUMMYFUNCTION("""COMPUTED_VALUE"""),"https://www.facebook.com/charisse.martinezcomoda")</f>
        <v>https://www.facebook.com/charisse.martinezcomoda</v>
      </c>
      <c r="B56" s="1" t="str">
        <f ca="1">IFERROR(__xludf.DUMMYFUNCTION("""COMPUTED_VALUE"""),"Cha Risse")</f>
        <v>Cha Risse</v>
      </c>
      <c r="C56" s="1" t="str">
        <f ca="1">IFERROR(__xludf.DUMMYFUNCTION("""COMPUTED_VALUE"""),"Cha")</f>
        <v>Cha</v>
      </c>
      <c r="D56" s="1" t="str">
        <f ca="1">IFERROR(__xludf.DUMMYFUNCTION("""COMPUTED_VALUE"""),"Risse")</f>
        <v>Risse</v>
      </c>
      <c r="E56" s="1" t="str">
        <f ca="1">IFERROR(__xludf.DUMMYFUNCTION("""COMPUTED_VALUE"""),"Pag welcome plang yan . Hindi pa nag rally yan... Dito nga smin nililimit nila mga tao kasi na pupunta sa rally on wed kasi Hindi ma accommodate sa venue, and yet ang dami pdin gusto pumunta kahit Medyo malayo.")</f>
        <v>Pag welcome plang yan . Hindi pa nag rally yan... Dito nga smin nililimit nila mga tao kasi na pupunta sa rally on wed kasi Hindi ma accommodate sa venue, and yet ang dami pdin gusto pumunta kahit Medyo malayo.</v>
      </c>
      <c r="F56" s="1">
        <f ca="1">IFERROR(__xludf.DUMMYFUNCTION("""COMPUTED_VALUE"""),18)</f>
        <v>18</v>
      </c>
      <c r="G56" s="1" t="str">
        <f ca="1">IFERROR(__xludf.DUMMYFUNCTION("""COMPUTED_VALUE"""),"3 mos")</f>
        <v>3 mos</v>
      </c>
      <c r="H56" s="1" t="str">
        <f ca="1">IFERROR(__xludf.DUMMYFUNCTION("""COMPUTED_VALUE"""),"comment")</f>
        <v>comment</v>
      </c>
      <c r="I56"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56" s="1" t="str">
        <f ca="1">IFERROR(__xludf.DUMMYFUNCTION("""COMPUTED_VALUE"""),"2022-07-04T11:08:02.659Z")</f>
        <v>2022-07-04T11:08:02.659Z</v>
      </c>
    </row>
    <row r="57" spans="1:10" x14ac:dyDescent="0.2">
      <c r="A57" s="2" t="str">
        <f ca="1">IFERROR(__xludf.DUMMYFUNCTION("""COMPUTED_VALUE"""),"https://www.facebook.com/juanito.espiritu.16")</f>
        <v>https://www.facebook.com/juanito.espiritu.16</v>
      </c>
      <c r="B57" s="1" t="str">
        <f ca="1">IFERROR(__xludf.DUMMYFUNCTION("""COMPUTED_VALUE"""),"Jun Lopez Espiritu")</f>
        <v>Jun Lopez Espiritu</v>
      </c>
      <c r="C57" s="1" t="str">
        <f ca="1">IFERROR(__xludf.DUMMYFUNCTION("""COMPUTED_VALUE"""),"Jun")</f>
        <v>Jun</v>
      </c>
      <c r="D57" s="1" t="str">
        <f ca="1">IFERROR(__xludf.DUMMYFUNCTION("""COMPUTED_VALUE"""),"Lopez Espiritu")</f>
        <v>Lopez Espiritu</v>
      </c>
      <c r="E57" s="1" t="str">
        <f ca="1">IFERROR(__xludf.DUMMYFUNCTION("""COMPUTED_VALUE"""),"Cha Risse Siyempre may bayad at paraffle, don't deny it. 🙄😜😅😂🤣")</f>
        <v>Cha Risse Siyempre may bayad at paraffle, don't deny it. 🙄😜😅😂🤣</v>
      </c>
      <c r="F57" s="1">
        <f ca="1">IFERROR(__xludf.DUMMYFUNCTION("""COMPUTED_VALUE"""),18)</f>
        <v>18</v>
      </c>
      <c r="G57" s="1" t="str">
        <f ca="1">IFERROR(__xludf.DUMMYFUNCTION("""COMPUTED_VALUE"""),"3 mos")</f>
        <v>3 mos</v>
      </c>
      <c r="H57" s="1" t="str">
        <f ca="1">IFERROR(__xludf.DUMMYFUNCTION("""COMPUTED_VALUE"""),"reply")</f>
        <v>reply</v>
      </c>
      <c r="I57"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57" s="1" t="str">
        <f ca="1">IFERROR(__xludf.DUMMYFUNCTION("""COMPUTED_VALUE"""),"2022-07-04T11:08:02.659Z")</f>
        <v>2022-07-04T11:08:02.659Z</v>
      </c>
    </row>
    <row r="58" spans="1:10" x14ac:dyDescent="0.2">
      <c r="A58" s="2" t="str">
        <f ca="1">IFERROR(__xludf.DUMMYFUNCTION("""COMPUTED_VALUE"""),"https://www.facebook.com/charisse.martinezcomoda")</f>
        <v>https://www.facebook.com/charisse.martinezcomoda</v>
      </c>
      <c r="B58" s="1" t="str">
        <f ca="1">IFERROR(__xludf.DUMMYFUNCTION("""COMPUTED_VALUE"""),"Cha Risse")</f>
        <v>Cha Risse</v>
      </c>
      <c r="C58" s="1" t="str">
        <f ca="1">IFERROR(__xludf.DUMMYFUNCTION("""COMPUTED_VALUE"""),"Cha")</f>
        <v>Cha</v>
      </c>
      <c r="D58" s="1" t="str">
        <f ca="1">IFERROR(__xludf.DUMMYFUNCTION("""COMPUTED_VALUE"""),"Risse")</f>
        <v>Risse</v>
      </c>
      <c r="E58" s="1" t="str">
        <f ca="1">IFERROR(__xludf.DUMMYFUNCTION("""COMPUTED_VALUE"""),"Jun Lopez Espiritu excuse me. I can provide for myself if gustohin kong pumunta. Palibhasa sanay kayo na binabayaran kaya ganyan mindset mo... Losser.... 🤣🤣🤣🤣")</f>
        <v>Jun Lopez Espiritu excuse me. I can provide for myself if gustohin kong pumunta. Palibhasa sanay kayo na binabayaran kaya ganyan mindset mo... Losser.... 🤣🤣🤣🤣</v>
      </c>
      <c r="F58" s="1">
        <f ca="1">IFERROR(__xludf.DUMMYFUNCTION("""COMPUTED_VALUE"""),8)</f>
        <v>8</v>
      </c>
      <c r="G58" s="1" t="str">
        <f ca="1">IFERROR(__xludf.DUMMYFUNCTION("""COMPUTED_VALUE"""),"3 mos")</f>
        <v>3 mos</v>
      </c>
      <c r="H58" s="1" t="str">
        <f ca="1">IFERROR(__xludf.DUMMYFUNCTION("""COMPUTED_VALUE"""),"reply")</f>
        <v>reply</v>
      </c>
      <c r="I58"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58" s="1" t="str">
        <f ca="1">IFERROR(__xludf.DUMMYFUNCTION("""COMPUTED_VALUE"""),"2022-07-04T11:08:02.659Z")</f>
        <v>2022-07-04T11:08:02.659Z</v>
      </c>
    </row>
    <row r="59" spans="1:10" x14ac:dyDescent="0.2">
      <c r="A59" s="2" t="str">
        <f ca="1">IFERROR(__xludf.DUMMYFUNCTION("""COMPUTED_VALUE"""),"https://www.facebook.com/profile.php?id=100078745816266")</f>
        <v>https://www.facebook.com/profile.php?id=100078745816266</v>
      </c>
      <c r="B59" s="1" t="str">
        <f ca="1">IFERROR(__xludf.DUMMYFUNCTION("""COMPUTED_VALUE"""),"Kalen Daryo")</f>
        <v>Kalen Daryo</v>
      </c>
      <c r="C59" s="1" t="str">
        <f ca="1">IFERROR(__xludf.DUMMYFUNCTION("""COMPUTED_VALUE"""),"Kalen")</f>
        <v>Kalen</v>
      </c>
      <c r="D59" s="1" t="str">
        <f ca="1">IFERROR(__xludf.DUMMYFUNCTION("""COMPUTED_VALUE"""),"Daryo")</f>
        <v>Daryo</v>
      </c>
      <c r="E59" s="1" t="str">
        <f ca="1">IFERROR(__xludf.DUMMYFUNCTION("""COMPUTED_VALUE"""),"Cha Risse korekk dito rin")</f>
        <v>Cha Risse korekk dito rin</v>
      </c>
      <c r="F59" s="1">
        <f ca="1">IFERROR(__xludf.DUMMYFUNCTION("""COMPUTED_VALUE"""),3)</f>
        <v>3</v>
      </c>
      <c r="G59" s="1" t="str">
        <f ca="1">IFERROR(__xludf.DUMMYFUNCTION("""COMPUTED_VALUE"""),"3 mos")</f>
        <v>3 mos</v>
      </c>
      <c r="H59" s="1" t="str">
        <f ca="1">IFERROR(__xludf.DUMMYFUNCTION("""COMPUTED_VALUE"""),"reply")</f>
        <v>reply</v>
      </c>
      <c r="I59"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59" s="1" t="str">
        <f ca="1">IFERROR(__xludf.DUMMYFUNCTION("""COMPUTED_VALUE"""),"2022-07-04T11:08:02.659Z")</f>
        <v>2022-07-04T11:08:02.659Z</v>
      </c>
    </row>
    <row r="60" spans="1:10" x14ac:dyDescent="0.2">
      <c r="A60" s="2" t="str">
        <f ca="1">IFERROR(__xludf.DUMMYFUNCTION("""COMPUTED_VALUE"""),"https://www.facebook.com/akcelrose.marinas")</f>
        <v>https://www.facebook.com/akcelrose.marinas</v>
      </c>
      <c r="B60" s="1" t="str">
        <f ca="1">IFERROR(__xludf.DUMMYFUNCTION("""COMPUTED_VALUE"""),"Akcel Rose Mariñas")</f>
        <v>Akcel Rose Mariñas</v>
      </c>
      <c r="C60" s="1" t="str">
        <f ca="1">IFERROR(__xludf.DUMMYFUNCTION("""COMPUTED_VALUE"""),"Akcel")</f>
        <v>Akcel</v>
      </c>
      <c r="D60" s="1" t="str">
        <f ca="1">IFERROR(__xludf.DUMMYFUNCTION("""COMPUTED_VALUE"""),"Rose Mariñas")</f>
        <v>Rose Mariñas</v>
      </c>
      <c r="E60" s="1" t="str">
        <f ca="1">IFERROR(__xludf.DUMMYFUNCTION("""COMPUTED_VALUE"""),"Cha Risse saang lugar? sa Republika ng Trolls??")</f>
        <v>Cha Risse saang lugar? sa Republika ng Trolls??</v>
      </c>
      <c r="F60" s="1">
        <f ca="1">IFERROR(__xludf.DUMMYFUNCTION("""COMPUTED_VALUE"""),6)</f>
        <v>6</v>
      </c>
      <c r="G60" s="1" t="str">
        <f ca="1">IFERROR(__xludf.DUMMYFUNCTION("""COMPUTED_VALUE"""),"3 mos")</f>
        <v>3 mos</v>
      </c>
      <c r="H60" s="1" t="str">
        <f ca="1">IFERROR(__xludf.DUMMYFUNCTION("""COMPUTED_VALUE"""),"reply")</f>
        <v>reply</v>
      </c>
      <c r="I60"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60" s="1" t="str">
        <f ca="1">IFERROR(__xludf.DUMMYFUNCTION("""COMPUTED_VALUE"""),"2022-07-04T11:08:02.659Z")</f>
        <v>2022-07-04T11:08:02.659Z</v>
      </c>
    </row>
    <row r="61" spans="1:10" x14ac:dyDescent="0.2">
      <c r="A61" s="2" t="str">
        <f ca="1">IFERROR(__xludf.DUMMYFUNCTION("""COMPUTED_VALUE"""),"https://www.facebook.com/don.salabay")</f>
        <v>https://www.facebook.com/don.salabay</v>
      </c>
      <c r="B61" s="1" t="str">
        <f ca="1">IFERROR(__xludf.DUMMYFUNCTION("""COMPUTED_VALUE"""),"Michaela Medrano")</f>
        <v>Michaela Medrano</v>
      </c>
      <c r="C61" s="1" t="str">
        <f ca="1">IFERROR(__xludf.DUMMYFUNCTION("""COMPUTED_VALUE"""),"Michaela")</f>
        <v>Michaela</v>
      </c>
      <c r="D61" s="1" t="str">
        <f ca="1">IFERROR(__xludf.DUMMYFUNCTION("""COMPUTED_VALUE"""),"Medrano")</f>
        <v>Medrano</v>
      </c>
      <c r="E61" s="1" t="str">
        <f ca="1">IFERROR(__xludf.DUMMYFUNCTION("""COMPUTED_VALUE"""),"Cha Risse namimigay kasi ng pera..at may sumisigaw pa ng shabay shabay")</f>
        <v>Cha Risse namimigay kasi ng pera..at may sumisigaw pa ng shabay shabay</v>
      </c>
      <c r="F61" s="1">
        <f ca="1">IFERROR(__xludf.DUMMYFUNCTION("""COMPUTED_VALUE"""),2)</f>
        <v>2</v>
      </c>
      <c r="G61" s="1" t="str">
        <f ca="1">IFERROR(__xludf.DUMMYFUNCTION("""COMPUTED_VALUE"""),"3 mos")</f>
        <v>3 mos</v>
      </c>
      <c r="H61" s="1" t="str">
        <f ca="1">IFERROR(__xludf.DUMMYFUNCTION("""COMPUTED_VALUE"""),"reply")</f>
        <v>reply</v>
      </c>
      <c r="I61"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61" s="1" t="str">
        <f ca="1">IFERROR(__xludf.DUMMYFUNCTION("""COMPUTED_VALUE"""),"2022-07-04T11:08:02.659Z")</f>
        <v>2022-07-04T11:08:02.659Z</v>
      </c>
    </row>
    <row r="62" spans="1:10" x14ac:dyDescent="0.2">
      <c r="A62" s="2" t="str">
        <f ca="1">IFERROR(__xludf.DUMMYFUNCTION("""COMPUTED_VALUE"""),"https://www.facebook.com/profile.php?id=100007060997576")</f>
        <v>https://www.facebook.com/profile.php?id=100007060997576</v>
      </c>
      <c r="B62" s="1" t="str">
        <f ca="1">IFERROR(__xludf.DUMMYFUNCTION("""COMPUTED_VALUE"""),"Elsie Barrientos")</f>
        <v>Elsie Barrientos</v>
      </c>
      <c r="C62" s="1" t="str">
        <f ca="1">IFERROR(__xludf.DUMMYFUNCTION("""COMPUTED_VALUE"""),"Elsie")</f>
        <v>Elsie</v>
      </c>
      <c r="D62" s="1" t="str">
        <f ca="1">IFERROR(__xludf.DUMMYFUNCTION("""COMPUTED_VALUE"""),"Barrientos")</f>
        <v>Barrientos</v>
      </c>
      <c r="E62" s="1" t="str">
        <f ca="1">IFERROR(__xludf.DUMMYFUNCTION("""COMPUTED_VALUE"""),"Jun Lopez Espiritu cguro suki k ng mga politikong mhilig magbayad at magpa raffle, ano, alam n alam mo kc.")</f>
        <v>Jun Lopez Espiritu cguro suki k ng mga politikong mhilig magbayad at magpa raffle, ano, alam n alam mo kc.</v>
      </c>
      <c r="F62" s="1">
        <f ca="1">IFERROR(__xludf.DUMMYFUNCTION("""COMPUTED_VALUE"""),2)</f>
        <v>2</v>
      </c>
      <c r="G62" s="1" t="str">
        <f ca="1">IFERROR(__xludf.DUMMYFUNCTION("""COMPUTED_VALUE"""),"3 mos")</f>
        <v>3 mos</v>
      </c>
      <c r="H62" s="1" t="str">
        <f ca="1">IFERROR(__xludf.DUMMYFUNCTION("""COMPUTED_VALUE"""),"reply")</f>
        <v>reply</v>
      </c>
      <c r="I62"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62" s="1" t="str">
        <f ca="1">IFERROR(__xludf.DUMMYFUNCTION("""COMPUTED_VALUE"""),"2022-07-04T11:08:02.659Z")</f>
        <v>2022-07-04T11:08:02.659Z</v>
      </c>
    </row>
    <row r="63" spans="1:10" x14ac:dyDescent="0.2">
      <c r="A63" s="2" t="str">
        <f ca="1">IFERROR(__xludf.DUMMYFUNCTION("""COMPUTED_VALUE"""),"https://www.facebook.com/naning.palajorin")</f>
        <v>https://www.facebook.com/naning.palajorin</v>
      </c>
      <c r="B63" s="1" t="str">
        <f ca="1">IFERROR(__xludf.DUMMYFUNCTION("""COMPUTED_VALUE"""),"Mar Pal")</f>
        <v>Mar Pal</v>
      </c>
      <c r="C63" s="1" t="str">
        <f ca="1">IFERROR(__xludf.DUMMYFUNCTION("""COMPUTED_VALUE"""),"Mar")</f>
        <v>Mar</v>
      </c>
      <c r="D63" s="1" t="str">
        <f ca="1">IFERROR(__xludf.DUMMYFUNCTION("""COMPUTED_VALUE"""),"Pal")</f>
        <v>Pal</v>
      </c>
      <c r="E63" s="1" t="str">
        <f ca="1">IFERROR(__xludf.DUMMYFUNCTION("""COMPUTED_VALUE"""),"naka santa clause suit sya red and green sack.pasko pasko na naman muli")</f>
        <v>naka santa clause suit sya red and green sack.pasko pasko na naman muli</v>
      </c>
      <c r="F63" s="1">
        <f ca="1">IFERROR(__xludf.DUMMYFUNCTION("""COMPUTED_VALUE"""),3)</f>
        <v>3</v>
      </c>
      <c r="G63" s="1" t="str">
        <f ca="1">IFERROR(__xludf.DUMMYFUNCTION("""COMPUTED_VALUE"""),"3 mos")</f>
        <v>3 mos</v>
      </c>
      <c r="H63" s="1" t="str">
        <f ca="1">IFERROR(__xludf.DUMMYFUNCTION("""COMPUTED_VALUE"""),"comment")</f>
        <v>comment</v>
      </c>
      <c r="I63"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63" s="1" t="str">
        <f ca="1">IFERROR(__xludf.DUMMYFUNCTION("""COMPUTED_VALUE"""),"2022-07-04T11:08:02.659Z")</f>
        <v>2022-07-04T11:08:02.659Z</v>
      </c>
    </row>
    <row r="64" spans="1:10" x14ac:dyDescent="0.2">
      <c r="A64" s="2" t="str">
        <f ca="1">IFERROR(__xludf.DUMMYFUNCTION("""COMPUTED_VALUE"""),"https://www.facebook.com/emilmendezjr")</f>
        <v>https://www.facebook.com/emilmendezjr</v>
      </c>
      <c r="B64" s="1" t="str">
        <f ca="1">IFERROR(__xludf.DUMMYFUNCTION("""COMPUTED_VALUE"""),"Emilio Jr Mendez")</f>
        <v>Emilio Jr Mendez</v>
      </c>
      <c r="C64" s="1" t="str">
        <f ca="1">IFERROR(__xludf.DUMMYFUNCTION("""COMPUTED_VALUE"""),"Emilio")</f>
        <v>Emilio</v>
      </c>
      <c r="D64" s="1" t="str">
        <f ca="1">IFERROR(__xludf.DUMMYFUNCTION("""COMPUTED_VALUE"""),"Jr Mendez")</f>
        <v>Jr Mendez</v>
      </c>
      <c r="E64" s="1" t="str">
        <f ca="1">IFERROR(__xludf.DUMMYFUNCTION("""COMPUTED_VALUE"""),"sayang ng 500 petot")</f>
        <v>sayang ng 500 petot</v>
      </c>
      <c r="F64" s="1">
        <f ca="1">IFERROR(__xludf.DUMMYFUNCTION("""COMPUTED_VALUE"""),8)</f>
        <v>8</v>
      </c>
      <c r="G64" s="1" t="str">
        <f ca="1">IFERROR(__xludf.DUMMYFUNCTION("""COMPUTED_VALUE"""),"3 mos")</f>
        <v>3 mos</v>
      </c>
      <c r="H64" s="1" t="str">
        <f ca="1">IFERROR(__xludf.DUMMYFUNCTION("""COMPUTED_VALUE"""),"comment")</f>
        <v>comment</v>
      </c>
      <c r="I64"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64" s="1" t="str">
        <f ca="1">IFERROR(__xludf.DUMMYFUNCTION("""COMPUTED_VALUE"""),"2022-07-04T11:08:02.659Z")</f>
        <v>2022-07-04T11:08:02.659Z</v>
      </c>
    </row>
    <row r="65" spans="1:10" x14ac:dyDescent="0.2">
      <c r="A65" s="2" t="str">
        <f ca="1">IFERROR(__xludf.DUMMYFUNCTION("""COMPUTED_VALUE"""),"https://www.facebook.com/darwin.garcia.355")</f>
        <v>https://www.facebook.com/darwin.garcia.355</v>
      </c>
      <c r="B65" s="1" t="str">
        <f ca="1">IFERROR(__xludf.DUMMYFUNCTION("""COMPUTED_VALUE"""),"Dax Garcia")</f>
        <v>Dax Garcia</v>
      </c>
      <c r="C65" s="1" t="str">
        <f ca="1">IFERROR(__xludf.DUMMYFUNCTION("""COMPUTED_VALUE"""),"Dax")</f>
        <v>Dax</v>
      </c>
      <c r="D65" s="1" t="str">
        <f ca="1">IFERROR(__xludf.DUMMYFUNCTION("""COMPUTED_VALUE"""),"Garcia")</f>
        <v>Garcia</v>
      </c>
      <c r="E65" s="1" t="str">
        <f ca="1">IFERROR(__xludf.DUMMYFUNCTION("""COMPUTED_VALUE"""),"Emilio Jr Mendez 50 na lang sir dumaan Sa mga alalay eh lolz")</f>
        <v>Emilio Jr Mendez 50 na lang sir dumaan Sa mga alalay eh lolz</v>
      </c>
      <c r="F65" s="1">
        <f ca="1">IFERROR(__xludf.DUMMYFUNCTION("""COMPUTED_VALUE"""),1)</f>
        <v>1</v>
      </c>
      <c r="G65" s="1" t="str">
        <f ca="1">IFERROR(__xludf.DUMMYFUNCTION("""COMPUTED_VALUE"""),"3 mos")</f>
        <v>3 mos</v>
      </c>
      <c r="H65" s="1" t="str">
        <f ca="1">IFERROR(__xludf.DUMMYFUNCTION("""COMPUTED_VALUE"""),"reply")</f>
        <v>reply</v>
      </c>
      <c r="I65"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65" s="1" t="str">
        <f ca="1">IFERROR(__xludf.DUMMYFUNCTION("""COMPUTED_VALUE"""),"2022-07-04T11:08:02.659Z")</f>
        <v>2022-07-04T11:08:02.659Z</v>
      </c>
    </row>
    <row r="66" spans="1:10" x14ac:dyDescent="0.2">
      <c r="A66" s="2" t="str">
        <f ca="1">IFERROR(__xludf.DUMMYFUNCTION("""COMPUTED_VALUE"""),"https://www.facebook.com/orni.dman")</f>
        <v>https://www.facebook.com/orni.dman</v>
      </c>
      <c r="B66" s="1" t="str">
        <f ca="1">IFERROR(__xludf.DUMMYFUNCTION("""COMPUTED_VALUE"""),"Balano Niro")</f>
        <v>Balano Niro</v>
      </c>
      <c r="C66" s="1" t="str">
        <f ca="1">IFERROR(__xludf.DUMMYFUNCTION("""COMPUTED_VALUE"""),"Balano")</f>
        <v>Balano</v>
      </c>
      <c r="D66" s="1" t="str">
        <f ca="1">IFERROR(__xludf.DUMMYFUNCTION("""COMPUTED_VALUE"""),"Niro")</f>
        <v>Niro</v>
      </c>
      <c r="E66" s="1" t="str">
        <f ca="1">IFERROR(__xludf.DUMMYFUNCTION("""COMPUTED_VALUE"""),"With big PAY of course!")</f>
        <v>With big PAY of course!</v>
      </c>
      <c r="F66" s="1">
        <f ca="1">IFERROR(__xludf.DUMMYFUNCTION("""COMPUTED_VALUE"""),20)</f>
        <v>20</v>
      </c>
      <c r="G66" s="1" t="str">
        <f ca="1">IFERROR(__xludf.DUMMYFUNCTION("""COMPUTED_VALUE"""),"3 mos")</f>
        <v>3 mos</v>
      </c>
      <c r="H66" s="1" t="str">
        <f ca="1">IFERROR(__xludf.DUMMYFUNCTION("""COMPUTED_VALUE"""),"comment")</f>
        <v>comment</v>
      </c>
      <c r="I66"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66" s="1" t="str">
        <f ca="1">IFERROR(__xludf.DUMMYFUNCTION("""COMPUTED_VALUE"""),"2022-07-04T11:08:02.659Z")</f>
        <v>2022-07-04T11:08:02.659Z</v>
      </c>
    </row>
    <row r="67" spans="1:10" x14ac:dyDescent="0.2">
      <c r="A67" s="2" t="str">
        <f ca="1">IFERROR(__xludf.DUMMYFUNCTION("""COMPUTED_VALUE"""),"https://www.facebook.com/pauljeric.queipo.1")</f>
        <v>https://www.facebook.com/pauljeric.queipo.1</v>
      </c>
      <c r="B67" s="1" t="str">
        <f ca="1">IFERROR(__xludf.DUMMYFUNCTION("""COMPUTED_VALUE"""),"Paul Jeric Queipo")</f>
        <v>Paul Jeric Queipo</v>
      </c>
      <c r="C67" s="1" t="str">
        <f ca="1">IFERROR(__xludf.DUMMYFUNCTION("""COMPUTED_VALUE"""),"Paul")</f>
        <v>Paul</v>
      </c>
      <c r="D67" s="1" t="str">
        <f ca="1">IFERROR(__xludf.DUMMYFUNCTION("""COMPUTED_VALUE"""),"Jeric Queipo")</f>
        <v>Jeric Queipo</v>
      </c>
      <c r="E67" s="1" t="str">
        <f ca="1">IFERROR(__xludf.DUMMYFUNCTION("""COMPUTED_VALUE"""),"Albs Orni PROOOF? PARANG YANG MANOK MO ATA MARAMI NAGASTOS SA CAMPAIGN RALLIES HAHAHA FACEBOOK ADS PALANG 😂😂😂 KADIRIII LOOSER 😂😂😂")</f>
        <v>Albs Orni PROOOF? PARANG YANG MANOK MO ATA MARAMI NAGASTOS SA CAMPAIGN RALLIES HAHAHA FACEBOOK ADS PALANG 😂😂😂 KADIRIII LOOSER 😂😂😂</v>
      </c>
      <c r="F67" s="1">
        <f ca="1">IFERROR(__xludf.DUMMYFUNCTION("""COMPUTED_VALUE"""),1)</f>
        <v>1</v>
      </c>
      <c r="G67" s="1" t="str">
        <f ca="1">IFERROR(__xludf.DUMMYFUNCTION("""COMPUTED_VALUE"""),"3 mos")</f>
        <v>3 mos</v>
      </c>
      <c r="H67" s="1" t="str">
        <f ca="1">IFERROR(__xludf.DUMMYFUNCTION("""COMPUTED_VALUE"""),"reply")</f>
        <v>reply</v>
      </c>
      <c r="I67"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67" s="1" t="str">
        <f ca="1">IFERROR(__xludf.DUMMYFUNCTION("""COMPUTED_VALUE"""),"2022-07-04T11:08:02.660Z")</f>
        <v>2022-07-04T11:08:02.660Z</v>
      </c>
    </row>
    <row r="68" spans="1:10" x14ac:dyDescent="0.2">
      <c r="A68" s="2" t="str">
        <f ca="1">IFERROR(__xludf.DUMMYFUNCTION("""COMPUTED_VALUE"""),"https://www.facebook.com/christy.licayan.7")</f>
        <v>https://www.facebook.com/christy.licayan.7</v>
      </c>
      <c r="B68" s="1" t="str">
        <f ca="1">IFERROR(__xludf.DUMMYFUNCTION("""COMPUTED_VALUE"""),"Christy Licayan-Gnosa")</f>
        <v>Christy Licayan-Gnosa</v>
      </c>
      <c r="C68" s="1" t="str">
        <f ca="1">IFERROR(__xludf.DUMMYFUNCTION("""COMPUTED_VALUE"""),"Christy")</f>
        <v>Christy</v>
      </c>
      <c r="D68" s="1" t="str">
        <f ca="1">IFERROR(__xludf.DUMMYFUNCTION("""COMPUTED_VALUE"""),"Licayan-Gnosa")</f>
        <v>Licayan-Gnosa</v>
      </c>
      <c r="E68" s="1" t="str">
        <f ca="1">IFERROR(__xludf.DUMMYFUNCTION("""COMPUTED_VALUE"""),"Albs Orni pag pangau saimong manok uyy haha")</f>
        <v>Albs Orni pag pangau saimong manok uyy haha</v>
      </c>
      <c r="F68" s="1"/>
      <c r="G68" s="1" t="str">
        <f ca="1">IFERROR(__xludf.DUMMYFUNCTION("""COMPUTED_VALUE"""),"3 mos")</f>
        <v>3 mos</v>
      </c>
      <c r="H68" s="1" t="str">
        <f ca="1">IFERROR(__xludf.DUMMYFUNCTION("""COMPUTED_VALUE"""),"reply")</f>
        <v>reply</v>
      </c>
      <c r="I68"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68" s="1" t="str">
        <f ca="1">IFERROR(__xludf.DUMMYFUNCTION("""COMPUTED_VALUE"""),"2022-07-04T11:08:02.660Z")</f>
        <v>2022-07-04T11:08:02.660Z</v>
      </c>
    </row>
    <row r="69" spans="1:10" x14ac:dyDescent="0.2">
      <c r="A69" s="2" t="str">
        <f ca="1">IFERROR(__xludf.DUMMYFUNCTION("""COMPUTED_VALUE"""),"https://www.facebook.com/tzadmar.julian")</f>
        <v>https://www.facebook.com/tzadmar.julian</v>
      </c>
      <c r="B69" s="1" t="str">
        <f ca="1">IFERROR(__xludf.DUMMYFUNCTION("""COMPUTED_VALUE"""),"Tzadmar Julian")</f>
        <v>Tzadmar Julian</v>
      </c>
      <c r="C69" s="1" t="str">
        <f ca="1">IFERROR(__xludf.DUMMYFUNCTION("""COMPUTED_VALUE"""),"Tzadmar")</f>
        <v>Tzadmar</v>
      </c>
      <c r="D69" s="1" t="str">
        <f ca="1">IFERROR(__xludf.DUMMYFUNCTION("""COMPUTED_VALUE"""),"Julian")</f>
        <v>Julian</v>
      </c>
      <c r="E69" s="1" t="str">
        <f ca="1">IFERROR(__xludf.DUMMYFUNCTION("""COMPUTED_VALUE"""),"Wag ipakita yung drone shot 😭😭😭")</f>
        <v>Wag ipakita yung drone shot 😭😭😭</v>
      </c>
      <c r="F69" s="1">
        <f ca="1">IFERROR(__xludf.DUMMYFUNCTION("""COMPUTED_VALUE"""),28)</f>
        <v>28</v>
      </c>
      <c r="G69" s="1" t="str">
        <f ca="1">IFERROR(__xludf.DUMMYFUNCTION("""COMPUTED_VALUE"""),"3 mos")</f>
        <v>3 mos</v>
      </c>
      <c r="H69" s="1" t="str">
        <f ca="1">IFERROR(__xludf.DUMMYFUNCTION("""COMPUTED_VALUE"""),"comment")</f>
        <v>comment</v>
      </c>
      <c r="I69"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69" s="1" t="str">
        <f ca="1">IFERROR(__xludf.DUMMYFUNCTION("""COMPUTED_VALUE"""),"2022-07-04T11:08:02.660Z")</f>
        <v>2022-07-04T11:08:02.660Z</v>
      </c>
    </row>
    <row r="70" spans="1:10" x14ac:dyDescent="0.2">
      <c r="A70" s="2" t="str">
        <f ca="1">IFERROR(__xludf.DUMMYFUNCTION("""COMPUTED_VALUE"""),"https://www.facebook.com/gumer.liston")</f>
        <v>https://www.facebook.com/gumer.liston</v>
      </c>
      <c r="B70" s="1" t="str">
        <f ca="1">IFERROR(__xludf.DUMMYFUNCTION("""COMPUTED_VALUE"""),"Gumer Liston")</f>
        <v>Gumer Liston</v>
      </c>
      <c r="C70" s="1" t="str">
        <f ca="1">IFERROR(__xludf.DUMMYFUNCTION("""COMPUTED_VALUE"""),"Gumer")</f>
        <v>Gumer</v>
      </c>
      <c r="D70" s="1" t="str">
        <f ca="1">IFERROR(__xludf.DUMMYFUNCTION("""COMPUTED_VALUE"""),"Liston")</f>
        <v>Liston</v>
      </c>
      <c r="E70" s="1" t="str">
        <f ca="1">IFERROR(__xludf.DUMMYFUNCTION("""COMPUTED_VALUE"""),"Tzadmar Julian merong drone shot, umabot sila ng 6K")</f>
        <v>Tzadmar Julian merong drone shot, umabot sila ng 6K</v>
      </c>
      <c r="F70" s="1">
        <f ca="1">IFERROR(__xludf.DUMMYFUNCTION("""COMPUTED_VALUE"""),3)</f>
        <v>3</v>
      </c>
      <c r="G70" s="1" t="str">
        <f ca="1">IFERROR(__xludf.DUMMYFUNCTION("""COMPUTED_VALUE"""),"3 mos")</f>
        <v>3 mos</v>
      </c>
      <c r="H70" s="1" t="str">
        <f ca="1">IFERROR(__xludf.DUMMYFUNCTION("""COMPUTED_VALUE"""),"reply")</f>
        <v>reply</v>
      </c>
      <c r="I70"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70" s="1" t="str">
        <f ca="1">IFERROR(__xludf.DUMMYFUNCTION("""COMPUTED_VALUE"""),"2022-07-04T11:08:02.660Z")</f>
        <v>2022-07-04T11:08:02.660Z</v>
      </c>
    </row>
    <row r="71" spans="1:10" x14ac:dyDescent="0.2">
      <c r="A71" s="2" t="str">
        <f ca="1">IFERROR(__xludf.DUMMYFUNCTION("""COMPUTED_VALUE"""),"https://www.facebook.com/gumer.liston")</f>
        <v>https://www.facebook.com/gumer.liston</v>
      </c>
      <c r="B71" s="1" t="str">
        <f ca="1">IFERROR(__xludf.DUMMYFUNCTION("""COMPUTED_VALUE"""),"Gumer Liston")</f>
        <v>Gumer Liston</v>
      </c>
      <c r="C71" s="1" t="str">
        <f ca="1">IFERROR(__xludf.DUMMYFUNCTION("""COMPUTED_VALUE"""),"Gumer")</f>
        <v>Gumer</v>
      </c>
      <c r="D71" s="1" t="str">
        <f ca="1">IFERROR(__xludf.DUMMYFUNCTION("""COMPUTED_VALUE"""),"Liston")</f>
        <v>Liston</v>
      </c>
      <c r="E71" s="1" t="str">
        <f ca="1">IFERROR(__xludf.DUMMYFUNCTION("""COMPUTED_VALUE"""),"sa Gensan mga ilang daan lang, pero sa rally sa Koronadal City umabot yung mga hinakot nila ng mga 5 to 6K")</f>
        <v>sa Gensan mga ilang daan lang, pero sa rally sa Koronadal City umabot yung mga hinakot nila ng mga 5 to 6K</v>
      </c>
      <c r="F71" s="1">
        <f ca="1">IFERROR(__xludf.DUMMYFUNCTION("""COMPUTED_VALUE"""),4)</f>
        <v>4</v>
      </c>
      <c r="G71" s="1" t="str">
        <f ca="1">IFERROR(__xludf.DUMMYFUNCTION("""COMPUTED_VALUE"""),"3 mos")</f>
        <v>3 mos</v>
      </c>
      <c r="H71" s="1" t="str">
        <f ca="1">IFERROR(__xludf.DUMMYFUNCTION("""COMPUTED_VALUE"""),"reply")</f>
        <v>reply</v>
      </c>
      <c r="I71"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71" s="1" t="str">
        <f ca="1">IFERROR(__xludf.DUMMYFUNCTION("""COMPUTED_VALUE"""),"2022-07-04T11:08:02.660Z")</f>
        <v>2022-07-04T11:08:02.660Z</v>
      </c>
    </row>
    <row r="72" spans="1:10" x14ac:dyDescent="0.2">
      <c r="A72" s="2" t="str">
        <f ca="1">IFERROR(__xludf.DUMMYFUNCTION("""COMPUTED_VALUE"""),"https://www.facebook.com/honey.huervana")</f>
        <v>https://www.facebook.com/honey.huervana</v>
      </c>
      <c r="B72" s="1" t="str">
        <f ca="1">IFERROR(__xludf.DUMMYFUNCTION("""COMPUTED_VALUE"""),"Honey Anavreuh")</f>
        <v>Honey Anavreuh</v>
      </c>
      <c r="C72" s="1" t="str">
        <f ca="1">IFERROR(__xludf.DUMMYFUNCTION("""COMPUTED_VALUE"""),"Honey")</f>
        <v>Honey</v>
      </c>
      <c r="D72" s="1" t="str">
        <f ca="1">IFERROR(__xludf.DUMMYFUNCTION("""COMPUTED_VALUE"""),"Anavreuh")</f>
        <v>Anavreuh</v>
      </c>
      <c r="E72" s="1" t="str">
        <f ca="1">IFERROR(__xludf.DUMMYFUNCTION("""COMPUTED_VALUE"""),"Gumer Liston kita mo ba gano katraffic from gensan-koronadal kuya? Sumabay pa sila sa convoy..tas sasabihin mo hundreds lang sa gensan? 😅 Okay lang naman po suportahan yung manok nyo, wag lang gawa gawa kwento 🥰")</f>
        <v>Gumer Liston kita mo ba gano katraffic from gensan-koronadal kuya? Sumabay pa sila sa convoy..tas sasabihin mo hundreds lang sa gensan? 😅 Okay lang naman po suportahan yung manok nyo, wag lang gawa gawa kwento 🥰</v>
      </c>
      <c r="F72" s="1"/>
      <c r="G72" s="1" t="str">
        <f ca="1">IFERROR(__xludf.DUMMYFUNCTION("""COMPUTED_VALUE"""),"3 mos")</f>
        <v>3 mos</v>
      </c>
      <c r="H72" s="1" t="str">
        <f ca="1">IFERROR(__xludf.DUMMYFUNCTION("""COMPUTED_VALUE"""),"reply")</f>
        <v>reply</v>
      </c>
      <c r="I72"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72" s="1" t="str">
        <f ca="1">IFERROR(__xludf.DUMMYFUNCTION("""COMPUTED_VALUE"""),"2022-07-04T11:08:02.660Z")</f>
        <v>2022-07-04T11:08:02.660Z</v>
      </c>
    </row>
    <row r="73" spans="1:10" x14ac:dyDescent="0.2">
      <c r="A73" s="2" t="str">
        <f ca="1">IFERROR(__xludf.DUMMYFUNCTION("""COMPUTED_VALUE"""),"https://www.facebook.com/rusticzana")</f>
        <v>https://www.facebook.com/rusticzana</v>
      </c>
      <c r="B73" s="1" t="str">
        <f ca="1">IFERROR(__xludf.DUMMYFUNCTION("""COMPUTED_VALUE"""),"RA Alomar")</f>
        <v>RA Alomar</v>
      </c>
      <c r="C73" s="1" t="str">
        <f ca="1">IFERROR(__xludf.DUMMYFUNCTION("""COMPUTED_VALUE"""),"RA")</f>
        <v>RA</v>
      </c>
      <c r="D73" s="1" t="str">
        <f ca="1">IFERROR(__xludf.DUMMYFUNCTION("""COMPUTED_VALUE"""),"Alomar")</f>
        <v>Alomar</v>
      </c>
      <c r="E73" s="1" t="str">
        <f ca="1">IFERROR(__xludf.DUMMYFUNCTION("""COMPUTED_VALUE"""),"Factcheck is now a part of News Segment in Mainstream Media to fight DISINFORMATION...Thank to New5.  https://fb.watch/bYVrZeiNu4/")</f>
        <v>Factcheck is now a part of News Segment in Mainstream Media to fight DISINFORMATION...Thank to New5.  https://fb.watch/bYVrZeiNu4/</v>
      </c>
      <c r="F73" s="1">
        <f ca="1">IFERROR(__xludf.DUMMYFUNCTION("""COMPUTED_VALUE"""),1)</f>
        <v>1</v>
      </c>
      <c r="G73" s="1" t="str">
        <f ca="1">IFERROR(__xludf.DUMMYFUNCTION("""COMPUTED_VALUE"""),"March 25 at 12:00 AM")</f>
        <v>March 25 at 12:00 AM</v>
      </c>
      <c r="H73" s="1" t="str">
        <f ca="1">IFERROR(__xludf.DUMMYFUNCTION("""COMPUTED_VALUE"""),"comment")</f>
        <v>comment</v>
      </c>
      <c r="I73"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73" s="1" t="str">
        <f ca="1">IFERROR(__xludf.DUMMYFUNCTION("""COMPUTED_VALUE"""),"2022-07-04T11:08:02.660Z")</f>
        <v>2022-07-04T11:08:02.660Z</v>
      </c>
    </row>
    <row r="74" spans="1:10" x14ac:dyDescent="0.2">
      <c r="A74" s="2" t="str">
        <f ca="1">IFERROR(__xludf.DUMMYFUNCTION("""COMPUTED_VALUE"""),"https://www.facebook.com/FjdCastillo")</f>
        <v>https://www.facebook.com/FjdCastillo</v>
      </c>
      <c r="B74" s="1" t="str">
        <f ca="1">IFERROR(__xludf.DUMMYFUNCTION("""COMPUTED_VALUE"""),"Francis Castle")</f>
        <v>Francis Castle</v>
      </c>
      <c r="C74" s="1" t="str">
        <f ca="1">IFERROR(__xludf.DUMMYFUNCTION("""COMPUTED_VALUE"""),"Francis")</f>
        <v>Francis</v>
      </c>
      <c r="D74" s="1" t="str">
        <f ca="1">IFERROR(__xludf.DUMMYFUNCTION("""COMPUTED_VALUE"""),"Castle")</f>
        <v>Castle</v>
      </c>
      <c r="E74" s="1" t="str">
        <f ca="1">IFERROR(__xludf.DUMMYFUNCTION("""COMPUTED_VALUE"""),"Ofcourse hakot crowd eh lol")</f>
        <v>Ofcourse hakot crowd eh lol</v>
      </c>
      <c r="F74" s="1">
        <f ca="1">IFERROR(__xludf.DUMMYFUNCTION("""COMPUTED_VALUE"""),15)</f>
        <v>15</v>
      </c>
      <c r="G74" s="1" t="str">
        <f ca="1">IFERROR(__xludf.DUMMYFUNCTION("""COMPUTED_VALUE"""),"3 mos")</f>
        <v>3 mos</v>
      </c>
      <c r="H74" s="1" t="str">
        <f ca="1">IFERROR(__xludf.DUMMYFUNCTION("""COMPUTED_VALUE"""),"comment")</f>
        <v>comment</v>
      </c>
      <c r="I74"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74" s="1" t="str">
        <f ca="1">IFERROR(__xludf.DUMMYFUNCTION("""COMPUTED_VALUE"""),"2022-07-04T11:08:02.660Z")</f>
        <v>2022-07-04T11:08:02.660Z</v>
      </c>
    </row>
    <row r="75" spans="1:10" x14ac:dyDescent="0.2">
      <c r="A75" s="2" t="str">
        <f ca="1">IFERROR(__xludf.DUMMYFUNCTION("""COMPUTED_VALUE"""),"https://www.facebook.com/maylalyn.pagatpatanbiador")</f>
        <v>https://www.facebook.com/maylalyn.pagatpatanbiador</v>
      </c>
      <c r="B75" s="1" t="str">
        <f ca="1">IFERROR(__xludf.DUMMYFUNCTION("""COMPUTED_VALUE"""),"Mayla P Bia")</f>
        <v>Mayla P Bia</v>
      </c>
      <c r="C75" s="1" t="str">
        <f ca="1">IFERROR(__xludf.DUMMYFUNCTION("""COMPUTED_VALUE"""),"Mayla")</f>
        <v>Mayla</v>
      </c>
      <c r="D75" s="1" t="str">
        <f ca="1">IFERROR(__xludf.DUMMYFUNCTION("""COMPUTED_VALUE"""),"P Bia")</f>
        <v>P Bia</v>
      </c>
      <c r="E75" s="1" t="str">
        <f ca="1">IFERROR(__xludf.DUMMYFUNCTION("""COMPUTED_VALUE"""),"Fj D Castillo uu kagay si lenie, hakot crowd 😂")</f>
        <v>Fj D Castillo uu kagay si lenie, hakot crowd 😂</v>
      </c>
      <c r="F75" s="1">
        <f ca="1">IFERROR(__xludf.DUMMYFUNCTION("""COMPUTED_VALUE"""),1)</f>
        <v>1</v>
      </c>
      <c r="G75" s="1" t="str">
        <f ca="1">IFERROR(__xludf.DUMMYFUNCTION("""COMPUTED_VALUE"""),"3 mos")</f>
        <v>3 mos</v>
      </c>
      <c r="H75" s="1" t="str">
        <f ca="1">IFERROR(__xludf.DUMMYFUNCTION("""COMPUTED_VALUE"""),"reply")</f>
        <v>reply</v>
      </c>
      <c r="I75"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75" s="1" t="str">
        <f ca="1">IFERROR(__xludf.DUMMYFUNCTION("""COMPUTED_VALUE"""),"2022-07-04T11:08:02.660Z")</f>
        <v>2022-07-04T11:08:02.660Z</v>
      </c>
    </row>
    <row r="76" spans="1:10" x14ac:dyDescent="0.2">
      <c r="A76" s="2" t="str">
        <f ca="1">IFERROR(__xludf.DUMMYFUNCTION("""COMPUTED_VALUE"""),"https://www.facebook.com/emely.cantomayor.3")</f>
        <v>https://www.facebook.com/emely.cantomayor.3</v>
      </c>
      <c r="B76" s="1" t="str">
        <f ca="1">IFERROR(__xludf.DUMMYFUNCTION("""COMPUTED_VALUE"""),"Emely Cantomayor")</f>
        <v>Emely Cantomayor</v>
      </c>
      <c r="C76" s="1" t="str">
        <f ca="1">IFERROR(__xludf.DUMMYFUNCTION("""COMPUTED_VALUE"""),"Emely")</f>
        <v>Emely</v>
      </c>
      <c r="D76" s="1" t="str">
        <f ca="1">IFERROR(__xludf.DUMMYFUNCTION("""COMPUTED_VALUE"""),"Cantomayor")</f>
        <v>Cantomayor</v>
      </c>
      <c r="E76" s="1" t="str">
        <f ca="1">IFERROR(__xludf.DUMMYFUNCTION("""COMPUTED_VALUE"""),"Fj D CastilloFj D Castillo it's not.. Bayad na...")</f>
        <v>Fj D CastilloFj D Castillo it's not.. Bayad na...</v>
      </c>
      <c r="F76" s="1"/>
      <c r="G76" s="1" t="str">
        <f ca="1">IFERROR(__xludf.DUMMYFUNCTION("""COMPUTED_VALUE"""),"3 mos")</f>
        <v>3 mos</v>
      </c>
      <c r="H76" s="1" t="str">
        <f ca="1">IFERROR(__xludf.DUMMYFUNCTION("""COMPUTED_VALUE"""),"reply")</f>
        <v>reply</v>
      </c>
      <c r="I76"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76" s="1" t="str">
        <f ca="1">IFERROR(__xludf.DUMMYFUNCTION("""COMPUTED_VALUE"""),"2022-07-04T11:08:02.660Z")</f>
        <v>2022-07-04T11:08:02.660Z</v>
      </c>
    </row>
    <row r="77" spans="1:10" x14ac:dyDescent="0.2">
      <c r="A77" s="2" t="str">
        <f ca="1">IFERROR(__xludf.DUMMYFUNCTION("""COMPUTED_VALUE"""),"https://www.facebook.com/alex.ibarra.7169709")</f>
        <v>https://www.facebook.com/alex.ibarra.7169709</v>
      </c>
      <c r="B77" s="1" t="str">
        <f ca="1">IFERROR(__xludf.DUMMYFUNCTION("""COMPUTED_VALUE"""),"Alex Ibarra")</f>
        <v>Alex Ibarra</v>
      </c>
      <c r="C77" s="1" t="str">
        <f ca="1">IFERROR(__xludf.DUMMYFUNCTION("""COMPUTED_VALUE"""),"Alex")</f>
        <v>Alex</v>
      </c>
      <c r="D77" s="1" t="str">
        <f ca="1">IFERROR(__xludf.DUMMYFUNCTION("""COMPUTED_VALUE"""),"Ibarra")</f>
        <v>Ibarra</v>
      </c>
      <c r="E77" s="1" t="str">
        <f ca="1">IFERROR(__xludf.DUMMYFUNCTION("""COMPUTED_VALUE"""),"Where are the rest? That's not even the first thousand in the pic. The better questions are, how long did they stay and what did they take away with them?")</f>
        <v>Where are the rest? That's not even the first thousand in the pic. The better questions are, how long did they stay and what did they take away with them?</v>
      </c>
      <c r="F77" s="1"/>
      <c r="G77" s="1" t="str">
        <f ca="1">IFERROR(__xludf.DUMMYFUNCTION("""COMPUTED_VALUE"""),"3 mos")</f>
        <v>3 mos</v>
      </c>
      <c r="H77" s="1" t="str">
        <f ca="1">IFERROR(__xludf.DUMMYFUNCTION("""COMPUTED_VALUE"""),"comment")</f>
        <v>comment</v>
      </c>
      <c r="I77"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77" s="1" t="str">
        <f ca="1">IFERROR(__xludf.DUMMYFUNCTION("""COMPUTED_VALUE"""),"2022-07-04T11:08:02.660Z")</f>
        <v>2022-07-04T11:08:02.660Z</v>
      </c>
    </row>
    <row r="78" spans="1:10" x14ac:dyDescent="0.2">
      <c r="A78" s="2" t="str">
        <f ca="1">IFERROR(__xludf.DUMMYFUNCTION("""COMPUTED_VALUE"""),"https://www.facebook.com/oteng.gai")</f>
        <v>https://www.facebook.com/oteng.gai</v>
      </c>
      <c r="B78" s="1" t="str">
        <f ca="1">IFERROR(__xludf.DUMMYFUNCTION("""COMPUTED_VALUE"""),"Oteng Gai")</f>
        <v>Oteng Gai</v>
      </c>
      <c r="C78" s="1" t="str">
        <f ca="1">IFERROR(__xludf.DUMMYFUNCTION("""COMPUTED_VALUE"""),"Oteng")</f>
        <v>Oteng</v>
      </c>
      <c r="D78" s="1" t="str">
        <f ca="1">IFERROR(__xludf.DUMMYFUNCTION("""COMPUTED_VALUE"""),"Gai")</f>
        <v>Gai</v>
      </c>
      <c r="E78" s="1" t="str">
        <f ca="1">IFERROR(__xludf.DUMMYFUNCTION("""COMPUTED_VALUE"""),"Syempre dp nkuha bayad")</f>
        <v>Syempre dp nkuha bayad</v>
      </c>
      <c r="F78" s="1">
        <f ca="1">IFERROR(__xludf.DUMMYFUNCTION("""COMPUTED_VALUE"""),5)</f>
        <v>5</v>
      </c>
      <c r="G78" s="1" t="str">
        <f ca="1">IFERROR(__xludf.DUMMYFUNCTION("""COMPUTED_VALUE"""),"3 mos")</f>
        <v>3 mos</v>
      </c>
      <c r="H78" s="1" t="str">
        <f ca="1">IFERROR(__xludf.DUMMYFUNCTION("""COMPUTED_VALUE"""),"comment")</f>
        <v>comment</v>
      </c>
      <c r="I78"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78" s="1" t="str">
        <f ca="1">IFERROR(__xludf.DUMMYFUNCTION("""COMPUTED_VALUE"""),"2022-07-04T11:08:02.660Z")</f>
        <v>2022-07-04T11:08:02.660Z</v>
      </c>
    </row>
    <row r="79" spans="1:10" x14ac:dyDescent="0.2">
      <c r="A79" s="2" t="str">
        <f ca="1">IFERROR(__xludf.DUMMYFUNCTION("""COMPUTED_VALUE"""),"https://www.facebook.com/kristian.arceo")</f>
        <v>https://www.facebook.com/kristian.arceo</v>
      </c>
      <c r="B79" s="1" t="str">
        <f ca="1">IFERROR(__xludf.DUMMYFUNCTION("""COMPUTED_VALUE"""),"Kristian Arceo")</f>
        <v>Kristian Arceo</v>
      </c>
      <c r="C79" s="1" t="str">
        <f ca="1">IFERROR(__xludf.DUMMYFUNCTION("""COMPUTED_VALUE"""),"Kristian")</f>
        <v>Kristian</v>
      </c>
      <c r="D79" s="1" t="str">
        <f ca="1">IFERROR(__xludf.DUMMYFUNCTION("""COMPUTED_VALUE"""),"Arceo")</f>
        <v>Arceo</v>
      </c>
      <c r="E79" s="1" t="str">
        <f ca="1">IFERROR(__xludf.DUMMYFUNCTION("""COMPUTED_VALUE"""),"Ilabas ang sobre 😂")</f>
        <v>Ilabas ang sobre 😂</v>
      </c>
      <c r="F79" s="1">
        <f ca="1">IFERROR(__xludf.DUMMYFUNCTION("""COMPUTED_VALUE"""),17)</f>
        <v>17</v>
      </c>
      <c r="G79" s="1" t="str">
        <f ca="1">IFERROR(__xludf.DUMMYFUNCTION("""COMPUTED_VALUE"""),"3 mos")</f>
        <v>3 mos</v>
      </c>
      <c r="H79" s="1" t="str">
        <f ca="1">IFERROR(__xludf.DUMMYFUNCTION("""COMPUTED_VALUE"""),"comment")</f>
        <v>comment</v>
      </c>
      <c r="I79"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79" s="1" t="str">
        <f ca="1">IFERROR(__xludf.DUMMYFUNCTION("""COMPUTED_VALUE"""),"2022-07-04T11:08:02.660Z")</f>
        <v>2022-07-04T11:08:02.660Z</v>
      </c>
    </row>
    <row r="80" spans="1:10" x14ac:dyDescent="0.2">
      <c r="A80" s="2" t="str">
        <f ca="1">IFERROR(__xludf.DUMMYFUNCTION("""COMPUTED_VALUE"""),"https://www.facebook.com/Tell-Tale-Tweet-103754798693384/")</f>
        <v>https://www.facebook.com/Tell-Tale-Tweet-103754798693384/</v>
      </c>
      <c r="B80" s="1" t="str">
        <f ca="1">IFERROR(__xludf.DUMMYFUNCTION("""COMPUTED_VALUE"""),"Tell Tale Tweet.")</f>
        <v>Tell Tale Tweet.</v>
      </c>
      <c r="C80" s="1" t="str">
        <f ca="1">IFERROR(__xludf.DUMMYFUNCTION("""COMPUTED_VALUE"""),"Tell")</f>
        <v>Tell</v>
      </c>
      <c r="D80" s="1" t="str">
        <f ca="1">IFERROR(__xludf.DUMMYFUNCTION("""COMPUTED_VALUE"""),"Tale Tweet.")</f>
        <v>Tale Tweet.</v>
      </c>
      <c r="E80" s="1" t="str">
        <f ca="1">IFERROR(__xludf.DUMMYFUNCTION("""COMPUTED_VALUE"""),"Kristian Arceo Kung Wala ka dyan manahimik ka nood kalang ha sakit sa mata no?")</f>
        <v>Kristian Arceo Kung Wala ka dyan manahimik ka nood kalang ha sakit sa mata no?</v>
      </c>
      <c r="F80" s="1">
        <f ca="1">IFERROR(__xludf.DUMMYFUNCTION("""COMPUTED_VALUE"""),3)</f>
        <v>3</v>
      </c>
      <c r="G80" s="1" t="str">
        <f ca="1">IFERROR(__xludf.DUMMYFUNCTION("""COMPUTED_VALUE"""),"3 mos")</f>
        <v>3 mos</v>
      </c>
      <c r="H80" s="1" t="str">
        <f ca="1">IFERROR(__xludf.DUMMYFUNCTION("""COMPUTED_VALUE"""),"reply")</f>
        <v>reply</v>
      </c>
      <c r="I80"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80" s="1" t="str">
        <f ca="1">IFERROR(__xludf.DUMMYFUNCTION("""COMPUTED_VALUE"""),"2022-07-04T11:08:02.660Z")</f>
        <v>2022-07-04T11:08:02.660Z</v>
      </c>
    </row>
    <row r="81" spans="1:10" x14ac:dyDescent="0.2">
      <c r="A81" s="2" t="str">
        <f ca="1">IFERROR(__xludf.DUMMYFUNCTION("""COMPUTED_VALUE"""),"https://www.facebook.com/kristian.arceo")</f>
        <v>https://www.facebook.com/kristian.arceo</v>
      </c>
      <c r="B81" s="1" t="str">
        <f ca="1">IFERROR(__xludf.DUMMYFUNCTION("""COMPUTED_VALUE"""),"Kristian Arceo")</f>
        <v>Kristian Arceo</v>
      </c>
      <c r="C81" s="1" t="str">
        <f ca="1">IFERROR(__xludf.DUMMYFUNCTION("""COMPUTED_VALUE"""),"Kristian")</f>
        <v>Kristian</v>
      </c>
      <c r="D81" s="1" t="str">
        <f ca="1">IFERROR(__xludf.DUMMYFUNCTION("""COMPUTED_VALUE"""),"Arceo")</f>
        <v>Arceo</v>
      </c>
      <c r="E81" s="1" t="str">
        <f ca="1">IFERROR(__xludf.DUMMYFUNCTION("""COMPUTED_VALUE"""),"Tell Tale Tweet. Mag reply ka gamit totoong mong account 😂")</f>
        <v>Tell Tale Tweet. Mag reply ka gamit totoong mong account 😂</v>
      </c>
      <c r="F81" s="1">
        <f ca="1">IFERROR(__xludf.DUMMYFUNCTION("""COMPUTED_VALUE"""),6)</f>
        <v>6</v>
      </c>
      <c r="G81" s="1" t="str">
        <f ca="1">IFERROR(__xludf.DUMMYFUNCTION("""COMPUTED_VALUE"""),"3 mos")</f>
        <v>3 mos</v>
      </c>
      <c r="H81" s="1" t="str">
        <f ca="1">IFERROR(__xludf.DUMMYFUNCTION("""COMPUTED_VALUE"""),"reply")</f>
        <v>reply</v>
      </c>
      <c r="I81"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81" s="1" t="str">
        <f ca="1">IFERROR(__xludf.DUMMYFUNCTION("""COMPUTED_VALUE"""),"2022-07-04T11:08:02.660Z")</f>
        <v>2022-07-04T11:08:02.660Z</v>
      </c>
    </row>
    <row r="82" spans="1:10" x14ac:dyDescent="0.2">
      <c r="A82" s="2" t="str">
        <f ca="1">IFERROR(__xludf.DUMMYFUNCTION("""COMPUTED_VALUE"""),"https://www.facebook.com/Tell-Tale-Tweet-103754798693384/")</f>
        <v>https://www.facebook.com/Tell-Tale-Tweet-103754798693384/</v>
      </c>
      <c r="B82" s="1" t="str">
        <f ca="1">IFERROR(__xludf.DUMMYFUNCTION("""COMPUTED_VALUE"""),"Tell Tale Tweet.")</f>
        <v>Tell Tale Tweet.</v>
      </c>
      <c r="C82" s="1" t="str">
        <f ca="1">IFERROR(__xludf.DUMMYFUNCTION("""COMPUTED_VALUE"""),"Tell")</f>
        <v>Tell</v>
      </c>
      <c r="D82" s="1" t="str">
        <f ca="1">IFERROR(__xludf.DUMMYFUNCTION("""COMPUTED_VALUE"""),"Tale Tweet.")</f>
        <v>Tale Tweet.</v>
      </c>
      <c r="E82" s="1" t="str">
        <f ca="1">IFERROR(__xludf.DUMMYFUNCTION("""COMPUTED_VALUE"""),"Kristian Arceo HAHA iyak mo lng yan kuya sakit yan sa mata HAHAHA ✌🏻💚❤️👊🏻Wag na Baka Mas gwapo pa ako kay sayo")</f>
        <v>Kristian Arceo HAHA iyak mo lng yan kuya sakit yan sa mata HAHAHA ✌🏻💚❤️👊🏻Wag na Baka Mas gwapo pa ako kay sayo</v>
      </c>
      <c r="F82" s="1">
        <f ca="1">IFERROR(__xludf.DUMMYFUNCTION("""COMPUTED_VALUE"""),2)</f>
        <v>2</v>
      </c>
      <c r="G82" s="1" t="str">
        <f ca="1">IFERROR(__xludf.DUMMYFUNCTION("""COMPUTED_VALUE"""),"3 mos")</f>
        <v>3 mos</v>
      </c>
      <c r="H82" s="1" t="str">
        <f ca="1">IFERROR(__xludf.DUMMYFUNCTION("""COMPUTED_VALUE"""),"reply")</f>
        <v>reply</v>
      </c>
      <c r="I82"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82" s="1" t="str">
        <f ca="1">IFERROR(__xludf.DUMMYFUNCTION("""COMPUTED_VALUE"""),"2022-07-04T11:08:02.660Z")</f>
        <v>2022-07-04T11:08:02.660Z</v>
      </c>
    </row>
    <row r="83" spans="1:10" x14ac:dyDescent="0.2">
      <c r="A83" s="2" t="str">
        <f ca="1">IFERROR(__xludf.DUMMYFUNCTION("""COMPUTED_VALUE"""),"https://www.facebook.com/axljansantos")</f>
        <v>https://www.facebook.com/axljansantos</v>
      </c>
      <c r="B83" s="1" t="str">
        <f ca="1">IFERROR(__xludf.DUMMYFUNCTION("""COMPUTED_VALUE"""),"Axl Jan Santos")</f>
        <v>Axl Jan Santos</v>
      </c>
      <c r="C83" s="1" t="str">
        <f ca="1">IFERROR(__xludf.DUMMYFUNCTION("""COMPUTED_VALUE"""),"Axl")</f>
        <v>Axl</v>
      </c>
      <c r="D83" s="1" t="str">
        <f ca="1">IFERROR(__xludf.DUMMYFUNCTION("""COMPUTED_VALUE"""),"Jan Santos")</f>
        <v>Jan Santos</v>
      </c>
      <c r="E83" s="1" t="str">
        <f ca="1">IFERROR(__xludf.DUMMYFUNCTION("""COMPUTED_VALUE"""),"Tanggap tanggap nalang, mas marami kami kesa sa inyo😝  💚❤️💚❤️💚❤️")</f>
        <v>Tanggap tanggap nalang, mas marami kami kesa sa inyo😝  💚❤️💚❤️💚❤️</v>
      </c>
      <c r="F83" s="1">
        <f ca="1">IFERROR(__xludf.DUMMYFUNCTION("""COMPUTED_VALUE"""),1)</f>
        <v>1</v>
      </c>
      <c r="G83" s="1" t="str">
        <f ca="1">IFERROR(__xludf.DUMMYFUNCTION("""COMPUTED_VALUE"""),"3 mos")</f>
        <v>3 mos</v>
      </c>
      <c r="H83" s="1" t="str">
        <f ca="1">IFERROR(__xludf.DUMMYFUNCTION("""COMPUTED_VALUE"""),"reply")</f>
        <v>reply</v>
      </c>
      <c r="I83"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83" s="1" t="str">
        <f ca="1">IFERROR(__xludf.DUMMYFUNCTION("""COMPUTED_VALUE"""),"2022-07-04T11:08:02.660Z")</f>
        <v>2022-07-04T11:08:02.660Z</v>
      </c>
    </row>
    <row r="84" spans="1:10" x14ac:dyDescent="0.2">
      <c r="A84" s="2" t="str">
        <f ca="1">IFERROR(__xludf.DUMMYFUNCTION("""COMPUTED_VALUE"""),"https://www.facebook.com/jose.bataller.16")</f>
        <v>https://www.facebook.com/jose.bataller.16</v>
      </c>
      <c r="B84" s="1" t="str">
        <f ca="1">IFERROR(__xludf.DUMMYFUNCTION("""COMPUTED_VALUE"""),"Jose Bataller")</f>
        <v>Jose Bataller</v>
      </c>
      <c r="C84" s="1" t="str">
        <f ca="1">IFERROR(__xludf.DUMMYFUNCTION("""COMPUTED_VALUE"""),"Jose")</f>
        <v>Jose</v>
      </c>
      <c r="D84" s="1" t="str">
        <f ca="1">IFERROR(__xludf.DUMMYFUNCTION("""COMPUTED_VALUE"""),"Bataller")</f>
        <v>Bataller</v>
      </c>
      <c r="E84" s="1" t="str">
        <f ca="1">IFERROR(__xludf.DUMMYFUNCTION("""COMPUTED_VALUE"""),"Laging inuulan.😄")</f>
        <v>Laging inuulan.😄</v>
      </c>
      <c r="F84" s="1"/>
      <c r="G84" s="1" t="str">
        <f ca="1">IFERROR(__xludf.DUMMYFUNCTION("""COMPUTED_VALUE"""),"3 mos")</f>
        <v>3 mos</v>
      </c>
      <c r="H84" s="1" t="str">
        <f ca="1">IFERROR(__xludf.DUMMYFUNCTION("""COMPUTED_VALUE"""),"comment")</f>
        <v>comment</v>
      </c>
      <c r="I84"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84" s="1" t="str">
        <f ca="1">IFERROR(__xludf.DUMMYFUNCTION("""COMPUTED_VALUE"""),"2022-07-04T11:08:02.660Z")</f>
        <v>2022-07-04T11:08:02.660Z</v>
      </c>
    </row>
    <row r="85" spans="1:10" x14ac:dyDescent="0.2">
      <c r="A85" s="2" t="str">
        <f ca="1">IFERROR(__xludf.DUMMYFUNCTION("""COMPUTED_VALUE"""),"https://www.facebook.com/henrileki")</f>
        <v>https://www.facebook.com/henrileki</v>
      </c>
      <c r="B85" s="1" t="str">
        <f ca="1">IFERROR(__xludf.DUMMYFUNCTION("""COMPUTED_VALUE"""),"Rey Henry Bocaleque")</f>
        <v>Rey Henry Bocaleque</v>
      </c>
      <c r="C85" s="1" t="str">
        <f ca="1">IFERROR(__xludf.DUMMYFUNCTION("""COMPUTED_VALUE"""),"Rey")</f>
        <v>Rey</v>
      </c>
      <c r="D85" s="1" t="str">
        <f ca="1">IFERROR(__xludf.DUMMYFUNCTION("""COMPUTED_VALUE"""),"Henry Bocaleque")</f>
        <v>Henry Bocaleque</v>
      </c>
      <c r="E85" s="1" t="str">
        <f ca="1">IFERROR(__xludf.DUMMYFUNCTION("""COMPUTED_VALUE"""),"Inde talaga aalis ang mga yan sa uwian pa ang bigayan😂")</f>
        <v>Inde talaga aalis ang mga yan sa uwian pa ang bigayan😂</v>
      </c>
      <c r="F85" s="1">
        <f ca="1">IFERROR(__xludf.DUMMYFUNCTION("""COMPUTED_VALUE"""),38)</f>
        <v>38</v>
      </c>
      <c r="G85" s="1" t="str">
        <f ca="1">IFERROR(__xludf.DUMMYFUNCTION("""COMPUTED_VALUE"""),"3 mos")</f>
        <v>3 mos</v>
      </c>
      <c r="H85" s="1" t="str">
        <f ca="1">IFERROR(__xludf.DUMMYFUNCTION("""COMPUTED_VALUE"""),"comment")</f>
        <v>comment</v>
      </c>
      <c r="I85"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85" s="1" t="str">
        <f ca="1">IFERROR(__xludf.DUMMYFUNCTION("""COMPUTED_VALUE"""),"2022-07-04T11:08:02.660Z")</f>
        <v>2022-07-04T11:08:02.660Z</v>
      </c>
    </row>
    <row r="86" spans="1:10" x14ac:dyDescent="0.2">
      <c r="A86" s="2" t="str">
        <f ca="1">IFERROR(__xludf.DUMMYFUNCTION("""COMPUTED_VALUE"""),"https://www.facebook.com/myraparreno")</f>
        <v>https://www.facebook.com/myraparreno</v>
      </c>
      <c r="B86" s="1" t="str">
        <f ca="1">IFERROR(__xludf.DUMMYFUNCTION("""COMPUTED_VALUE"""),"Myra Parreño")</f>
        <v>Myra Parreño</v>
      </c>
      <c r="C86" s="1" t="str">
        <f ca="1">IFERROR(__xludf.DUMMYFUNCTION("""COMPUTED_VALUE"""),"Myra")</f>
        <v>Myra</v>
      </c>
      <c r="D86" s="1" t="str">
        <f ca="1">IFERROR(__xludf.DUMMYFUNCTION("""COMPUTED_VALUE"""),"Parreño")</f>
        <v>Parreño</v>
      </c>
      <c r="E86" s="1" t="str">
        <f ca="1">IFERROR(__xludf.DUMMYFUNCTION("""COMPUTED_VALUE"""),"Reyhenry Bocateja Leque Tama")</f>
        <v>Reyhenry Bocateja Leque Tama</v>
      </c>
      <c r="F86" s="1">
        <f ca="1">IFERROR(__xludf.DUMMYFUNCTION("""COMPUTED_VALUE"""),1)</f>
        <v>1</v>
      </c>
      <c r="G86" s="1" t="str">
        <f ca="1">IFERROR(__xludf.DUMMYFUNCTION("""COMPUTED_VALUE"""),"3 mos")</f>
        <v>3 mos</v>
      </c>
      <c r="H86" s="1" t="str">
        <f ca="1">IFERROR(__xludf.DUMMYFUNCTION("""COMPUTED_VALUE"""),"reply")</f>
        <v>reply</v>
      </c>
      <c r="I86"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86" s="1" t="str">
        <f ca="1">IFERROR(__xludf.DUMMYFUNCTION("""COMPUTED_VALUE"""),"2022-07-04T11:08:02.660Z")</f>
        <v>2022-07-04T11:08:02.660Z</v>
      </c>
    </row>
    <row r="87" spans="1:10" x14ac:dyDescent="0.2">
      <c r="A87" s="2" t="str">
        <f ca="1">IFERROR(__xludf.DUMMYFUNCTION("""COMPUTED_VALUE"""),"https://www.facebook.com/mariaaya.dellosalozada")</f>
        <v>https://www.facebook.com/mariaaya.dellosalozada</v>
      </c>
      <c r="B87" s="1" t="str">
        <f ca="1">IFERROR(__xludf.DUMMYFUNCTION("""COMPUTED_VALUE"""),"Maria Lozada")</f>
        <v>Maria Lozada</v>
      </c>
      <c r="C87" s="1" t="str">
        <f ca="1">IFERROR(__xludf.DUMMYFUNCTION("""COMPUTED_VALUE"""),"Maria")</f>
        <v>Maria</v>
      </c>
      <c r="D87" s="1" t="str">
        <f ca="1">IFERROR(__xludf.DUMMYFUNCTION("""COMPUTED_VALUE"""),"Lozada")</f>
        <v>Lozada</v>
      </c>
      <c r="E87" s="1" t="str">
        <f ca="1">IFERROR(__xludf.DUMMYFUNCTION("""COMPUTED_VALUE"""),"Reyhenry Bocateja Leque na experience mo? alam na alam mo pala e. Pakiabangan tapos pa video and pa DQ mo sa Comelec...goww")</f>
        <v>Reyhenry Bocateja Leque na experience mo? alam na alam mo pala e. Pakiabangan tapos pa video and pa DQ mo sa Comelec...goww</v>
      </c>
      <c r="F87" s="1">
        <f ca="1">IFERROR(__xludf.DUMMYFUNCTION("""COMPUTED_VALUE"""),2)</f>
        <v>2</v>
      </c>
      <c r="G87" s="1" t="str">
        <f ca="1">IFERROR(__xludf.DUMMYFUNCTION("""COMPUTED_VALUE"""),"3 mos")</f>
        <v>3 mos</v>
      </c>
      <c r="H87" s="1" t="str">
        <f ca="1">IFERROR(__xludf.DUMMYFUNCTION("""COMPUTED_VALUE"""),"reply")</f>
        <v>reply</v>
      </c>
      <c r="I87"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87" s="1" t="str">
        <f ca="1">IFERROR(__xludf.DUMMYFUNCTION("""COMPUTED_VALUE"""),"2022-07-04T11:08:02.660Z")</f>
        <v>2022-07-04T11:08:02.660Z</v>
      </c>
    </row>
    <row r="88" spans="1:10" x14ac:dyDescent="0.2">
      <c r="A88" s="2" t="str">
        <f ca="1">IFERROR(__xludf.DUMMYFUNCTION("""COMPUTED_VALUE"""),"https://www.facebook.com/joseph.geraldo.1232")</f>
        <v>https://www.facebook.com/joseph.geraldo.1232</v>
      </c>
      <c r="B88" s="1" t="str">
        <f ca="1">IFERROR(__xludf.DUMMYFUNCTION("""COMPUTED_VALUE"""),"Joseph Geraldo")</f>
        <v>Joseph Geraldo</v>
      </c>
      <c r="C88" s="1" t="str">
        <f ca="1">IFERROR(__xludf.DUMMYFUNCTION("""COMPUTED_VALUE"""),"Joseph")</f>
        <v>Joseph</v>
      </c>
      <c r="D88" s="1" t="str">
        <f ca="1">IFERROR(__xludf.DUMMYFUNCTION("""COMPUTED_VALUE"""),"Geraldo")</f>
        <v>Geraldo</v>
      </c>
      <c r="E88" s="1" t="str">
        <f ca="1">IFERROR(__xludf.DUMMYFUNCTION("""COMPUTED_VALUE"""),"Reyhenry Bocateja Leque  kung kagaya mo na mukhang pulubi maghihintay talaga nang bigay 🤣🤣🤣🤣🤣🤣🤣")</f>
        <v>Reyhenry Bocateja Leque  kung kagaya mo na mukhang pulubi maghihintay talaga nang bigay 🤣🤣🤣🤣🤣🤣🤣</v>
      </c>
      <c r="F88" s="1"/>
      <c r="G88" s="1" t="str">
        <f ca="1">IFERROR(__xludf.DUMMYFUNCTION("""COMPUTED_VALUE"""),"3 mos")</f>
        <v>3 mos</v>
      </c>
      <c r="H88" s="1" t="str">
        <f ca="1">IFERROR(__xludf.DUMMYFUNCTION("""COMPUTED_VALUE"""),"reply")</f>
        <v>reply</v>
      </c>
      <c r="I88"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88" s="1" t="str">
        <f ca="1">IFERROR(__xludf.DUMMYFUNCTION("""COMPUTED_VALUE"""),"2022-07-04T11:08:02.660Z")</f>
        <v>2022-07-04T11:08:02.660Z</v>
      </c>
    </row>
    <row r="89" spans="1:10" x14ac:dyDescent="0.2">
      <c r="A89" s="2" t="str">
        <f ca="1">IFERROR(__xludf.DUMMYFUNCTION("""COMPUTED_VALUE"""),"https://www.facebook.com/henrileki")</f>
        <v>https://www.facebook.com/henrileki</v>
      </c>
      <c r="B89" s="1" t="str">
        <f ca="1">IFERROR(__xludf.DUMMYFUNCTION("""COMPUTED_VALUE"""),"Rey Henry Bocaleque")</f>
        <v>Rey Henry Bocaleque</v>
      </c>
      <c r="C89" s="1" t="str">
        <f ca="1">IFERROR(__xludf.DUMMYFUNCTION("""COMPUTED_VALUE"""),"Rey")</f>
        <v>Rey</v>
      </c>
      <c r="D89" s="1" t="str">
        <f ca="1">IFERROR(__xludf.DUMMYFUNCTION("""COMPUTED_VALUE"""),"Henry Bocaleque")</f>
        <v>Henry Bocaleque</v>
      </c>
      <c r="E89" s="1" t="str">
        <f ca="1">IFERROR(__xludf.DUMMYFUNCTION("""COMPUTED_VALUE"""),"Maria Lozada bakit inde mo nakita ang gawain ng unithieves gising din paminsan minsan😂mahirap maging panatiko.")</f>
        <v>Maria Lozada bakit inde mo nakita ang gawain ng unithieves gising din paminsan minsan😂mahirap maging panatiko.</v>
      </c>
      <c r="F89" s="1">
        <f ca="1">IFERROR(__xludf.DUMMYFUNCTION("""COMPUTED_VALUE"""),4)</f>
        <v>4</v>
      </c>
      <c r="G89" s="1" t="str">
        <f ca="1">IFERROR(__xludf.DUMMYFUNCTION("""COMPUTED_VALUE"""),"3 mos")</f>
        <v>3 mos</v>
      </c>
      <c r="H89" s="1" t="str">
        <f ca="1">IFERROR(__xludf.DUMMYFUNCTION("""COMPUTED_VALUE"""),"reply")</f>
        <v>reply</v>
      </c>
      <c r="I89"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89" s="1" t="str">
        <f ca="1">IFERROR(__xludf.DUMMYFUNCTION("""COMPUTED_VALUE"""),"2022-07-04T11:08:02.660Z")</f>
        <v>2022-07-04T11:08:02.660Z</v>
      </c>
    </row>
    <row r="90" spans="1:10" x14ac:dyDescent="0.2">
      <c r="A90" s="2" t="str">
        <f ca="1">IFERROR(__xludf.DUMMYFUNCTION("""COMPUTED_VALUE"""),"https://www.facebook.com/terry.daktil.75")</f>
        <v>https://www.facebook.com/terry.daktil.75</v>
      </c>
      <c r="B90" s="1" t="str">
        <f ca="1">IFERROR(__xludf.DUMMYFUNCTION("""COMPUTED_VALUE"""),"Jonathan Batan")</f>
        <v>Jonathan Batan</v>
      </c>
      <c r="C90" s="1" t="str">
        <f ca="1">IFERROR(__xludf.DUMMYFUNCTION("""COMPUTED_VALUE"""),"Jonathan")</f>
        <v>Jonathan</v>
      </c>
      <c r="D90" s="1" t="str">
        <f ca="1">IFERROR(__xludf.DUMMYFUNCTION("""COMPUTED_VALUE"""),"Batan")</f>
        <v>Batan</v>
      </c>
      <c r="E90" s="1" t="str">
        <f ca="1">IFERROR(__xludf.DUMMYFUNCTION("""COMPUTED_VALUE"""),"Maria Lozada may video na nga eh haha nahuli ng GMA haha wag bulag bulagan")</f>
        <v>Maria Lozada may video na nga eh haha nahuli ng GMA haha wag bulag bulagan</v>
      </c>
      <c r="F90" s="1">
        <f ca="1">IFERROR(__xludf.DUMMYFUNCTION("""COMPUTED_VALUE"""),2)</f>
        <v>2</v>
      </c>
      <c r="G90" s="1" t="str">
        <f ca="1">IFERROR(__xludf.DUMMYFUNCTION("""COMPUTED_VALUE"""),"3 mos")</f>
        <v>3 mos</v>
      </c>
      <c r="H90" s="1" t="str">
        <f ca="1">IFERROR(__xludf.DUMMYFUNCTION("""COMPUTED_VALUE"""),"reply")</f>
        <v>reply</v>
      </c>
      <c r="I90"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90" s="1" t="str">
        <f ca="1">IFERROR(__xludf.DUMMYFUNCTION("""COMPUTED_VALUE"""),"2022-07-04T11:08:02.660Z")</f>
        <v>2022-07-04T11:08:02.660Z</v>
      </c>
    </row>
    <row r="91" spans="1:10" x14ac:dyDescent="0.2">
      <c r="A91" s="2" t="str">
        <f ca="1">IFERROR(__xludf.DUMMYFUNCTION("""COMPUTED_VALUE"""),"https://www.facebook.com/profile.php?id=100073995464849")</f>
        <v>https://www.facebook.com/profile.php?id=100073995464849</v>
      </c>
      <c r="B91" s="1" t="str">
        <f ca="1">IFERROR(__xludf.DUMMYFUNCTION("""COMPUTED_VALUE"""),"Inyeng Casabuena Cachuela")</f>
        <v>Inyeng Casabuena Cachuela</v>
      </c>
      <c r="C91" s="1" t="str">
        <f ca="1">IFERROR(__xludf.DUMMYFUNCTION("""COMPUTED_VALUE"""),"Inyeng")</f>
        <v>Inyeng</v>
      </c>
      <c r="D91" s="1" t="str">
        <f ca="1">IFERROR(__xludf.DUMMYFUNCTION("""COMPUTED_VALUE"""),"Casabuena Cachuela")</f>
        <v>Casabuena Cachuela</v>
      </c>
      <c r="E91" s="1" t="str">
        <f ca="1">IFERROR(__xludf.DUMMYFUNCTION("""COMPUTED_VALUE"""),"Reyhenry Bocateja Leque Tama kayo sir .God bless Po!")</f>
        <v>Reyhenry Bocateja Leque Tama kayo sir .God bless Po!</v>
      </c>
      <c r="F91" s="1"/>
      <c r="G91" s="1" t="str">
        <f ca="1">IFERROR(__xludf.DUMMYFUNCTION("""COMPUTED_VALUE"""),"3 mos")</f>
        <v>3 mos</v>
      </c>
      <c r="H91" s="1" t="str">
        <f ca="1">IFERROR(__xludf.DUMMYFUNCTION("""COMPUTED_VALUE"""),"reply")</f>
        <v>reply</v>
      </c>
      <c r="I91"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91" s="1" t="str">
        <f ca="1">IFERROR(__xludf.DUMMYFUNCTION("""COMPUTED_VALUE"""),"2022-07-04T11:08:02.660Z")</f>
        <v>2022-07-04T11:08:02.660Z</v>
      </c>
    </row>
    <row r="92" spans="1:10" x14ac:dyDescent="0.2">
      <c r="A92" s="2" t="str">
        <f ca="1">IFERROR(__xludf.DUMMYFUNCTION("""COMPUTED_VALUE"""),"https://www.facebook.com/profile.php?id=100009426127646")</f>
        <v>https://www.facebook.com/profile.php?id=100009426127646</v>
      </c>
      <c r="B92" s="1" t="str">
        <f ca="1">IFERROR(__xludf.DUMMYFUNCTION("""COMPUTED_VALUE"""),"Krizzle Dawn Emboltorio Placero")</f>
        <v>Krizzle Dawn Emboltorio Placero</v>
      </c>
      <c r="C92" s="1" t="str">
        <f ca="1">IFERROR(__xludf.DUMMYFUNCTION("""COMPUTED_VALUE"""),"Krizzle")</f>
        <v>Krizzle</v>
      </c>
      <c r="D92" s="1" t="str">
        <f ca="1">IFERROR(__xludf.DUMMYFUNCTION("""COMPUTED_VALUE"""),"Dawn Emboltorio Placero")</f>
        <v>Dawn Emboltorio Placero</v>
      </c>
      <c r="E92" s="1" t="str">
        <f ca="1">IFERROR(__xludf.DUMMYFUNCTION("""COMPUTED_VALUE"""),"Reyhenry Bocateja Leque  HOW DI KAMI BAYAD!")</f>
        <v>Reyhenry Bocateja Leque  HOW DI KAMI BAYAD!</v>
      </c>
      <c r="F92" s="1"/>
      <c r="G92" s="1" t="str">
        <f ca="1">IFERROR(__xludf.DUMMYFUNCTION("""COMPUTED_VALUE"""),"3 mos")</f>
        <v>3 mos</v>
      </c>
      <c r="H92" s="1" t="str">
        <f ca="1">IFERROR(__xludf.DUMMYFUNCTION("""COMPUTED_VALUE"""),"reply")</f>
        <v>reply</v>
      </c>
      <c r="I92"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92" s="1" t="str">
        <f ca="1">IFERROR(__xludf.DUMMYFUNCTION("""COMPUTED_VALUE"""),"2022-07-04T11:08:02.660Z")</f>
        <v>2022-07-04T11:08:02.660Z</v>
      </c>
    </row>
    <row r="93" spans="1:10" x14ac:dyDescent="0.2">
      <c r="A93" s="2" t="str">
        <f ca="1">IFERROR(__xludf.DUMMYFUNCTION("""COMPUTED_VALUE"""),"https://www.facebook.com/aqoucii.makmak")</f>
        <v>https://www.facebook.com/aqoucii.makmak</v>
      </c>
      <c r="B93" s="1" t="str">
        <f ca="1">IFERROR(__xludf.DUMMYFUNCTION("""COMPUTED_VALUE"""),"Makmak Sepi Panalunsong")</f>
        <v>Makmak Sepi Panalunsong</v>
      </c>
      <c r="C93" s="1" t="str">
        <f ca="1">IFERROR(__xludf.DUMMYFUNCTION("""COMPUTED_VALUE"""),"Makmak")</f>
        <v>Makmak</v>
      </c>
      <c r="D93" s="1" t="str">
        <f ca="1">IFERROR(__xludf.DUMMYFUNCTION("""COMPUTED_VALUE"""),"Sepi Panalunsong")</f>
        <v>Sepi Panalunsong</v>
      </c>
      <c r="E93" s="1" t="str">
        <f ca="1">IFERROR(__xludf.DUMMYFUNCTION("""COMPUTED_VALUE"""),"Reyhenry Bocateja Leque Sanay na sanay kau ah")</f>
        <v>Reyhenry Bocateja Leque Sanay na sanay kau ah</v>
      </c>
      <c r="F93" s="1"/>
      <c r="G93" s="1" t="str">
        <f ca="1">IFERROR(__xludf.DUMMYFUNCTION("""COMPUTED_VALUE"""),"3 mos")</f>
        <v>3 mos</v>
      </c>
      <c r="H93" s="1" t="str">
        <f ca="1">IFERROR(__xludf.DUMMYFUNCTION("""COMPUTED_VALUE"""),"reply")</f>
        <v>reply</v>
      </c>
      <c r="I93"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93" s="1" t="str">
        <f ca="1">IFERROR(__xludf.DUMMYFUNCTION("""COMPUTED_VALUE"""),"2022-07-04T11:08:02.660Z")</f>
        <v>2022-07-04T11:08:02.660Z</v>
      </c>
    </row>
    <row r="94" spans="1:10" x14ac:dyDescent="0.2">
      <c r="A94" s="2" t="str">
        <f ca="1">IFERROR(__xludf.DUMMYFUNCTION("""COMPUTED_VALUE"""),"https://www.facebook.com/aqoucii.makmak")</f>
        <v>https://www.facebook.com/aqoucii.makmak</v>
      </c>
      <c r="B94" s="1" t="str">
        <f ca="1">IFERROR(__xludf.DUMMYFUNCTION("""COMPUTED_VALUE"""),"Makmak Sepi Panalunsong")</f>
        <v>Makmak Sepi Panalunsong</v>
      </c>
      <c r="C94" s="1" t="str">
        <f ca="1">IFERROR(__xludf.DUMMYFUNCTION("""COMPUTED_VALUE"""),"Makmak")</f>
        <v>Makmak</v>
      </c>
      <c r="D94" s="1" t="str">
        <f ca="1">IFERROR(__xludf.DUMMYFUNCTION("""COMPUTED_VALUE"""),"Sepi Panalunsong")</f>
        <v>Sepi Panalunsong</v>
      </c>
      <c r="E94" s="1" t="str">
        <f ca="1">IFERROR(__xludf.DUMMYFUNCTION("""COMPUTED_VALUE"""),"Reyhenry Bocateja Leque Pag ganitong tao nakakatakot maging kapitbahay..mapanghusga baka makapatay pa")</f>
        <v>Reyhenry Bocateja Leque Pag ganitong tao nakakatakot maging kapitbahay..mapanghusga baka makapatay pa</v>
      </c>
      <c r="F94" s="1">
        <f ca="1">IFERROR(__xludf.DUMMYFUNCTION("""COMPUTED_VALUE"""),3)</f>
        <v>3</v>
      </c>
      <c r="G94" s="1" t="str">
        <f ca="1">IFERROR(__xludf.DUMMYFUNCTION("""COMPUTED_VALUE"""),"3 mos")</f>
        <v>3 mos</v>
      </c>
      <c r="H94" s="1" t="str">
        <f ca="1">IFERROR(__xludf.DUMMYFUNCTION("""COMPUTED_VALUE"""),"reply")</f>
        <v>reply</v>
      </c>
      <c r="I94"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94" s="1" t="str">
        <f ca="1">IFERROR(__xludf.DUMMYFUNCTION("""COMPUTED_VALUE"""),"2022-07-04T11:08:02.660Z")</f>
        <v>2022-07-04T11:08:02.660Z</v>
      </c>
    </row>
    <row r="95" spans="1:10" x14ac:dyDescent="0.2">
      <c r="A95" s="2" t="str">
        <f ca="1">IFERROR(__xludf.DUMMYFUNCTION("""COMPUTED_VALUE"""),"https://www.facebook.com/mervilyn.constantino")</f>
        <v>https://www.facebook.com/mervilyn.constantino</v>
      </c>
      <c r="B95" s="1" t="str">
        <f ca="1">IFERROR(__xludf.DUMMYFUNCTION("""COMPUTED_VALUE"""),"Shine Constantino")</f>
        <v>Shine Constantino</v>
      </c>
      <c r="C95" s="1" t="str">
        <f ca="1">IFERROR(__xludf.DUMMYFUNCTION("""COMPUTED_VALUE"""),"Shine")</f>
        <v>Shine</v>
      </c>
      <c r="D95" s="1" t="str">
        <f ca="1">IFERROR(__xludf.DUMMYFUNCTION("""COMPUTED_VALUE"""),"Constantino")</f>
        <v>Constantino</v>
      </c>
      <c r="E95" s="1" t="str">
        <f ca="1">IFERROR(__xludf.DUMMYFUNCTION("""COMPUTED_VALUE"""),"Except when it happened in Parañaque, so they decided to cancel the event instead. 😏😏😏  Edit: Hindi man lang sumipot si LBM dahil ""maulan"".")</f>
        <v>Except when it happened in Parañaque, so they decided to cancel the event instead. 😏😏😏  Edit: Hindi man lang sumipot si LBM dahil "maulan".</v>
      </c>
      <c r="F95" s="1">
        <f ca="1">IFERROR(__xludf.DUMMYFUNCTION("""COMPUTED_VALUE"""),6)</f>
        <v>6</v>
      </c>
      <c r="G95" s="1" t="str">
        <f ca="1">IFERROR(__xludf.DUMMYFUNCTION("""COMPUTED_VALUE"""),"3 mos")</f>
        <v>3 mos</v>
      </c>
      <c r="H95" s="1" t="str">
        <f ca="1">IFERROR(__xludf.DUMMYFUNCTION("""COMPUTED_VALUE"""),"comment")</f>
        <v>comment</v>
      </c>
      <c r="I95"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95" s="1" t="str">
        <f ca="1">IFERROR(__xludf.DUMMYFUNCTION("""COMPUTED_VALUE"""),"2022-07-04T11:08:02.660Z")</f>
        <v>2022-07-04T11:08:02.660Z</v>
      </c>
    </row>
    <row r="96" spans="1:10" x14ac:dyDescent="0.2">
      <c r="A96" s="2" t="str">
        <f ca="1">IFERROR(__xludf.DUMMYFUNCTION("""COMPUTED_VALUE"""),"https://www.facebook.com/james.borgia.3")</f>
        <v>https://www.facebook.com/james.borgia.3</v>
      </c>
      <c r="B96" s="1" t="str">
        <f ca="1">IFERROR(__xludf.DUMMYFUNCTION("""COMPUTED_VALUE"""),"Gia Borja")</f>
        <v>Gia Borja</v>
      </c>
      <c r="C96" s="1" t="str">
        <f ca="1">IFERROR(__xludf.DUMMYFUNCTION("""COMPUTED_VALUE"""),"Gia")</f>
        <v>Gia</v>
      </c>
      <c r="D96" s="1" t="str">
        <f ca="1">IFERROR(__xludf.DUMMYFUNCTION("""COMPUTED_VALUE"""),"Borja")</f>
        <v>Borja</v>
      </c>
      <c r="E96" s="1" t="str">
        <f ca="1">IFERROR(__xludf.DUMMYFUNCTION("""COMPUTED_VALUE"""),"Shine Constantino Kailangan kasi nila ngayon ng pakulo... 😆")</f>
        <v>Shine Constantino Kailangan kasi nila ngayon ng pakulo... 😆</v>
      </c>
      <c r="F96" s="1">
        <f ca="1">IFERROR(__xludf.DUMMYFUNCTION("""COMPUTED_VALUE"""),1)</f>
        <v>1</v>
      </c>
      <c r="G96" s="1" t="str">
        <f ca="1">IFERROR(__xludf.DUMMYFUNCTION("""COMPUTED_VALUE"""),"3 mos")</f>
        <v>3 mos</v>
      </c>
      <c r="H96" s="1" t="str">
        <f ca="1">IFERROR(__xludf.DUMMYFUNCTION("""COMPUTED_VALUE"""),"reply")</f>
        <v>reply</v>
      </c>
      <c r="I96"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96" s="1" t="str">
        <f ca="1">IFERROR(__xludf.DUMMYFUNCTION("""COMPUTED_VALUE"""),"2022-07-04T11:08:02.660Z")</f>
        <v>2022-07-04T11:08:02.660Z</v>
      </c>
    </row>
    <row r="97" spans="1:10" x14ac:dyDescent="0.2">
      <c r="A97" s="2" t="str">
        <f ca="1">IFERROR(__xludf.DUMMYFUNCTION("""COMPUTED_VALUE"""),"https://www.facebook.com/Boyp97")</f>
        <v>https://www.facebook.com/Boyp97</v>
      </c>
      <c r="B97" s="1" t="str">
        <f ca="1">IFERROR(__xludf.DUMMYFUNCTION("""COMPUTED_VALUE"""),"Boyp Decoral Aromañep")</f>
        <v>Boyp Decoral Aromañep</v>
      </c>
      <c r="C97" s="1" t="str">
        <f ca="1">IFERROR(__xludf.DUMMYFUNCTION("""COMPUTED_VALUE"""),"Boyp")</f>
        <v>Boyp</v>
      </c>
      <c r="D97" s="1" t="str">
        <f ca="1">IFERROR(__xludf.DUMMYFUNCTION("""COMPUTED_VALUE"""),"Decoral Aromañep")</f>
        <v>Decoral Aromañep</v>
      </c>
      <c r="E97" s="1" t="str">
        <f ca="1">IFERROR(__xludf.DUMMYFUNCTION("""COMPUTED_VALUE"""),"mas maganda bigayan kapag basa sa ulan 🤣🤣🤣")</f>
        <v>mas maganda bigayan kapag basa sa ulan 🤣🤣🤣</v>
      </c>
      <c r="F97" s="1">
        <f ca="1">IFERROR(__xludf.DUMMYFUNCTION("""COMPUTED_VALUE"""),9)</f>
        <v>9</v>
      </c>
      <c r="G97" s="1" t="str">
        <f ca="1">IFERROR(__xludf.DUMMYFUNCTION("""COMPUTED_VALUE"""),"3 mos")</f>
        <v>3 mos</v>
      </c>
      <c r="H97" s="1" t="str">
        <f ca="1">IFERROR(__xludf.DUMMYFUNCTION("""COMPUTED_VALUE"""),"comment")</f>
        <v>comment</v>
      </c>
      <c r="I97"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97" s="1" t="str">
        <f ca="1">IFERROR(__xludf.DUMMYFUNCTION("""COMPUTED_VALUE"""),"2022-07-04T11:08:02.660Z")</f>
        <v>2022-07-04T11:08:02.660Z</v>
      </c>
    </row>
    <row r="98" spans="1:10" x14ac:dyDescent="0.2">
      <c r="A98" s="2" t="str">
        <f ca="1">IFERROR(__xludf.DUMMYFUNCTION("""COMPUTED_VALUE"""),"https://www.facebook.com/pauljeric.queipo.1")</f>
        <v>https://www.facebook.com/pauljeric.queipo.1</v>
      </c>
      <c r="B98" s="1" t="str">
        <f ca="1">IFERROR(__xludf.DUMMYFUNCTION("""COMPUTED_VALUE"""),"Paul Jeric Queipo")</f>
        <v>Paul Jeric Queipo</v>
      </c>
      <c r="C98" s="1" t="str">
        <f ca="1">IFERROR(__xludf.DUMMYFUNCTION("""COMPUTED_VALUE"""),"Paul")</f>
        <v>Paul</v>
      </c>
      <c r="D98" s="1" t="str">
        <f ca="1">IFERROR(__xludf.DUMMYFUNCTION("""COMPUTED_VALUE"""),"Jeric Queipo")</f>
        <v>Jeric Queipo</v>
      </c>
      <c r="E98" s="1" t="str">
        <f ca="1">IFERROR(__xludf.DUMMYFUNCTION("""COMPUTED_VALUE"""),"Boyp Decoral Aromañep proof? Parang mas maraming bigayan yang manok mo hahahaha facebook ads palang at sa campaign spending 😂😂😂 LOOSER")</f>
        <v>Boyp Decoral Aromañep proof? Parang mas maraming bigayan yang manok mo hahahaha facebook ads palang at sa campaign spending 😂😂😂 LOOSER</v>
      </c>
      <c r="F98" s="1"/>
      <c r="G98" s="1" t="str">
        <f ca="1">IFERROR(__xludf.DUMMYFUNCTION("""COMPUTED_VALUE"""),"3 mos")</f>
        <v>3 mos</v>
      </c>
      <c r="H98" s="1" t="str">
        <f ca="1">IFERROR(__xludf.DUMMYFUNCTION("""COMPUTED_VALUE"""),"reply")</f>
        <v>reply</v>
      </c>
      <c r="I98"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98" s="1" t="str">
        <f ca="1">IFERROR(__xludf.DUMMYFUNCTION("""COMPUTED_VALUE"""),"2022-07-04T11:08:02.660Z")</f>
        <v>2022-07-04T11:08:02.660Z</v>
      </c>
    </row>
    <row r="99" spans="1:10" x14ac:dyDescent="0.2">
      <c r="A99" s="2" t="str">
        <f ca="1">IFERROR(__xludf.DUMMYFUNCTION("""COMPUTED_VALUE"""),"https://www.facebook.com/randy.basco.3")</f>
        <v>https://www.facebook.com/randy.basco.3</v>
      </c>
      <c r="B99" s="1" t="str">
        <f ca="1">IFERROR(__xludf.DUMMYFUNCTION("""COMPUTED_VALUE"""),"Randy Basco")</f>
        <v>Randy Basco</v>
      </c>
      <c r="C99" s="1" t="str">
        <f ca="1">IFERROR(__xludf.DUMMYFUNCTION("""COMPUTED_VALUE"""),"Randy")</f>
        <v>Randy</v>
      </c>
      <c r="D99" s="1" t="str">
        <f ca="1">IFERROR(__xludf.DUMMYFUNCTION("""COMPUTED_VALUE"""),"Basco")</f>
        <v>Basco</v>
      </c>
      <c r="E99" s="1" t="str">
        <f ca="1">IFERROR(__xludf.DUMMYFUNCTION("""COMPUTED_VALUE"""),"Boyp Decoral Aromañep hindi mo sila katulad, mukhang pera")</f>
        <v>Boyp Decoral Aromañep hindi mo sila katulad, mukhang pera</v>
      </c>
      <c r="F99" s="1"/>
      <c r="G99" s="1" t="str">
        <f ca="1">IFERROR(__xludf.DUMMYFUNCTION("""COMPUTED_VALUE"""),"3 mos")</f>
        <v>3 mos</v>
      </c>
      <c r="H99" s="1" t="str">
        <f ca="1">IFERROR(__xludf.DUMMYFUNCTION("""COMPUTED_VALUE"""),"reply")</f>
        <v>reply</v>
      </c>
      <c r="I99"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99" s="1" t="str">
        <f ca="1">IFERROR(__xludf.DUMMYFUNCTION("""COMPUTED_VALUE"""),"2022-07-04T11:08:02.660Z")</f>
        <v>2022-07-04T11:08:02.660Z</v>
      </c>
    </row>
    <row r="100" spans="1:10" x14ac:dyDescent="0.2">
      <c r="A100" s="2" t="str">
        <f ca="1">IFERROR(__xludf.DUMMYFUNCTION("""COMPUTED_VALUE"""),"https://www.facebook.com/jovi.laganding")</f>
        <v>https://www.facebook.com/jovi.laganding</v>
      </c>
      <c r="B100" s="1" t="str">
        <f ca="1">IFERROR(__xludf.DUMMYFUNCTION("""COMPUTED_VALUE"""),"Jovi Laganding")</f>
        <v>Jovi Laganding</v>
      </c>
      <c r="C100" s="1" t="str">
        <f ca="1">IFERROR(__xludf.DUMMYFUNCTION("""COMPUTED_VALUE"""),"Jovi")</f>
        <v>Jovi</v>
      </c>
      <c r="D100" s="1" t="str">
        <f ca="1">IFERROR(__xludf.DUMMYFUNCTION("""COMPUTED_VALUE"""),"Laganding")</f>
        <v>Laganding</v>
      </c>
      <c r="E100" s="1" t="str">
        <f ca="1">IFERROR(__xludf.DUMMYFUNCTION("""COMPUTED_VALUE"""),"Inggit pikit, 🤣🤣✌️♥️💚👊")</f>
        <v>Inggit pikit, 🤣🤣✌️♥️💚👊</v>
      </c>
      <c r="F100" s="1">
        <f ca="1">IFERROR(__xludf.DUMMYFUNCTION("""COMPUTED_VALUE"""),17)</f>
        <v>17</v>
      </c>
      <c r="G100" s="1" t="str">
        <f ca="1">IFERROR(__xludf.DUMMYFUNCTION("""COMPUTED_VALUE"""),"3 mos")</f>
        <v>3 mos</v>
      </c>
      <c r="H100" s="1" t="str">
        <f ca="1">IFERROR(__xludf.DUMMYFUNCTION("""COMPUTED_VALUE"""),"comment")</f>
        <v>comment</v>
      </c>
      <c r="I100"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00" s="1" t="str">
        <f ca="1">IFERROR(__xludf.DUMMYFUNCTION("""COMPUTED_VALUE"""),"2022-07-04T11:08:02.660Z")</f>
        <v>2022-07-04T11:08:02.660Z</v>
      </c>
    </row>
    <row r="101" spans="1:10" x14ac:dyDescent="0.2">
      <c r="A101" s="2" t="str">
        <f ca="1">IFERROR(__xludf.DUMMYFUNCTION("""COMPUTED_VALUE"""),"https://www.facebook.com/axljansantos")</f>
        <v>https://www.facebook.com/axljansantos</v>
      </c>
      <c r="B101" s="1" t="str">
        <f ca="1">IFERROR(__xludf.DUMMYFUNCTION("""COMPUTED_VALUE"""),"Axl Jan Santos")</f>
        <v>Axl Jan Santos</v>
      </c>
      <c r="C101" s="1" t="str">
        <f ca="1">IFERROR(__xludf.DUMMYFUNCTION("""COMPUTED_VALUE"""),"Axl")</f>
        <v>Axl</v>
      </c>
      <c r="D101" s="1" t="str">
        <f ca="1">IFERROR(__xludf.DUMMYFUNCTION("""COMPUTED_VALUE"""),"Jan Santos")</f>
        <v>Jan Santos</v>
      </c>
      <c r="E101" s="1" t="str">
        <f ca="1">IFERROR(__xludf.DUMMYFUNCTION("""COMPUTED_VALUE"""),"Jovi Laganding kuda kuda lang sila, matatalo na kasi🤭🤣")</f>
        <v>Jovi Laganding kuda kuda lang sila, matatalo na kasi🤭🤣</v>
      </c>
      <c r="F101" s="1">
        <f ca="1">IFERROR(__xludf.DUMMYFUNCTION("""COMPUTED_VALUE"""),4)</f>
        <v>4</v>
      </c>
      <c r="G101" s="1" t="str">
        <f ca="1">IFERROR(__xludf.DUMMYFUNCTION("""COMPUTED_VALUE"""),"3 mos")</f>
        <v>3 mos</v>
      </c>
      <c r="H101" s="1" t="str">
        <f ca="1">IFERROR(__xludf.DUMMYFUNCTION("""COMPUTED_VALUE"""),"reply")</f>
        <v>reply</v>
      </c>
      <c r="I101"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01" s="1" t="str">
        <f ca="1">IFERROR(__xludf.DUMMYFUNCTION("""COMPUTED_VALUE"""),"2022-07-04T11:08:02.660Z")</f>
        <v>2022-07-04T11:08:02.660Z</v>
      </c>
    </row>
    <row r="102" spans="1:10" x14ac:dyDescent="0.2">
      <c r="A102" s="2" t="str">
        <f ca="1">IFERROR(__xludf.DUMMYFUNCTION("""COMPUTED_VALUE"""),"https://www.facebook.com/carlosjr.carreon")</f>
        <v>https://www.facebook.com/carlosjr.carreon</v>
      </c>
      <c r="B102" s="1" t="str">
        <f ca="1">IFERROR(__xludf.DUMMYFUNCTION("""COMPUTED_VALUE"""),"Johan Luke Carreon")</f>
        <v>Johan Luke Carreon</v>
      </c>
      <c r="C102" s="1" t="str">
        <f ca="1">IFERROR(__xludf.DUMMYFUNCTION("""COMPUTED_VALUE"""),"Johan")</f>
        <v>Johan</v>
      </c>
      <c r="D102" s="1" t="str">
        <f ca="1">IFERROR(__xludf.DUMMYFUNCTION("""COMPUTED_VALUE"""),"Luke Carreon")</f>
        <v>Luke Carreon</v>
      </c>
      <c r="E102" s="1" t="str">
        <f ca="1">IFERROR(__xludf.DUMMYFUNCTION("""COMPUTED_VALUE"""),"Ilabas na ang mga puting sobre😂😂😂")</f>
        <v>Ilabas na ang mga puting sobre😂😂😂</v>
      </c>
      <c r="F102" s="1"/>
      <c r="G102" s="1" t="str">
        <f ca="1">IFERROR(__xludf.DUMMYFUNCTION("""COMPUTED_VALUE"""),"3 mos")</f>
        <v>3 mos</v>
      </c>
      <c r="H102" s="1" t="str">
        <f ca="1">IFERROR(__xludf.DUMMYFUNCTION("""COMPUTED_VALUE"""),"comment")</f>
        <v>comment</v>
      </c>
      <c r="I102"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02" s="1" t="str">
        <f ca="1">IFERROR(__xludf.DUMMYFUNCTION("""COMPUTED_VALUE"""),"2022-07-04T11:08:02.660Z")</f>
        <v>2022-07-04T11:08:02.660Z</v>
      </c>
    </row>
    <row r="103" spans="1:10" x14ac:dyDescent="0.2">
      <c r="A103" s="2" t="str">
        <f ca="1">IFERROR(__xludf.DUMMYFUNCTION("""COMPUTED_VALUE"""),"https://www.facebook.com/jeff.gallo.1213")</f>
        <v>https://www.facebook.com/jeff.gallo.1213</v>
      </c>
      <c r="B103" s="1" t="str">
        <f ca="1">IFERROR(__xludf.DUMMYFUNCTION("""COMPUTED_VALUE"""),"Jeff Gallo")</f>
        <v>Jeff Gallo</v>
      </c>
      <c r="C103" s="1" t="str">
        <f ca="1">IFERROR(__xludf.DUMMYFUNCTION("""COMPUTED_VALUE"""),"Jeff")</f>
        <v>Jeff</v>
      </c>
      <c r="D103" s="1" t="str">
        <f ca="1">IFERROR(__xludf.DUMMYFUNCTION("""COMPUTED_VALUE"""),"Gallo")</f>
        <v>Gallo</v>
      </c>
      <c r="E103" s="1" t="str">
        <f ca="1">IFERROR(__xludf.DUMMYFUNCTION("""COMPUTED_VALUE"""),"Storyahe wala gani my plataporma kondi pagkakaisa sa unithieves")</f>
        <v>Storyahe wala gani my plataporma kondi pagkakaisa sa unithieves</v>
      </c>
      <c r="F103" s="1">
        <f ca="1">IFERROR(__xludf.DUMMYFUNCTION("""COMPUTED_VALUE"""),2)</f>
        <v>2</v>
      </c>
      <c r="G103" s="1" t="str">
        <f ca="1">IFERROR(__xludf.DUMMYFUNCTION("""COMPUTED_VALUE"""),"3 mos")</f>
        <v>3 mos</v>
      </c>
      <c r="H103" s="1" t="str">
        <f ca="1">IFERROR(__xludf.DUMMYFUNCTION("""COMPUTED_VALUE"""),"comment")</f>
        <v>comment</v>
      </c>
      <c r="I103"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03" s="1" t="str">
        <f ca="1">IFERROR(__xludf.DUMMYFUNCTION("""COMPUTED_VALUE"""),"2022-07-04T11:08:02.660Z")</f>
        <v>2022-07-04T11:08:02.660Z</v>
      </c>
    </row>
    <row r="104" spans="1:10" x14ac:dyDescent="0.2">
      <c r="A104" s="2" t="str">
        <f ca="1">IFERROR(__xludf.DUMMYFUNCTION("""COMPUTED_VALUE"""),"https://www.facebook.com/jane.hejos")</f>
        <v>https://www.facebook.com/jane.hejos</v>
      </c>
      <c r="B104" s="1" t="str">
        <f ca="1">IFERROR(__xludf.DUMMYFUNCTION("""COMPUTED_VALUE"""),"Jane Hejos")</f>
        <v>Jane Hejos</v>
      </c>
      <c r="C104" s="1" t="str">
        <f ca="1">IFERROR(__xludf.DUMMYFUNCTION("""COMPUTED_VALUE"""),"Jane")</f>
        <v>Jane</v>
      </c>
      <c r="D104" s="1" t="str">
        <f ca="1">IFERROR(__xludf.DUMMYFUNCTION("""COMPUTED_VALUE"""),"Hejos")</f>
        <v>Hejos</v>
      </c>
      <c r="E104" s="1" t="str">
        <f ca="1">IFERROR(__xludf.DUMMYFUNCTION("""COMPUTED_VALUE"""),"Drone video please")</f>
        <v>Drone video please</v>
      </c>
      <c r="F104" s="1">
        <f ca="1">IFERROR(__xludf.DUMMYFUNCTION("""COMPUTED_VALUE"""),13)</f>
        <v>13</v>
      </c>
      <c r="G104" s="1" t="str">
        <f ca="1">IFERROR(__xludf.DUMMYFUNCTION("""COMPUTED_VALUE"""),"3 mos")</f>
        <v>3 mos</v>
      </c>
      <c r="H104" s="1" t="str">
        <f ca="1">IFERROR(__xludf.DUMMYFUNCTION("""COMPUTED_VALUE"""),"comment")</f>
        <v>comment</v>
      </c>
      <c r="I104"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04" s="1" t="str">
        <f ca="1">IFERROR(__xludf.DUMMYFUNCTION("""COMPUTED_VALUE"""),"2022-07-04T11:08:02.660Z")</f>
        <v>2022-07-04T11:08:02.660Z</v>
      </c>
    </row>
    <row r="105" spans="1:10" x14ac:dyDescent="0.2">
      <c r="A105" s="2" t="str">
        <f ca="1">IFERROR(__xludf.DUMMYFUNCTION("""COMPUTED_VALUE"""),"https://www.facebook.com/ismael.manikan")</f>
        <v>https://www.facebook.com/ismael.manikan</v>
      </c>
      <c r="B105" s="1" t="str">
        <f ca="1">IFERROR(__xludf.DUMMYFUNCTION("""COMPUTED_VALUE"""),"Ismael Manikan")</f>
        <v>Ismael Manikan</v>
      </c>
      <c r="C105" s="1" t="str">
        <f ca="1">IFERROR(__xludf.DUMMYFUNCTION("""COMPUTED_VALUE"""),"Ismael")</f>
        <v>Ismael</v>
      </c>
      <c r="D105" s="1" t="str">
        <f ca="1">IFERROR(__xludf.DUMMYFUNCTION("""COMPUTED_VALUE"""),"Manikan")</f>
        <v>Manikan</v>
      </c>
      <c r="E105" s="1" t="str">
        <f ca="1">IFERROR(__xludf.DUMMYFUNCTION("""COMPUTED_VALUE"""),"Wala na finish na talaga.... May nanalo na.... Hahahah iyakan hahahhaha")</f>
        <v>Wala na finish na talaga.... May nanalo na.... Hahahah iyakan hahahhaha</v>
      </c>
      <c r="F105" s="1">
        <f ca="1">IFERROR(__xludf.DUMMYFUNCTION("""COMPUTED_VALUE"""),5)</f>
        <v>5</v>
      </c>
      <c r="G105" s="1" t="str">
        <f ca="1">IFERROR(__xludf.DUMMYFUNCTION("""COMPUTED_VALUE"""),"3 mos")</f>
        <v>3 mos</v>
      </c>
      <c r="H105" s="1" t="str">
        <f ca="1">IFERROR(__xludf.DUMMYFUNCTION("""COMPUTED_VALUE"""),"reply")</f>
        <v>reply</v>
      </c>
      <c r="I105"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05" s="1" t="str">
        <f ca="1">IFERROR(__xludf.DUMMYFUNCTION("""COMPUTED_VALUE"""),"2022-07-04T11:08:02.660Z")</f>
        <v>2022-07-04T11:08:02.660Z</v>
      </c>
    </row>
    <row r="106" spans="1:10" x14ac:dyDescent="0.2">
      <c r="A106" s="2" t="str">
        <f ca="1">IFERROR(__xludf.DUMMYFUNCTION("""COMPUTED_VALUE"""),"https://www.facebook.com/caren.ortiz.3")</f>
        <v>https://www.facebook.com/caren.ortiz.3</v>
      </c>
      <c r="B106" s="1" t="str">
        <f ca="1">IFERROR(__xludf.DUMMYFUNCTION("""COMPUTED_VALUE"""),"Jongcai Ortiz")</f>
        <v>Jongcai Ortiz</v>
      </c>
      <c r="C106" s="1" t="str">
        <f ca="1">IFERROR(__xludf.DUMMYFUNCTION("""COMPUTED_VALUE"""),"Jongcai")</f>
        <v>Jongcai</v>
      </c>
      <c r="D106" s="1" t="str">
        <f ca="1">IFERROR(__xludf.DUMMYFUNCTION("""COMPUTED_VALUE"""),"Ortiz")</f>
        <v>Ortiz</v>
      </c>
      <c r="E106" s="1" t="str">
        <f ca="1">IFERROR(__xludf.DUMMYFUNCTION("""COMPUTED_VALUE"""),"Jane Hejos wait daw! Photoshop pa")</f>
        <v>Jane Hejos wait daw! Photoshop pa</v>
      </c>
      <c r="F106" s="1">
        <f ca="1">IFERROR(__xludf.DUMMYFUNCTION("""COMPUTED_VALUE"""),8)</f>
        <v>8</v>
      </c>
      <c r="G106" s="1" t="str">
        <f ca="1">IFERROR(__xludf.DUMMYFUNCTION("""COMPUTED_VALUE"""),"3 mos")</f>
        <v>3 mos</v>
      </c>
      <c r="H106" s="1" t="str">
        <f ca="1">IFERROR(__xludf.DUMMYFUNCTION("""COMPUTED_VALUE"""),"reply")</f>
        <v>reply</v>
      </c>
      <c r="I106"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06" s="1" t="str">
        <f ca="1">IFERROR(__xludf.DUMMYFUNCTION("""COMPUTED_VALUE"""),"2022-07-04T11:08:02.660Z")</f>
        <v>2022-07-04T11:08:02.660Z</v>
      </c>
    </row>
    <row r="107" spans="1:10" x14ac:dyDescent="0.2">
      <c r="A107" s="2" t="str">
        <f ca="1">IFERROR(__xludf.DUMMYFUNCTION("""COMPUTED_VALUE"""),"https://www.facebook.com/pauljeric.queipo.1")</f>
        <v>https://www.facebook.com/pauljeric.queipo.1</v>
      </c>
      <c r="B107" s="1" t="str">
        <f ca="1">IFERROR(__xludf.DUMMYFUNCTION("""COMPUTED_VALUE"""),"Paul Jeric Queipo")</f>
        <v>Paul Jeric Queipo</v>
      </c>
      <c r="C107" s="1" t="str">
        <f ca="1">IFERROR(__xludf.DUMMYFUNCTION("""COMPUTED_VALUE"""),"Paul")</f>
        <v>Paul</v>
      </c>
      <c r="D107" s="1" t="str">
        <f ca="1">IFERROR(__xludf.DUMMYFUNCTION("""COMPUTED_VALUE"""),"Jeric Queipo")</f>
        <v>Jeric Queipo</v>
      </c>
      <c r="E107" s="1" t="str">
        <f ca="1">IFERROR(__xludf.DUMMYFUNCTION("""COMPUTED_VALUE"""),"Jane Hejos Eto po video https://fb.watch/c0GTq0iGBA/ yak nakakadiri kayo mga alang disiplina. Squammy 😂")</f>
        <v>Jane Hejos Eto po video https://fb.watch/c0GTq0iGBA/ yak nakakadiri kayo mga alang disiplina. Squammy 😂</v>
      </c>
      <c r="F107" s="1">
        <f ca="1">IFERROR(__xludf.DUMMYFUNCTION("""COMPUTED_VALUE"""),2)</f>
        <v>2</v>
      </c>
      <c r="G107" s="1" t="str">
        <f ca="1">IFERROR(__xludf.DUMMYFUNCTION("""COMPUTED_VALUE"""),"March 21 at 10:16 AM")</f>
        <v>March 21 at 10:16 AM</v>
      </c>
      <c r="H107" s="1" t="str">
        <f ca="1">IFERROR(__xludf.DUMMYFUNCTION("""COMPUTED_VALUE"""),"reply")</f>
        <v>reply</v>
      </c>
      <c r="I107"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07" s="1" t="str">
        <f ca="1">IFERROR(__xludf.DUMMYFUNCTION("""COMPUTED_VALUE"""),"2022-07-04T11:08:02.660Z")</f>
        <v>2022-07-04T11:08:02.660Z</v>
      </c>
    </row>
    <row r="108" spans="1:10" x14ac:dyDescent="0.2">
      <c r="A108" s="2" t="str">
        <f ca="1">IFERROR(__xludf.DUMMYFUNCTION("""COMPUTED_VALUE"""),"https://www.facebook.com/randy.basco.3")</f>
        <v>https://www.facebook.com/randy.basco.3</v>
      </c>
      <c r="B108" s="1" t="str">
        <f ca="1">IFERROR(__xludf.DUMMYFUNCTION("""COMPUTED_VALUE"""),"Randy Basco")</f>
        <v>Randy Basco</v>
      </c>
      <c r="C108" s="1" t="str">
        <f ca="1">IFERROR(__xludf.DUMMYFUNCTION("""COMPUTED_VALUE"""),"Randy")</f>
        <v>Randy</v>
      </c>
      <c r="D108" s="1" t="str">
        <f ca="1">IFERROR(__xludf.DUMMYFUNCTION("""COMPUTED_VALUE"""),"Basco")</f>
        <v>Basco</v>
      </c>
      <c r="E108" s="1" t="str">
        <f ca="1">IFERROR(__xludf.DUMMYFUNCTION("""COMPUTED_VALUE"""),"Jane Hejos tingnan sa south cotabato page baka iiyak ka 😂😂😂")</f>
        <v>Jane Hejos tingnan sa south cotabato page baka iiyak ka 😂😂😂</v>
      </c>
      <c r="F108" s="1">
        <f ca="1">IFERROR(__xludf.DUMMYFUNCTION("""COMPUTED_VALUE"""),2)</f>
        <v>2</v>
      </c>
      <c r="G108" s="1" t="str">
        <f ca="1">IFERROR(__xludf.DUMMYFUNCTION("""COMPUTED_VALUE"""),"3 mos")</f>
        <v>3 mos</v>
      </c>
      <c r="H108" s="1" t="str">
        <f ca="1">IFERROR(__xludf.DUMMYFUNCTION("""COMPUTED_VALUE"""),"reply")</f>
        <v>reply</v>
      </c>
      <c r="I108"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08" s="1" t="str">
        <f ca="1">IFERROR(__xludf.DUMMYFUNCTION("""COMPUTED_VALUE"""),"2022-07-04T11:08:02.660Z")</f>
        <v>2022-07-04T11:08:02.660Z</v>
      </c>
    </row>
    <row r="109" spans="1:10" x14ac:dyDescent="0.2">
      <c r="A109" s="2" t="str">
        <f ca="1">IFERROR(__xludf.DUMMYFUNCTION("""COMPUTED_VALUE"""),"https://www.facebook.com/pauljeric.queipo.1")</f>
        <v>https://www.facebook.com/pauljeric.queipo.1</v>
      </c>
      <c r="B109" s="1" t="str">
        <f ca="1">IFERROR(__xludf.DUMMYFUNCTION("""COMPUTED_VALUE"""),"Paul Jeric Queipo")</f>
        <v>Paul Jeric Queipo</v>
      </c>
      <c r="C109" s="1" t="str">
        <f ca="1">IFERROR(__xludf.DUMMYFUNCTION("""COMPUTED_VALUE"""),"Paul")</f>
        <v>Paul</v>
      </c>
      <c r="D109" s="1" t="str">
        <f ca="1">IFERROR(__xludf.DUMMYFUNCTION("""COMPUTED_VALUE"""),"Jeric Queipo")</f>
        <v>Jeric Queipo</v>
      </c>
      <c r="E109" s="1" t="str">
        <f ca="1">IFERROR(__xludf.DUMMYFUNCTION("""COMPUTED_VALUE"""),"Jongcai Ortiz eto po photoshopped https://fb.watch/c0GTq0iGBA/ 😂 kung sa campaign rallies di kayang mag lead ng tama. PRESIDENT pa kaya haha")</f>
        <v>Jongcai Ortiz eto po photoshopped https://fb.watch/c0GTq0iGBA/ 😂 kung sa campaign rallies di kayang mag lead ng tama. PRESIDENT pa kaya haha</v>
      </c>
      <c r="F109" s="1"/>
      <c r="G109" s="1" t="str">
        <f ca="1">IFERROR(__xludf.DUMMYFUNCTION("""COMPUTED_VALUE"""),"March 21 at 10:16 AM")</f>
        <v>March 21 at 10:16 AM</v>
      </c>
      <c r="H109" s="1" t="str">
        <f ca="1">IFERROR(__xludf.DUMMYFUNCTION("""COMPUTED_VALUE"""),"reply")</f>
        <v>reply</v>
      </c>
      <c r="I109"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09" s="1" t="str">
        <f ca="1">IFERROR(__xludf.DUMMYFUNCTION("""COMPUTED_VALUE"""),"2022-07-04T11:08:02.660Z")</f>
        <v>2022-07-04T11:08:02.660Z</v>
      </c>
    </row>
    <row r="110" spans="1:10" x14ac:dyDescent="0.2">
      <c r="A110" s="2" t="str">
        <f ca="1">IFERROR(__xludf.DUMMYFUNCTION("""COMPUTED_VALUE"""),"https://www.facebook.com/profile.php?id=100075539882920")</f>
        <v>https://www.facebook.com/profile.php?id=100075539882920</v>
      </c>
      <c r="B110" s="1" t="str">
        <f ca="1">IFERROR(__xludf.DUMMYFUNCTION("""COMPUTED_VALUE"""),"Starry Haded")</f>
        <v>Starry Haded</v>
      </c>
      <c r="C110" s="1" t="str">
        <f ca="1">IFERROR(__xludf.DUMMYFUNCTION("""COMPUTED_VALUE"""),"Starry")</f>
        <v>Starry</v>
      </c>
      <c r="D110" s="1" t="str">
        <f ca="1">IFERROR(__xludf.DUMMYFUNCTION("""COMPUTED_VALUE"""),"Haded")</f>
        <v>Haded</v>
      </c>
      <c r="E110" s="1" t="str">
        <f ca="1">IFERROR(__xludf.DUMMYFUNCTION("""COMPUTED_VALUE"""),"Ismael Manikan Back to back recount daw.")</f>
        <v>Ismael Manikan Back to back recount daw.</v>
      </c>
      <c r="F110" s="1">
        <f ca="1">IFERROR(__xludf.DUMMYFUNCTION("""COMPUTED_VALUE"""),1)</f>
        <v>1</v>
      </c>
      <c r="G110" s="1" t="str">
        <f ca="1">IFERROR(__xludf.DUMMYFUNCTION("""COMPUTED_VALUE"""),"3 mos")</f>
        <v>3 mos</v>
      </c>
      <c r="H110" s="1" t="str">
        <f ca="1">IFERROR(__xludf.DUMMYFUNCTION("""COMPUTED_VALUE"""),"reply")</f>
        <v>reply</v>
      </c>
      <c r="I110"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10" s="1" t="str">
        <f ca="1">IFERROR(__xludf.DUMMYFUNCTION("""COMPUTED_VALUE"""),"2022-07-04T11:08:02.660Z")</f>
        <v>2022-07-04T11:08:02.660Z</v>
      </c>
    </row>
    <row r="111" spans="1:10" x14ac:dyDescent="0.2">
      <c r="A111" s="2" t="str">
        <f ca="1">IFERROR(__xludf.DUMMYFUNCTION("""COMPUTED_VALUE"""),"https://www.facebook.com/ey.oliveros")</f>
        <v>https://www.facebook.com/ey.oliveros</v>
      </c>
      <c r="B111" s="1" t="str">
        <f ca="1">IFERROR(__xludf.DUMMYFUNCTION("""COMPUTED_VALUE"""),"Ey Oliveros Bayog")</f>
        <v>Ey Oliveros Bayog</v>
      </c>
      <c r="C111" s="1" t="str">
        <f ca="1">IFERROR(__xludf.DUMMYFUNCTION("""COMPUTED_VALUE"""),"Ey")</f>
        <v>Ey</v>
      </c>
      <c r="D111" s="1" t="str">
        <f ca="1">IFERROR(__xludf.DUMMYFUNCTION("""COMPUTED_VALUE"""),"Oliveros Bayog")</f>
        <v>Oliveros Bayog</v>
      </c>
      <c r="E111" s="1" t="str">
        <f ca="1">IFERROR(__xludf.DUMMYFUNCTION("""COMPUTED_VALUE"""),"Gaya gaya puto maya")</f>
        <v>Gaya gaya puto maya</v>
      </c>
      <c r="F111" s="1">
        <f ca="1">IFERROR(__xludf.DUMMYFUNCTION("""COMPUTED_VALUE"""),2)</f>
        <v>2</v>
      </c>
      <c r="G111" s="1" t="str">
        <f ca="1">IFERROR(__xludf.DUMMYFUNCTION("""COMPUTED_VALUE"""),"3 mos")</f>
        <v>3 mos</v>
      </c>
      <c r="H111" s="1" t="str">
        <f ca="1">IFERROR(__xludf.DUMMYFUNCTION("""COMPUTED_VALUE"""),"comment")</f>
        <v>comment</v>
      </c>
      <c r="I111"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11" s="1" t="str">
        <f ca="1">IFERROR(__xludf.DUMMYFUNCTION("""COMPUTED_VALUE"""),"2022-07-04T11:08:02.660Z")</f>
        <v>2022-07-04T11:08:02.660Z</v>
      </c>
    </row>
    <row r="112" spans="1:10" x14ac:dyDescent="0.2">
      <c r="A112" s="2" t="str">
        <f ca="1">IFERROR(__xludf.DUMMYFUNCTION("""COMPUTED_VALUE"""),"https://www.facebook.com/mercy.gulayda")</f>
        <v>https://www.facebook.com/mercy.gulayda</v>
      </c>
      <c r="B112" s="1" t="str">
        <f ca="1">IFERROR(__xludf.DUMMYFUNCTION("""COMPUTED_VALUE"""),"Esl EM")</f>
        <v>Esl EM</v>
      </c>
      <c r="C112" s="1" t="str">
        <f ca="1">IFERROR(__xludf.DUMMYFUNCTION("""COMPUTED_VALUE"""),"Esl")</f>
        <v>Esl</v>
      </c>
      <c r="D112" s="1" t="str">
        <f ca="1">IFERROR(__xludf.DUMMYFUNCTION("""COMPUTED_VALUE"""),"EM")</f>
        <v>EM</v>
      </c>
      <c r="E112" s="1" t="str">
        <f ca="1">IFERROR(__xludf.DUMMYFUNCTION("""COMPUTED_VALUE"""),"My pera kya nag abang sila😂😂😂😂")</f>
        <v>My pera kya nag abang sila😂😂😂😂</v>
      </c>
      <c r="F112" s="1">
        <f ca="1">IFERROR(__xludf.DUMMYFUNCTION("""COMPUTED_VALUE"""),3)</f>
        <v>3</v>
      </c>
      <c r="G112" s="1" t="str">
        <f ca="1">IFERROR(__xludf.DUMMYFUNCTION("""COMPUTED_VALUE"""),"3 mos")</f>
        <v>3 mos</v>
      </c>
      <c r="H112" s="1" t="str">
        <f ca="1">IFERROR(__xludf.DUMMYFUNCTION("""COMPUTED_VALUE"""),"comment")</f>
        <v>comment</v>
      </c>
      <c r="I112"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12" s="1" t="str">
        <f ca="1">IFERROR(__xludf.DUMMYFUNCTION("""COMPUTED_VALUE"""),"2022-07-04T11:08:02.660Z")</f>
        <v>2022-07-04T11:08:02.660Z</v>
      </c>
    </row>
    <row r="113" spans="1:10" x14ac:dyDescent="0.2">
      <c r="A113" s="2" t="str">
        <f ca="1">IFERROR(__xludf.DUMMYFUNCTION("""COMPUTED_VALUE"""),"https://www.facebook.com/profile.php?id=100075590935527")</f>
        <v>https://www.facebook.com/profile.php?id=100075590935527</v>
      </c>
      <c r="B113" s="1" t="str">
        <f ca="1">IFERROR(__xludf.DUMMYFUNCTION("""COMPUTED_VALUE"""),"Alfredci Monsale")</f>
        <v>Alfredci Monsale</v>
      </c>
      <c r="C113" s="1" t="str">
        <f ca="1">IFERROR(__xludf.DUMMYFUNCTION("""COMPUTED_VALUE"""),"Alfredci")</f>
        <v>Alfredci</v>
      </c>
      <c r="D113" s="1" t="str">
        <f ca="1">IFERROR(__xludf.DUMMYFUNCTION("""COMPUTED_VALUE"""),"Monsale")</f>
        <v>Monsale</v>
      </c>
      <c r="E113" s="1" t="str">
        <f ca="1">IFERROR(__xludf.DUMMYFUNCTION("""COMPUTED_VALUE"""),"how bout Gmeet nd Gcash ? 😁 just watch full rally'  just an idea' 😘😍🥰🤩💰😘💵")</f>
        <v>how bout Gmeet nd Gcash ? 😁 just watch full rally'  just an idea' 😘😍🥰🤩💰😘💵</v>
      </c>
      <c r="F113" s="1"/>
      <c r="G113" s="1" t="str">
        <f ca="1">IFERROR(__xludf.DUMMYFUNCTION("""COMPUTED_VALUE"""),"3 mos")</f>
        <v>3 mos</v>
      </c>
      <c r="H113" s="1" t="str">
        <f ca="1">IFERROR(__xludf.DUMMYFUNCTION("""COMPUTED_VALUE"""),"comment")</f>
        <v>comment</v>
      </c>
      <c r="I113"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13" s="1" t="str">
        <f ca="1">IFERROR(__xludf.DUMMYFUNCTION("""COMPUTED_VALUE"""),"2022-07-04T11:08:02.661Z")</f>
        <v>2022-07-04T11:08:02.661Z</v>
      </c>
    </row>
    <row r="114" spans="1:10" x14ac:dyDescent="0.2">
      <c r="A114" s="2" t="str">
        <f ca="1">IFERROR(__xludf.DUMMYFUNCTION("""COMPUTED_VALUE"""),"https://www.facebook.com/joeygarcia25")</f>
        <v>https://www.facebook.com/joeygarcia25</v>
      </c>
      <c r="B114" s="1" t="str">
        <f ca="1">IFERROR(__xludf.DUMMYFUNCTION("""COMPUTED_VALUE"""),"Joey Garcia")</f>
        <v>Joey Garcia</v>
      </c>
      <c r="C114" s="1" t="str">
        <f ca="1">IFERROR(__xludf.DUMMYFUNCTION("""COMPUTED_VALUE"""),"Joey")</f>
        <v>Joey</v>
      </c>
      <c r="D114" s="1" t="str">
        <f ca="1">IFERROR(__xludf.DUMMYFUNCTION("""COMPUTED_VALUE"""),"Garcia")</f>
        <v>Garcia</v>
      </c>
      <c r="E114" s="1" t="str">
        <f ca="1">IFERROR(__xludf.DUMMYFUNCTION("""COMPUTED_VALUE"""),"Sayang kasi e,")</f>
        <v>Sayang kasi e,</v>
      </c>
      <c r="F114" s="1">
        <f ca="1">IFERROR(__xludf.DUMMYFUNCTION("""COMPUTED_VALUE"""),3)</f>
        <v>3</v>
      </c>
      <c r="G114" s="1" t="str">
        <f ca="1">IFERROR(__xludf.DUMMYFUNCTION("""COMPUTED_VALUE"""),"3 mos")</f>
        <v>3 mos</v>
      </c>
      <c r="H114" s="1" t="str">
        <f ca="1">IFERROR(__xludf.DUMMYFUNCTION("""COMPUTED_VALUE"""),"comment")</f>
        <v>comment</v>
      </c>
      <c r="I114" s="2" t="str">
        <f ca="1">IFERROR(__xludf.DUMMYFUNCTION("""COMPUTED_VALUE"""),"https://www.facebook.com/rapplerdotcom/posts/pfbid0DUh4iFcrxZuR1UbiGhcAHcMdzsaV29GSeHCY1HabtqcnUWkjStX9TDaVqzzt92GDl")</f>
        <v>https://www.facebook.com/rapplerdotcom/posts/pfbid0DUh4iFcrxZuR1UbiGhcAHcMdzsaV29GSeHCY1HabtqcnUWkjStX9TDaVqzzt92GDl</v>
      </c>
      <c r="J114" s="1" t="str">
        <f ca="1">IFERROR(__xludf.DUMMYFUNCTION("""COMPUTED_VALUE"""),"2022-07-04T11:08:02.661Z")</f>
        <v>2022-07-04T11:08:02.661Z</v>
      </c>
    </row>
    <row r="115" spans="1:10" x14ac:dyDescent="0.2">
      <c r="A115" s="1"/>
      <c r="B115" s="1"/>
      <c r="C115" s="1"/>
      <c r="D115" s="1"/>
      <c r="E115" s="1"/>
      <c r="F115" s="1"/>
      <c r="G115" s="1"/>
      <c r="H115" s="1"/>
      <c r="I115" s="2" t="str">
        <f ca="1">IFERROR(__xludf.DUMMYFUNCTION("""COMPUTED_VALUE"""),"https://www.facebook.com/watch/live/?ref=watch_permalink&amp;v=386705962975078")</f>
        <v>https://www.facebook.com/watch/live/?ref=watch_permalink&amp;v=386705962975078</v>
      </c>
      <c r="J115" s="1" t="str">
        <f ca="1">IFERROR(__xludf.DUMMYFUNCTION("""COMPUTED_VALUE"""),"2022-07-04T11:08:32.951Z")</f>
        <v>2022-07-04T11:08:32.951Z</v>
      </c>
    </row>
    <row r="116" spans="1:10" x14ac:dyDescent="0.2">
      <c r="A116" s="2" t="str">
        <f ca="1">IFERROR(__xludf.DUMMYFUNCTION("""COMPUTED_VALUE"""),"https://www.facebook.com/alvinjoseph.supan")</f>
        <v>https://www.facebook.com/alvinjoseph.supan</v>
      </c>
      <c r="B116" s="1" t="str">
        <f ca="1">IFERROR(__xludf.DUMMYFUNCTION("""COMPUTED_VALUE"""),"Alvin Joseph")</f>
        <v>Alvin Joseph</v>
      </c>
      <c r="C116" s="1" t="str">
        <f ca="1">IFERROR(__xludf.DUMMYFUNCTION("""COMPUTED_VALUE"""),"Alvin")</f>
        <v>Alvin</v>
      </c>
      <c r="D116" s="1" t="str">
        <f ca="1">IFERROR(__xludf.DUMMYFUNCTION("""COMPUTED_VALUE"""),"Joseph")</f>
        <v>Joseph</v>
      </c>
      <c r="E116" s="1" t="str">
        <f ca="1">IFERROR(__xludf.DUMMYFUNCTION("""COMPUTED_VALUE"""),"Our country needs leaders who are truthful and hardworking. These women leaders are an example to us. #IpanaloNa10To #ipagdasalna10to #GobyernongTapatAngatBuhayLahat #AngatBuhayLahatKayLeniKiko #KulayRosasAngBukas #10RobredoForPresident #7KikoPangilinanVi"&amp;"cePresident #TropangAngat2022")</f>
        <v>Our country needs leaders who are truthful and hardworking. These women leaders are an example to us. #IpanaloNa10To #ipagdasalna10to #GobyernongTapatAngatBuhayLahat #AngatBuhayLahatKayLeniKiko #KulayRosasAngBukas #10RobredoForPresident #7KikoPangilinanVicePresident #TropangAngat2022</v>
      </c>
      <c r="F116" s="1">
        <f ca="1">IFERROR(__xludf.DUMMYFUNCTION("""COMPUTED_VALUE"""),76)</f>
        <v>76</v>
      </c>
      <c r="G116" s="1" t="str">
        <f ca="1">IFERROR(__xludf.DUMMYFUNCTION("""COMPUTED_VALUE"""),"3 mos")</f>
        <v>3 mos</v>
      </c>
      <c r="H116" s="1" t="str">
        <f ca="1">IFERROR(__xludf.DUMMYFUNCTION("""COMPUTED_VALUE"""),"comment")</f>
        <v>comment</v>
      </c>
      <c r="I116" s="2" t="str">
        <f ca="1">IFERROR(__xludf.DUMMYFUNCTION("""COMPUTED_VALUE"""),"https://www.facebook.com/rapplerdotcom/photos/a.317154781638645/5598220220198715/")</f>
        <v>https://www.facebook.com/rapplerdotcom/photos/a.317154781638645/5598220220198715/</v>
      </c>
      <c r="J116" s="1" t="str">
        <f ca="1">IFERROR(__xludf.DUMMYFUNCTION("""COMPUTED_VALUE"""),"2022-07-04T11:09:50.064Z")</f>
        <v>2022-07-04T11:09:50.064Z</v>
      </c>
    </row>
    <row r="117" spans="1:10" x14ac:dyDescent="0.2">
      <c r="A117" s="2" t="str">
        <f ca="1">IFERROR(__xludf.DUMMYFUNCTION("""COMPUTED_VALUE"""),"https://www.facebook.com/profile.php?id=100078329061859")</f>
        <v>https://www.facebook.com/profile.php?id=100078329061859</v>
      </c>
      <c r="B117" s="1" t="str">
        <f ca="1">IFERROR(__xludf.DUMMYFUNCTION("""COMPUTED_VALUE"""),"Nap Antonio")</f>
        <v>Nap Antonio</v>
      </c>
      <c r="C117" s="1" t="str">
        <f ca="1">IFERROR(__xludf.DUMMYFUNCTION("""COMPUTED_VALUE"""),"Nap")</f>
        <v>Nap</v>
      </c>
      <c r="D117" s="1" t="str">
        <f ca="1">IFERROR(__xludf.DUMMYFUNCTION("""COMPUTED_VALUE"""),"Antonio")</f>
        <v>Antonio</v>
      </c>
      <c r="E117" s="1" t="str">
        <f ca="1">IFERROR(__xludf.DUMMYFUNCTION("""COMPUTED_VALUE"""),"Alvin Joseph Supan Hahaha 🤣🤣 gising na kayo")</f>
        <v>Alvin Joseph Supan Hahaha 🤣🤣 gising na kayo</v>
      </c>
      <c r="F117" s="1"/>
      <c r="G117" s="1" t="str">
        <f ca="1">IFERROR(__xludf.DUMMYFUNCTION("""COMPUTED_VALUE"""),"3 mos")</f>
        <v>3 mos</v>
      </c>
      <c r="H117" s="1" t="str">
        <f ca="1">IFERROR(__xludf.DUMMYFUNCTION("""COMPUTED_VALUE"""),"reply")</f>
        <v>reply</v>
      </c>
      <c r="I117" s="2" t="str">
        <f ca="1">IFERROR(__xludf.DUMMYFUNCTION("""COMPUTED_VALUE"""),"https://www.facebook.com/rapplerdotcom/photos/a.317154781638645/5598220220198715/")</f>
        <v>https://www.facebook.com/rapplerdotcom/photos/a.317154781638645/5598220220198715/</v>
      </c>
      <c r="J117" s="1" t="str">
        <f ca="1">IFERROR(__xludf.DUMMYFUNCTION("""COMPUTED_VALUE"""),"2022-07-04T11:09:50.064Z")</f>
        <v>2022-07-04T11:09:50.064Z</v>
      </c>
    </row>
    <row r="118" spans="1:10" x14ac:dyDescent="0.2">
      <c r="A118" s="2" t="str">
        <f ca="1">IFERROR(__xludf.DUMMYFUNCTION("""COMPUTED_VALUE"""),"https://www.facebook.com/cehfabre")</f>
        <v>https://www.facebook.com/cehfabre</v>
      </c>
      <c r="B118" s="1" t="str">
        <f ca="1">IFERROR(__xludf.DUMMYFUNCTION("""COMPUTED_VALUE"""),"Edith H. Fabre")</f>
        <v>Edith H. Fabre</v>
      </c>
      <c r="C118" s="1" t="str">
        <f ca="1">IFERROR(__xludf.DUMMYFUNCTION("""COMPUTED_VALUE"""),"Edith")</f>
        <v>Edith</v>
      </c>
      <c r="D118" s="1" t="str">
        <f ca="1">IFERROR(__xludf.DUMMYFUNCTION("""COMPUTED_VALUE"""),"H. Fabre")</f>
        <v>H. Fabre</v>
      </c>
      <c r="E118" s="1" t="str">
        <f ca="1">IFERROR(__xludf.DUMMYFUNCTION("""COMPUTED_VALUE"""),"Nice to see two strong women! God bless you both!")</f>
        <v>Nice to see two strong women! God bless you both!</v>
      </c>
      <c r="F118" s="1">
        <f ca="1">IFERROR(__xludf.DUMMYFUNCTION("""COMPUTED_VALUE"""),105)</f>
        <v>105</v>
      </c>
      <c r="G118" s="1" t="str">
        <f ca="1">IFERROR(__xludf.DUMMYFUNCTION("""COMPUTED_VALUE"""),"3 mos")</f>
        <v>3 mos</v>
      </c>
      <c r="H118" s="1" t="str">
        <f ca="1">IFERROR(__xludf.DUMMYFUNCTION("""COMPUTED_VALUE"""),"comment")</f>
        <v>comment</v>
      </c>
      <c r="I118" s="2" t="str">
        <f ca="1">IFERROR(__xludf.DUMMYFUNCTION("""COMPUTED_VALUE"""),"https://www.facebook.com/rapplerdotcom/photos/a.317154781638645/5598220220198715/")</f>
        <v>https://www.facebook.com/rapplerdotcom/photos/a.317154781638645/5598220220198715/</v>
      </c>
      <c r="J118" s="1" t="str">
        <f ca="1">IFERROR(__xludf.DUMMYFUNCTION("""COMPUTED_VALUE"""),"2022-07-04T11:09:50.064Z")</f>
        <v>2022-07-04T11:09:50.064Z</v>
      </c>
    </row>
    <row r="119" spans="1:10" x14ac:dyDescent="0.2">
      <c r="A119" s="2" t="str">
        <f ca="1">IFERROR(__xludf.DUMMYFUNCTION("""COMPUTED_VALUE"""),"https://www.facebook.com/ana.abadsantos")</f>
        <v>https://www.facebook.com/ana.abadsantos</v>
      </c>
      <c r="B119" s="1" t="str">
        <f ca="1">IFERROR(__xludf.DUMMYFUNCTION("""COMPUTED_VALUE"""),"Ana Abad Santos")</f>
        <v>Ana Abad Santos</v>
      </c>
      <c r="C119" s="1" t="str">
        <f ca="1">IFERROR(__xludf.DUMMYFUNCTION("""COMPUTED_VALUE"""),"Ana")</f>
        <v>Ana</v>
      </c>
      <c r="D119" s="1" t="str">
        <f ca="1">IFERROR(__xludf.DUMMYFUNCTION("""COMPUTED_VALUE"""),"Abad Santos")</f>
        <v>Abad Santos</v>
      </c>
      <c r="E119" s="1" t="str">
        <f ca="1">IFERROR(__xludf.DUMMYFUNCTION("""COMPUTED_VALUE"""),"Edith H. Fabre 💗💗💗")</f>
        <v>Edith H. Fabre 💗💗💗</v>
      </c>
      <c r="F119" s="1">
        <f ca="1">IFERROR(__xludf.DUMMYFUNCTION("""COMPUTED_VALUE"""),1)</f>
        <v>1</v>
      </c>
      <c r="G119" s="1" t="str">
        <f ca="1">IFERROR(__xludf.DUMMYFUNCTION("""COMPUTED_VALUE"""),"3 mos")</f>
        <v>3 mos</v>
      </c>
      <c r="H119" s="1" t="str">
        <f ca="1">IFERROR(__xludf.DUMMYFUNCTION("""COMPUTED_VALUE"""),"reply")</f>
        <v>reply</v>
      </c>
      <c r="I119" s="2" t="str">
        <f ca="1">IFERROR(__xludf.DUMMYFUNCTION("""COMPUTED_VALUE"""),"https://www.facebook.com/rapplerdotcom/photos/a.317154781638645/5598220220198715/")</f>
        <v>https://www.facebook.com/rapplerdotcom/photos/a.317154781638645/5598220220198715/</v>
      </c>
      <c r="J119" s="1" t="str">
        <f ca="1">IFERROR(__xludf.DUMMYFUNCTION("""COMPUTED_VALUE"""),"2022-07-04T11:09:50.064Z")</f>
        <v>2022-07-04T11:09:50.064Z</v>
      </c>
    </row>
    <row r="120" spans="1:10" x14ac:dyDescent="0.2">
      <c r="A120" s="2" t="str">
        <f ca="1">IFERROR(__xludf.DUMMYFUNCTION("""COMPUTED_VALUE"""),"https://www.facebook.com/profile.php?id=100078461366052")</f>
        <v>https://www.facebook.com/profile.php?id=100078461366052</v>
      </c>
      <c r="B120" s="1" t="str">
        <f ca="1">IFERROR(__xludf.DUMMYFUNCTION("""COMPUTED_VALUE"""),"Patrick Ramirez")</f>
        <v>Patrick Ramirez</v>
      </c>
      <c r="C120" s="1" t="str">
        <f ca="1">IFERROR(__xludf.DUMMYFUNCTION("""COMPUTED_VALUE"""),"Patrick")</f>
        <v>Patrick</v>
      </c>
      <c r="D120" s="1" t="str">
        <f ca="1">IFERROR(__xludf.DUMMYFUNCTION("""COMPUTED_VALUE"""),"Ramirez")</f>
        <v>Ramirez</v>
      </c>
      <c r="E120" s="1" t="str">
        <f ca="1">IFERROR(__xludf.DUMMYFUNCTION("""COMPUTED_VALUE"""),"Edith H. Fabre #LeniKiko2022 #LetLeniLead")</f>
        <v>Edith H. Fabre #LeniKiko2022 #LetLeniLead</v>
      </c>
      <c r="F120" s="1">
        <f ca="1">IFERROR(__xludf.DUMMYFUNCTION("""COMPUTED_VALUE"""),1)</f>
        <v>1</v>
      </c>
      <c r="G120" s="1" t="str">
        <f ca="1">IFERROR(__xludf.DUMMYFUNCTION("""COMPUTED_VALUE"""),"3 mos")</f>
        <v>3 mos</v>
      </c>
      <c r="H120" s="1" t="str">
        <f ca="1">IFERROR(__xludf.DUMMYFUNCTION("""COMPUTED_VALUE"""),"reply")</f>
        <v>reply</v>
      </c>
      <c r="I120" s="2" t="str">
        <f ca="1">IFERROR(__xludf.DUMMYFUNCTION("""COMPUTED_VALUE"""),"https://www.facebook.com/rapplerdotcom/photos/a.317154781638645/5598220220198715/")</f>
        <v>https://www.facebook.com/rapplerdotcom/photos/a.317154781638645/5598220220198715/</v>
      </c>
      <c r="J120" s="1" t="str">
        <f ca="1">IFERROR(__xludf.DUMMYFUNCTION("""COMPUTED_VALUE"""),"2022-07-04T11:09:50.064Z")</f>
        <v>2022-07-04T11:09:50.064Z</v>
      </c>
    </row>
    <row r="121" spans="1:10" x14ac:dyDescent="0.2">
      <c r="A121" s="2" t="str">
        <f ca="1">IFERROR(__xludf.DUMMYFUNCTION("""COMPUTED_VALUE"""),"https://www.facebook.com/terrence.co")</f>
        <v>https://www.facebook.com/terrence.co</v>
      </c>
      <c r="B121" s="1" t="str">
        <f ca="1">IFERROR(__xludf.DUMMYFUNCTION("""COMPUTED_VALUE"""),"Terence Co")</f>
        <v>Terence Co</v>
      </c>
      <c r="C121" s="1" t="str">
        <f ca="1">IFERROR(__xludf.DUMMYFUNCTION("""COMPUTED_VALUE"""),"Terence")</f>
        <v>Terence</v>
      </c>
      <c r="D121" s="1" t="str">
        <f ca="1">IFERROR(__xludf.DUMMYFUNCTION("""COMPUTED_VALUE"""),"Co")</f>
        <v>Co</v>
      </c>
      <c r="E121" s="1" t="str">
        <f ca="1">IFERROR(__xludf.DUMMYFUNCTION("""COMPUTED_VALUE"""),"We are #Kakampink because we want good governance!! Someone who doens’t back out when the going gets tough!  #Ipanalona10to #LENIwanagSaDilim #LeniKiko2022")</f>
        <v>We are #Kakampink because we want good governance!! Someone who doens’t back out when the going gets tough!  #Ipanalona10to #LENIwanagSaDilim #LeniKiko2022</v>
      </c>
      <c r="F121" s="1">
        <f ca="1">IFERROR(__xludf.DUMMYFUNCTION("""COMPUTED_VALUE"""),51)</f>
        <v>51</v>
      </c>
      <c r="G121" s="1" t="str">
        <f ca="1">IFERROR(__xludf.DUMMYFUNCTION("""COMPUTED_VALUE"""),"3 mos")</f>
        <v>3 mos</v>
      </c>
      <c r="H121" s="1" t="str">
        <f ca="1">IFERROR(__xludf.DUMMYFUNCTION("""COMPUTED_VALUE"""),"comment")</f>
        <v>comment</v>
      </c>
      <c r="I121" s="2" t="str">
        <f ca="1">IFERROR(__xludf.DUMMYFUNCTION("""COMPUTED_VALUE"""),"https://www.facebook.com/rapplerdotcom/photos/a.317154781638645/5598220220198715/")</f>
        <v>https://www.facebook.com/rapplerdotcom/photos/a.317154781638645/5598220220198715/</v>
      </c>
      <c r="J121" s="1" t="str">
        <f ca="1">IFERROR(__xludf.DUMMYFUNCTION("""COMPUTED_VALUE"""),"2022-07-04T11:09:50.064Z")</f>
        <v>2022-07-04T11:09:50.064Z</v>
      </c>
    </row>
    <row r="122" spans="1:10" x14ac:dyDescent="0.2">
      <c r="A122" s="2" t="str">
        <f ca="1">IFERROR(__xludf.DUMMYFUNCTION("""COMPUTED_VALUE"""),"https://www.facebook.com/profile.php?id=100070634495786")</f>
        <v>https://www.facebook.com/profile.php?id=100070634495786</v>
      </c>
      <c r="B122" s="1" t="str">
        <f ca="1">IFERROR(__xludf.DUMMYFUNCTION("""COMPUTED_VALUE"""),"Paco Tagle")</f>
        <v>Paco Tagle</v>
      </c>
      <c r="C122" s="1" t="str">
        <f ca="1">IFERROR(__xludf.DUMMYFUNCTION("""COMPUTED_VALUE"""),"Paco")</f>
        <v>Paco</v>
      </c>
      <c r="D122" s="1" t="str">
        <f ca="1">IFERROR(__xludf.DUMMYFUNCTION("""COMPUTED_VALUE"""),"Tagle")</f>
        <v>Tagle</v>
      </c>
      <c r="E122" s="1" t="str">
        <f ca="1">IFERROR(__xludf.DUMMYFUNCTION("""COMPUTED_VALUE"""),"Both very smart and strong, both maligned by that insecure brute in Malacañang pero both unaffected!")</f>
        <v>Both very smart and strong, both maligned by that insecure brute in Malacañang pero both unaffected!</v>
      </c>
      <c r="F122" s="1">
        <f ca="1">IFERROR(__xludf.DUMMYFUNCTION("""COMPUTED_VALUE"""),11)</f>
        <v>11</v>
      </c>
      <c r="G122" s="1" t="str">
        <f ca="1">IFERROR(__xludf.DUMMYFUNCTION("""COMPUTED_VALUE"""),"3 mos")</f>
        <v>3 mos</v>
      </c>
      <c r="H122" s="1" t="str">
        <f ca="1">IFERROR(__xludf.DUMMYFUNCTION("""COMPUTED_VALUE"""),"comment")</f>
        <v>comment</v>
      </c>
      <c r="I122" s="2" t="str">
        <f ca="1">IFERROR(__xludf.DUMMYFUNCTION("""COMPUTED_VALUE"""),"https://www.facebook.com/rapplerdotcom/photos/a.317154781638645/5598220220198715/")</f>
        <v>https://www.facebook.com/rapplerdotcom/photos/a.317154781638645/5598220220198715/</v>
      </c>
      <c r="J122" s="1" t="str">
        <f ca="1">IFERROR(__xludf.DUMMYFUNCTION("""COMPUTED_VALUE"""),"2022-07-04T11:09:50.064Z")</f>
        <v>2022-07-04T11:09:50.064Z</v>
      </c>
    </row>
    <row r="123" spans="1:10" x14ac:dyDescent="0.2">
      <c r="A123" s="2" t="str">
        <f ca="1">IFERROR(__xludf.DUMMYFUNCTION("""COMPUTED_VALUE"""),"https://www.facebook.com/profile.php?id=100078716168416")</f>
        <v>https://www.facebook.com/profile.php?id=100078716168416</v>
      </c>
      <c r="B123" s="1" t="str">
        <f ca="1">IFERROR(__xludf.DUMMYFUNCTION("""COMPUTED_VALUE"""),"Joshua Maharlika")</f>
        <v>Joshua Maharlika</v>
      </c>
      <c r="C123" s="1" t="str">
        <f ca="1">IFERROR(__xludf.DUMMYFUNCTION("""COMPUTED_VALUE"""),"Joshua")</f>
        <v>Joshua</v>
      </c>
      <c r="D123" s="1" t="str">
        <f ca="1">IFERROR(__xludf.DUMMYFUNCTION("""COMPUTED_VALUE"""),"Maharlika")</f>
        <v>Maharlika</v>
      </c>
      <c r="E123" s="1" t="str">
        <f ca="1">IFERROR(__xludf.DUMMYFUNCTION("""COMPUTED_VALUE"""),"Paco Tagle mas matatapang pa sa mga lalaki 😁😁😁")</f>
        <v>Paco Tagle mas matatapang pa sa mga lalaki 😁😁😁</v>
      </c>
      <c r="F123" s="1"/>
      <c r="G123" s="1" t="str">
        <f ca="1">IFERROR(__xludf.DUMMYFUNCTION("""COMPUTED_VALUE"""),"3 mos")</f>
        <v>3 mos</v>
      </c>
      <c r="H123" s="1" t="str">
        <f ca="1">IFERROR(__xludf.DUMMYFUNCTION("""COMPUTED_VALUE"""),"reply")</f>
        <v>reply</v>
      </c>
      <c r="I123" s="2" t="str">
        <f ca="1">IFERROR(__xludf.DUMMYFUNCTION("""COMPUTED_VALUE"""),"https://www.facebook.com/rapplerdotcom/photos/a.317154781638645/5598220220198715/")</f>
        <v>https://www.facebook.com/rapplerdotcom/photos/a.317154781638645/5598220220198715/</v>
      </c>
      <c r="J123" s="1" t="str">
        <f ca="1">IFERROR(__xludf.DUMMYFUNCTION("""COMPUTED_VALUE"""),"2022-07-04T11:09:50.064Z")</f>
        <v>2022-07-04T11:09:50.064Z</v>
      </c>
    </row>
    <row r="124" spans="1:10" x14ac:dyDescent="0.2">
      <c r="A124" s="2" t="str">
        <f ca="1">IFERROR(__xludf.DUMMYFUNCTION("""COMPUTED_VALUE"""),"https://www.facebook.com/profile.php?id=100078627702377")</f>
        <v>https://www.facebook.com/profile.php?id=100078627702377</v>
      </c>
      <c r="B124" s="1" t="str">
        <f ca="1">IFERROR(__xludf.DUMMYFUNCTION("""COMPUTED_VALUE"""),"Jamzel Pantin")</f>
        <v>Jamzel Pantin</v>
      </c>
      <c r="C124" s="1" t="str">
        <f ca="1">IFERROR(__xludf.DUMMYFUNCTION("""COMPUTED_VALUE"""),"Jamzel")</f>
        <v>Jamzel</v>
      </c>
      <c r="D124" s="1" t="str">
        <f ca="1">IFERROR(__xludf.DUMMYFUNCTION("""COMPUTED_VALUE"""),"Pantin")</f>
        <v>Pantin</v>
      </c>
      <c r="E124" s="1" t="str">
        <f ca="1">IFERROR(__xludf.DUMMYFUNCTION("""COMPUTED_VALUE"""),"Paco Tagle trueee 💯💯")</f>
        <v>Paco Tagle trueee 💯💯</v>
      </c>
      <c r="F124" s="1"/>
      <c r="G124" s="1" t="str">
        <f ca="1">IFERROR(__xludf.DUMMYFUNCTION("""COMPUTED_VALUE"""),"3 mos")</f>
        <v>3 mos</v>
      </c>
      <c r="H124" s="1" t="str">
        <f ca="1">IFERROR(__xludf.DUMMYFUNCTION("""COMPUTED_VALUE"""),"reply")</f>
        <v>reply</v>
      </c>
      <c r="I124" s="2" t="str">
        <f ca="1">IFERROR(__xludf.DUMMYFUNCTION("""COMPUTED_VALUE"""),"https://www.facebook.com/rapplerdotcom/photos/a.317154781638645/5598220220198715/")</f>
        <v>https://www.facebook.com/rapplerdotcom/photos/a.317154781638645/5598220220198715/</v>
      </c>
      <c r="J124" s="1" t="str">
        <f ca="1">IFERROR(__xludf.DUMMYFUNCTION("""COMPUTED_VALUE"""),"2022-07-04T11:09:50.064Z")</f>
        <v>2022-07-04T11:09:50.064Z</v>
      </c>
    </row>
    <row r="125" spans="1:10" x14ac:dyDescent="0.2">
      <c r="A125" s="2" t="str">
        <f ca="1">IFERROR(__xludf.DUMMYFUNCTION("""COMPUTED_VALUE"""),"https://www.facebook.com/profile.php?id=100077223813002")</f>
        <v>https://www.facebook.com/profile.php?id=100077223813002</v>
      </c>
      <c r="B125" s="1" t="str">
        <f ca="1">IFERROR(__xludf.DUMMYFUNCTION("""COMPUTED_VALUE"""),"Michael Rickets")</f>
        <v>Michael Rickets</v>
      </c>
      <c r="C125" s="1" t="str">
        <f ca="1">IFERROR(__xludf.DUMMYFUNCTION("""COMPUTED_VALUE"""),"Michael")</f>
        <v>Michael</v>
      </c>
      <c r="D125" s="1" t="str">
        <f ca="1">IFERROR(__xludf.DUMMYFUNCTION("""COMPUTED_VALUE"""),"Rickets")</f>
        <v>Rickets</v>
      </c>
      <c r="E125" s="1" t="str">
        <f ca="1">IFERROR(__xludf.DUMMYFUNCTION("""COMPUTED_VALUE"""),"Paco Tagle 👏")</f>
        <v>Paco Tagle 👏</v>
      </c>
      <c r="F125" s="1"/>
      <c r="G125" s="1" t="str">
        <f ca="1">IFERROR(__xludf.DUMMYFUNCTION("""COMPUTED_VALUE"""),"3 mos")</f>
        <v>3 mos</v>
      </c>
      <c r="H125" s="1" t="str">
        <f ca="1">IFERROR(__xludf.DUMMYFUNCTION("""COMPUTED_VALUE"""),"reply")</f>
        <v>reply</v>
      </c>
      <c r="I125" s="2" t="str">
        <f ca="1">IFERROR(__xludf.DUMMYFUNCTION("""COMPUTED_VALUE"""),"https://www.facebook.com/rapplerdotcom/photos/a.317154781638645/5598220220198715/")</f>
        <v>https://www.facebook.com/rapplerdotcom/photos/a.317154781638645/5598220220198715/</v>
      </c>
      <c r="J125" s="1" t="str">
        <f ca="1">IFERROR(__xludf.DUMMYFUNCTION("""COMPUTED_VALUE"""),"2022-07-04T11:09:50.064Z")</f>
        <v>2022-07-04T11:09:50.064Z</v>
      </c>
    </row>
    <row r="126" spans="1:10" x14ac:dyDescent="0.2">
      <c r="A126" s="2" t="str">
        <f ca="1">IFERROR(__xludf.DUMMYFUNCTION("""COMPUTED_VALUE"""),"https://www.facebook.com/jeje.cruz.1690")</f>
        <v>https://www.facebook.com/jeje.cruz.1690</v>
      </c>
      <c r="B126" s="1" t="str">
        <f ca="1">IFERROR(__xludf.DUMMYFUNCTION("""COMPUTED_VALUE"""),"Jeje Cruz")</f>
        <v>Jeje Cruz</v>
      </c>
      <c r="C126" s="1" t="str">
        <f ca="1">IFERROR(__xludf.DUMMYFUNCTION("""COMPUTED_VALUE"""),"Jeje")</f>
        <v>Jeje</v>
      </c>
      <c r="D126" s="1" t="str">
        <f ca="1">IFERROR(__xludf.DUMMYFUNCTION("""COMPUTED_VALUE"""),"Cruz")</f>
        <v>Cruz</v>
      </c>
      <c r="E126" s="1" t="str">
        <f ca="1">IFERROR(__xludf.DUMMYFUNCTION("""COMPUTED_VALUE"""),"Paco Tagle truee!")</f>
        <v>Paco Tagle truee!</v>
      </c>
      <c r="F126" s="1"/>
      <c r="G126" s="1" t="str">
        <f ca="1">IFERROR(__xludf.DUMMYFUNCTION("""COMPUTED_VALUE"""),"3 mos")</f>
        <v>3 mos</v>
      </c>
      <c r="H126" s="1" t="str">
        <f ca="1">IFERROR(__xludf.DUMMYFUNCTION("""COMPUTED_VALUE"""),"reply")</f>
        <v>reply</v>
      </c>
      <c r="I126" s="2" t="str">
        <f ca="1">IFERROR(__xludf.DUMMYFUNCTION("""COMPUTED_VALUE"""),"https://www.facebook.com/rapplerdotcom/photos/a.317154781638645/5598220220198715/")</f>
        <v>https://www.facebook.com/rapplerdotcom/photos/a.317154781638645/5598220220198715/</v>
      </c>
      <c r="J126" s="1" t="str">
        <f ca="1">IFERROR(__xludf.DUMMYFUNCTION("""COMPUTED_VALUE"""),"2022-07-04T11:09:50.064Z")</f>
        <v>2022-07-04T11:09:50.064Z</v>
      </c>
    </row>
    <row r="127" spans="1:10" x14ac:dyDescent="0.2">
      <c r="A127" s="2" t="str">
        <f ca="1">IFERROR(__xludf.DUMMYFUNCTION("""COMPUTED_VALUE"""),"https://www.facebook.com/airam.libutaque")</f>
        <v>https://www.facebook.com/airam.libutaque</v>
      </c>
      <c r="B127" s="1" t="str">
        <f ca="1">IFERROR(__xludf.DUMMYFUNCTION("""COMPUTED_VALUE"""),"Airam Afinidad Libutaque")</f>
        <v>Airam Afinidad Libutaque</v>
      </c>
      <c r="C127" s="1" t="str">
        <f ca="1">IFERROR(__xludf.DUMMYFUNCTION("""COMPUTED_VALUE"""),"Airam")</f>
        <v>Airam</v>
      </c>
      <c r="D127" s="1" t="str">
        <f ca="1">IFERROR(__xludf.DUMMYFUNCTION("""COMPUTED_VALUE"""),"Afinidad Libutaque")</f>
        <v>Afinidad Libutaque</v>
      </c>
      <c r="E127" s="1" t="str">
        <f ca="1">IFERROR(__xludf.DUMMYFUNCTION("""COMPUTED_VALUE"""),"🌷 These two great women have  FOUGHT numerous BATTLES not for their personal ends but for the people's and the country's good! They are undoubtedly our MODERN DAY HEROINES!  🌷 Thank you for making the Filipinos proud! Thank you for being epitomes of TRU"&amp;"TH, HONESTY, DECENCY, SERVICE LOVE of Country...💗 #LeniKiko2022 #AngatBuhayLahat")</f>
        <v>🌷 These two great women have  FOUGHT numerous BATTLES not for their personal ends but for the people's and the country's good! They are undoubtedly our MODERN DAY HEROINES!  🌷 Thank you for making the Filipinos proud! Thank you for being epitomes of TRUTH, HONESTY, DECENCY, SERVICE LOVE of Country...💗 #LeniKiko2022 #AngatBuhayLahat</v>
      </c>
      <c r="F127" s="1">
        <f ca="1">IFERROR(__xludf.DUMMYFUNCTION("""COMPUTED_VALUE"""),98)</f>
        <v>98</v>
      </c>
      <c r="G127" s="1" t="str">
        <f ca="1">IFERROR(__xludf.DUMMYFUNCTION("""COMPUTED_VALUE"""),"3 mos")</f>
        <v>3 mos</v>
      </c>
      <c r="H127" s="1" t="str">
        <f ca="1">IFERROR(__xludf.DUMMYFUNCTION("""COMPUTED_VALUE"""),"comment")</f>
        <v>comment</v>
      </c>
      <c r="I127" s="2" t="str">
        <f ca="1">IFERROR(__xludf.DUMMYFUNCTION("""COMPUTED_VALUE"""),"https://www.facebook.com/rapplerdotcom/photos/a.317154781638645/5598220220198715/")</f>
        <v>https://www.facebook.com/rapplerdotcom/photos/a.317154781638645/5598220220198715/</v>
      </c>
      <c r="J127" s="1" t="str">
        <f ca="1">IFERROR(__xludf.DUMMYFUNCTION("""COMPUTED_VALUE"""),"2022-07-04T11:09:50.064Z")</f>
        <v>2022-07-04T11:09:50.064Z</v>
      </c>
    </row>
    <row r="128" spans="1:10" x14ac:dyDescent="0.2">
      <c r="A128" s="2" t="str">
        <f ca="1">IFERROR(__xludf.DUMMYFUNCTION("""COMPUTED_VALUE"""),"https://www.facebook.com/airam.libutaque")</f>
        <v>https://www.facebook.com/airam.libutaque</v>
      </c>
      <c r="B128" s="1" t="str">
        <f ca="1">IFERROR(__xludf.DUMMYFUNCTION("""COMPUTED_VALUE"""),"Airam Afinidad Libutaque")</f>
        <v>Airam Afinidad Libutaque</v>
      </c>
      <c r="C128" s="1" t="str">
        <f ca="1">IFERROR(__xludf.DUMMYFUNCTION("""COMPUTED_VALUE"""),"Airam")</f>
        <v>Airam</v>
      </c>
      <c r="D128" s="1" t="str">
        <f ca="1">IFERROR(__xludf.DUMMYFUNCTION("""COMPUTED_VALUE"""),"Afinidad Libutaque")</f>
        <v>Afinidad Libutaque</v>
      </c>
      <c r="E128" s="1" t="str">
        <f ca="1">IFERROR(__xludf.DUMMYFUNCTION("""COMPUTED_VALUE"""),"#LeniKiko2022 #KikoAngManokKo")</f>
        <v>#LeniKiko2022 #KikoAngManokKo</v>
      </c>
      <c r="F128" s="1">
        <f ca="1">IFERROR(__xludf.DUMMYFUNCTION("""COMPUTED_VALUE"""),4)</f>
        <v>4</v>
      </c>
      <c r="G128" s="1" t="str">
        <f ca="1">IFERROR(__xludf.DUMMYFUNCTION("""COMPUTED_VALUE"""),"3 mos")</f>
        <v>3 mos</v>
      </c>
      <c r="H128" s="1" t="str">
        <f ca="1">IFERROR(__xludf.DUMMYFUNCTION("""COMPUTED_VALUE"""),"reply")</f>
        <v>reply</v>
      </c>
      <c r="I128" s="2" t="str">
        <f ca="1">IFERROR(__xludf.DUMMYFUNCTION("""COMPUTED_VALUE"""),"https://www.facebook.com/rapplerdotcom/photos/a.317154781638645/5598220220198715/")</f>
        <v>https://www.facebook.com/rapplerdotcom/photos/a.317154781638645/5598220220198715/</v>
      </c>
      <c r="J128" s="1" t="str">
        <f ca="1">IFERROR(__xludf.DUMMYFUNCTION("""COMPUTED_VALUE"""),"2022-07-04T11:09:50.064Z")</f>
        <v>2022-07-04T11:09:50.064Z</v>
      </c>
    </row>
    <row r="129" spans="1:10" x14ac:dyDescent="0.2">
      <c r="A129" s="2" t="str">
        <f ca="1">IFERROR(__xludf.DUMMYFUNCTION("""COMPUTED_VALUE"""),"https://www.facebook.com/antonio.posadas.35")</f>
        <v>https://www.facebook.com/antonio.posadas.35</v>
      </c>
      <c r="B129" s="1" t="str">
        <f ca="1">IFERROR(__xludf.DUMMYFUNCTION("""COMPUTED_VALUE"""),"Antonio Posadas")</f>
        <v>Antonio Posadas</v>
      </c>
      <c r="C129" s="1" t="str">
        <f ca="1">IFERROR(__xludf.DUMMYFUNCTION("""COMPUTED_VALUE"""),"Antonio")</f>
        <v>Antonio</v>
      </c>
      <c r="D129" s="1" t="str">
        <f ca="1">IFERROR(__xludf.DUMMYFUNCTION("""COMPUTED_VALUE"""),"Posadas")</f>
        <v>Posadas</v>
      </c>
      <c r="E129" s="1" t="str">
        <f ca="1">IFERROR(__xludf.DUMMYFUNCTION("""COMPUTED_VALUE"""),"Airam Afinidad Libutaque you’re absolutely right")</f>
        <v>Airam Afinidad Libutaque you’re absolutely right</v>
      </c>
      <c r="F129" s="1">
        <f ca="1">IFERROR(__xludf.DUMMYFUNCTION("""COMPUTED_VALUE"""),1)</f>
        <v>1</v>
      </c>
      <c r="G129" s="1" t="str">
        <f ca="1">IFERROR(__xludf.DUMMYFUNCTION("""COMPUTED_VALUE"""),"3 mos")</f>
        <v>3 mos</v>
      </c>
      <c r="H129" s="1" t="str">
        <f ca="1">IFERROR(__xludf.DUMMYFUNCTION("""COMPUTED_VALUE"""),"reply")</f>
        <v>reply</v>
      </c>
      <c r="I129" s="2" t="str">
        <f ca="1">IFERROR(__xludf.DUMMYFUNCTION("""COMPUTED_VALUE"""),"https://www.facebook.com/rapplerdotcom/photos/a.317154781638645/5598220220198715/")</f>
        <v>https://www.facebook.com/rapplerdotcom/photos/a.317154781638645/5598220220198715/</v>
      </c>
      <c r="J129" s="1" t="str">
        <f ca="1">IFERROR(__xludf.DUMMYFUNCTION("""COMPUTED_VALUE"""),"2022-07-04T11:09:50.064Z")</f>
        <v>2022-07-04T11:09:50.064Z</v>
      </c>
    </row>
    <row r="130" spans="1:10" x14ac:dyDescent="0.2">
      <c r="A130" s="2" t="str">
        <f ca="1">IFERROR(__xludf.DUMMYFUNCTION("""COMPUTED_VALUE"""),"https://www.facebook.com/profile.php?id=100079047092742")</f>
        <v>https://www.facebook.com/profile.php?id=100079047092742</v>
      </c>
      <c r="B130" s="1" t="str">
        <f ca="1">IFERROR(__xludf.DUMMYFUNCTION("""COMPUTED_VALUE"""),"Lois Capistrano")</f>
        <v>Lois Capistrano</v>
      </c>
      <c r="C130" s="1" t="str">
        <f ca="1">IFERROR(__xludf.DUMMYFUNCTION("""COMPUTED_VALUE"""),"Lois")</f>
        <v>Lois</v>
      </c>
      <c r="D130" s="1" t="str">
        <f ca="1">IFERROR(__xludf.DUMMYFUNCTION("""COMPUTED_VALUE"""),"Capistrano")</f>
        <v>Capistrano</v>
      </c>
      <c r="E130" s="1" t="str">
        <f ca="1">IFERROR(__xludf.DUMMYFUNCTION("""COMPUTED_VALUE"""),"Airam Afinidad Libutaque #LetaleniLead")</f>
        <v>Airam Afinidad Libutaque #LetaleniLead</v>
      </c>
      <c r="F130" s="1">
        <f ca="1">IFERROR(__xludf.DUMMYFUNCTION("""COMPUTED_VALUE"""),1)</f>
        <v>1</v>
      </c>
      <c r="G130" s="1" t="str">
        <f ca="1">IFERROR(__xludf.DUMMYFUNCTION("""COMPUTED_VALUE"""),"3 mos")</f>
        <v>3 mos</v>
      </c>
      <c r="H130" s="1" t="str">
        <f ca="1">IFERROR(__xludf.DUMMYFUNCTION("""COMPUTED_VALUE"""),"reply")</f>
        <v>reply</v>
      </c>
      <c r="I130" s="2" t="str">
        <f ca="1">IFERROR(__xludf.DUMMYFUNCTION("""COMPUTED_VALUE"""),"https://www.facebook.com/rapplerdotcom/photos/a.317154781638645/5598220220198715/")</f>
        <v>https://www.facebook.com/rapplerdotcom/photos/a.317154781638645/5598220220198715/</v>
      </c>
      <c r="J130" s="1" t="str">
        <f ca="1">IFERROR(__xludf.DUMMYFUNCTION("""COMPUTED_VALUE"""),"2022-07-04T11:09:50.064Z")</f>
        <v>2022-07-04T11:09:50.064Z</v>
      </c>
    </row>
    <row r="131" spans="1:10" x14ac:dyDescent="0.2">
      <c r="A131" s="2" t="str">
        <f ca="1">IFERROR(__xludf.DUMMYFUNCTION("""COMPUTED_VALUE"""),"https://www.facebook.com/profile.php?id=100078504654734")</f>
        <v>https://www.facebook.com/profile.php?id=100078504654734</v>
      </c>
      <c r="B131" s="1" t="str">
        <f ca="1">IFERROR(__xludf.DUMMYFUNCTION("""COMPUTED_VALUE"""),"Rebreb Yumul")</f>
        <v>Rebreb Yumul</v>
      </c>
      <c r="C131" s="1" t="str">
        <f ca="1">IFERROR(__xludf.DUMMYFUNCTION("""COMPUTED_VALUE"""),"Rebreb")</f>
        <v>Rebreb</v>
      </c>
      <c r="D131" s="1" t="str">
        <f ca="1">IFERROR(__xludf.DUMMYFUNCTION("""COMPUTED_VALUE"""),"Yumul")</f>
        <v>Yumul</v>
      </c>
      <c r="E131" s="1" t="str">
        <f ca="1">IFERROR(__xludf.DUMMYFUNCTION("""COMPUTED_VALUE"""),"Airam Afinidad Libutaque #KayLeniTayo")</f>
        <v>Airam Afinidad Libutaque #KayLeniTayo</v>
      </c>
      <c r="F131" s="1">
        <f ca="1">IFERROR(__xludf.DUMMYFUNCTION("""COMPUTED_VALUE"""),1)</f>
        <v>1</v>
      </c>
      <c r="G131" s="1" t="str">
        <f ca="1">IFERROR(__xludf.DUMMYFUNCTION("""COMPUTED_VALUE"""),"3 mos")</f>
        <v>3 mos</v>
      </c>
      <c r="H131" s="1" t="str">
        <f ca="1">IFERROR(__xludf.DUMMYFUNCTION("""COMPUTED_VALUE"""),"reply")</f>
        <v>reply</v>
      </c>
      <c r="I131" s="2" t="str">
        <f ca="1">IFERROR(__xludf.DUMMYFUNCTION("""COMPUTED_VALUE"""),"https://www.facebook.com/rapplerdotcom/photos/a.317154781638645/5598220220198715/")</f>
        <v>https://www.facebook.com/rapplerdotcom/photos/a.317154781638645/5598220220198715/</v>
      </c>
      <c r="J131" s="1" t="str">
        <f ca="1">IFERROR(__xludf.DUMMYFUNCTION("""COMPUTED_VALUE"""),"2022-07-04T11:09:50.064Z")</f>
        <v>2022-07-04T11:09:50.064Z</v>
      </c>
    </row>
    <row r="132" spans="1:10" x14ac:dyDescent="0.2">
      <c r="A132" s="2" t="str">
        <f ca="1">IFERROR(__xludf.DUMMYFUNCTION("""COMPUTED_VALUE"""),"https://www.facebook.com/profile.php?id=100078561682789")</f>
        <v>https://www.facebook.com/profile.php?id=100078561682789</v>
      </c>
      <c r="B132" s="1" t="str">
        <f ca="1">IFERROR(__xludf.DUMMYFUNCTION("""COMPUTED_VALUE"""),"Edwin Talavera")</f>
        <v>Edwin Talavera</v>
      </c>
      <c r="C132" s="1" t="str">
        <f ca="1">IFERROR(__xludf.DUMMYFUNCTION("""COMPUTED_VALUE"""),"Edwin")</f>
        <v>Edwin</v>
      </c>
      <c r="D132" s="1" t="str">
        <f ca="1">IFERROR(__xludf.DUMMYFUNCTION("""COMPUTED_VALUE"""),"Talavera")</f>
        <v>Talavera</v>
      </c>
      <c r="E132" s="1" t="str">
        <f ca="1">IFERROR(__xludf.DUMMYFUNCTION("""COMPUTED_VALUE"""),"Airam Afinidad Libutaque")</f>
        <v>Airam Afinidad Libutaque</v>
      </c>
      <c r="F132" s="1">
        <f ca="1">IFERROR(__xludf.DUMMYFUNCTION("""COMPUTED_VALUE"""),1)</f>
        <v>1</v>
      </c>
      <c r="G132" s="1" t="str">
        <f ca="1">IFERROR(__xludf.DUMMYFUNCTION("""COMPUTED_VALUE"""),"3 mos")</f>
        <v>3 mos</v>
      </c>
      <c r="H132" s="1" t="str">
        <f ca="1">IFERROR(__xludf.DUMMYFUNCTION("""COMPUTED_VALUE"""),"reply")</f>
        <v>reply</v>
      </c>
      <c r="I132" s="2" t="str">
        <f ca="1">IFERROR(__xludf.DUMMYFUNCTION("""COMPUTED_VALUE"""),"https://www.facebook.com/rapplerdotcom/photos/a.317154781638645/5598220220198715/")</f>
        <v>https://www.facebook.com/rapplerdotcom/photos/a.317154781638645/5598220220198715/</v>
      </c>
      <c r="J132" s="1" t="str">
        <f ca="1">IFERROR(__xludf.DUMMYFUNCTION("""COMPUTED_VALUE"""),"2022-07-04T11:09:50.064Z")</f>
        <v>2022-07-04T11:09:50.064Z</v>
      </c>
    </row>
    <row r="133" spans="1:10" x14ac:dyDescent="0.2">
      <c r="A133" s="2" t="str">
        <f ca="1">IFERROR(__xludf.DUMMYFUNCTION("""COMPUTED_VALUE"""),"https://www.facebook.com/profile.php?id=100078433647836")</f>
        <v>https://www.facebook.com/profile.php?id=100078433647836</v>
      </c>
      <c r="B133" s="1" t="str">
        <f ca="1">IFERROR(__xludf.DUMMYFUNCTION("""COMPUTED_VALUE"""),"Melinda Rosario")</f>
        <v>Melinda Rosario</v>
      </c>
      <c r="C133" s="1" t="str">
        <f ca="1">IFERROR(__xludf.DUMMYFUNCTION("""COMPUTED_VALUE"""),"Melinda")</f>
        <v>Melinda</v>
      </c>
      <c r="D133" s="1" t="str">
        <f ca="1">IFERROR(__xludf.DUMMYFUNCTION("""COMPUTED_VALUE"""),"Rosario")</f>
        <v>Rosario</v>
      </c>
      <c r="E133" s="1" t="str">
        <f ca="1">IFERROR(__xludf.DUMMYFUNCTION("""COMPUTED_VALUE"""),"Airam Afinidad Libutaque we deserve a better governemnt #LeniKiko2022")</f>
        <v>Airam Afinidad Libutaque we deserve a better governemnt #LeniKiko2022</v>
      </c>
      <c r="F133" s="1">
        <f ca="1">IFERROR(__xludf.DUMMYFUNCTION("""COMPUTED_VALUE"""),1)</f>
        <v>1</v>
      </c>
      <c r="G133" s="1" t="str">
        <f ca="1">IFERROR(__xludf.DUMMYFUNCTION("""COMPUTED_VALUE"""),"3 mos")</f>
        <v>3 mos</v>
      </c>
      <c r="H133" s="1" t="str">
        <f ca="1">IFERROR(__xludf.DUMMYFUNCTION("""COMPUTED_VALUE"""),"reply")</f>
        <v>reply</v>
      </c>
      <c r="I133" s="2" t="str">
        <f ca="1">IFERROR(__xludf.DUMMYFUNCTION("""COMPUTED_VALUE"""),"https://www.facebook.com/rapplerdotcom/photos/a.317154781638645/5598220220198715/")</f>
        <v>https://www.facebook.com/rapplerdotcom/photos/a.317154781638645/5598220220198715/</v>
      </c>
      <c r="J133" s="1" t="str">
        <f ca="1">IFERROR(__xludf.DUMMYFUNCTION("""COMPUTED_VALUE"""),"2022-07-04T11:09:50.065Z")</f>
        <v>2022-07-04T11:09:50.065Z</v>
      </c>
    </row>
    <row r="134" spans="1:10" x14ac:dyDescent="0.2">
      <c r="A134" s="2" t="str">
        <f ca="1">IFERROR(__xludf.DUMMYFUNCTION("""COMPUTED_VALUE"""),"https://www.facebook.com/profile.php?id=100078329061859")</f>
        <v>https://www.facebook.com/profile.php?id=100078329061859</v>
      </c>
      <c r="B134" s="1" t="str">
        <f ca="1">IFERROR(__xludf.DUMMYFUNCTION("""COMPUTED_VALUE"""),"Nap Antonio")</f>
        <v>Nap Antonio</v>
      </c>
      <c r="C134" s="1" t="str">
        <f ca="1">IFERROR(__xludf.DUMMYFUNCTION("""COMPUTED_VALUE"""),"Nap")</f>
        <v>Nap</v>
      </c>
      <c r="D134" s="1" t="str">
        <f ca="1">IFERROR(__xludf.DUMMYFUNCTION("""COMPUTED_VALUE"""),"Antonio")</f>
        <v>Antonio</v>
      </c>
      <c r="E134" s="1" t="str">
        <f ca="1">IFERROR(__xludf.DUMMYFUNCTION("""COMPUTED_VALUE"""),"Airam Afinidad Libutaque Ay Nako kawawa Ang mga kabataan natin, di MOBA nakikita palaging nakapaligid Ang mga makakaliwa.. paano nalang pagdating Ng panahon")</f>
        <v>Airam Afinidad Libutaque Ay Nako kawawa Ang mga kabataan natin, di MOBA nakikita palaging nakapaligid Ang mga makakaliwa.. paano nalang pagdating Ng panahon</v>
      </c>
      <c r="F134" s="1"/>
      <c r="G134" s="1" t="str">
        <f ca="1">IFERROR(__xludf.DUMMYFUNCTION("""COMPUTED_VALUE"""),"3 mos")</f>
        <v>3 mos</v>
      </c>
      <c r="H134" s="1" t="str">
        <f ca="1">IFERROR(__xludf.DUMMYFUNCTION("""COMPUTED_VALUE"""),"reply")</f>
        <v>reply</v>
      </c>
      <c r="I134" s="2" t="str">
        <f ca="1">IFERROR(__xludf.DUMMYFUNCTION("""COMPUTED_VALUE"""),"https://www.facebook.com/rapplerdotcom/photos/a.317154781638645/5598220220198715/")</f>
        <v>https://www.facebook.com/rapplerdotcom/photos/a.317154781638645/5598220220198715/</v>
      </c>
      <c r="J134" s="1" t="str">
        <f ca="1">IFERROR(__xludf.DUMMYFUNCTION("""COMPUTED_VALUE"""),"2022-07-04T11:09:50.065Z")</f>
        <v>2022-07-04T11:09:50.065Z</v>
      </c>
    </row>
    <row r="135" spans="1:10" x14ac:dyDescent="0.2">
      <c r="A135" s="2" t="str">
        <f ca="1">IFERROR(__xludf.DUMMYFUNCTION("""COMPUTED_VALUE"""),"https://www.facebook.com/elizabeth.bondad")</f>
        <v>https://www.facebook.com/elizabeth.bondad</v>
      </c>
      <c r="B135" s="1" t="str">
        <f ca="1">IFERROR(__xludf.DUMMYFUNCTION("""COMPUTED_VALUE"""),"Elizabeth Bondad")</f>
        <v>Elizabeth Bondad</v>
      </c>
      <c r="C135" s="1" t="str">
        <f ca="1">IFERROR(__xludf.DUMMYFUNCTION("""COMPUTED_VALUE"""),"Elizabeth")</f>
        <v>Elizabeth</v>
      </c>
      <c r="D135" s="1" t="str">
        <f ca="1">IFERROR(__xludf.DUMMYFUNCTION("""COMPUTED_VALUE"""),"Bondad")</f>
        <v>Bondad</v>
      </c>
      <c r="E135" s="1" t="str">
        <f ca="1">IFERROR(__xludf.DUMMYFUNCTION("""COMPUTED_VALUE"""),"Woman Power! Women for Truth and Good Governance! #KulayRosasAngBukas #AngatBuhayLahat #LeniKiko2022")</f>
        <v>Woman Power! Women for Truth and Good Governance! #KulayRosasAngBukas #AngatBuhayLahat #LeniKiko2022</v>
      </c>
      <c r="F135" s="1">
        <f ca="1">IFERROR(__xludf.DUMMYFUNCTION("""COMPUTED_VALUE"""),83)</f>
        <v>83</v>
      </c>
      <c r="G135" s="1" t="str">
        <f ca="1">IFERROR(__xludf.DUMMYFUNCTION("""COMPUTED_VALUE"""),"3 mos")</f>
        <v>3 mos</v>
      </c>
      <c r="H135" s="1" t="str">
        <f ca="1">IFERROR(__xludf.DUMMYFUNCTION("""COMPUTED_VALUE"""),"comment")</f>
        <v>comment</v>
      </c>
      <c r="I135" s="2" t="str">
        <f ca="1">IFERROR(__xludf.DUMMYFUNCTION("""COMPUTED_VALUE"""),"https://www.facebook.com/rapplerdotcom/photos/a.317154781638645/5598220220198715/")</f>
        <v>https://www.facebook.com/rapplerdotcom/photos/a.317154781638645/5598220220198715/</v>
      </c>
      <c r="J135" s="1" t="str">
        <f ca="1">IFERROR(__xludf.DUMMYFUNCTION("""COMPUTED_VALUE"""),"2022-07-04T11:09:50.065Z")</f>
        <v>2022-07-04T11:09:50.065Z</v>
      </c>
    </row>
    <row r="136" spans="1:10" x14ac:dyDescent="0.2">
      <c r="A136" s="2" t="str">
        <f ca="1">IFERROR(__xludf.DUMMYFUNCTION("""COMPUTED_VALUE"""),"https://www.facebook.com/ronfrias")</f>
        <v>https://www.facebook.com/ronfrias</v>
      </c>
      <c r="B136" s="1" t="str">
        <f ca="1">IFERROR(__xludf.DUMMYFUNCTION("""COMPUTED_VALUE"""),"Ronald Frias")</f>
        <v>Ronald Frias</v>
      </c>
      <c r="C136" s="1" t="str">
        <f ca="1">IFERROR(__xludf.DUMMYFUNCTION("""COMPUTED_VALUE"""),"Ronald")</f>
        <v>Ronald</v>
      </c>
      <c r="D136" s="1" t="str">
        <f ca="1">IFERROR(__xludf.DUMMYFUNCTION("""COMPUTED_VALUE"""),"Frias")</f>
        <v>Frias</v>
      </c>
      <c r="E136" s="1" t="str">
        <f ca="1">IFERROR(__xludf.DUMMYFUNCTION("""COMPUTED_VALUE"""),"Great to see 2 women fighting for truth and the greater good of the country. We salute you! ❤❤❤")</f>
        <v>Great to see 2 women fighting for truth and the greater good of the country. We salute you! ❤❤❤</v>
      </c>
      <c r="F136" s="1">
        <f ca="1">IFERROR(__xludf.DUMMYFUNCTION("""COMPUTED_VALUE"""),133)</f>
        <v>133</v>
      </c>
      <c r="G136" s="1" t="str">
        <f ca="1">IFERROR(__xludf.DUMMYFUNCTION("""COMPUTED_VALUE"""),"3 mos")</f>
        <v>3 mos</v>
      </c>
      <c r="H136" s="1" t="str">
        <f ca="1">IFERROR(__xludf.DUMMYFUNCTION("""COMPUTED_VALUE"""),"comment")</f>
        <v>comment</v>
      </c>
      <c r="I136" s="2" t="str">
        <f ca="1">IFERROR(__xludf.DUMMYFUNCTION("""COMPUTED_VALUE"""),"https://www.facebook.com/rapplerdotcom/photos/a.317154781638645/5598220220198715/")</f>
        <v>https://www.facebook.com/rapplerdotcom/photos/a.317154781638645/5598220220198715/</v>
      </c>
      <c r="J136" s="1" t="str">
        <f ca="1">IFERROR(__xludf.DUMMYFUNCTION("""COMPUTED_VALUE"""),"2022-07-04T11:09:50.065Z")</f>
        <v>2022-07-04T11:09:50.065Z</v>
      </c>
    </row>
    <row r="137" spans="1:10" x14ac:dyDescent="0.2">
      <c r="A137" s="2" t="str">
        <f ca="1">IFERROR(__xludf.DUMMYFUNCTION("""COMPUTED_VALUE"""),"https://www.facebook.com/czaranthony.colocar")</f>
        <v>https://www.facebook.com/czaranthony.colocar</v>
      </c>
      <c r="B137" s="1" t="str">
        <f ca="1">IFERROR(__xludf.DUMMYFUNCTION("""COMPUTED_VALUE"""),"コロカ ー皇帝")</f>
        <v>コロカ ー皇帝</v>
      </c>
      <c r="C137" s="1" t="str">
        <f ca="1">IFERROR(__xludf.DUMMYFUNCTION("""COMPUTED_VALUE"""),"コロカ")</f>
        <v>コロカ</v>
      </c>
      <c r="D137" s="1" t="str">
        <f ca="1">IFERROR(__xludf.DUMMYFUNCTION("""COMPUTED_VALUE"""),"ー皇帝")</f>
        <v>ー皇帝</v>
      </c>
      <c r="E137" s="1" t="str">
        <f ca="1">IFERROR(__xludf.DUMMYFUNCTION("""COMPUTED_VALUE"""),"Ronald Frias yes, we are blessed to have them  #LeniKikoAllTheWay  #AngatBuhayLahat")</f>
        <v>Ronald Frias yes, we are blessed to have them  #LeniKikoAllTheWay  #AngatBuhayLahat</v>
      </c>
      <c r="F137" s="1">
        <f ca="1">IFERROR(__xludf.DUMMYFUNCTION("""COMPUTED_VALUE"""),2)</f>
        <v>2</v>
      </c>
      <c r="G137" s="1" t="str">
        <f ca="1">IFERROR(__xludf.DUMMYFUNCTION("""COMPUTED_VALUE"""),"3 mos")</f>
        <v>3 mos</v>
      </c>
      <c r="H137" s="1" t="str">
        <f ca="1">IFERROR(__xludf.DUMMYFUNCTION("""COMPUTED_VALUE"""),"reply")</f>
        <v>reply</v>
      </c>
      <c r="I137" s="2" t="str">
        <f ca="1">IFERROR(__xludf.DUMMYFUNCTION("""COMPUTED_VALUE"""),"https://www.facebook.com/rapplerdotcom/photos/a.317154781638645/5598220220198715/")</f>
        <v>https://www.facebook.com/rapplerdotcom/photos/a.317154781638645/5598220220198715/</v>
      </c>
      <c r="J137" s="1" t="str">
        <f ca="1">IFERROR(__xludf.DUMMYFUNCTION("""COMPUTED_VALUE"""),"2022-07-04T11:09:50.065Z")</f>
        <v>2022-07-04T11:09:50.065Z</v>
      </c>
    </row>
    <row r="138" spans="1:10" x14ac:dyDescent="0.2">
      <c r="A138" s="2" t="str">
        <f ca="1">IFERROR(__xludf.DUMMYFUNCTION("""COMPUTED_VALUE"""),"https://www.facebook.com/profile.php?id=100078772872933")</f>
        <v>https://www.facebook.com/profile.php?id=100078772872933</v>
      </c>
      <c r="B138" s="1" t="str">
        <f ca="1">IFERROR(__xludf.DUMMYFUNCTION("""COMPUTED_VALUE"""),"Yvonne Yuzon")</f>
        <v>Yvonne Yuzon</v>
      </c>
      <c r="C138" s="1" t="str">
        <f ca="1">IFERROR(__xludf.DUMMYFUNCTION("""COMPUTED_VALUE"""),"Yvonne")</f>
        <v>Yvonne</v>
      </c>
      <c r="D138" s="1" t="str">
        <f ca="1">IFERROR(__xludf.DUMMYFUNCTION("""COMPUTED_VALUE"""),"Yuzon")</f>
        <v>Yuzon</v>
      </c>
      <c r="E138" s="1" t="str">
        <f ca="1">IFERROR(__xludf.DUMMYFUNCTION("""COMPUTED_VALUE"""),"Ronald Frias #LetLeniLead #IpanaloNa10To")</f>
        <v>Ronald Frias #LetLeniLead #IpanaloNa10To</v>
      </c>
      <c r="F138" s="1">
        <f ca="1">IFERROR(__xludf.DUMMYFUNCTION("""COMPUTED_VALUE"""),2)</f>
        <v>2</v>
      </c>
      <c r="G138" s="1" t="str">
        <f ca="1">IFERROR(__xludf.DUMMYFUNCTION("""COMPUTED_VALUE"""),"3 mos")</f>
        <v>3 mos</v>
      </c>
      <c r="H138" s="1" t="str">
        <f ca="1">IFERROR(__xludf.DUMMYFUNCTION("""COMPUTED_VALUE"""),"reply")</f>
        <v>reply</v>
      </c>
      <c r="I138" s="2" t="str">
        <f ca="1">IFERROR(__xludf.DUMMYFUNCTION("""COMPUTED_VALUE"""),"https://www.facebook.com/rapplerdotcom/photos/a.317154781638645/5598220220198715/")</f>
        <v>https://www.facebook.com/rapplerdotcom/photos/a.317154781638645/5598220220198715/</v>
      </c>
      <c r="J138" s="1" t="str">
        <f ca="1">IFERROR(__xludf.DUMMYFUNCTION("""COMPUTED_VALUE"""),"2022-07-04T11:09:50.065Z")</f>
        <v>2022-07-04T11:09:50.065Z</v>
      </c>
    </row>
    <row r="139" spans="1:10" x14ac:dyDescent="0.2">
      <c r="A139" s="2" t="str">
        <f ca="1">IFERROR(__xludf.DUMMYFUNCTION("""COMPUTED_VALUE"""),"https://www.facebook.com/profile.php?id=100077975515176")</f>
        <v>https://www.facebook.com/profile.php?id=100077975515176</v>
      </c>
      <c r="B139" s="1" t="str">
        <f ca="1">IFERROR(__xludf.DUMMYFUNCTION("""COMPUTED_VALUE"""),"David Yulinco")</f>
        <v>David Yulinco</v>
      </c>
      <c r="C139" s="1" t="str">
        <f ca="1">IFERROR(__xludf.DUMMYFUNCTION("""COMPUTED_VALUE"""),"David")</f>
        <v>David</v>
      </c>
      <c r="D139" s="1" t="str">
        <f ca="1">IFERROR(__xludf.DUMMYFUNCTION("""COMPUTED_VALUE"""),"Yulinco")</f>
        <v>Yulinco</v>
      </c>
      <c r="E139" s="1" t="str">
        <f ca="1">IFERROR(__xludf.DUMMYFUNCTION("""COMPUTED_VALUE"""),"Ronald Frias #IpanaloNa10To")</f>
        <v>Ronald Frias #IpanaloNa10To</v>
      </c>
      <c r="F139" s="1">
        <f ca="1">IFERROR(__xludf.DUMMYFUNCTION("""COMPUTED_VALUE"""),1)</f>
        <v>1</v>
      </c>
      <c r="G139" s="1" t="str">
        <f ca="1">IFERROR(__xludf.DUMMYFUNCTION("""COMPUTED_VALUE"""),"3 mos")</f>
        <v>3 mos</v>
      </c>
      <c r="H139" s="1" t="str">
        <f ca="1">IFERROR(__xludf.DUMMYFUNCTION("""COMPUTED_VALUE"""),"reply")</f>
        <v>reply</v>
      </c>
      <c r="I139" s="2" t="str">
        <f ca="1">IFERROR(__xludf.DUMMYFUNCTION("""COMPUTED_VALUE"""),"https://www.facebook.com/rapplerdotcom/photos/a.317154781638645/5598220220198715/")</f>
        <v>https://www.facebook.com/rapplerdotcom/photos/a.317154781638645/5598220220198715/</v>
      </c>
      <c r="J139" s="1" t="str">
        <f ca="1">IFERROR(__xludf.DUMMYFUNCTION("""COMPUTED_VALUE"""),"2022-07-04T11:09:50.065Z")</f>
        <v>2022-07-04T11:09:50.065Z</v>
      </c>
    </row>
    <row r="140" spans="1:10" x14ac:dyDescent="0.2">
      <c r="A140" s="2" t="str">
        <f ca="1">IFERROR(__xludf.DUMMYFUNCTION("""COMPUTED_VALUE"""),"https://www.facebook.com/profile.php?id=100078329061859")</f>
        <v>https://www.facebook.com/profile.php?id=100078329061859</v>
      </c>
      <c r="B140" s="1" t="str">
        <f ca="1">IFERROR(__xludf.DUMMYFUNCTION("""COMPUTED_VALUE"""),"Nap Antonio")</f>
        <v>Nap Antonio</v>
      </c>
      <c r="C140" s="1" t="str">
        <f ca="1">IFERROR(__xludf.DUMMYFUNCTION("""COMPUTED_VALUE"""),"Nap")</f>
        <v>Nap</v>
      </c>
      <c r="D140" s="1" t="str">
        <f ca="1">IFERROR(__xludf.DUMMYFUNCTION("""COMPUTED_VALUE"""),"Antonio")</f>
        <v>Antonio</v>
      </c>
      <c r="E140" s="1" t="str">
        <f ca="1">IFERROR(__xludf.DUMMYFUNCTION("""COMPUTED_VALUE"""),"Ronald Frias good for makakalipink kamo")</f>
        <v>Ronald Frias good for makakalipink kamo</v>
      </c>
      <c r="F140" s="1"/>
      <c r="G140" s="1" t="str">
        <f ca="1">IFERROR(__xludf.DUMMYFUNCTION("""COMPUTED_VALUE"""),"3 mos")</f>
        <v>3 mos</v>
      </c>
      <c r="H140" s="1" t="str">
        <f ca="1">IFERROR(__xludf.DUMMYFUNCTION("""COMPUTED_VALUE"""),"reply")</f>
        <v>reply</v>
      </c>
      <c r="I140" s="2" t="str">
        <f ca="1">IFERROR(__xludf.DUMMYFUNCTION("""COMPUTED_VALUE"""),"https://www.facebook.com/rapplerdotcom/photos/a.317154781638645/5598220220198715/")</f>
        <v>https://www.facebook.com/rapplerdotcom/photos/a.317154781638645/5598220220198715/</v>
      </c>
      <c r="J140" s="1" t="str">
        <f ca="1">IFERROR(__xludf.DUMMYFUNCTION("""COMPUTED_VALUE"""),"2022-07-04T11:09:50.065Z")</f>
        <v>2022-07-04T11:09:50.065Z</v>
      </c>
    </row>
    <row r="141" spans="1:10" x14ac:dyDescent="0.2">
      <c r="A141" s="2" t="str">
        <f ca="1">IFERROR(__xludf.DUMMYFUNCTION("""COMPUTED_VALUE"""),"https://www.facebook.com/cielo.dupayamendiola")</f>
        <v>https://www.facebook.com/cielo.dupayamendiola</v>
      </c>
      <c r="B141" s="1" t="str">
        <f ca="1">IFERROR(__xludf.DUMMYFUNCTION("""COMPUTED_VALUE"""),"Cielo Dupaya Mendiola")</f>
        <v>Cielo Dupaya Mendiola</v>
      </c>
      <c r="C141" s="1" t="str">
        <f ca="1">IFERROR(__xludf.DUMMYFUNCTION("""COMPUTED_VALUE"""),"Cielo")</f>
        <v>Cielo</v>
      </c>
      <c r="D141" s="1" t="str">
        <f ca="1">IFERROR(__xludf.DUMMYFUNCTION("""COMPUTED_VALUE"""),"Dupaya Mendiola")</f>
        <v>Dupaya Mendiola</v>
      </c>
      <c r="E141" s="1" t="str">
        <f ca="1">IFERROR(__xludf.DUMMYFUNCTION("""COMPUTED_VALUE"""),"Two amazing and empowered women, makes me proud to be one #LeniRobredoIsMyPresident")</f>
        <v>Two amazing and empowered women, makes me proud to be one #LeniRobredoIsMyPresident</v>
      </c>
      <c r="F141" s="1">
        <f ca="1">IFERROR(__xludf.DUMMYFUNCTION("""COMPUTED_VALUE"""),45)</f>
        <v>45</v>
      </c>
      <c r="G141" s="1" t="str">
        <f ca="1">IFERROR(__xludf.DUMMYFUNCTION("""COMPUTED_VALUE"""),"3 mos")</f>
        <v>3 mos</v>
      </c>
      <c r="H141" s="1" t="str">
        <f ca="1">IFERROR(__xludf.DUMMYFUNCTION("""COMPUTED_VALUE"""),"comment")</f>
        <v>comment</v>
      </c>
      <c r="I141" s="2" t="str">
        <f ca="1">IFERROR(__xludf.DUMMYFUNCTION("""COMPUTED_VALUE"""),"https://www.facebook.com/rapplerdotcom/photos/a.317154781638645/5598220220198715/")</f>
        <v>https://www.facebook.com/rapplerdotcom/photos/a.317154781638645/5598220220198715/</v>
      </c>
      <c r="J141" s="1" t="str">
        <f ca="1">IFERROR(__xludf.DUMMYFUNCTION("""COMPUTED_VALUE"""),"2022-07-04T11:09:50.065Z")</f>
        <v>2022-07-04T11:09:50.065Z</v>
      </c>
    </row>
    <row r="142" spans="1:10" x14ac:dyDescent="0.2">
      <c r="A142" s="2" t="str">
        <f ca="1">IFERROR(__xludf.DUMMYFUNCTION("""COMPUTED_VALUE"""),"https://www.facebook.com/profile.php?id=100078329061859")</f>
        <v>https://www.facebook.com/profile.php?id=100078329061859</v>
      </c>
      <c r="B142" s="1" t="str">
        <f ca="1">IFERROR(__xludf.DUMMYFUNCTION("""COMPUTED_VALUE"""),"Nap Antonio")</f>
        <v>Nap Antonio</v>
      </c>
      <c r="C142" s="1" t="str">
        <f ca="1">IFERROR(__xludf.DUMMYFUNCTION("""COMPUTED_VALUE"""),"Nap")</f>
        <v>Nap</v>
      </c>
      <c r="D142" s="1" t="str">
        <f ca="1">IFERROR(__xludf.DUMMYFUNCTION("""COMPUTED_VALUE"""),"Antonio")</f>
        <v>Antonio</v>
      </c>
      <c r="E142" s="1" t="str">
        <f ca="1">IFERROR(__xludf.DUMMYFUNCTION("""COMPUTED_VALUE"""),"Cielo Dupaya Mendiola pag disperada kahit makakaliwa o kahit sino nalang kinokopkop")</f>
        <v>Cielo Dupaya Mendiola pag disperada kahit makakaliwa o kahit sino nalang kinokopkop</v>
      </c>
      <c r="F142" s="1"/>
      <c r="G142" s="1" t="str">
        <f ca="1">IFERROR(__xludf.DUMMYFUNCTION("""COMPUTED_VALUE"""),"3 mos")</f>
        <v>3 mos</v>
      </c>
      <c r="H142" s="1" t="str">
        <f ca="1">IFERROR(__xludf.DUMMYFUNCTION("""COMPUTED_VALUE"""),"reply")</f>
        <v>reply</v>
      </c>
      <c r="I142" s="2" t="str">
        <f ca="1">IFERROR(__xludf.DUMMYFUNCTION("""COMPUTED_VALUE"""),"https://www.facebook.com/rapplerdotcom/photos/a.317154781638645/5598220220198715/")</f>
        <v>https://www.facebook.com/rapplerdotcom/photos/a.317154781638645/5598220220198715/</v>
      </c>
      <c r="J142" s="1" t="str">
        <f ca="1">IFERROR(__xludf.DUMMYFUNCTION("""COMPUTED_VALUE"""),"2022-07-04T11:09:50.065Z")</f>
        <v>2022-07-04T11:09:50.065Z</v>
      </c>
    </row>
    <row r="143" spans="1:10" x14ac:dyDescent="0.2">
      <c r="A143" s="2" t="str">
        <f ca="1">IFERROR(__xludf.DUMMYFUNCTION("""COMPUTED_VALUE"""),"https://www.facebook.com/bella.sarenas")</f>
        <v>https://www.facebook.com/bella.sarenas</v>
      </c>
      <c r="B143" s="1" t="str">
        <f ca="1">IFERROR(__xludf.DUMMYFUNCTION("""COMPUTED_VALUE"""),"Bella Sarenas")</f>
        <v>Bella Sarenas</v>
      </c>
      <c r="C143" s="1" t="str">
        <f ca="1">IFERROR(__xludf.DUMMYFUNCTION("""COMPUTED_VALUE"""),"Bella")</f>
        <v>Bella</v>
      </c>
      <c r="D143" s="1" t="str">
        <f ca="1">IFERROR(__xludf.DUMMYFUNCTION("""COMPUTED_VALUE"""),"Sarenas")</f>
        <v>Sarenas</v>
      </c>
      <c r="E143" s="1" t="str">
        <f ca="1">IFERROR(__xludf.DUMMYFUNCTION("""COMPUTED_VALUE"""),"#PraiseYouJesus  for these women. #ToGodBeTheGlory #MahalinNatinAngPilipinas #MakaDiyosatMakaTao #TeamLeniKiko #GobyernongTapat  #AngatBuhayLahat #SalamatPoAmaSaBiyaya ng election 2022.")</f>
        <v>#PraiseYouJesus  for these women. #ToGodBeTheGlory #MahalinNatinAngPilipinas #MakaDiyosatMakaTao #TeamLeniKiko #GobyernongTapat  #AngatBuhayLahat #SalamatPoAmaSaBiyaya ng election 2022.</v>
      </c>
      <c r="F143" s="1">
        <f ca="1">IFERROR(__xludf.DUMMYFUNCTION("""COMPUTED_VALUE"""),61)</f>
        <v>61</v>
      </c>
      <c r="G143" s="1" t="str">
        <f ca="1">IFERROR(__xludf.DUMMYFUNCTION("""COMPUTED_VALUE"""),"3 mos")</f>
        <v>3 mos</v>
      </c>
      <c r="H143" s="1" t="str">
        <f ca="1">IFERROR(__xludf.DUMMYFUNCTION("""COMPUTED_VALUE"""),"comment")</f>
        <v>comment</v>
      </c>
      <c r="I143" s="2" t="str">
        <f ca="1">IFERROR(__xludf.DUMMYFUNCTION("""COMPUTED_VALUE"""),"https://www.facebook.com/rapplerdotcom/photos/a.317154781638645/5598220220198715/")</f>
        <v>https://www.facebook.com/rapplerdotcom/photos/a.317154781638645/5598220220198715/</v>
      </c>
      <c r="J143" s="1" t="str">
        <f ca="1">IFERROR(__xludf.DUMMYFUNCTION("""COMPUTED_VALUE"""),"2022-07-04T11:09:50.065Z")</f>
        <v>2022-07-04T11:09:50.065Z</v>
      </c>
    </row>
    <row r="144" spans="1:10" x14ac:dyDescent="0.2">
      <c r="A144" s="2" t="str">
        <f ca="1">IFERROR(__xludf.DUMMYFUNCTION("""COMPUTED_VALUE"""),"https://www.facebook.com/ana.abadsantos")</f>
        <v>https://www.facebook.com/ana.abadsantos</v>
      </c>
      <c r="B144" s="1" t="str">
        <f ca="1">IFERROR(__xludf.DUMMYFUNCTION("""COMPUTED_VALUE"""),"Ana Abad Santos")</f>
        <v>Ana Abad Santos</v>
      </c>
      <c r="C144" s="1" t="str">
        <f ca="1">IFERROR(__xludf.DUMMYFUNCTION("""COMPUTED_VALUE"""),"Ana")</f>
        <v>Ana</v>
      </c>
      <c r="D144" s="1" t="str">
        <f ca="1">IFERROR(__xludf.DUMMYFUNCTION("""COMPUTED_VALUE"""),"Abad Santos")</f>
        <v>Abad Santos</v>
      </c>
      <c r="E144" s="1" t="str">
        <f ca="1">IFERROR(__xludf.DUMMYFUNCTION("""COMPUTED_VALUE"""),"two amazing women!!! Bravo 💗💗💗")</f>
        <v>two amazing women!!! Bravo 💗💗💗</v>
      </c>
      <c r="F144" s="1">
        <f ca="1">IFERROR(__xludf.DUMMYFUNCTION("""COMPUTED_VALUE"""),72)</f>
        <v>72</v>
      </c>
      <c r="G144" s="1" t="str">
        <f ca="1">IFERROR(__xludf.DUMMYFUNCTION("""COMPUTED_VALUE"""),"3 mos")</f>
        <v>3 mos</v>
      </c>
      <c r="H144" s="1" t="str">
        <f ca="1">IFERROR(__xludf.DUMMYFUNCTION("""COMPUTED_VALUE"""),"comment")</f>
        <v>comment</v>
      </c>
      <c r="I144" s="2" t="str">
        <f ca="1">IFERROR(__xludf.DUMMYFUNCTION("""COMPUTED_VALUE"""),"https://www.facebook.com/rapplerdotcom/photos/a.317154781638645/5598220220198715/")</f>
        <v>https://www.facebook.com/rapplerdotcom/photos/a.317154781638645/5598220220198715/</v>
      </c>
      <c r="J144" s="1" t="str">
        <f ca="1">IFERROR(__xludf.DUMMYFUNCTION("""COMPUTED_VALUE"""),"2022-07-04T11:09:50.065Z")</f>
        <v>2022-07-04T11:09:50.065Z</v>
      </c>
    </row>
    <row r="145" spans="1:10" x14ac:dyDescent="0.2">
      <c r="A145" s="2" t="str">
        <f ca="1">IFERROR(__xludf.DUMMYFUNCTION("""COMPUTED_VALUE"""),"https://www.facebook.com/luz.baldoz")</f>
        <v>https://www.facebook.com/luz.baldoz</v>
      </c>
      <c r="B145" s="1" t="str">
        <f ca="1">IFERROR(__xludf.DUMMYFUNCTION("""COMPUTED_VALUE"""),"Luz Abad")</f>
        <v>Luz Abad</v>
      </c>
      <c r="C145" s="1" t="str">
        <f ca="1">IFERROR(__xludf.DUMMYFUNCTION("""COMPUTED_VALUE"""),"Luz")</f>
        <v>Luz</v>
      </c>
      <c r="D145" s="1" t="str">
        <f ca="1">IFERROR(__xludf.DUMMYFUNCTION("""COMPUTED_VALUE"""),"Abad")</f>
        <v>Abad</v>
      </c>
      <c r="E145" s="1" t="str">
        <f ca="1">IFERROR(__xludf.DUMMYFUNCTION("""COMPUTED_VALUE"""),"Two great women making great history.")</f>
        <v>Two great women making great history.</v>
      </c>
      <c r="F145" s="1">
        <f ca="1">IFERROR(__xludf.DUMMYFUNCTION("""COMPUTED_VALUE"""),3)</f>
        <v>3</v>
      </c>
      <c r="G145" s="1" t="str">
        <f ca="1">IFERROR(__xludf.DUMMYFUNCTION("""COMPUTED_VALUE"""),"3 mos")</f>
        <v>3 mos</v>
      </c>
      <c r="H145" s="1" t="str">
        <f ca="1">IFERROR(__xludf.DUMMYFUNCTION("""COMPUTED_VALUE"""),"comment")</f>
        <v>comment</v>
      </c>
      <c r="I145" s="2" t="str">
        <f ca="1">IFERROR(__xludf.DUMMYFUNCTION("""COMPUTED_VALUE"""),"https://www.facebook.com/rapplerdotcom/photos/a.317154781638645/5598220220198715/")</f>
        <v>https://www.facebook.com/rapplerdotcom/photos/a.317154781638645/5598220220198715/</v>
      </c>
      <c r="J145" s="1" t="str">
        <f ca="1">IFERROR(__xludf.DUMMYFUNCTION("""COMPUTED_VALUE"""),"2022-07-04T11:09:50.065Z")</f>
        <v>2022-07-04T11:09:50.065Z</v>
      </c>
    </row>
    <row r="146" spans="1:10" x14ac:dyDescent="0.2">
      <c r="A146" s="2" t="str">
        <f ca="1">IFERROR(__xludf.DUMMYFUNCTION("""COMPUTED_VALUE"""),"https://www.facebook.com/Novie.furry.godmama")</f>
        <v>https://www.facebook.com/Novie.furry.godmama</v>
      </c>
      <c r="B146" s="1" t="str">
        <f ca="1">IFERROR(__xludf.DUMMYFUNCTION("""COMPUTED_VALUE"""),"Novie GA")</f>
        <v>Novie GA</v>
      </c>
      <c r="C146" s="1" t="str">
        <f ca="1">IFERROR(__xludf.DUMMYFUNCTION("""COMPUTED_VALUE"""),"Novie")</f>
        <v>Novie</v>
      </c>
      <c r="D146" s="1" t="str">
        <f ca="1">IFERROR(__xludf.DUMMYFUNCTION("""COMPUTED_VALUE"""),"GA")</f>
        <v>GA</v>
      </c>
      <c r="E146" s="1" t="str">
        <f ca="1">IFERROR(__xludf.DUMMYFUNCTION("""COMPUTED_VALUE"""),"Very dignified. Very presidential. #LeniForPresident2022")</f>
        <v>Very dignified. Very presidential. #LeniForPresident2022</v>
      </c>
      <c r="F146" s="1">
        <f ca="1">IFERROR(__xludf.DUMMYFUNCTION("""COMPUTED_VALUE"""),107)</f>
        <v>107</v>
      </c>
      <c r="G146" s="1" t="str">
        <f ca="1">IFERROR(__xludf.DUMMYFUNCTION("""COMPUTED_VALUE"""),"3 mos")</f>
        <v>3 mos</v>
      </c>
      <c r="H146" s="1" t="str">
        <f ca="1">IFERROR(__xludf.DUMMYFUNCTION("""COMPUTED_VALUE"""),"comment")</f>
        <v>comment</v>
      </c>
      <c r="I146" s="2" t="str">
        <f ca="1">IFERROR(__xludf.DUMMYFUNCTION("""COMPUTED_VALUE"""),"https://www.facebook.com/rapplerdotcom/photos/a.317154781638645/5598220220198715/")</f>
        <v>https://www.facebook.com/rapplerdotcom/photos/a.317154781638645/5598220220198715/</v>
      </c>
      <c r="J146" s="1" t="str">
        <f ca="1">IFERROR(__xludf.DUMMYFUNCTION("""COMPUTED_VALUE"""),"2022-07-04T11:09:50.065Z")</f>
        <v>2022-07-04T11:09:50.065Z</v>
      </c>
    </row>
    <row r="147" spans="1:10" x14ac:dyDescent="0.2">
      <c r="A147" s="2" t="str">
        <f ca="1">IFERROR(__xludf.DUMMYFUNCTION("""COMPUTED_VALUE"""),"https://www.facebook.com/profile.php?id=100011526405374")</f>
        <v>https://www.facebook.com/profile.php?id=100011526405374</v>
      </c>
      <c r="B147" s="1" t="str">
        <f ca="1">IFERROR(__xludf.DUMMYFUNCTION("""COMPUTED_VALUE"""),"Maria Cecilia")</f>
        <v>Maria Cecilia</v>
      </c>
      <c r="C147" s="1" t="str">
        <f ca="1">IFERROR(__xludf.DUMMYFUNCTION("""COMPUTED_VALUE"""),"Maria")</f>
        <v>Maria</v>
      </c>
      <c r="D147" s="1" t="str">
        <f ca="1">IFERROR(__xludf.DUMMYFUNCTION("""COMPUTED_VALUE"""),"Cecilia")</f>
        <v>Cecilia</v>
      </c>
      <c r="E147" s="1" t="str">
        <f ca="1">IFERROR(__xludf.DUMMYFUNCTION("""COMPUTED_VALUE"""),"2 Women that stand firm to what is right even it takes their own life at risk.")</f>
        <v>2 Women that stand firm to what is right even it takes their own life at risk.</v>
      </c>
      <c r="F147" s="1">
        <f ca="1">IFERROR(__xludf.DUMMYFUNCTION("""COMPUTED_VALUE"""),204)</f>
        <v>204</v>
      </c>
      <c r="G147" s="1" t="str">
        <f ca="1">IFERROR(__xludf.DUMMYFUNCTION("""COMPUTED_VALUE"""),"3 mos")</f>
        <v>3 mos</v>
      </c>
      <c r="H147" s="1" t="str">
        <f ca="1">IFERROR(__xludf.DUMMYFUNCTION("""COMPUTED_VALUE"""),"comment")</f>
        <v>comment</v>
      </c>
      <c r="I147" s="2" t="str">
        <f ca="1">IFERROR(__xludf.DUMMYFUNCTION("""COMPUTED_VALUE"""),"https://www.facebook.com/rapplerdotcom/photos/a.317154781638645/5598220220198715/")</f>
        <v>https://www.facebook.com/rapplerdotcom/photos/a.317154781638645/5598220220198715/</v>
      </c>
      <c r="J147" s="1" t="str">
        <f ca="1">IFERROR(__xludf.DUMMYFUNCTION("""COMPUTED_VALUE"""),"2022-07-04T11:09:50.065Z")</f>
        <v>2022-07-04T11:09:50.065Z</v>
      </c>
    </row>
    <row r="148" spans="1:10" x14ac:dyDescent="0.2">
      <c r="A148" s="2" t="str">
        <f ca="1">IFERROR(__xludf.DUMMYFUNCTION("""COMPUTED_VALUE"""),"https://www.facebook.com/profile.php?id=100079089531211")</f>
        <v>https://www.facebook.com/profile.php?id=100079089531211</v>
      </c>
      <c r="B148" s="1" t="str">
        <f ca="1">IFERROR(__xludf.DUMMYFUNCTION("""COMPUTED_VALUE"""),"Judy B Lusa")</f>
        <v>Judy B Lusa</v>
      </c>
      <c r="C148" s="1" t="str">
        <f ca="1">IFERROR(__xludf.DUMMYFUNCTION("""COMPUTED_VALUE"""),"Judy")</f>
        <v>Judy</v>
      </c>
      <c r="D148" s="1" t="str">
        <f ca="1">IFERROR(__xludf.DUMMYFUNCTION("""COMPUTED_VALUE"""),"B Lusa")</f>
        <v>B Lusa</v>
      </c>
      <c r="E148" s="1" t="str">
        <f ca="1">IFERROR(__xludf.DUMMYFUNCTION("""COMPUTED_VALUE"""),"Maria Cecilia yes their OWN life at risk")</f>
        <v>Maria Cecilia yes their OWN life at risk</v>
      </c>
      <c r="F148" s="1">
        <f ca="1">IFERROR(__xludf.DUMMYFUNCTION("""COMPUTED_VALUE"""),1)</f>
        <v>1</v>
      </c>
      <c r="G148" s="1" t="str">
        <f ca="1">IFERROR(__xludf.DUMMYFUNCTION("""COMPUTED_VALUE"""),"3 mos")</f>
        <v>3 mos</v>
      </c>
      <c r="H148" s="1" t="str">
        <f ca="1">IFERROR(__xludf.DUMMYFUNCTION("""COMPUTED_VALUE"""),"reply")</f>
        <v>reply</v>
      </c>
      <c r="I148" s="2" t="str">
        <f ca="1">IFERROR(__xludf.DUMMYFUNCTION("""COMPUTED_VALUE"""),"https://www.facebook.com/rapplerdotcom/photos/a.317154781638645/5598220220198715/")</f>
        <v>https://www.facebook.com/rapplerdotcom/photos/a.317154781638645/5598220220198715/</v>
      </c>
      <c r="J148" s="1" t="str">
        <f ca="1">IFERROR(__xludf.DUMMYFUNCTION("""COMPUTED_VALUE"""),"2022-07-04T11:09:50.065Z")</f>
        <v>2022-07-04T11:09:50.065Z</v>
      </c>
    </row>
    <row r="149" spans="1:10" x14ac:dyDescent="0.2">
      <c r="A149" s="2" t="str">
        <f ca="1">IFERROR(__xludf.DUMMYFUNCTION("""COMPUTED_VALUE"""),"https://www.facebook.com/messengah")</f>
        <v>https://www.facebook.com/messengah</v>
      </c>
      <c r="B149" s="1" t="str">
        <f ca="1">IFERROR(__xludf.DUMMYFUNCTION("""COMPUTED_VALUE"""),"Andrew Pagador")</f>
        <v>Andrew Pagador</v>
      </c>
      <c r="C149" s="1" t="str">
        <f ca="1">IFERROR(__xludf.DUMMYFUNCTION("""COMPUTED_VALUE"""),"Andrew")</f>
        <v>Andrew</v>
      </c>
      <c r="D149" s="1" t="str">
        <f ca="1">IFERROR(__xludf.DUMMYFUNCTION("""COMPUTED_VALUE"""),"Pagador")</f>
        <v>Pagador</v>
      </c>
      <c r="E149" s="1" t="str">
        <f ca="1">IFERROR(__xludf.DUMMYFUNCTION("""COMPUTED_VALUE"""),"Maria Cecilia those who haha reaction doesn’t want a better tomorrow. Smh 🤦🏻‍♂️")</f>
        <v>Maria Cecilia those who haha reaction doesn’t want a better tomorrow. Smh 🤦🏻‍♂️</v>
      </c>
      <c r="F149" s="1">
        <f ca="1">IFERROR(__xludf.DUMMYFUNCTION("""COMPUTED_VALUE"""),7)</f>
        <v>7</v>
      </c>
      <c r="G149" s="1" t="str">
        <f ca="1">IFERROR(__xludf.DUMMYFUNCTION("""COMPUTED_VALUE"""),"3 mos")</f>
        <v>3 mos</v>
      </c>
      <c r="H149" s="1" t="str">
        <f ca="1">IFERROR(__xludf.DUMMYFUNCTION("""COMPUTED_VALUE"""),"reply")</f>
        <v>reply</v>
      </c>
      <c r="I149" s="2" t="str">
        <f ca="1">IFERROR(__xludf.DUMMYFUNCTION("""COMPUTED_VALUE"""),"https://www.facebook.com/rapplerdotcom/photos/a.317154781638645/5598220220198715/")</f>
        <v>https://www.facebook.com/rapplerdotcom/photos/a.317154781638645/5598220220198715/</v>
      </c>
      <c r="J149" s="1" t="str">
        <f ca="1">IFERROR(__xludf.DUMMYFUNCTION("""COMPUTED_VALUE"""),"2022-07-04T11:09:50.065Z")</f>
        <v>2022-07-04T11:09:50.065Z</v>
      </c>
    </row>
    <row r="150" spans="1:10" x14ac:dyDescent="0.2">
      <c r="A150" s="2" t="str">
        <f ca="1">IFERROR(__xludf.DUMMYFUNCTION("""COMPUTED_VALUE"""),"https://www.facebook.com/deadinsidemychest")</f>
        <v>https://www.facebook.com/deadinsidemychest</v>
      </c>
      <c r="B150" s="1" t="str">
        <f ca="1">IFERROR(__xludf.DUMMYFUNCTION("""COMPUTED_VALUE"""),"Albert Castro")</f>
        <v>Albert Castro</v>
      </c>
      <c r="C150" s="1" t="str">
        <f ca="1">IFERROR(__xludf.DUMMYFUNCTION("""COMPUTED_VALUE"""),"Albert")</f>
        <v>Albert</v>
      </c>
      <c r="D150" s="1" t="str">
        <f ca="1">IFERROR(__xludf.DUMMYFUNCTION("""COMPUTED_VALUE"""),"Castro")</f>
        <v>Castro</v>
      </c>
      <c r="E150" s="1" t="str">
        <f ca="1">IFERROR(__xludf.DUMMYFUNCTION("""COMPUTED_VALUE"""),"Andrew Pagador sino pinaglololoko mo?")</f>
        <v>Andrew Pagador sino pinaglololoko mo?</v>
      </c>
      <c r="F150" s="1">
        <f ca="1">IFERROR(__xludf.DUMMYFUNCTION("""COMPUTED_VALUE"""),1)</f>
        <v>1</v>
      </c>
      <c r="G150" s="1" t="str">
        <f ca="1">IFERROR(__xludf.DUMMYFUNCTION("""COMPUTED_VALUE"""),"3 mos")</f>
        <v>3 mos</v>
      </c>
      <c r="H150" s="1" t="str">
        <f ca="1">IFERROR(__xludf.DUMMYFUNCTION("""COMPUTED_VALUE"""),"reply")</f>
        <v>reply</v>
      </c>
      <c r="I150" s="2" t="str">
        <f ca="1">IFERROR(__xludf.DUMMYFUNCTION("""COMPUTED_VALUE"""),"https://www.facebook.com/rapplerdotcom/photos/a.317154781638645/5598220220198715/")</f>
        <v>https://www.facebook.com/rapplerdotcom/photos/a.317154781638645/5598220220198715/</v>
      </c>
      <c r="J150" s="1" t="str">
        <f ca="1">IFERROR(__xludf.DUMMYFUNCTION("""COMPUTED_VALUE"""),"2022-07-04T11:09:50.065Z")</f>
        <v>2022-07-04T11:09:50.065Z</v>
      </c>
    </row>
    <row r="151" spans="1:10" x14ac:dyDescent="0.2">
      <c r="A151" s="2" t="str">
        <f ca="1">IFERROR(__xludf.DUMMYFUNCTION("""COMPUTED_VALUE"""),"https://www.facebook.com/antonio.banaga.20")</f>
        <v>https://www.facebook.com/antonio.banaga.20</v>
      </c>
      <c r="B151" s="1" t="str">
        <f ca="1">IFERROR(__xludf.DUMMYFUNCTION("""COMPUTED_VALUE"""),"Antonio Fernandez Bañaga")</f>
        <v>Antonio Fernandez Bañaga</v>
      </c>
      <c r="C151" s="1" t="str">
        <f ca="1">IFERROR(__xludf.DUMMYFUNCTION("""COMPUTED_VALUE"""),"Antonio")</f>
        <v>Antonio</v>
      </c>
      <c r="D151" s="1" t="str">
        <f ca="1">IFERROR(__xludf.DUMMYFUNCTION("""COMPUTED_VALUE"""),"Fernandez Bañaga")</f>
        <v>Fernandez Bañaga</v>
      </c>
      <c r="E151" s="1" t="str">
        <f ca="1">IFERROR(__xludf.DUMMYFUNCTION("""COMPUTED_VALUE"""),"Two fearless women Dignified!!")</f>
        <v>Two fearless women Dignified!!</v>
      </c>
      <c r="F151" s="1">
        <f ca="1">IFERROR(__xludf.DUMMYFUNCTION("""COMPUTED_VALUE"""),104)</f>
        <v>104</v>
      </c>
      <c r="G151" s="1" t="str">
        <f ca="1">IFERROR(__xludf.DUMMYFUNCTION("""COMPUTED_VALUE"""),"3 mos")</f>
        <v>3 mos</v>
      </c>
      <c r="H151" s="1" t="str">
        <f ca="1">IFERROR(__xludf.DUMMYFUNCTION("""COMPUTED_VALUE"""),"comment")</f>
        <v>comment</v>
      </c>
      <c r="I151" s="2" t="str">
        <f ca="1">IFERROR(__xludf.DUMMYFUNCTION("""COMPUTED_VALUE"""),"https://www.facebook.com/rapplerdotcom/photos/a.317154781638645/5598220220198715/")</f>
        <v>https://www.facebook.com/rapplerdotcom/photos/a.317154781638645/5598220220198715/</v>
      </c>
      <c r="J151" s="1" t="str">
        <f ca="1">IFERROR(__xludf.DUMMYFUNCTION("""COMPUTED_VALUE"""),"2022-07-04T11:09:50.065Z")</f>
        <v>2022-07-04T11:09:50.065Z</v>
      </c>
    </row>
    <row r="152" spans="1:10" x14ac:dyDescent="0.2">
      <c r="A152" s="2" t="str">
        <f ca="1">IFERROR(__xludf.DUMMYFUNCTION("""COMPUTED_VALUE"""),"https://www.facebook.com/bechabye")</f>
        <v>https://www.facebook.com/bechabye</v>
      </c>
      <c r="B152" s="1" t="str">
        <f ca="1">IFERROR(__xludf.DUMMYFUNCTION("""COMPUTED_VALUE"""),"Beth Sebastian Salazar")</f>
        <v>Beth Sebastian Salazar</v>
      </c>
      <c r="C152" s="1" t="str">
        <f ca="1">IFERROR(__xludf.DUMMYFUNCTION("""COMPUTED_VALUE"""),"Beth")</f>
        <v>Beth</v>
      </c>
      <c r="D152" s="1" t="str">
        <f ca="1">IFERROR(__xludf.DUMMYFUNCTION("""COMPUTED_VALUE"""),"Sebastian Salazar")</f>
        <v>Sebastian Salazar</v>
      </c>
      <c r="E152" s="1" t="str">
        <f ca="1">IFERROR(__xludf.DUMMYFUNCTION("""COMPUTED_VALUE"""),"Two great Filipinos .....wow awesome. Mabuhay kayo.")</f>
        <v>Two great Filipinos .....wow awesome. Mabuhay kayo.</v>
      </c>
      <c r="F152" s="1">
        <f ca="1">IFERROR(__xludf.DUMMYFUNCTION("""COMPUTED_VALUE"""),45)</f>
        <v>45</v>
      </c>
      <c r="G152" s="1" t="str">
        <f ca="1">IFERROR(__xludf.DUMMYFUNCTION("""COMPUTED_VALUE"""),"3 mos")</f>
        <v>3 mos</v>
      </c>
      <c r="H152" s="1" t="str">
        <f ca="1">IFERROR(__xludf.DUMMYFUNCTION("""COMPUTED_VALUE"""),"comment")</f>
        <v>comment</v>
      </c>
      <c r="I152" s="2" t="str">
        <f ca="1">IFERROR(__xludf.DUMMYFUNCTION("""COMPUTED_VALUE"""),"https://www.facebook.com/rapplerdotcom/photos/a.317154781638645/5598220220198715/")</f>
        <v>https://www.facebook.com/rapplerdotcom/photos/a.317154781638645/5598220220198715/</v>
      </c>
      <c r="J152" s="1" t="str">
        <f ca="1">IFERROR(__xludf.DUMMYFUNCTION("""COMPUTED_VALUE"""),"2022-07-04T11:09:50.065Z")</f>
        <v>2022-07-04T11:09:50.065Z</v>
      </c>
    </row>
    <row r="153" spans="1:10" x14ac:dyDescent="0.2">
      <c r="A153" s="2" t="str">
        <f ca="1">IFERROR(__xludf.DUMMYFUNCTION("""COMPUTED_VALUE"""),"https://www.facebook.com/meann.garcia.brubelle")</f>
        <v>https://www.facebook.com/meann.garcia.brubelle</v>
      </c>
      <c r="B153" s="1" t="str">
        <f ca="1">IFERROR(__xludf.DUMMYFUNCTION("""COMPUTED_VALUE"""),"Me'anne Gangcuangco Garcia")</f>
        <v>Me'anne Gangcuangco Garcia</v>
      </c>
      <c r="C153" s="1" t="str">
        <f ca="1">IFERROR(__xludf.DUMMYFUNCTION("""COMPUTED_VALUE"""),"Me'anne")</f>
        <v>Me'anne</v>
      </c>
      <c r="D153" s="1" t="str">
        <f ca="1">IFERROR(__xludf.DUMMYFUNCTION("""COMPUTED_VALUE"""),"Gangcuangco Garcia")</f>
        <v>Gangcuangco Garcia</v>
      </c>
      <c r="E153" s="1" t="str">
        <f ca="1">IFERROR(__xludf.DUMMYFUNCTION("""COMPUTED_VALUE"""),"Women of Substance &gt; so so proud of you both!!!")</f>
        <v>Women of Substance &gt; so so proud of you both!!!</v>
      </c>
      <c r="F153" s="1">
        <f ca="1">IFERROR(__xludf.DUMMYFUNCTION("""COMPUTED_VALUE"""),35)</f>
        <v>35</v>
      </c>
      <c r="G153" s="1" t="str">
        <f ca="1">IFERROR(__xludf.DUMMYFUNCTION("""COMPUTED_VALUE"""),"3 mos")</f>
        <v>3 mos</v>
      </c>
      <c r="H153" s="1" t="str">
        <f ca="1">IFERROR(__xludf.DUMMYFUNCTION("""COMPUTED_VALUE"""),"comment")</f>
        <v>comment</v>
      </c>
      <c r="I153" s="2" t="str">
        <f ca="1">IFERROR(__xludf.DUMMYFUNCTION("""COMPUTED_VALUE"""),"https://www.facebook.com/rapplerdotcom/photos/a.317154781638645/5598220220198715/")</f>
        <v>https://www.facebook.com/rapplerdotcom/photos/a.317154781638645/5598220220198715/</v>
      </c>
      <c r="J153" s="1" t="str">
        <f ca="1">IFERROR(__xludf.DUMMYFUNCTION("""COMPUTED_VALUE"""),"2022-07-04T11:09:50.065Z")</f>
        <v>2022-07-04T11:09:50.065Z</v>
      </c>
    </row>
    <row r="154" spans="1:10" x14ac:dyDescent="0.2">
      <c r="A154" s="2" t="str">
        <f ca="1">IFERROR(__xludf.DUMMYFUNCTION("""COMPUTED_VALUE"""),"https://www.facebook.com/irene.s.mangubat")</f>
        <v>https://www.facebook.com/irene.s.mangubat</v>
      </c>
      <c r="B154" s="1" t="str">
        <f ca="1">IFERROR(__xludf.DUMMYFUNCTION("""COMPUTED_VALUE"""),"Irene Sanchez Mangubat")</f>
        <v>Irene Sanchez Mangubat</v>
      </c>
      <c r="C154" s="1" t="str">
        <f ca="1">IFERROR(__xludf.DUMMYFUNCTION("""COMPUTED_VALUE"""),"Irene")</f>
        <v>Irene</v>
      </c>
      <c r="D154" s="1" t="str">
        <f ca="1">IFERROR(__xludf.DUMMYFUNCTION("""COMPUTED_VALUE"""),"Sanchez Mangubat")</f>
        <v>Sanchez Mangubat</v>
      </c>
      <c r="E154" s="1" t="str">
        <f ca="1">IFERROR(__xludf.DUMMYFUNCTION("""COMPUTED_VALUE"""),"Two amazing women, pride of our country. 🙏❤🙏")</f>
        <v>Two amazing women, pride of our country. 🙏❤🙏</v>
      </c>
      <c r="F154" s="1">
        <f ca="1">IFERROR(__xludf.DUMMYFUNCTION("""COMPUTED_VALUE"""),14)</f>
        <v>14</v>
      </c>
      <c r="G154" s="1" t="str">
        <f ca="1">IFERROR(__xludf.DUMMYFUNCTION("""COMPUTED_VALUE"""),"3 mos")</f>
        <v>3 mos</v>
      </c>
      <c r="H154" s="1" t="str">
        <f ca="1">IFERROR(__xludf.DUMMYFUNCTION("""COMPUTED_VALUE"""),"comment")</f>
        <v>comment</v>
      </c>
      <c r="I154" s="2" t="str">
        <f ca="1">IFERROR(__xludf.DUMMYFUNCTION("""COMPUTED_VALUE"""),"https://www.facebook.com/rapplerdotcom/photos/a.317154781638645/5598220220198715/")</f>
        <v>https://www.facebook.com/rapplerdotcom/photos/a.317154781638645/5598220220198715/</v>
      </c>
      <c r="J154" s="1" t="str">
        <f ca="1">IFERROR(__xludf.DUMMYFUNCTION("""COMPUTED_VALUE"""),"2022-07-04T11:09:50.065Z")</f>
        <v>2022-07-04T11:09:50.065Z</v>
      </c>
    </row>
    <row r="155" spans="1:10" x14ac:dyDescent="0.2">
      <c r="A155" s="2" t="str">
        <f ca="1">IFERROR(__xludf.DUMMYFUNCTION("""COMPUTED_VALUE"""),"https://www.facebook.com/jolly.amaf")</f>
        <v>https://www.facebook.com/jolly.amaf</v>
      </c>
      <c r="B155" s="1" t="str">
        <f ca="1">IFERROR(__xludf.DUMMYFUNCTION("""COMPUTED_VALUE"""),"Yeoj B Mafa")</f>
        <v>Yeoj B Mafa</v>
      </c>
      <c r="C155" s="1" t="str">
        <f ca="1">IFERROR(__xludf.DUMMYFUNCTION("""COMPUTED_VALUE"""),"Yeoj")</f>
        <v>Yeoj</v>
      </c>
      <c r="D155" s="1" t="str">
        <f ca="1">IFERROR(__xludf.DUMMYFUNCTION("""COMPUTED_VALUE"""),"B Mafa")</f>
        <v>B Mafa</v>
      </c>
      <c r="E155" s="1" t="str">
        <f ca="1">IFERROR(__xludf.DUMMYFUNCTION("""COMPUTED_VALUE"""),"Two dignified women who stand for truth, justice and good governance.  Epitome of women empowerment. You are the face of the future, salute to you both and to all women for that matter.💕🎀❤🌷🌹⚘💐")</f>
        <v>Two dignified women who stand for truth, justice and good governance.  Epitome of women empowerment. You are the face of the future, salute to you both and to all women for that matter.💕🎀❤🌷🌹⚘💐</v>
      </c>
      <c r="F155" s="1">
        <f ca="1">IFERROR(__xludf.DUMMYFUNCTION("""COMPUTED_VALUE"""),82)</f>
        <v>82</v>
      </c>
      <c r="G155" s="1" t="str">
        <f ca="1">IFERROR(__xludf.DUMMYFUNCTION("""COMPUTED_VALUE"""),"3 mos")</f>
        <v>3 mos</v>
      </c>
      <c r="H155" s="1" t="str">
        <f ca="1">IFERROR(__xludf.DUMMYFUNCTION("""COMPUTED_VALUE"""),"comment")</f>
        <v>comment</v>
      </c>
      <c r="I155" s="2" t="str">
        <f ca="1">IFERROR(__xludf.DUMMYFUNCTION("""COMPUTED_VALUE"""),"https://www.facebook.com/rapplerdotcom/photos/a.317154781638645/5598220220198715/")</f>
        <v>https://www.facebook.com/rapplerdotcom/photos/a.317154781638645/5598220220198715/</v>
      </c>
      <c r="J155" s="1" t="str">
        <f ca="1">IFERROR(__xludf.DUMMYFUNCTION("""COMPUTED_VALUE"""),"2022-07-04T11:09:50.065Z")</f>
        <v>2022-07-04T11:09:50.065Z</v>
      </c>
    </row>
    <row r="156" spans="1:10" x14ac:dyDescent="0.2">
      <c r="A156" s="2" t="str">
        <f ca="1">IFERROR(__xludf.DUMMYFUNCTION("""COMPUTED_VALUE"""),"https://www.facebook.com/ventura.mariejane")</f>
        <v>https://www.facebook.com/ventura.mariejane</v>
      </c>
      <c r="B156" s="1" t="str">
        <f ca="1">IFERROR(__xludf.DUMMYFUNCTION("""COMPUTED_VALUE"""),"Jane Maltu Ventura")</f>
        <v>Jane Maltu Ventura</v>
      </c>
      <c r="C156" s="1" t="str">
        <f ca="1">IFERROR(__xludf.DUMMYFUNCTION("""COMPUTED_VALUE"""),"Jane")</f>
        <v>Jane</v>
      </c>
      <c r="D156" s="1" t="str">
        <f ca="1">IFERROR(__xludf.DUMMYFUNCTION("""COMPUTED_VALUE"""),"Maltu Ventura")</f>
        <v>Maltu Ventura</v>
      </c>
      <c r="E156" s="1" t="str">
        <f ca="1">IFERROR(__xludf.DUMMYFUNCTION("""COMPUTED_VALUE"""),"Women Empowerment. For better Philippines  The best Man for the job is a Woman 👠👠 #IpanaloNa10To #LeniKiko2022 #10RobredoForPresident  #7KikoPangilinanVicePresident  #TrillanesForSenator2022  #LeilaDeLima2022  #RisaHontiveros2022  #SonnyMatula2022  #Ale"&amp;"xLacson2022  #ChelDioknoSaSenado  #DickGordon #NeriComenares #AngatBuhayLahat #KulayRosasAngBukas  #GobyernongTapatAngatBuhayLahat  #HelloPagkainGoodbyeGutom")</f>
        <v>Women Empowerment. For better Philippines  The best Man for the job is a Woman 👠👠 #IpanaloNa10To #LeniKiko2022 #10RobredoForPresident  #7KikoPangilinanVicePresident  #TrillanesForSenator2022  #LeilaDeLima2022  #RisaHontiveros2022  #SonnyMatula2022  #AlexLacson2022  #ChelDioknoSaSenado  #DickGordon #NeriComenares #AngatBuhayLahat #KulayRosasAngBukas  #GobyernongTapatAngatBuhayLahat  #HelloPagkainGoodbyeGutom</v>
      </c>
      <c r="F156" s="1">
        <f ca="1">IFERROR(__xludf.DUMMYFUNCTION("""COMPUTED_VALUE"""),1)</f>
        <v>1</v>
      </c>
      <c r="G156" s="1" t="str">
        <f ca="1">IFERROR(__xludf.DUMMYFUNCTION("""COMPUTED_VALUE"""),"3 mos")</f>
        <v>3 mos</v>
      </c>
      <c r="H156" s="1" t="str">
        <f ca="1">IFERROR(__xludf.DUMMYFUNCTION("""COMPUTED_VALUE"""),"comment")</f>
        <v>comment</v>
      </c>
      <c r="I156" s="2" t="str">
        <f ca="1">IFERROR(__xludf.DUMMYFUNCTION("""COMPUTED_VALUE"""),"https://www.facebook.com/rapplerdotcom/photos/a.317154781638645/5598220220198715/")</f>
        <v>https://www.facebook.com/rapplerdotcom/photos/a.317154781638645/5598220220198715/</v>
      </c>
      <c r="J156" s="1" t="str">
        <f ca="1">IFERROR(__xludf.DUMMYFUNCTION("""COMPUTED_VALUE"""),"2022-07-04T11:09:50.065Z")</f>
        <v>2022-07-04T11:09:50.065Z</v>
      </c>
    </row>
    <row r="157" spans="1:10" x14ac:dyDescent="0.2">
      <c r="A157" s="2" t="str">
        <f ca="1">IFERROR(__xludf.DUMMYFUNCTION("""COMPUTED_VALUE"""),"https://www.facebook.com/olracyer.nadneba.3")</f>
        <v>https://www.facebook.com/olracyer.nadneba.3</v>
      </c>
      <c r="B157" s="1" t="str">
        <f ca="1">IFERROR(__xludf.DUMMYFUNCTION("""COMPUTED_VALUE"""),"Olrac Yer Nadneba")</f>
        <v>Olrac Yer Nadneba</v>
      </c>
      <c r="C157" s="1" t="str">
        <f ca="1">IFERROR(__xludf.DUMMYFUNCTION("""COMPUTED_VALUE"""),"Olrac")</f>
        <v>Olrac</v>
      </c>
      <c r="D157" s="1" t="str">
        <f ca="1">IFERROR(__xludf.DUMMYFUNCTION("""COMPUTED_VALUE"""),"Yer Nadneba")</f>
        <v>Yer Nadneba</v>
      </c>
      <c r="E157" s="1" t="str">
        <f ca="1">IFERROR(__xludf.DUMMYFUNCTION("""COMPUTED_VALUE"""),"Wag niyong gawing biro yan dahil pagdating naman ng 2015, hindi lang natin mapapabilis ang biyahe mula Baclaran hanggang Bacoor kundi madadagdagan din tayo ng tinatayong 250,000 na pasahero ang maisasakay kada araw dahil sa LRT Line 1 extension. At pag hi"&amp;"ndi ho nangyari ito, nandiyan po si Secretary Abaya na mangangasiwa ng proyektong to, dalawa na kaming magpapasagasa siguro sa tren.")</f>
        <v>Wag niyong gawing biro yan dahil pagdating naman ng 2015, hindi lang natin mapapabilis ang biyahe mula Baclaran hanggang Bacoor kundi madadagdagan din tayo ng tinatayong 250,000 na pasahero ang maisasakay kada araw dahil sa LRT Line 1 extension. At pag hindi ho nangyari ito, nandiyan po si Secretary Abaya na mangangasiwa ng proyektong to, dalawa na kaming magpapasagasa siguro sa tren.</v>
      </c>
      <c r="F157" s="1">
        <f ca="1">IFERROR(__xludf.DUMMYFUNCTION("""COMPUTED_VALUE"""),5)</f>
        <v>5</v>
      </c>
      <c r="G157" s="1" t="str">
        <f ca="1">IFERROR(__xludf.DUMMYFUNCTION("""COMPUTED_VALUE"""),"3 mos")</f>
        <v>3 mos</v>
      </c>
      <c r="H157" s="1" t="str">
        <f ca="1">IFERROR(__xludf.DUMMYFUNCTION("""COMPUTED_VALUE"""),"comment")</f>
        <v>comment</v>
      </c>
      <c r="I157" s="2" t="str">
        <f ca="1">IFERROR(__xludf.DUMMYFUNCTION("""COMPUTED_VALUE"""),"https://www.facebook.com/rapplerdotcom/photos/a.317154781638645/5598220220198715/")</f>
        <v>https://www.facebook.com/rapplerdotcom/photos/a.317154781638645/5598220220198715/</v>
      </c>
      <c r="J157" s="1" t="str">
        <f ca="1">IFERROR(__xludf.DUMMYFUNCTION("""COMPUTED_VALUE"""),"2022-07-04T11:09:50.065Z")</f>
        <v>2022-07-04T11:09:50.065Z</v>
      </c>
    </row>
    <row r="158" spans="1:10" x14ac:dyDescent="0.2">
      <c r="A158" s="2" t="str">
        <f ca="1">IFERROR(__xludf.DUMMYFUNCTION("""COMPUTED_VALUE"""),"https://www.facebook.com/frankanthony.pataueg.1")</f>
        <v>https://www.facebook.com/frankanthony.pataueg.1</v>
      </c>
      <c r="B158" s="1" t="str">
        <f ca="1">IFERROR(__xludf.DUMMYFUNCTION("""COMPUTED_VALUE"""),"Frank Anthony Pataueg")</f>
        <v>Frank Anthony Pataueg</v>
      </c>
      <c r="C158" s="1" t="str">
        <f ca="1">IFERROR(__xludf.DUMMYFUNCTION("""COMPUTED_VALUE"""),"Frank")</f>
        <v>Frank</v>
      </c>
      <c r="D158" s="1" t="str">
        <f ca="1">IFERROR(__xludf.DUMMYFUNCTION("""COMPUTED_VALUE"""),"Anthony Pataueg")</f>
        <v>Anthony Pataueg</v>
      </c>
      <c r="E158" s="1" t="str">
        <f ca="1">IFERROR(__xludf.DUMMYFUNCTION("""COMPUTED_VALUE"""),"Olrac Yer Nadneba 2015? Are you serious? It is already in the past!? What time are you in?? Kala q si vp Lrni ang lutang 😅😂🤣")</f>
        <v>Olrac Yer Nadneba 2015? Are you serious? It is already in the past!? What time are you in?? Kala q si vp Lrni ang lutang 😅😂🤣</v>
      </c>
      <c r="F158" s="1"/>
      <c r="G158" s="1" t="str">
        <f ca="1">IFERROR(__xludf.DUMMYFUNCTION("""COMPUTED_VALUE"""),"3 mos")</f>
        <v>3 mos</v>
      </c>
      <c r="H158" s="1" t="str">
        <f ca="1">IFERROR(__xludf.DUMMYFUNCTION("""COMPUTED_VALUE"""),"reply")</f>
        <v>reply</v>
      </c>
      <c r="I158" s="2" t="str">
        <f ca="1">IFERROR(__xludf.DUMMYFUNCTION("""COMPUTED_VALUE"""),"https://www.facebook.com/rapplerdotcom/photos/a.317154781638645/5598220220198715/")</f>
        <v>https://www.facebook.com/rapplerdotcom/photos/a.317154781638645/5598220220198715/</v>
      </c>
      <c r="J158" s="1" t="str">
        <f ca="1">IFERROR(__xludf.DUMMYFUNCTION("""COMPUTED_VALUE"""),"2022-07-04T11:09:50.065Z")</f>
        <v>2022-07-04T11:09:50.065Z</v>
      </c>
    </row>
    <row r="159" spans="1:10" x14ac:dyDescent="0.2">
      <c r="A159" s="2" t="str">
        <f ca="1">IFERROR(__xludf.DUMMYFUNCTION("""COMPUTED_VALUE"""),"https://www.facebook.com/christinefamulagan")</f>
        <v>https://www.facebook.com/christinefamulagan</v>
      </c>
      <c r="B159" s="1" t="str">
        <f ca="1">IFERROR(__xludf.DUMMYFUNCTION("""COMPUTED_VALUE"""),"Tine Nagalumaf")</f>
        <v>Tine Nagalumaf</v>
      </c>
      <c r="C159" s="1" t="str">
        <f ca="1">IFERROR(__xludf.DUMMYFUNCTION("""COMPUTED_VALUE"""),"Tine")</f>
        <v>Tine</v>
      </c>
      <c r="D159" s="1" t="str">
        <f ca="1">IFERROR(__xludf.DUMMYFUNCTION("""COMPUTED_VALUE"""),"Nagalumaf")</f>
        <v>Nagalumaf</v>
      </c>
      <c r="E159" s="1" t="str">
        <f ca="1">IFERROR(__xludf.DUMMYFUNCTION("""COMPUTED_VALUE"""),"#LeniKiko2022  Empowered women for a better Philippines!")</f>
        <v>#LeniKiko2022  Empowered women for a better Philippines!</v>
      </c>
      <c r="F159" s="1">
        <f ca="1">IFERROR(__xludf.DUMMYFUNCTION("""COMPUTED_VALUE"""),11)</f>
        <v>11</v>
      </c>
      <c r="G159" s="1" t="str">
        <f ca="1">IFERROR(__xludf.DUMMYFUNCTION("""COMPUTED_VALUE"""),"3 mos")</f>
        <v>3 mos</v>
      </c>
      <c r="H159" s="1" t="str">
        <f ca="1">IFERROR(__xludf.DUMMYFUNCTION("""COMPUTED_VALUE"""),"comment")</f>
        <v>comment</v>
      </c>
      <c r="I159" s="2" t="str">
        <f ca="1">IFERROR(__xludf.DUMMYFUNCTION("""COMPUTED_VALUE"""),"https://www.facebook.com/rapplerdotcom/photos/a.317154781638645/5598220220198715/")</f>
        <v>https://www.facebook.com/rapplerdotcom/photos/a.317154781638645/5598220220198715/</v>
      </c>
      <c r="J159" s="1" t="str">
        <f ca="1">IFERROR(__xludf.DUMMYFUNCTION("""COMPUTED_VALUE"""),"2022-07-04T11:09:50.065Z")</f>
        <v>2022-07-04T11:09:50.065Z</v>
      </c>
    </row>
    <row r="160" spans="1:10" x14ac:dyDescent="0.2">
      <c r="A160" s="2" t="str">
        <f ca="1">IFERROR(__xludf.DUMMYFUNCTION("""COMPUTED_VALUE"""),"https://www.facebook.com/amalia.ledesma.56")</f>
        <v>https://www.facebook.com/amalia.ledesma.56</v>
      </c>
      <c r="B160" s="1" t="str">
        <f ca="1">IFERROR(__xludf.DUMMYFUNCTION("""COMPUTED_VALUE"""),"Amalia Ledesma")</f>
        <v>Amalia Ledesma</v>
      </c>
      <c r="C160" s="1" t="str">
        <f ca="1">IFERROR(__xludf.DUMMYFUNCTION("""COMPUTED_VALUE"""),"Amalia")</f>
        <v>Amalia</v>
      </c>
      <c r="D160" s="1" t="str">
        <f ca="1">IFERROR(__xludf.DUMMYFUNCTION("""COMPUTED_VALUE"""),"Ledesma")</f>
        <v>Ledesma</v>
      </c>
      <c r="E160" s="1" t="str">
        <f ca="1">IFERROR(__xludf.DUMMYFUNCTION("""COMPUTED_VALUE"""),"A leader we can all be proud of, can represent us all anywhere in the world with dignity and integrity, for sure she will be welcomed by all!")</f>
        <v>A leader we can all be proud of, can represent us all anywhere in the world with dignity and integrity, for sure she will be welcomed by all!</v>
      </c>
      <c r="F160" s="1">
        <f ca="1">IFERROR(__xludf.DUMMYFUNCTION("""COMPUTED_VALUE"""),46)</f>
        <v>46</v>
      </c>
      <c r="G160" s="1" t="str">
        <f ca="1">IFERROR(__xludf.DUMMYFUNCTION("""COMPUTED_VALUE"""),"3 mos")</f>
        <v>3 mos</v>
      </c>
      <c r="H160" s="1" t="str">
        <f ca="1">IFERROR(__xludf.DUMMYFUNCTION("""COMPUTED_VALUE"""),"comment")</f>
        <v>comment</v>
      </c>
      <c r="I160" s="2" t="str">
        <f ca="1">IFERROR(__xludf.DUMMYFUNCTION("""COMPUTED_VALUE"""),"https://www.facebook.com/rapplerdotcom/photos/a.317154781638645/5598220220198715/")</f>
        <v>https://www.facebook.com/rapplerdotcom/photos/a.317154781638645/5598220220198715/</v>
      </c>
      <c r="J160" s="1" t="str">
        <f ca="1">IFERROR(__xludf.DUMMYFUNCTION("""COMPUTED_VALUE"""),"2022-07-04T11:09:50.065Z")</f>
        <v>2022-07-04T11:09:50.065Z</v>
      </c>
    </row>
    <row r="161" spans="1:10" x14ac:dyDescent="0.2">
      <c r="A161" s="2" t="str">
        <f ca="1">IFERROR(__xludf.DUMMYFUNCTION("""COMPUTED_VALUE"""),"https://www.facebook.com/rosario.liang.9")</f>
        <v>https://www.facebook.com/rosario.liang.9</v>
      </c>
      <c r="B161" s="1" t="str">
        <f ca="1">IFERROR(__xludf.DUMMYFUNCTION("""COMPUTED_VALUE"""),"Rosario Liang")</f>
        <v>Rosario Liang</v>
      </c>
      <c r="C161" s="1" t="str">
        <f ca="1">IFERROR(__xludf.DUMMYFUNCTION("""COMPUTED_VALUE"""),"Rosario")</f>
        <v>Rosario</v>
      </c>
      <c r="D161" s="1" t="str">
        <f ca="1">IFERROR(__xludf.DUMMYFUNCTION("""COMPUTED_VALUE"""),"Liang")</f>
        <v>Liang</v>
      </c>
      <c r="E161" s="1" t="str">
        <f ca="1">IFERROR(__xludf.DUMMYFUNCTION("""COMPUTED_VALUE"""),"Amalia Ledesma not at all")</f>
        <v>Amalia Ledesma not at all</v>
      </c>
      <c r="F161" s="1"/>
      <c r="G161" s="1" t="str">
        <f ca="1">IFERROR(__xludf.DUMMYFUNCTION("""COMPUTED_VALUE"""),"3 mos")</f>
        <v>3 mos</v>
      </c>
      <c r="H161" s="1" t="str">
        <f ca="1">IFERROR(__xludf.DUMMYFUNCTION("""COMPUTED_VALUE"""),"reply")</f>
        <v>reply</v>
      </c>
      <c r="I161" s="2" t="str">
        <f ca="1">IFERROR(__xludf.DUMMYFUNCTION("""COMPUTED_VALUE"""),"https://www.facebook.com/rapplerdotcom/photos/a.317154781638645/5598220220198715/")</f>
        <v>https://www.facebook.com/rapplerdotcom/photos/a.317154781638645/5598220220198715/</v>
      </c>
      <c r="J161" s="1" t="str">
        <f ca="1">IFERROR(__xludf.DUMMYFUNCTION("""COMPUTED_VALUE"""),"2022-07-04T11:09:50.065Z")</f>
        <v>2022-07-04T11:09:50.065Z</v>
      </c>
    </row>
    <row r="162" spans="1:10" x14ac:dyDescent="0.2">
      <c r="A162" s="2" t="str">
        <f ca="1">IFERROR(__xludf.DUMMYFUNCTION("""COMPUTED_VALUE"""),"https://www.facebook.com/sweetverni")</f>
        <v>https://www.facebook.com/sweetverni</v>
      </c>
      <c r="B162" s="1" t="str">
        <f ca="1">IFERROR(__xludf.DUMMYFUNCTION("""COMPUTED_VALUE"""),"Sweetverni Aces")</f>
        <v>Sweetverni Aces</v>
      </c>
      <c r="C162" s="1" t="str">
        <f ca="1">IFERROR(__xludf.DUMMYFUNCTION("""COMPUTED_VALUE"""),"Sweetverni")</f>
        <v>Sweetverni</v>
      </c>
      <c r="D162" s="1" t="str">
        <f ca="1">IFERROR(__xludf.DUMMYFUNCTION("""COMPUTED_VALUE"""),"Aces")</f>
        <v>Aces</v>
      </c>
      <c r="E162" s="1" t="str">
        <f ca="1">IFERROR(__xludf.DUMMYFUNCTION("""COMPUTED_VALUE"""),"Amalia Ledesma 🌸🌸🍀🍀I agree... indeed, stars are at their brightest in the darkest of nights.  Mga TALA NG PAG-ASA, not just for economic but also for MORAL RECOVERY... 🍀🍀🌸🌸 lenirobredo.com")</f>
        <v>Amalia Ledesma 🌸🌸🍀🍀I agree... indeed, stars are at their brightest in the darkest of nights.  Mga TALA NG PAG-ASA, not just for economic but also for MORAL RECOVERY... 🍀🍀🌸🌸 lenirobredo.com</v>
      </c>
      <c r="F162" s="1"/>
      <c r="G162" s="1" t="str">
        <f ca="1">IFERROR(__xludf.DUMMYFUNCTION("""COMPUTED_VALUE"""),"3 mos")</f>
        <v>3 mos</v>
      </c>
      <c r="H162" s="1" t="str">
        <f ca="1">IFERROR(__xludf.DUMMYFUNCTION("""COMPUTED_VALUE"""),"reply")</f>
        <v>reply</v>
      </c>
      <c r="I162" s="2" t="str">
        <f ca="1">IFERROR(__xludf.DUMMYFUNCTION("""COMPUTED_VALUE"""),"https://www.facebook.com/rapplerdotcom/photos/a.317154781638645/5598220220198715/")</f>
        <v>https://www.facebook.com/rapplerdotcom/photos/a.317154781638645/5598220220198715/</v>
      </c>
      <c r="J162" s="1" t="str">
        <f ca="1">IFERROR(__xludf.DUMMYFUNCTION("""COMPUTED_VALUE"""),"2022-07-04T11:09:50.065Z")</f>
        <v>2022-07-04T11:09:50.065Z</v>
      </c>
    </row>
    <row r="163" spans="1:10" x14ac:dyDescent="0.2">
      <c r="A163" s="2" t="str">
        <f ca="1">IFERROR(__xludf.DUMMYFUNCTION("""COMPUTED_VALUE"""),"https://www.facebook.com/marilen.estaniel")</f>
        <v>https://www.facebook.com/marilen.estaniel</v>
      </c>
      <c r="B163" s="1" t="str">
        <f ca="1">IFERROR(__xludf.DUMMYFUNCTION("""COMPUTED_VALUE"""),"Marilen Reyes- Estaniel")</f>
        <v>Marilen Reyes- Estaniel</v>
      </c>
      <c r="C163" s="1" t="str">
        <f ca="1">IFERROR(__xludf.DUMMYFUNCTION("""COMPUTED_VALUE"""),"Marilen")</f>
        <v>Marilen</v>
      </c>
      <c r="D163" s="1" t="str">
        <f ca="1">IFERROR(__xludf.DUMMYFUNCTION("""COMPUTED_VALUE"""),"Reyes- Estaniel")</f>
        <v>Reyes- Estaniel</v>
      </c>
      <c r="E163" s="1" t="str">
        <f ca="1">IFERROR(__xludf.DUMMYFUNCTION("""COMPUTED_VALUE"""),"Both fearless, dignified, respectable, and have genuine love for our country.")</f>
        <v>Both fearless, dignified, respectable, and have genuine love for our country.</v>
      </c>
      <c r="F163" s="1">
        <f ca="1">IFERROR(__xludf.DUMMYFUNCTION("""COMPUTED_VALUE"""),41)</f>
        <v>41</v>
      </c>
      <c r="G163" s="1" t="str">
        <f ca="1">IFERROR(__xludf.DUMMYFUNCTION("""COMPUTED_VALUE"""),"3 mos")</f>
        <v>3 mos</v>
      </c>
      <c r="H163" s="1" t="str">
        <f ca="1">IFERROR(__xludf.DUMMYFUNCTION("""COMPUTED_VALUE"""),"comment")</f>
        <v>comment</v>
      </c>
      <c r="I163" s="2" t="str">
        <f ca="1">IFERROR(__xludf.DUMMYFUNCTION("""COMPUTED_VALUE"""),"https://www.facebook.com/rapplerdotcom/photos/a.317154781638645/5598220220198715/")</f>
        <v>https://www.facebook.com/rapplerdotcom/photos/a.317154781638645/5598220220198715/</v>
      </c>
      <c r="J163" s="1" t="str">
        <f ca="1">IFERROR(__xludf.DUMMYFUNCTION("""COMPUTED_VALUE"""),"2022-07-04T11:09:50.065Z")</f>
        <v>2022-07-04T11:09:50.065Z</v>
      </c>
    </row>
    <row r="164" spans="1:10" x14ac:dyDescent="0.2">
      <c r="A164" s="2" t="str">
        <f ca="1">IFERROR(__xludf.DUMMYFUNCTION("""COMPUTED_VALUE"""),"https://www.facebook.com/profile.php?id=100079089531211")</f>
        <v>https://www.facebook.com/profile.php?id=100079089531211</v>
      </c>
      <c r="B164" s="1" t="str">
        <f ca="1">IFERROR(__xludf.DUMMYFUNCTION("""COMPUTED_VALUE"""),"Judy B Lusa")</f>
        <v>Judy B Lusa</v>
      </c>
      <c r="C164" s="1" t="str">
        <f ca="1">IFERROR(__xludf.DUMMYFUNCTION("""COMPUTED_VALUE"""),"Judy")</f>
        <v>Judy</v>
      </c>
      <c r="D164" s="1" t="str">
        <f ca="1">IFERROR(__xludf.DUMMYFUNCTION("""COMPUTED_VALUE"""),"B Lusa")</f>
        <v>B Lusa</v>
      </c>
      <c r="E164" s="1" t="str">
        <f ca="1">IFERROR(__xludf.DUMMYFUNCTION("""COMPUTED_VALUE"""),"Marilen Reyes- Estaniel Kay scripted gud why man ma scared")</f>
        <v>Marilen Reyes- Estaniel Kay scripted gud why man ma scared</v>
      </c>
      <c r="F164" s="1"/>
      <c r="G164" s="1" t="str">
        <f ca="1">IFERROR(__xludf.DUMMYFUNCTION("""COMPUTED_VALUE"""),"3 mos")</f>
        <v>3 mos</v>
      </c>
      <c r="H164" s="1" t="str">
        <f ca="1">IFERROR(__xludf.DUMMYFUNCTION("""COMPUTED_VALUE"""),"reply")</f>
        <v>reply</v>
      </c>
      <c r="I164" s="2" t="str">
        <f ca="1">IFERROR(__xludf.DUMMYFUNCTION("""COMPUTED_VALUE"""),"https://www.facebook.com/rapplerdotcom/photos/a.317154781638645/5598220220198715/")</f>
        <v>https://www.facebook.com/rapplerdotcom/photos/a.317154781638645/5598220220198715/</v>
      </c>
      <c r="J164" s="1" t="str">
        <f ca="1">IFERROR(__xludf.DUMMYFUNCTION("""COMPUTED_VALUE"""),"2022-07-04T11:09:50.065Z")</f>
        <v>2022-07-04T11:09:50.065Z</v>
      </c>
    </row>
    <row r="165" spans="1:10" x14ac:dyDescent="0.2">
      <c r="A165" s="2" t="str">
        <f ca="1">IFERROR(__xludf.DUMMYFUNCTION("""COMPUTED_VALUE"""),"https://www.facebook.com/mais.korni.9")</f>
        <v>https://www.facebook.com/mais.korni.9</v>
      </c>
      <c r="B165" s="1" t="str">
        <f ca="1">IFERROR(__xludf.DUMMYFUNCTION("""COMPUTED_VALUE"""),"Badder Lee")</f>
        <v>Badder Lee</v>
      </c>
      <c r="C165" s="1" t="str">
        <f ca="1">IFERROR(__xludf.DUMMYFUNCTION("""COMPUTED_VALUE"""),"Badder")</f>
        <v>Badder</v>
      </c>
      <c r="D165" s="1" t="str">
        <f ca="1">IFERROR(__xludf.DUMMYFUNCTION("""COMPUTED_VALUE"""),"Lee")</f>
        <v>Lee</v>
      </c>
      <c r="E165" s="1" t="str">
        <f ca="1">IFERROR(__xludf.DUMMYFUNCTION("""COMPUTED_VALUE"""),"Marilen Reyes- Estaniel both fearless, both dignified, both US Funded")</f>
        <v>Marilen Reyes- Estaniel both fearless, both dignified, both US Funded</v>
      </c>
      <c r="F165" s="1"/>
      <c r="G165" s="1" t="str">
        <f ca="1">IFERROR(__xludf.DUMMYFUNCTION("""COMPUTED_VALUE"""),"3 mos")</f>
        <v>3 mos</v>
      </c>
      <c r="H165" s="1" t="str">
        <f ca="1">IFERROR(__xludf.DUMMYFUNCTION("""COMPUTED_VALUE"""),"reply")</f>
        <v>reply</v>
      </c>
      <c r="I165" s="2" t="str">
        <f ca="1">IFERROR(__xludf.DUMMYFUNCTION("""COMPUTED_VALUE"""),"https://www.facebook.com/rapplerdotcom/photos/a.317154781638645/5598220220198715/")</f>
        <v>https://www.facebook.com/rapplerdotcom/photos/a.317154781638645/5598220220198715/</v>
      </c>
      <c r="J165" s="1" t="str">
        <f ca="1">IFERROR(__xludf.DUMMYFUNCTION("""COMPUTED_VALUE"""),"2022-07-04T11:09:50.065Z")</f>
        <v>2022-07-04T11:09:50.065Z</v>
      </c>
    </row>
    <row r="166" spans="1:10" x14ac:dyDescent="0.2">
      <c r="A166" s="2" t="str">
        <f ca="1">IFERROR(__xludf.DUMMYFUNCTION("""COMPUTED_VALUE"""),"https://www.facebook.com/denia.b.gatdula")</f>
        <v>https://www.facebook.com/denia.b.gatdula</v>
      </c>
      <c r="B166" s="1" t="str">
        <f ca="1">IFERROR(__xludf.DUMMYFUNCTION("""COMPUTED_VALUE"""),"Denia Biboso Gatdula")</f>
        <v>Denia Biboso Gatdula</v>
      </c>
      <c r="C166" s="1" t="str">
        <f ca="1">IFERROR(__xludf.DUMMYFUNCTION("""COMPUTED_VALUE"""),"Denia")</f>
        <v>Denia</v>
      </c>
      <c r="D166" s="1" t="str">
        <f ca="1">IFERROR(__xludf.DUMMYFUNCTION("""COMPUTED_VALUE"""),"Biboso Gatdula")</f>
        <v>Biboso Gatdula</v>
      </c>
      <c r="E166" s="1" t="str">
        <f ca="1">IFERROR(__xludf.DUMMYFUNCTION("""COMPUTED_VALUE"""),"2 intellectual women of  dignity standing for what is right for the benefits of fellowmen and country💞")</f>
        <v>2 intellectual women of  dignity standing for what is right for the benefits of fellowmen and country💞</v>
      </c>
      <c r="F166" s="1">
        <f ca="1">IFERROR(__xludf.DUMMYFUNCTION("""COMPUTED_VALUE"""),59)</f>
        <v>59</v>
      </c>
      <c r="G166" s="1" t="str">
        <f ca="1">IFERROR(__xludf.DUMMYFUNCTION("""COMPUTED_VALUE"""),"3 mos")</f>
        <v>3 mos</v>
      </c>
      <c r="H166" s="1" t="str">
        <f ca="1">IFERROR(__xludf.DUMMYFUNCTION("""COMPUTED_VALUE"""),"comment")</f>
        <v>comment</v>
      </c>
      <c r="I166" s="2" t="str">
        <f ca="1">IFERROR(__xludf.DUMMYFUNCTION("""COMPUTED_VALUE"""),"https://www.facebook.com/rapplerdotcom/photos/a.317154781638645/5598220220198715/")</f>
        <v>https://www.facebook.com/rapplerdotcom/photos/a.317154781638645/5598220220198715/</v>
      </c>
      <c r="J166" s="1" t="str">
        <f ca="1">IFERROR(__xludf.DUMMYFUNCTION("""COMPUTED_VALUE"""),"2022-07-04T11:09:50.065Z")</f>
        <v>2022-07-04T11:09:50.065Z</v>
      </c>
    </row>
    <row r="167" spans="1:10" x14ac:dyDescent="0.2">
      <c r="A167" s="2" t="str">
        <f ca="1">IFERROR(__xludf.DUMMYFUNCTION("""COMPUTED_VALUE"""),"https://www.facebook.com/bayani.manlongat")</f>
        <v>https://www.facebook.com/bayani.manlongat</v>
      </c>
      <c r="B167" s="1" t="str">
        <f ca="1">IFERROR(__xludf.DUMMYFUNCTION("""COMPUTED_VALUE"""),"Bayani De Guzman Manlongat")</f>
        <v>Bayani De Guzman Manlongat</v>
      </c>
      <c r="C167" s="1" t="str">
        <f ca="1">IFERROR(__xludf.DUMMYFUNCTION("""COMPUTED_VALUE"""),"Bayani")</f>
        <v>Bayani</v>
      </c>
      <c r="D167" s="1" t="str">
        <f ca="1">IFERROR(__xludf.DUMMYFUNCTION("""COMPUTED_VALUE"""),"De Guzman Manlongat")</f>
        <v>De Guzman Manlongat</v>
      </c>
      <c r="E167" s="1" t="str">
        <f ca="1">IFERROR(__xludf.DUMMYFUNCTION("""COMPUTED_VALUE"""),"From ""A Thousand Cuts"" to ""A Thousand Smiles"". Kudos to you both, ACHIEVERS in your own rights.")</f>
        <v>From "A Thousand Cuts" to "A Thousand Smiles". Kudos to you both, ACHIEVERS in your own rights.</v>
      </c>
      <c r="F167" s="1">
        <f ca="1">IFERROR(__xludf.DUMMYFUNCTION("""COMPUTED_VALUE"""),30)</f>
        <v>30</v>
      </c>
      <c r="G167" s="1" t="str">
        <f ca="1">IFERROR(__xludf.DUMMYFUNCTION("""COMPUTED_VALUE"""),"3 mos")</f>
        <v>3 mos</v>
      </c>
      <c r="H167" s="1" t="str">
        <f ca="1">IFERROR(__xludf.DUMMYFUNCTION("""COMPUTED_VALUE"""),"comment")</f>
        <v>comment</v>
      </c>
      <c r="I167" s="2" t="str">
        <f ca="1">IFERROR(__xludf.DUMMYFUNCTION("""COMPUTED_VALUE"""),"https://www.facebook.com/rapplerdotcom/photos/a.317154781638645/5598220220198715/")</f>
        <v>https://www.facebook.com/rapplerdotcom/photos/a.317154781638645/5598220220198715/</v>
      </c>
      <c r="J167" s="1" t="str">
        <f ca="1">IFERROR(__xludf.DUMMYFUNCTION("""COMPUTED_VALUE"""),"2022-07-04T11:09:50.065Z")</f>
        <v>2022-07-04T11:09:50.065Z</v>
      </c>
    </row>
    <row r="168" spans="1:10" x14ac:dyDescent="0.2">
      <c r="A168" s="2" t="str">
        <f ca="1">IFERROR(__xludf.DUMMYFUNCTION("""COMPUTED_VALUE"""),"https://www.facebook.com/maria.delapena.714")</f>
        <v>https://www.facebook.com/maria.delapena.714</v>
      </c>
      <c r="B168" s="1" t="str">
        <f ca="1">IFERROR(__xludf.DUMMYFUNCTION("""COMPUTED_VALUE"""),"Maria Dela Pena")</f>
        <v>Maria Dela Pena</v>
      </c>
      <c r="C168" s="1" t="str">
        <f ca="1">IFERROR(__xludf.DUMMYFUNCTION("""COMPUTED_VALUE"""),"Maria")</f>
        <v>Maria</v>
      </c>
      <c r="D168" s="1" t="str">
        <f ca="1">IFERROR(__xludf.DUMMYFUNCTION("""COMPUTED_VALUE"""),"Dela Pena")</f>
        <v>Dela Pena</v>
      </c>
      <c r="E168" s="1" t="str">
        <f ca="1">IFERROR(__xludf.DUMMYFUNCTION("""COMPUTED_VALUE"""),"Both have courage and conviction. # Lenikikoteam2022")</f>
        <v>Both have courage and conviction. # Lenikikoteam2022</v>
      </c>
      <c r="F168" s="1">
        <f ca="1">IFERROR(__xludf.DUMMYFUNCTION("""COMPUTED_VALUE"""),35)</f>
        <v>35</v>
      </c>
      <c r="G168" s="1" t="str">
        <f ca="1">IFERROR(__xludf.DUMMYFUNCTION("""COMPUTED_VALUE"""),"3 mos")</f>
        <v>3 mos</v>
      </c>
      <c r="H168" s="1" t="str">
        <f ca="1">IFERROR(__xludf.DUMMYFUNCTION("""COMPUTED_VALUE"""),"comment")</f>
        <v>comment</v>
      </c>
      <c r="I168" s="2" t="str">
        <f ca="1">IFERROR(__xludf.DUMMYFUNCTION("""COMPUTED_VALUE"""),"https://www.facebook.com/rapplerdotcom/photos/a.317154781638645/5598220220198715/")</f>
        <v>https://www.facebook.com/rapplerdotcom/photos/a.317154781638645/5598220220198715/</v>
      </c>
      <c r="J168" s="1" t="str">
        <f ca="1">IFERROR(__xludf.DUMMYFUNCTION("""COMPUTED_VALUE"""),"2022-07-04T11:09:50.065Z")</f>
        <v>2022-07-04T11:09:50.065Z</v>
      </c>
    </row>
    <row r="169" spans="1:10" x14ac:dyDescent="0.2">
      <c r="A169" s="2" t="str">
        <f ca="1">IFERROR(__xludf.DUMMYFUNCTION("""COMPUTED_VALUE"""),"https://www.facebook.com/priscila.matocinos.5")</f>
        <v>https://www.facebook.com/priscila.matocinos.5</v>
      </c>
      <c r="B169" s="1" t="str">
        <f ca="1">IFERROR(__xludf.DUMMYFUNCTION("""COMPUTED_VALUE"""),"Priscila Matociños")</f>
        <v>Priscila Matociños</v>
      </c>
      <c r="C169" s="1" t="str">
        <f ca="1">IFERROR(__xludf.DUMMYFUNCTION("""COMPUTED_VALUE"""),"Priscila")</f>
        <v>Priscila</v>
      </c>
      <c r="D169" s="1" t="str">
        <f ca="1">IFERROR(__xludf.DUMMYFUNCTION("""COMPUTED_VALUE"""),"Matociños")</f>
        <v>Matociños</v>
      </c>
      <c r="E169" s="1" t="str">
        <f ca="1">IFERROR(__xludf.DUMMYFUNCTION("""COMPUTED_VALUE"""),"Two women fight for the Truth and Good Governance ,God Bless both of u and the whole worl.")</f>
        <v>Two women fight for the Truth and Good Governance ,God Bless both of u and the whole worl.</v>
      </c>
      <c r="F169" s="1"/>
      <c r="G169" s="1" t="str">
        <f ca="1">IFERROR(__xludf.DUMMYFUNCTION("""COMPUTED_VALUE"""),"3 mos")</f>
        <v>3 mos</v>
      </c>
      <c r="H169" s="1" t="str">
        <f ca="1">IFERROR(__xludf.DUMMYFUNCTION("""COMPUTED_VALUE"""),"comment")</f>
        <v>comment</v>
      </c>
      <c r="I169" s="2" t="str">
        <f ca="1">IFERROR(__xludf.DUMMYFUNCTION("""COMPUTED_VALUE"""),"https://www.facebook.com/rapplerdotcom/photos/a.317154781638645/5598220220198715/")</f>
        <v>https://www.facebook.com/rapplerdotcom/photos/a.317154781638645/5598220220198715/</v>
      </c>
      <c r="J169" s="1" t="str">
        <f ca="1">IFERROR(__xludf.DUMMYFUNCTION("""COMPUTED_VALUE"""),"2022-07-04T11:09:50.065Z")</f>
        <v>2022-07-04T11:09:50.065Z</v>
      </c>
    </row>
    <row r="170" spans="1:10" x14ac:dyDescent="0.2">
      <c r="A170" s="2" t="str">
        <f ca="1">IFERROR(__xludf.DUMMYFUNCTION("""COMPUTED_VALUE"""),"https://www.facebook.com/lutgarda.duenas")</f>
        <v>https://www.facebook.com/lutgarda.duenas</v>
      </c>
      <c r="B170" s="1" t="str">
        <f ca="1">IFERROR(__xludf.DUMMYFUNCTION("""COMPUTED_VALUE"""),"Lutgarda Duenas")</f>
        <v>Lutgarda Duenas</v>
      </c>
      <c r="C170" s="1" t="str">
        <f ca="1">IFERROR(__xludf.DUMMYFUNCTION("""COMPUTED_VALUE"""),"Lutgarda")</f>
        <v>Lutgarda</v>
      </c>
      <c r="D170" s="1" t="str">
        <f ca="1">IFERROR(__xludf.DUMMYFUNCTION("""COMPUTED_VALUE"""),"Duenas")</f>
        <v>Duenas</v>
      </c>
      <c r="E170" s="1" t="str">
        <f ca="1">IFERROR(__xludf.DUMMYFUNCTION("""COMPUTED_VALUE"""),"Thank you Lord for d strong women fight for good givernance..God bless...")</f>
        <v>Thank you Lord for d strong women fight for good givernance..God bless...</v>
      </c>
      <c r="F170" s="1">
        <f ca="1">IFERROR(__xludf.DUMMYFUNCTION("""COMPUTED_VALUE"""),3)</f>
        <v>3</v>
      </c>
      <c r="G170" s="1" t="str">
        <f ca="1">IFERROR(__xludf.DUMMYFUNCTION("""COMPUTED_VALUE"""),"3 mos")</f>
        <v>3 mos</v>
      </c>
      <c r="H170" s="1" t="str">
        <f ca="1">IFERROR(__xludf.DUMMYFUNCTION("""COMPUTED_VALUE"""),"comment")</f>
        <v>comment</v>
      </c>
      <c r="I170" s="2" t="str">
        <f ca="1">IFERROR(__xludf.DUMMYFUNCTION("""COMPUTED_VALUE"""),"https://www.facebook.com/rapplerdotcom/photos/a.317154781638645/5598220220198715/")</f>
        <v>https://www.facebook.com/rapplerdotcom/photos/a.317154781638645/5598220220198715/</v>
      </c>
      <c r="J170" s="1" t="str">
        <f ca="1">IFERROR(__xludf.DUMMYFUNCTION("""COMPUTED_VALUE"""),"2022-07-04T11:09:50.065Z")</f>
        <v>2022-07-04T11:09:50.065Z</v>
      </c>
    </row>
    <row r="171" spans="1:10" x14ac:dyDescent="0.2">
      <c r="A171" s="2" t="str">
        <f ca="1">IFERROR(__xludf.DUMMYFUNCTION("""COMPUTED_VALUE"""),"https://www.facebook.com/profile.php?id=100004073401228")</f>
        <v>https://www.facebook.com/profile.php?id=100004073401228</v>
      </c>
      <c r="B171" s="1" t="str">
        <f ca="1">IFERROR(__xludf.DUMMYFUNCTION("""COMPUTED_VALUE"""),"Cely Urbiztondo")</f>
        <v>Cely Urbiztondo</v>
      </c>
      <c r="C171" s="1" t="str">
        <f ca="1">IFERROR(__xludf.DUMMYFUNCTION("""COMPUTED_VALUE"""),"Cely")</f>
        <v>Cely</v>
      </c>
      <c r="D171" s="1" t="str">
        <f ca="1">IFERROR(__xludf.DUMMYFUNCTION("""COMPUTED_VALUE"""),"Urbiztondo")</f>
        <v>Urbiztondo</v>
      </c>
      <c r="E171" s="1" t="str">
        <f ca="1">IFERROR(__xludf.DUMMYFUNCTION("""COMPUTED_VALUE"""),"Two great women of different works and achievements in their respective fields.")</f>
        <v>Two great women of different works and achievements in their respective fields.</v>
      </c>
      <c r="F171" s="1">
        <f ca="1">IFERROR(__xludf.DUMMYFUNCTION("""COMPUTED_VALUE"""),2)</f>
        <v>2</v>
      </c>
      <c r="G171" s="1" t="str">
        <f ca="1">IFERROR(__xludf.DUMMYFUNCTION("""COMPUTED_VALUE"""),"3 mos")</f>
        <v>3 mos</v>
      </c>
      <c r="H171" s="1" t="str">
        <f ca="1">IFERROR(__xludf.DUMMYFUNCTION("""COMPUTED_VALUE"""),"comment")</f>
        <v>comment</v>
      </c>
      <c r="I171" s="2" t="str">
        <f ca="1">IFERROR(__xludf.DUMMYFUNCTION("""COMPUTED_VALUE"""),"https://www.facebook.com/rapplerdotcom/photos/a.317154781638645/5598220220198715/")</f>
        <v>https://www.facebook.com/rapplerdotcom/photos/a.317154781638645/5598220220198715/</v>
      </c>
      <c r="J171" s="1" t="str">
        <f ca="1">IFERROR(__xludf.DUMMYFUNCTION("""COMPUTED_VALUE"""),"2022-07-04T11:09:50.065Z")</f>
        <v>2022-07-04T11:09:50.065Z</v>
      </c>
    </row>
    <row r="172" spans="1:10" x14ac:dyDescent="0.2">
      <c r="A172" s="2" t="str">
        <f ca="1">IFERROR(__xludf.DUMMYFUNCTION("""COMPUTED_VALUE"""),"https://www.facebook.com/titomendiola345")</f>
        <v>https://www.facebook.com/titomendiola345</v>
      </c>
      <c r="B172" s="1" t="str">
        <f ca="1">IFERROR(__xludf.DUMMYFUNCTION("""COMPUTED_VALUE"""),"Tito Mendiola")</f>
        <v>Tito Mendiola</v>
      </c>
      <c r="C172" s="1" t="str">
        <f ca="1">IFERROR(__xludf.DUMMYFUNCTION("""COMPUTED_VALUE"""),"Tito")</f>
        <v>Tito</v>
      </c>
      <c r="D172" s="1" t="str">
        <f ca="1">IFERROR(__xludf.DUMMYFUNCTION("""COMPUTED_VALUE"""),"Mendiola")</f>
        <v>Mendiola</v>
      </c>
      <c r="E172" s="1" t="str">
        <f ca="1">IFERROR(__xludf.DUMMYFUNCTION("""COMPUTED_VALUE"""),"The most qualified to lead the nation.")</f>
        <v>The most qualified to lead the nation.</v>
      </c>
      <c r="F172" s="1">
        <f ca="1">IFERROR(__xludf.DUMMYFUNCTION("""COMPUTED_VALUE"""),1)</f>
        <v>1</v>
      </c>
      <c r="G172" s="1" t="str">
        <f ca="1">IFERROR(__xludf.DUMMYFUNCTION("""COMPUTED_VALUE"""),"3 mos")</f>
        <v>3 mos</v>
      </c>
      <c r="H172" s="1" t="str">
        <f ca="1">IFERROR(__xludf.DUMMYFUNCTION("""COMPUTED_VALUE"""),"comment")</f>
        <v>comment</v>
      </c>
      <c r="I172" s="2" t="str">
        <f ca="1">IFERROR(__xludf.DUMMYFUNCTION("""COMPUTED_VALUE"""),"https://www.facebook.com/rapplerdotcom/photos/a.317154781638645/5598220220198715/")</f>
        <v>https://www.facebook.com/rapplerdotcom/photos/a.317154781638645/5598220220198715/</v>
      </c>
      <c r="J172" s="1" t="str">
        <f ca="1">IFERROR(__xludf.DUMMYFUNCTION("""COMPUTED_VALUE"""),"2022-07-04T11:09:50.065Z")</f>
        <v>2022-07-04T11:09:50.065Z</v>
      </c>
    </row>
    <row r="173" spans="1:10" x14ac:dyDescent="0.2">
      <c r="A173" s="2" t="str">
        <f ca="1">IFERROR(__xludf.DUMMYFUNCTION("""COMPUTED_VALUE"""),"https://www.facebook.com/marah.dominguez")</f>
        <v>https://www.facebook.com/marah.dominguez</v>
      </c>
      <c r="B173" s="1" t="str">
        <f ca="1">IFERROR(__xludf.DUMMYFUNCTION("""COMPUTED_VALUE"""),"Marah Fabreag Dominguez")</f>
        <v>Marah Fabreag Dominguez</v>
      </c>
      <c r="C173" s="1" t="str">
        <f ca="1">IFERROR(__xludf.DUMMYFUNCTION("""COMPUTED_VALUE"""),"Marah")</f>
        <v>Marah</v>
      </c>
      <c r="D173" s="1" t="str">
        <f ca="1">IFERROR(__xludf.DUMMYFUNCTION("""COMPUTED_VALUE"""),"Fabreag Dominguez")</f>
        <v>Fabreag Dominguez</v>
      </c>
      <c r="E173" s="1" t="str">
        <f ca="1">IFERROR(__xludf.DUMMYFUNCTION("""COMPUTED_VALUE"""),"Two strong and dignified women 😍😍")</f>
        <v>Two strong and dignified women 😍😍</v>
      </c>
      <c r="F173" s="1">
        <f ca="1">IFERROR(__xludf.DUMMYFUNCTION("""COMPUTED_VALUE"""),8)</f>
        <v>8</v>
      </c>
      <c r="G173" s="1" t="str">
        <f ca="1">IFERROR(__xludf.DUMMYFUNCTION("""COMPUTED_VALUE"""),"3 mos")</f>
        <v>3 mos</v>
      </c>
      <c r="H173" s="1" t="str">
        <f ca="1">IFERROR(__xludf.DUMMYFUNCTION("""COMPUTED_VALUE"""),"comment")</f>
        <v>comment</v>
      </c>
      <c r="I173" s="2" t="str">
        <f ca="1">IFERROR(__xludf.DUMMYFUNCTION("""COMPUTED_VALUE"""),"https://www.facebook.com/rapplerdotcom/photos/a.317154781638645/5598220220198715/")</f>
        <v>https://www.facebook.com/rapplerdotcom/photos/a.317154781638645/5598220220198715/</v>
      </c>
      <c r="J173" s="1" t="str">
        <f ca="1">IFERROR(__xludf.DUMMYFUNCTION("""COMPUTED_VALUE"""),"2022-07-04T11:09:50.065Z")</f>
        <v>2022-07-04T11:09:50.065Z</v>
      </c>
    </row>
    <row r="174" spans="1:10" x14ac:dyDescent="0.2">
      <c r="A174" s="2" t="str">
        <f ca="1">IFERROR(__xludf.DUMMYFUNCTION("""COMPUTED_VALUE"""),"https://www.facebook.com/araceli.abellar.16")</f>
        <v>https://www.facebook.com/araceli.abellar.16</v>
      </c>
      <c r="B174" s="1" t="str">
        <f ca="1">IFERROR(__xludf.DUMMYFUNCTION("""COMPUTED_VALUE"""),"Araceli Abellar")</f>
        <v>Araceli Abellar</v>
      </c>
      <c r="C174" s="1" t="str">
        <f ca="1">IFERROR(__xludf.DUMMYFUNCTION("""COMPUTED_VALUE"""),"Araceli")</f>
        <v>Araceli</v>
      </c>
      <c r="D174" s="1" t="str">
        <f ca="1">IFERROR(__xludf.DUMMYFUNCTION("""COMPUTED_VALUE"""),"Abellar")</f>
        <v>Abellar</v>
      </c>
      <c r="E174" s="1" t="str">
        <f ca="1">IFERROR(__xludf.DUMMYFUNCTION("""COMPUTED_VALUE"""),"Yes to good governance.")</f>
        <v>Yes to good governance.</v>
      </c>
      <c r="F174" s="1">
        <f ca="1">IFERROR(__xludf.DUMMYFUNCTION("""COMPUTED_VALUE"""),1)</f>
        <v>1</v>
      </c>
      <c r="G174" s="1" t="str">
        <f ca="1">IFERROR(__xludf.DUMMYFUNCTION("""COMPUTED_VALUE"""),"3 mos")</f>
        <v>3 mos</v>
      </c>
      <c r="H174" s="1" t="str">
        <f ca="1">IFERROR(__xludf.DUMMYFUNCTION("""COMPUTED_VALUE"""),"comment")</f>
        <v>comment</v>
      </c>
      <c r="I174" s="2" t="str">
        <f ca="1">IFERROR(__xludf.DUMMYFUNCTION("""COMPUTED_VALUE"""),"https://www.facebook.com/rapplerdotcom/photos/a.317154781638645/5598220220198715/")</f>
        <v>https://www.facebook.com/rapplerdotcom/photos/a.317154781638645/5598220220198715/</v>
      </c>
      <c r="J174" s="1" t="str">
        <f ca="1">IFERROR(__xludf.DUMMYFUNCTION("""COMPUTED_VALUE"""),"2022-07-04T11:09:50.065Z")</f>
        <v>2022-07-04T11:09:50.065Z</v>
      </c>
    </row>
    <row r="175" spans="1:10" x14ac:dyDescent="0.2">
      <c r="A175" s="2" t="str">
        <f ca="1">IFERROR(__xludf.DUMMYFUNCTION("""COMPUTED_VALUE"""),"https://www.facebook.com/jefferson.yabut")</f>
        <v>https://www.facebook.com/jefferson.yabut</v>
      </c>
      <c r="B175" s="1" t="str">
        <f ca="1">IFERROR(__xludf.DUMMYFUNCTION("""COMPUTED_VALUE"""),"Jeff Yabut")</f>
        <v>Jeff Yabut</v>
      </c>
      <c r="C175" s="1" t="str">
        <f ca="1">IFERROR(__xludf.DUMMYFUNCTION("""COMPUTED_VALUE"""),"Jeff")</f>
        <v>Jeff</v>
      </c>
      <c r="D175" s="1" t="str">
        <f ca="1">IFERROR(__xludf.DUMMYFUNCTION("""COMPUTED_VALUE"""),"Yabut")</f>
        <v>Yabut</v>
      </c>
      <c r="E175" s="1" t="str">
        <f ca="1">IFERROR(__xludf.DUMMYFUNCTION("""COMPUTED_VALUE"""),"Epitome of truth &amp; integrity in one frame. Powerful women! 🤍💗")</f>
        <v>Epitome of truth &amp; integrity in one frame. Powerful women! 🤍💗</v>
      </c>
      <c r="F175" s="1">
        <f ca="1">IFERROR(__xludf.DUMMYFUNCTION("""COMPUTED_VALUE"""),23)</f>
        <v>23</v>
      </c>
      <c r="G175" s="1" t="str">
        <f ca="1">IFERROR(__xludf.DUMMYFUNCTION("""COMPUTED_VALUE"""),"3 mos")</f>
        <v>3 mos</v>
      </c>
      <c r="H175" s="1" t="str">
        <f ca="1">IFERROR(__xludf.DUMMYFUNCTION("""COMPUTED_VALUE"""),"comment")</f>
        <v>comment</v>
      </c>
      <c r="I175" s="2" t="str">
        <f ca="1">IFERROR(__xludf.DUMMYFUNCTION("""COMPUTED_VALUE"""),"https://www.facebook.com/rapplerdotcom/photos/a.317154781638645/5598220220198715/")</f>
        <v>https://www.facebook.com/rapplerdotcom/photos/a.317154781638645/5598220220198715/</v>
      </c>
      <c r="J175" s="1" t="str">
        <f ca="1">IFERROR(__xludf.DUMMYFUNCTION("""COMPUTED_VALUE"""),"2022-07-04T11:09:50.065Z")</f>
        <v>2022-07-04T11:09:50.065Z</v>
      </c>
    </row>
    <row r="176" spans="1:10" x14ac:dyDescent="0.2">
      <c r="A176" s="2" t="str">
        <f ca="1">IFERROR(__xludf.DUMMYFUNCTION("""COMPUTED_VALUE"""),"https://www.facebook.com/ofelia529")</f>
        <v>https://www.facebook.com/ofelia529</v>
      </c>
      <c r="B176" s="1" t="str">
        <f ca="1">IFERROR(__xludf.DUMMYFUNCTION("""COMPUTED_VALUE"""),"オフェリア 海石榴")</f>
        <v>オフェリア 海石榴</v>
      </c>
      <c r="C176" s="1" t="str">
        <f ca="1">IFERROR(__xludf.DUMMYFUNCTION("""COMPUTED_VALUE"""),"オフェリア")</f>
        <v>オフェリア</v>
      </c>
      <c r="D176" s="1" t="str">
        <f ca="1">IFERROR(__xludf.DUMMYFUNCTION("""COMPUTED_VALUE"""),"海石榴")</f>
        <v>海石榴</v>
      </c>
      <c r="E176" s="1" t="str">
        <f ca="1">IFERROR(__xludf.DUMMYFUNCTION("""COMPUTED_VALUE"""),"Strong women, both with best intentions for our country! May your tribe increase!")</f>
        <v>Strong women, both with best intentions for our country! May your tribe increase!</v>
      </c>
      <c r="F176" s="1">
        <f ca="1">IFERROR(__xludf.DUMMYFUNCTION("""COMPUTED_VALUE"""),2)</f>
        <v>2</v>
      </c>
      <c r="G176" s="1" t="str">
        <f ca="1">IFERROR(__xludf.DUMMYFUNCTION("""COMPUTED_VALUE"""),"3 mos")</f>
        <v>3 mos</v>
      </c>
      <c r="H176" s="1" t="str">
        <f ca="1">IFERROR(__xludf.DUMMYFUNCTION("""COMPUTED_VALUE"""),"comment")</f>
        <v>comment</v>
      </c>
      <c r="I176" s="2" t="str">
        <f ca="1">IFERROR(__xludf.DUMMYFUNCTION("""COMPUTED_VALUE"""),"https://www.facebook.com/rapplerdotcom/photos/a.317154781638645/5598220220198715/")</f>
        <v>https://www.facebook.com/rapplerdotcom/photos/a.317154781638645/5598220220198715/</v>
      </c>
      <c r="J176" s="1" t="str">
        <f ca="1">IFERROR(__xludf.DUMMYFUNCTION("""COMPUTED_VALUE"""),"2022-07-04T11:09:50.065Z")</f>
        <v>2022-07-04T11:09:50.065Z</v>
      </c>
    </row>
    <row r="177" spans="1:10" x14ac:dyDescent="0.2">
      <c r="A177" s="2" t="str">
        <f ca="1">IFERROR(__xludf.DUMMYFUNCTION("""COMPUTED_VALUE"""),"https://www.facebook.com/danilo.salas.98")</f>
        <v>https://www.facebook.com/danilo.salas.98</v>
      </c>
      <c r="B177" s="1" t="str">
        <f ca="1">IFERROR(__xludf.DUMMYFUNCTION("""COMPUTED_VALUE"""),"Danilo Salas")</f>
        <v>Danilo Salas</v>
      </c>
      <c r="C177" s="1" t="str">
        <f ca="1">IFERROR(__xludf.DUMMYFUNCTION("""COMPUTED_VALUE"""),"Danilo")</f>
        <v>Danilo</v>
      </c>
      <c r="D177" s="1" t="str">
        <f ca="1">IFERROR(__xludf.DUMMYFUNCTION("""COMPUTED_VALUE"""),"Salas")</f>
        <v>Salas</v>
      </c>
      <c r="E177" s="1" t="str">
        <f ca="1">IFERROR(__xludf.DUMMYFUNCTION("""COMPUTED_VALUE"""),"Yes na yes the Two amazing and empowered women for truth and Good Governance 👍👍👍🌸🌸🌸💕💕💕🌷🌷🌷 #GobyernongTapatAngatBuhayLahat #LeniKiko2022 #KulayRosasAngBukas")</f>
        <v>Yes na yes the Two amazing and empowered women for truth and Good Governance 👍👍👍🌸🌸🌸💕💕💕🌷🌷🌷 #GobyernongTapatAngatBuhayLahat #LeniKiko2022 #KulayRosasAngBukas</v>
      </c>
      <c r="F177" s="1">
        <f ca="1">IFERROR(__xludf.DUMMYFUNCTION("""COMPUTED_VALUE"""),1)</f>
        <v>1</v>
      </c>
      <c r="G177" s="1" t="str">
        <f ca="1">IFERROR(__xludf.DUMMYFUNCTION("""COMPUTED_VALUE"""),"3 mos")</f>
        <v>3 mos</v>
      </c>
      <c r="H177" s="1" t="str">
        <f ca="1">IFERROR(__xludf.DUMMYFUNCTION("""COMPUTED_VALUE"""),"comment")</f>
        <v>comment</v>
      </c>
      <c r="I177" s="2" t="str">
        <f ca="1">IFERROR(__xludf.DUMMYFUNCTION("""COMPUTED_VALUE"""),"https://www.facebook.com/rapplerdotcom/photos/a.317154781638645/5598220220198715/")</f>
        <v>https://www.facebook.com/rapplerdotcom/photos/a.317154781638645/5598220220198715/</v>
      </c>
      <c r="J177" s="1" t="str">
        <f ca="1">IFERROR(__xludf.DUMMYFUNCTION("""COMPUTED_VALUE"""),"2022-07-04T11:09:50.065Z")</f>
        <v>2022-07-04T11:09:50.065Z</v>
      </c>
    </row>
    <row r="178" spans="1:10" x14ac:dyDescent="0.2">
      <c r="A178" s="2" t="str">
        <f ca="1">IFERROR(__xludf.DUMMYFUNCTION("""COMPUTED_VALUE"""),"https://www.facebook.com/doc.ahl.9")</f>
        <v>https://www.facebook.com/doc.ahl.9</v>
      </c>
      <c r="B178" s="1" t="str">
        <f ca="1">IFERROR(__xludf.DUMMYFUNCTION("""COMPUTED_VALUE"""),"Doc Ahl")</f>
        <v>Doc Ahl</v>
      </c>
      <c r="C178" s="1" t="str">
        <f ca="1">IFERROR(__xludf.DUMMYFUNCTION("""COMPUTED_VALUE"""),"Doc")</f>
        <v>Doc</v>
      </c>
      <c r="D178" s="1" t="str">
        <f ca="1">IFERROR(__xludf.DUMMYFUNCTION("""COMPUTED_VALUE"""),"Ahl")</f>
        <v>Ahl</v>
      </c>
      <c r="E178" s="1" t="str">
        <f ca="1">IFERROR(__xludf.DUMMYFUNCTION("""COMPUTED_VALUE"""),"KUDOS TO BOTH OF YOU! OUR MODERN DAY   WOMEN LEADERS💕🌺💕")</f>
        <v>KUDOS TO BOTH OF YOU! OUR MODERN DAY   WOMEN LEADERS💕🌺💕</v>
      </c>
      <c r="F178" s="1">
        <f ca="1">IFERROR(__xludf.DUMMYFUNCTION("""COMPUTED_VALUE"""),1)</f>
        <v>1</v>
      </c>
      <c r="G178" s="1" t="str">
        <f ca="1">IFERROR(__xludf.DUMMYFUNCTION("""COMPUTED_VALUE"""),"3 mos")</f>
        <v>3 mos</v>
      </c>
      <c r="H178" s="1" t="str">
        <f ca="1">IFERROR(__xludf.DUMMYFUNCTION("""COMPUTED_VALUE"""),"comment")</f>
        <v>comment</v>
      </c>
      <c r="I178" s="2" t="str">
        <f ca="1">IFERROR(__xludf.DUMMYFUNCTION("""COMPUTED_VALUE"""),"https://www.facebook.com/rapplerdotcom/photos/a.317154781638645/5598220220198715/")</f>
        <v>https://www.facebook.com/rapplerdotcom/photos/a.317154781638645/5598220220198715/</v>
      </c>
      <c r="J178" s="1" t="str">
        <f ca="1">IFERROR(__xludf.DUMMYFUNCTION("""COMPUTED_VALUE"""),"2022-07-04T11:09:50.065Z")</f>
        <v>2022-07-04T11:09:50.065Z</v>
      </c>
    </row>
    <row r="179" spans="1:10" x14ac:dyDescent="0.2">
      <c r="A179" s="2" t="str">
        <f ca="1">IFERROR(__xludf.DUMMYFUNCTION("""COMPUTED_VALUE"""),"https://www.facebook.com/benedicta.cesistarosapa")</f>
        <v>https://www.facebook.com/benedicta.cesistarosapa</v>
      </c>
      <c r="B179" s="1" t="str">
        <f ca="1">IFERROR(__xludf.DUMMYFUNCTION("""COMPUTED_VALUE"""),"Beth Cesista Tavares-Rosapa")</f>
        <v>Beth Cesista Tavares-Rosapa</v>
      </c>
      <c r="C179" s="1" t="str">
        <f ca="1">IFERROR(__xludf.DUMMYFUNCTION("""COMPUTED_VALUE"""),"Beth")</f>
        <v>Beth</v>
      </c>
      <c r="D179" s="1" t="str">
        <f ca="1">IFERROR(__xludf.DUMMYFUNCTION("""COMPUTED_VALUE"""),"Cesista Tavares-Rosapa")</f>
        <v>Cesista Tavares-Rosapa</v>
      </c>
      <c r="E179" s="1" t="str">
        <f ca="1">IFERROR(__xludf.DUMMYFUNCTION("""COMPUTED_VALUE"""),"We need woman like this two... can fight for the good of our fellomen &amp; our country.")</f>
        <v>We need woman like this two... can fight for the good of our fellomen &amp; our country.</v>
      </c>
      <c r="F179" s="1">
        <f ca="1">IFERROR(__xludf.DUMMYFUNCTION("""COMPUTED_VALUE"""),41)</f>
        <v>41</v>
      </c>
      <c r="G179" s="1" t="str">
        <f ca="1">IFERROR(__xludf.DUMMYFUNCTION("""COMPUTED_VALUE"""),"3 mos")</f>
        <v>3 mos</v>
      </c>
      <c r="H179" s="1" t="str">
        <f ca="1">IFERROR(__xludf.DUMMYFUNCTION("""COMPUTED_VALUE"""),"comment")</f>
        <v>comment</v>
      </c>
      <c r="I179" s="2" t="str">
        <f ca="1">IFERROR(__xludf.DUMMYFUNCTION("""COMPUTED_VALUE"""),"https://www.facebook.com/rapplerdotcom/photos/a.317154781638645/5598220220198715/")</f>
        <v>https://www.facebook.com/rapplerdotcom/photos/a.317154781638645/5598220220198715/</v>
      </c>
      <c r="J179" s="1" t="str">
        <f ca="1">IFERROR(__xludf.DUMMYFUNCTION("""COMPUTED_VALUE"""),"2022-07-04T11:09:50.065Z")</f>
        <v>2022-07-04T11:09:50.065Z</v>
      </c>
    </row>
    <row r="180" spans="1:10" x14ac:dyDescent="0.2">
      <c r="A180" s="2" t="str">
        <f ca="1">IFERROR(__xludf.DUMMYFUNCTION("""COMPUTED_VALUE"""),"https://www.facebook.com/mariamila.barbasa")</f>
        <v>https://www.facebook.com/mariamila.barbasa</v>
      </c>
      <c r="B180" s="1" t="str">
        <f ca="1">IFERROR(__xludf.DUMMYFUNCTION("""COMPUTED_VALUE"""),"Maria Mila Barbasa")</f>
        <v>Maria Mila Barbasa</v>
      </c>
      <c r="C180" s="1" t="str">
        <f ca="1">IFERROR(__xludf.DUMMYFUNCTION("""COMPUTED_VALUE"""),"Maria")</f>
        <v>Maria</v>
      </c>
      <c r="D180" s="1" t="str">
        <f ca="1">IFERROR(__xludf.DUMMYFUNCTION("""COMPUTED_VALUE"""),"Mila Barbasa")</f>
        <v>Mila Barbasa</v>
      </c>
      <c r="E180" s="1" t="str">
        <f ca="1">IFERROR(__xludf.DUMMYFUNCTION("""COMPUTED_VALUE"""),"Two strong woman! God bless you...")</f>
        <v>Two strong woman! God bless you...</v>
      </c>
      <c r="F180" s="1">
        <f ca="1">IFERROR(__xludf.DUMMYFUNCTION("""COMPUTED_VALUE"""),49)</f>
        <v>49</v>
      </c>
      <c r="G180" s="1" t="str">
        <f ca="1">IFERROR(__xludf.DUMMYFUNCTION("""COMPUTED_VALUE"""),"3 mos")</f>
        <v>3 mos</v>
      </c>
      <c r="H180" s="1" t="str">
        <f ca="1">IFERROR(__xludf.DUMMYFUNCTION("""COMPUTED_VALUE"""),"comment")</f>
        <v>comment</v>
      </c>
      <c r="I180" s="2" t="str">
        <f ca="1">IFERROR(__xludf.DUMMYFUNCTION("""COMPUTED_VALUE"""),"https://www.facebook.com/rapplerdotcom/photos/a.317154781638645/5598220220198715/")</f>
        <v>https://www.facebook.com/rapplerdotcom/photos/a.317154781638645/5598220220198715/</v>
      </c>
      <c r="J180" s="1" t="str">
        <f ca="1">IFERROR(__xludf.DUMMYFUNCTION("""COMPUTED_VALUE"""),"2022-07-04T11:09:50.065Z")</f>
        <v>2022-07-04T11:09:50.065Z</v>
      </c>
    </row>
    <row r="181" spans="1:10" x14ac:dyDescent="0.2">
      <c r="A181" s="2" t="str">
        <f ca="1">IFERROR(__xludf.DUMMYFUNCTION("""COMPUTED_VALUE"""),"https://www.facebook.com/ner.estrellado")</f>
        <v>https://www.facebook.com/ner.estrellado</v>
      </c>
      <c r="B181" s="1" t="str">
        <f ca="1">IFERROR(__xludf.DUMMYFUNCTION("""COMPUTED_VALUE"""),"Ner Estrellado")</f>
        <v>Ner Estrellado</v>
      </c>
      <c r="C181" s="1" t="str">
        <f ca="1">IFERROR(__xludf.DUMMYFUNCTION("""COMPUTED_VALUE"""),"Ner")</f>
        <v>Ner</v>
      </c>
      <c r="D181" s="1" t="str">
        <f ca="1">IFERROR(__xludf.DUMMYFUNCTION("""COMPUTED_VALUE"""),"Estrellado")</f>
        <v>Estrellado</v>
      </c>
      <c r="E181" s="1" t="str">
        <f ca="1">IFERROR(__xludf.DUMMYFUNCTION("""COMPUTED_VALUE"""),"Woman to Woman.Courage to Courage.Hope to Hope.Integrity to Integrity.I salute you both.")</f>
        <v>Woman to Woman.Courage to Courage.Hope to Hope.Integrity to Integrity.I salute you both.</v>
      </c>
      <c r="F181" s="1">
        <f ca="1">IFERROR(__xludf.DUMMYFUNCTION("""COMPUTED_VALUE"""),10)</f>
        <v>10</v>
      </c>
      <c r="G181" s="1" t="str">
        <f ca="1">IFERROR(__xludf.DUMMYFUNCTION("""COMPUTED_VALUE"""),"3 mos")</f>
        <v>3 mos</v>
      </c>
      <c r="H181" s="1" t="str">
        <f ca="1">IFERROR(__xludf.DUMMYFUNCTION("""COMPUTED_VALUE"""),"comment")</f>
        <v>comment</v>
      </c>
      <c r="I181" s="2" t="str">
        <f ca="1">IFERROR(__xludf.DUMMYFUNCTION("""COMPUTED_VALUE"""),"https://www.facebook.com/rapplerdotcom/photos/a.317154781638645/5598220220198715/")</f>
        <v>https://www.facebook.com/rapplerdotcom/photos/a.317154781638645/5598220220198715/</v>
      </c>
      <c r="J181" s="1" t="str">
        <f ca="1">IFERROR(__xludf.DUMMYFUNCTION("""COMPUTED_VALUE"""),"2022-07-04T11:09:50.065Z")</f>
        <v>2022-07-04T11:09:50.065Z</v>
      </c>
    </row>
    <row r="182" spans="1:10" x14ac:dyDescent="0.2">
      <c r="A182" s="2" t="str">
        <f ca="1">IFERROR(__xludf.DUMMYFUNCTION("""COMPUTED_VALUE"""),"https://www.facebook.com/tinapacura")</f>
        <v>https://www.facebook.com/tinapacura</v>
      </c>
      <c r="B182" s="1" t="str">
        <f ca="1">IFERROR(__xludf.DUMMYFUNCTION("""COMPUTED_VALUE"""),"Tina Pacura")</f>
        <v>Tina Pacura</v>
      </c>
      <c r="C182" s="1" t="str">
        <f ca="1">IFERROR(__xludf.DUMMYFUNCTION("""COMPUTED_VALUE"""),"Tina")</f>
        <v>Tina</v>
      </c>
      <c r="D182" s="1" t="str">
        <f ca="1">IFERROR(__xludf.DUMMYFUNCTION("""COMPUTED_VALUE"""),"Pacura")</f>
        <v>Pacura</v>
      </c>
      <c r="E182" s="1" t="str">
        <f ca="1">IFERROR(__xludf.DUMMYFUNCTION("""COMPUTED_VALUE"""),"Brave Women Leaders!")</f>
        <v>Brave Women Leaders!</v>
      </c>
      <c r="F182" s="1">
        <f ca="1">IFERROR(__xludf.DUMMYFUNCTION("""COMPUTED_VALUE"""),13)</f>
        <v>13</v>
      </c>
      <c r="G182" s="1" t="str">
        <f ca="1">IFERROR(__xludf.DUMMYFUNCTION("""COMPUTED_VALUE"""),"3 mos")</f>
        <v>3 mos</v>
      </c>
      <c r="H182" s="1" t="str">
        <f ca="1">IFERROR(__xludf.DUMMYFUNCTION("""COMPUTED_VALUE"""),"comment")</f>
        <v>comment</v>
      </c>
      <c r="I182" s="2" t="str">
        <f ca="1">IFERROR(__xludf.DUMMYFUNCTION("""COMPUTED_VALUE"""),"https://www.facebook.com/rapplerdotcom/photos/a.317154781638645/5598220220198715/")</f>
        <v>https://www.facebook.com/rapplerdotcom/photos/a.317154781638645/5598220220198715/</v>
      </c>
      <c r="J182" s="1" t="str">
        <f ca="1">IFERROR(__xludf.DUMMYFUNCTION("""COMPUTED_VALUE"""),"2022-07-04T11:09:50.066Z")</f>
        <v>2022-07-04T11:09:50.066Z</v>
      </c>
    </row>
    <row r="183" spans="1:10" x14ac:dyDescent="0.2">
      <c r="A183" s="2" t="str">
        <f ca="1">IFERROR(__xludf.DUMMYFUNCTION("""COMPUTED_VALUE"""),"https://www.facebook.com/champoybulletelbow")</f>
        <v>https://www.facebook.com/champoybulletelbow</v>
      </c>
      <c r="B183" s="1" t="str">
        <f ca="1">IFERROR(__xludf.DUMMYFUNCTION("""COMPUTED_VALUE"""),"March NJ")</f>
        <v>March NJ</v>
      </c>
      <c r="C183" s="1" t="str">
        <f ca="1">IFERROR(__xludf.DUMMYFUNCTION("""COMPUTED_VALUE"""),"March")</f>
        <v>March</v>
      </c>
      <c r="D183" s="1" t="str">
        <f ca="1">IFERROR(__xludf.DUMMYFUNCTION("""COMPUTED_VALUE"""),"NJ")</f>
        <v>NJ</v>
      </c>
      <c r="E183" s="1" t="str">
        <f ca="1">IFERROR(__xludf.DUMMYFUNCTION("""COMPUTED_VALUE"""),"God bless you both. 🙏🌷🌷🙏")</f>
        <v>God bless you both. 🙏🌷🌷🙏</v>
      </c>
      <c r="F183" s="1">
        <f ca="1">IFERROR(__xludf.DUMMYFUNCTION("""COMPUTED_VALUE"""),13)</f>
        <v>13</v>
      </c>
      <c r="G183" s="1" t="str">
        <f ca="1">IFERROR(__xludf.DUMMYFUNCTION("""COMPUTED_VALUE"""),"3 mos")</f>
        <v>3 mos</v>
      </c>
      <c r="H183" s="1" t="str">
        <f ca="1">IFERROR(__xludf.DUMMYFUNCTION("""COMPUTED_VALUE"""),"comment")</f>
        <v>comment</v>
      </c>
      <c r="I183" s="2" t="str">
        <f ca="1">IFERROR(__xludf.DUMMYFUNCTION("""COMPUTED_VALUE"""),"https://www.facebook.com/rapplerdotcom/photos/a.317154781638645/5598220220198715/")</f>
        <v>https://www.facebook.com/rapplerdotcom/photos/a.317154781638645/5598220220198715/</v>
      </c>
      <c r="J183" s="1" t="str">
        <f ca="1">IFERROR(__xludf.DUMMYFUNCTION("""COMPUTED_VALUE"""),"2022-07-04T11:09:50.066Z")</f>
        <v>2022-07-04T11:09:50.066Z</v>
      </c>
    </row>
    <row r="184" spans="1:10" x14ac:dyDescent="0.2">
      <c r="A184" s="2" t="str">
        <f ca="1">IFERROR(__xludf.DUMMYFUNCTION("""COMPUTED_VALUE"""),"https://www.facebook.com/debby.martinez.gumban")</f>
        <v>https://www.facebook.com/debby.martinez.gumban</v>
      </c>
      <c r="B184" s="1" t="str">
        <f ca="1">IFERROR(__xludf.DUMMYFUNCTION("""COMPUTED_VALUE"""),"Debby Martinez Gumban")</f>
        <v>Debby Martinez Gumban</v>
      </c>
      <c r="C184" s="1" t="str">
        <f ca="1">IFERROR(__xludf.DUMMYFUNCTION("""COMPUTED_VALUE"""),"Debby")</f>
        <v>Debby</v>
      </c>
      <c r="D184" s="1" t="str">
        <f ca="1">IFERROR(__xludf.DUMMYFUNCTION("""COMPUTED_VALUE"""),"Martinez Gumban")</f>
        <v>Martinez Gumban</v>
      </c>
      <c r="E184" s="1" t="str">
        <f ca="1">IFERROR(__xludf.DUMMYFUNCTION("""COMPUTED_VALUE"""),"2 Women of Courage &amp; Integrity.💗💗💗💪🏻💪🏻💪🏻")</f>
        <v>2 Women of Courage &amp; Integrity.💗💗💗💪🏻💪🏻💪🏻</v>
      </c>
      <c r="F184" s="1">
        <f ca="1">IFERROR(__xludf.DUMMYFUNCTION("""COMPUTED_VALUE"""),3)</f>
        <v>3</v>
      </c>
      <c r="G184" s="1" t="str">
        <f ca="1">IFERROR(__xludf.DUMMYFUNCTION("""COMPUTED_VALUE"""),"3 mos")</f>
        <v>3 mos</v>
      </c>
      <c r="H184" s="1" t="str">
        <f ca="1">IFERROR(__xludf.DUMMYFUNCTION("""COMPUTED_VALUE"""),"comment")</f>
        <v>comment</v>
      </c>
      <c r="I184" s="2" t="str">
        <f ca="1">IFERROR(__xludf.DUMMYFUNCTION("""COMPUTED_VALUE"""),"https://www.facebook.com/rapplerdotcom/photos/a.317154781638645/5598220220198715/")</f>
        <v>https://www.facebook.com/rapplerdotcom/photos/a.317154781638645/5598220220198715/</v>
      </c>
      <c r="J184" s="1" t="str">
        <f ca="1">IFERROR(__xludf.DUMMYFUNCTION("""COMPUTED_VALUE"""),"2022-07-04T11:09:50.066Z")</f>
        <v>2022-07-04T11:09:50.066Z</v>
      </c>
    </row>
    <row r="185" spans="1:10" x14ac:dyDescent="0.2">
      <c r="A185" s="2" t="str">
        <f ca="1">IFERROR(__xludf.DUMMYFUNCTION("""COMPUTED_VALUE"""),"https://www.facebook.com/anita.tamayo.33671")</f>
        <v>https://www.facebook.com/anita.tamayo.33671</v>
      </c>
      <c r="B185" s="1" t="str">
        <f ca="1">IFERROR(__xludf.DUMMYFUNCTION("""COMPUTED_VALUE"""),"Anita Tamayo")</f>
        <v>Anita Tamayo</v>
      </c>
      <c r="C185" s="1" t="str">
        <f ca="1">IFERROR(__xludf.DUMMYFUNCTION("""COMPUTED_VALUE"""),"Anita")</f>
        <v>Anita</v>
      </c>
      <c r="D185" s="1" t="str">
        <f ca="1">IFERROR(__xludf.DUMMYFUNCTION("""COMPUTED_VALUE"""),"Tamayo")</f>
        <v>Tamayo</v>
      </c>
      <c r="E185" s="1" t="str">
        <f ca="1">IFERROR(__xludf.DUMMYFUNCTION("""COMPUTED_VALUE"""),"I salute, both of you...")</f>
        <v>I salute, both of you...</v>
      </c>
      <c r="F185" s="1">
        <f ca="1">IFERROR(__xludf.DUMMYFUNCTION("""COMPUTED_VALUE"""),1)</f>
        <v>1</v>
      </c>
      <c r="G185" s="1" t="str">
        <f ca="1">IFERROR(__xludf.DUMMYFUNCTION("""COMPUTED_VALUE"""),"3 mos")</f>
        <v>3 mos</v>
      </c>
      <c r="H185" s="1" t="str">
        <f ca="1">IFERROR(__xludf.DUMMYFUNCTION("""COMPUTED_VALUE"""),"comment")</f>
        <v>comment</v>
      </c>
      <c r="I185" s="2" t="str">
        <f ca="1">IFERROR(__xludf.DUMMYFUNCTION("""COMPUTED_VALUE"""),"https://www.facebook.com/rapplerdotcom/photos/a.317154781638645/5598220220198715/")</f>
        <v>https://www.facebook.com/rapplerdotcom/photos/a.317154781638645/5598220220198715/</v>
      </c>
      <c r="J185" s="1" t="str">
        <f ca="1">IFERROR(__xludf.DUMMYFUNCTION("""COMPUTED_VALUE"""),"2022-07-04T11:09:50.066Z")</f>
        <v>2022-07-04T11:09:50.066Z</v>
      </c>
    </row>
    <row r="186" spans="1:10" x14ac:dyDescent="0.2">
      <c r="A186" s="2" t="str">
        <f ca="1">IFERROR(__xludf.DUMMYFUNCTION("""COMPUTED_VALUE"""),"https://www.facebook.com/roysem88")</f>
        <v>https://www.facebook.com/roysem88</v>
      </c>
      <c r="B186" s="1" t="str">
        <f ca="1">IFERROR(__xludf.DUMMYFUNCTION("""COMPUTED_VALUE"""),"Roy Lily Joy Sembrano")</f>
        <v>Roy Lily Joy Sembrano</v>
      </c>
      <c r="C186" s="1" t="str">
        <f ca="1">IFERROR(__xludf.DUMMYFUNCTION("""COMPUTED_VALUE"""),"Roy")</f>
        <v>Roy</v>
      </c>
      <c r="D186" s="1" t="str">
        <f ca="1">IFERROR(__xludf.DUMMYFUNCTION("""COMPUTED_VALUE"""),"Lily Joy Sembrano")</f>
        <v>Lily Joy Sembrano</v>
      </c>
      <c r="E186" s="1" t="str">
        <f ca="1">IFERROR(__xludf.DUMMYFUNCTION("""COMPUTED_VALUE"""),"#LeniKikoAllTheWay #LeniKiko2022")</f>
        <v>#LeniKikoAllTheWay #LeniKiko2022</v>
      </c>
      <c r="F186" s="1">
        <f ca="1">IFERROR(__xludf.DUMMYFUNCTION("""COMPUTED_VALUE"""),2)</f>
        <v>2</v>
      </c>
      <c r="G186" s="1" t="str">
        <f ca="1">IFERROR(__xludf.DUMMYFUNCTION("""COMPUTED_VALUE"""),"3 mos")</f>
        <v>3 mos</v>
      </c>
      <c r="H186" s="1" t="str">
        <f ca="1">IFERROR(__xludf.DUMMYFUNCTION("""COMPUTED_VALUE"""),"comment")</f>
        <v>comment</v>
      </c>
      <c r="I186" s="2" t="str">
        <f ca="1">IFERROR(__xludf.DUMMYFUNCTION("""COMPUTED_VALUE"""),"https://www.facebook.com/rapplerdotcom/photos/a.317154781638645/5598220220198715/")</f>
        <v>https://www.facebook.com/rapplerdotcom/photos/a.317154781638645/5598220220198715/</v>
      </c>
      <c r="J186" s="1" t="str">
        <f ca="1">IFERROR(__xludf.DUMMYFUNCTION("""COMPUTED_VALUE"""),"2022-07-04T11:09:50.066Z")</f>
        <v>2022-07-04T11:09:50.066Z</v>
      </c>
    </row>
    <row r="187" spans="1:10" x14ac:dyDescent="0.2">
      <c r="A187" s="2" t="str">
        <f ca="1">IFERROR(__xludf.DUMMYFUNCTION("""COMPUTED_VALUE"""),"https://www.facebook.com/angelita.villaflor.1")</f>
        <v>https://www.facebook.com/angelita.villaflor.1</v>
      </c>
      <c r="B187" s="1" t="str">
        <f ca="1">IFERROR(__xludf.DUMMYFUNCTION("""COMPUTED_VALUE"""),"Angelita Villaflor")</f>
        <v>Angelita Villaflor</v>
      </c>
      <c r="C187" s="1" t="str">
        <f ca="1">IFERROR(__xludf.DUMMYFUNCTION("""COMPUTED_VALUE"""),"Angelita")</f>
        <v>Angelita</v>
      </c>
      <c r="D187" s="1" t="str">
        <f ca="1">IFERROR(__xludf.DUMMYFUNCTION("""COMPUTED_VALUE"""),"Villaflor")</f>
        <v>Villaflor</v>
      </c>
      <c r="E187" s="1" t="str">
        <f ca="1">IFERROR(__xludf.DUMMYFUNCTION("""COMPUTED_VALUE"""),"God Bless the both of you")</f>
        <v>God Bless the both of you</v>
      </c>
      <c r="F187" s="1">
        <f ca="1">IFERROR(__xludf.DUMMYFUNCTION("""COMPUTED_VALUE"""),7)</f>
        <v>7</v>
      </c>
      <c r="G187" s="1" t="str">
        <f ca="1">IFERROR(__xludf.DUMMYFUNCTION("""COMPUTED_VALUE"""),"3 mos")</f>
        <v>3 mos</v>
      </c>
      <c r="H187" s="1" t="str">
        <f ca="1">IFERROR(__xludf.DUMMYFUNCTION("""COMPUTED_VALUE"""),"comment")</f>
        <v>comment</v>
      </c>
      <c r="I187" s="2" t="str">
        <f ca="1">IFERROR(__xludf.DUMMYFUNCTION("""COMPUTED_VALUE"""),"https://www.facebook.com/rapplerdotcom/photos/a.317154781638645/5598220220198715/")</f>
        <v>https://www.facebook.com/rapplerdotcom/photos/a.317154781638645/5598220220198715/</v>
      </c>
      <c r="J187" s="1" t="str">
        <f ca="1">IFERROR(__xludf.DUMMYFUNCTION("""COMPUTED_VALUE"""),"2022-07-04T11:09:50.066Z")</f>
        <v>2022-07-04T11:09:50.066Z</v>
      </c>
    </row>
    <row r="188" spans="1:10" x14ac:dyDescent="0.2">
      <c r="A188" s="2" t="str">
        <f ca="1">IFERROR(__xludf.DUMMYFUNCTION("""COMPUTED_VALUE"""),"https://www.facebook.com/lolit.gaddi.1")</f>
        <v>https://www.facebook.com/lolit.gaddi.1</v>
      </c>
      <c r="B188" s="1" t="str">
        <f ca="1">IFERROR(__xludf.DUMMYFUNCTION("""COMPUTED_VALUE"""),"Lolit Gaddi")</f>
        <v>Lolit Gaddi</v>
      </c>
      <c r="C188" s="1" t="str">
        <f ca="1">IFERROR(__xludf.DUMMYFUNCTION("""COMPUTED_VALUE"""),"Lolit")</f>
        <v>Lolit</v>
      </c>
      <c r="D188" s="1" t="str">
        <f ca="1">IFERROR(__xludf.DUMMYFUNCTION("""COMPUTED_VALUE"""),"Gaddi")</f>
        <v>Gaddi</v>
      </c>
      <c r="E188" s="1" t="str">
        <f ca="1">IFERROR(__xludf.DUMMYFUNCTION("""COMPUTED_VALUE"""),"Women power in truth and love for country🥰")</f>
        <v>Women power in truth and love for country🥰</v>
      </c>
      <c r="F188" s="1">
        <f ca="1">IFERROR(__xludf.DUMMYFUNCTION("""COMPUTED_VALUE"""),2)</f>
        <v>2</v>
      </c>
      <c r="G188" s="1" t="str">
        <f ca="1">IFERROR(__xludf.DUMMYFUNCTION("""COMPUTED_VALUE"""),"3 mos")</f>
        <v>3 mos</v>
      </c>
      <c r="H188" s="1" t="str">
        <f ca="1">IFERROR(__xludf.DUMMYFUNCTION("""COMPUTED_VALUE"""),"comment")</f>
        <v>comment</v>
      </c>
      <c r="I188" s="2" t="str">
        <f ca="1">IFERROR(__xludf.DUMMYFUNCTION("""COMPUTED_VALUE"""),"https://www.facebook.com/rapplerdotcom/photos/a.317154781638645/5598220220198715/")</f>
        <v>https://www.facebook.com/rapplerdotcom/photos/a.317154781638645/5598220220198715/</v>
      </c>
      <c r="J188" s="1" t="str">
        <f ca="1">IFERROR(__xludf.DUMMYFUNCTION("""COMPUTED_VALUE"""),"2022-07-04T11:09:50.066Z")</f>
        <v>2022-07-04T11:09:50.066Z</v>
      </c>
    </row>
    <row r="189" spans="1:10" x14ac:dyDescent="0.2">
      <c r="A189" s="2" t="str">
        <f ca="1">IFERROR(__xludf.DUMMYFUNCTION("""COMPUTED_VALUE"""),"https://www.facebook.com/RomelManugidLorilla07")</f>
        <v>https://www.facebook.com/RomelManugidLorilla07</v>
      </c>
      <c r="B189" s="1" t="str">
        <f ca="1">IFERROR(__xludf.DUMMYFUNCTION("""COMPUTED_VALUE"""),"Romel Lorilla")</f>
        <v>Romel Lorilla</v>
      </c>
      <c r="C189" s="1" t="str">
        <f ca="1">IFERROR(__xludf.DUMMYFUNCTION("""COMPUTED_VALUE"""),"Romel")</f>
        <v>Romel</v>
      </c>
      <c r="D189" s="1" t="str">
        <f ca="1">IFERROR(__xludf.DUMMYFUNCTION("""COMPUTED_VALUE"""),"Lorilla")</f>
        <v>Lorilla</v>
      </c>
      <c r="E189" s="1" t="str">
        <f ca="1">IFERROR(__xludf.DUMMYFUNCTION("""COMPUTED_VALUE"""),"Two greatest women of our nation in the current generation. 🥰")</f>
        <v>Two greatest women of our nation in the current generation. 🥰</v>
      </c>
      <c r="F189" s="1">
        <f ca="1">IFERROR(__xludf.DUMMYFUNCTION("""COMPUTED_VALUE"""),5)</f>
        <v>5</v>
      </c>
      <c r="G189" s="1" t="str">
        <f ca="1">IFERROR(__xludf.DUMMYFUNCTION("""COMPUTED_VALUE"""),"3 mos")</f>
        <v>3 mos</v>
      </c>
      <c r="H189" s="1" t="str">
        <f ca="1">IFERROR(__xludf.DUMMYFUNCTION("""COMPUTED_VALUE"""),"comment")</f>
        <v>comment</v>
      </c>
      <c r="I189" s="2" t="str">
        <f ca="1">IFERROR(__xludf.DUMMYFUNCTION("""COMPUTED_VALUE"""),"https://www.facebook.com/rapplerdotcom/photos/a.317154781638645/5598220220198715/")</f>
        <v>https://www.facebook.com/rapplerdotcom/photos/a.317154781638645/5598220220198715/</v>
      </c>
      <c r="J189" s="1" t="str">
        <f ca="1">IFERROR(__xludf.DUMMYFUNCTION("""COMPUTED_VALUE"""),"2022-07-04T11:09:50.066Z")</f>
        <v>2022-07-04T11:09:50.066Z</v>
      </c>
    </row>
    <row r="190" spans="1:10" x14ac:dyDescent="0.2">
      <c r="A190" s="2" t="str">
        <f ca="1">IFERROR(__xludf.DUMMYFUNCTION("""COMPUTED_VALUE"""),"https://www.facebook.com/romel.mesina.9")</f>
        <v>https://www.facebook.com/romel.mesina.9</v>
      </c>
      <c r="B190" s="1" t="str">
        <f ca="1">IFERROR(__xludf.DUMMYFUNCTION("""COMPUTED_VALUE"""),"Romel Mesina")</f>
        <v>Romel Mesina</v>
      </c>
      <c r="C190" s="1" t="str">
        <f ca="1">IFERROR(__xludf.DUMMYFUNCTION("""COMPUTED_VALUE"""),"Romel")</f>
        <v>Romel</v>
      </c>
      <c r="D190" s="1" t="str">
        <f ca="1">IFERROR(__xludf.DUMMYFUNCTION("""COMPUTED_VALUE"""),"Mesina")</f>
        <v>Mesina</v>
      </c>
      <c r="E190" s="1" t="str">
        <f ca="1">IFERROR(__xludf.DUMMYFUNCTION("""COMPUTED_VALUE"""),"two great leader")</f>
        <v>two great leader</v>
      </c>
      <c r="F190" s="1">
        <f ca="1">IFERROR(__xludf.DUMMYFUNCTION("""COMPUTED_VALUE"""),4)</f>
        <v>4</v>
      </c>
      <c r="G190" s="1" t="str">
        <f ca="1">IFERROR(__xludf.DUMMYFUNCTION("""COMPUTED_VALUE"""),"3 mos")</f>
        <v>3 mos</v>
      </c>
      <c r="H190" s="1" t="str">
        <f ca="1">IFERROR(__xludf.DUMMYFUNCTION("""COMPUTED_VALUE"""),"comment")</f>
        <v>comment</v>
      </c>
      <c r="I190" s="2" t="str">
        <f ca="1">IFERROR(__xludf.DUMMYFUNCTION("""COMPUTED_VALUE"""),"https://www.facebook.com/rapplerdotcom/photos/a.317154781638645/5598220220198715/")</f>
        <v>https://www.facebook.com/rapplerdotcom/photos/a.317154781638645/5598220220198715/</v>
      </c>
      <c r="J190" s="1" t="str">
        <f ca="1">IFERROR(__xludf.DUMMYFUNCTION("""COMPUTED_VALUE"""),"2022-07-04T11:09:50.066Z")</f>
        <v>2022-07-04T11:09:50.066Z</v>
      </c>
    </row>
    <row r="191" spans="1:10" x14ac:dyDescent="0.2">
      <c r="A191" s="2" t="str">
        <f ca="1">IFERROR(__xludf.DUMMYFUNCTION("""COMPUTED_VALUE"""),"https://www.facebook.com/frankanthony.pataueg.1")</f>
        <v>https://www.facebook.com/frankanthony.pataueg.1</v>
      </c>
      <c r="B191" s="1" t="str">
        <f ca="1">IFERROR(__xludf.DUMMYFUNCTION("""COMPUTED_VALUE"""),"Frank Anthony Pataueg")</f>
        <v>Frank Anthony Pataueg</v>
      </c>
      <c r="C191" s="1" t="str">
        <f ca="1">IFERROR(__xludf.DUMMYFUNCTION("""COMPUTED_VALUE"""),"Frank")</f>
        <v>Frank</v>
      </c>
      <c r="D191" s="1" t="str">
        <f ca="1">IFERROR(__xludf.DUMMYFUNCTION("""COMPUTED_VALUE"""),"Anthony Pataueg")</f>
        <v>Anthony Pataueg</v>
      </c>
      <c r="E191" s="1" t="str">
        <f ca="1">IFERROR(__xludf.DUMMYFUNCTION("""COMPUTED_VALUE"""),"Pride of the country! Kudos sa inyo!  #LiwanagSaDilim")</f>
        <v>Pride of the country! Kudos sa inyo!  #LiwanagSaDilim</v>
      </c>
      <c r="F191" s="1">
        <f ca="1">IFERROR(__xludf.DUMMYFUNCTION("""COMPUTED_VALUE"""),1)</f>
        <v>1</v>
      </c>
      <c r="G191" s="1" t="str">
        <f ca="1">IFERROR(__xludf.DUMMYFUNCTION("""COMPUTED_VALUE"""),"3 mos")</f>
        <v>3 mos</v>
      </c>
      <c r="H191" s="1" t="str">
        <f ca="1">IFERROR(__xludf.DUMMYFUNCTION("""COMPUTED_VALUE"""),"comment")</f>
        <v>comment</v>
      </c>
      <c r="I191" s="2" t="str">
        <f ca="1">IFERROR(__xludf.DUMMYFUNCTION("""COMPUTED_VALUE"""),"https://www.facebook.com/rapplerdotcom/photos/a.317154781638645/5598220220198715/")</f>
        <v>https://www.facebook.com/rapplerdotcom/photos/a.317154781638645/5598220220198715/</v>
      </c>
      <c r="J191" s="1" t="str">
        <f ca="1">IFERROR(__xludf.DUMMYFUNCTION("""COMPUTED_VALUE"""),"2022-07-04T11:09:50.066Z")</f>
        <v>2022-07-04T11:09:50.066Z</v>
      </c>
    </row>
    <row r="192" spans="1:10" x14ac:dyDescent="0.2">
      <c r="A192" s="2" t="str">
        <f ca="1">IFERROR(__xludf.DUMMYFUNCTION("""COMPUTED_VALUE"""),"https://www.facebook.com/aida.villauz")</f>
        <v>https://www.facebook.com/aida.villauz</v>
      </c>
      <c r="B192" s="1" t="str">
        <f ca="1">IFERROR(__xludf.DUMMYFUNCTION("""COMPUTED_VALUE"""),"Aida Villaluz")</f>
        <v>Aida Villaluz</v>
      </c>
      <c r="C192" s="1" t="str">
        <f ca="1">IFERROR(__xludf.DUMMYFUNCTION("""COMPUTED_VALUE"""),"Aida")</f>
        <v>Aida</v>
      </c>
      <c r="D192" s="1" t="str">
        <f ca="1">IFERROR(__xludf.DUMMYFUNCTION("""COMPUTED_VALUE"""),"Villaluz")</f>
        <v>Villaluz</v>
      </c>
      <c r="E192" s="1" t="str">
        <f ca="1">IFERROR(__xludf.DUMMYFUNCTION("""COMPUTED_VALUE"""),"Lenikiko team......god bless")</f>
        <v>Lenikiko team......god bless</v>
      </c>
      <c r="F192" s="1">
        <f ca="1">IFERROR(__xludf.DUMMYFUNCTION("""COMPUTED_VALUE"""),1)</f>
        <v>1</v>
      </c>
      <c r="G192" s="1" t="str">
        <f ca="1">IFERROR(__xludf.DUMMYFUNCTION("""COMPUTED_VALUE"""),"3 mos")</f>
        <v>3 mos</v>
      </c>
      <c r="H192" s="1" t="str">
        <f ca="1">IFERROR(__xludf.DUMMYFUNCTION("""COMPUTED_VALUE"""),"comment")</f>
        <v>comment</v>
      </c>
      <c r="I192" s="2" t="str">
        <f ca="1">IFERROR(__xludf.DUMMYFUNCTION("""COMPUTED_VALUE"""),"https://www.facebook.com/rapplerdotcom/photos/a.317154781638645/5598220220198715/")</f>
        <v>https://www.facebook.com/rapplerdotcom/photos/a.317154781638645/5598220220198715/</v>
      </c>
      <c r="J192" s="1" t="str">
        <f ca="1">IFERROR(__xludf.DUMMYFUNCTION("""COMPUTED_VALUE"""),"2022-07-04T11:09:50.066Z")</f>
        <v>2022-07-04T11:09:50.066Z</v>
      </c>
    </row>
    <row r="193" spans="1:10" x14ac:dyDescent="0.2">
      <c r="A193" s="2" t="str">
        <f ca="1">IFERROR(__xludf.DUMMYFUNCTION("""COMPUTED_VALUE"""),"https://www.facebook.com/joyce.orena")</f>
        <v>https://www.facebook.com/joyce.orena</v>
      </c>
      <c r="B193" s="1" t="str">
        <f ca="1">IFERROR(__xludf.DUMMYFUNCTION("""COMPUTED_VALUE"""),"Joyce Oreña")</f>
        <v>Joyce Oreña</v>
      </c>
      <c r="C193" s="1" t="str">
        <f ca="1">IFERROR(__xludf.DUMMYFUNCTION("""COMPUTED_VALUE"""),"Joyce")</f>
        <v>Joyce</v>
      </c>
      <c r="D193" s="1" t="str">
        <f ca="1">IFERROR(__xludf.DUMMYFUNCTION("""COMPUTED_VALUE"""),"Oreña")</f>
        <v>Oreña</v>
      </c>
      <c r="E193" s="1" t="str">
        <f ca="1">IFERROR(__xludf.DUMMYFUNCTION("""COMPUTED_VALUE"""),"Our future president.")</f>
        <v>Our future president.</v>
      </c>
      <c r="F193" s="1">
        <f ca="1">IFERROR(__xludf.DUMMYFUNCTION("""COMPUTED_VALUE"""),1)</f>
        <v>1</v>
      </c>
      <c r="G193" s="1" t="str">
        <f ca="1">IFERROR(__xludf.DUMMYFUNCTION("""COMPUTED_VALUE"""),"3 mos")</f>
        <v>3 mos</v>
      </c>
      <c r="H193" s="1" t="str">
        <f ca="1">IFERROR(__xludf.DUMMYFUNCTION("""COMPUTED_VALUE"""),"comment")</f>
        <v>comment</v>
      </c>
      <c r="I193" s="2" t="str">
        <f ca="1">IFERROR(__xludf.DUMMYFUNCTION("""COMPUTED_VALUE"""),"https://www.facebook.com/rapplerdotcom/photos/a.317154781638645/5598220220198715/")</f>
        <v>https://www.facebook.com/rapplerdotcom/photos/a.317154781638645/5598220220198715/</v>
      </c>
      <c r="J193" s="1" t="str">
        <f ca="1">IFERROR(__xludf.DUMMYFUNCTION("""COMPUTED_VALUE"""),"2022-07-04T11:09:50.066Z")</f>
        <v>2022-07-04T11:09:50.066Z</v>
      </c>
    </row>
    <row r="194" spans="1:10" x14ac:dyDescent="0.2">
      <c r="A194" s="2" t="str">
        <f ca="1">IFERROR(__xludf.DUMMYFUNCTION("""COMPUTED_VALUE"""),"https://www.facebook.com/nssilvela")</f>
        <v>https://www.facebook.com/nssilvela</v>
      </c>
      <c r="B194" s="1" t="str">
        <f ca="1">IFERROR(__xludf.DUMMYFUNCTION("""COMPUTED_VALUE"""),"Nancy Silvela")</f>
        <v>Nancy Silvela</v>
      </c>
      <c r="C194" s="1" t="str">
        <f ca="1">IFERROR(__xludf.DUMMYFUNCTION("""COMPUTED_VALUE"""),"Nancy")</f>
        <v>Nancy</v>
      </c>
      <c r="D194" s="1" t="str">
        <f ca="1">IFERROR(__xludf.DUMMYFUNCTION("""COMPUTED_VALUE"""),"Silvela")</f>
        <v>Silvela</v>
      </c>
      <c r="E194" s="1" t="str">
        <f ca="1">IFERROR(__xludf.DUMMYFUNCTION("""COMPUTED_VALUE"""),"🌌May GOD Bless Us All With Lots of Wisdom To Share With None... May The Lord Jesus Christ Protect and Guide Us All To GOD's Gace and Embrace. Amen. 🙏🏼🕊🌕☀️🌴🌻💜🌐🇵🇭  #LeniKiko2022 #VoteKikoToProtectLeni  #LeniKikoAllTheWay  #10LeniRobredoPresident "&amp;" #7KikoPangilinanVicePresident  #GobyernongTapatAngatBuhayLahat  #PinkIsHope  #HelloPagkainGoodbyeGutom  🙏🏼🕊🌕☀️🌴💟💚💜🌷🌾🌻🌐🇵🇭")</f>
        <v>🌌May GOD Bless Us All With Lots of Wisdom To Share With None... May The Lord Jesus Christ Protect and Guide Us All To GOD's Gace and Embrace. Amen. 🙏🏼🕊🌕☀️🌴🌻💜🌐🇵🇭  #LeniKiko2022 #VoteKikoToProtectLeni  #LeniKikoAllTheWay  #10LeniRobredoPresident  #7KikoPangilinanVicePresident  #GobyernongTapatAngatBuhayLahat  #PinkIsHope  #HelloPagkainGoodbyeGutom  🙏🏼🕊🌕☀️🌴💟💚💜🌷🌾🌻🌐🇵🇭</v>
      </c>
      <c r="F194" s="1">
        <f ca="1">IFERROR(__xludf.DUMMYFUNCTION("""COMPUTED_VALUE"""),2)</f>
        <v>2</v>
      </c>
      <c r="G194" s="1" t="str">
        <f ca="1">IFERROR(__xludf.DUMMYFUNCTION("""COMPUTED_VALUE"""),"3 mos")</f>
        <v>3 mos</v>
      </c>
      <c r="H194" s="1" t="str">
        <f ca="1">IFERROR(__xludf.DUMMYFUNCTION("""COMPUTED_VALUE"""),"comment")</f>
        <v>comment</v>
      </c>
      <c r="I194" s="2" t="str">
        <f ca="1">IFERROR(__xludf.DUMMYFUNCTION("""COMPUTED_VALUE"""),"https://www.facebook.com/rapplerdotcom/photos/a.317154781638645/5598220220198715/")</f>
        <v>https://www.facebook.com/rapplerdotcom/photos/a.317154781638645/5598220220198715/</v>
      </c>
      <c r="J194" s="1" t="str">
        <f ca="1">IFERROR(__xludf.DUMMYFUNCTION("""COMPUTED_VALUE"""),"2022-07-04T11:09:50.066Z")</f>
        <v>2022-07-04T11:09:50.066Z</v>
      </c>
    </row>
    <row r="195" spans="1:10" x14ac:dyDescent="0.2">
      <c r="A195" s="2" t="str">
        <f ca="1">IFERROR(__xludf.DUMMYFUNCTION("""COMPUTED_VALUE"""),"https://www.facebook.com/ejllorente04")</f>
        <v>https://www.facebook.com/ejllorente04</v>
      </c>
      <c r="B195" s="1" t="str">
        <f ca="1">IFERROR(__xludf.DUMMYFUNCTION("""COMPUTED_VALUE"""),"Ej Llorente")</f>
        <v>Ej Llorente</v>
      </c>
      <c r="C195" s="1" t="str">
        <f ca="1">IFERROR(__xludf.DUMMYFUNCTION("""COMPUTED_VALUE"""),"Ej")</f>
        <v>Ej</v>
      </c>
      <c r="D195" s="1" t="str">
        <f ca="1">IFERROR(__xludf.DUMMYFUNCTION("""COMPUTED_VALUE"""),"Llorente")</f>
        <v>Llorente</v>
      </c>
      <c r="E195" s="1" t="str">
        <f ca="1">IFERROR(__xludf.DUMMYFUNCTION("""COMPUTED_VALUE"""),"Where to watch the interview po? Thank you 💗")</f>
        <v>Where to watch the interview po? Thank you 💗</v>
      </c>
      <c r="F195" s="1"/>
      <c r="G195" s="1" t="str">
        <f ca="1">IFERROR(__xludf.DUMMYFUNCTION("""COMPUTED_VALUE"""),"3 mos")</f>
        <v>3 mos</v>
      </c>
      <c r="H195" s="1" t="str">
        <f ca="1">IFERROR(__xludf.DUMMYFUNCTION("""COMPUTED_VALUE"""),"comment")</f>
        <v>comment</v>
      </c>
      <c r="I195" s="2" t="str">
        <f ca="1">IFERROR(__xludf.DUMMYFUNCTION("""COMPUTED_VALUE"""),"https://www.facebook.com/rapplerdotcom/photos/a.317154781638645/5598220220198715/")</f>
        <v>https://www.facebook.com/rapplerdotcom/photos/a.317154781638645/5598220220198715/</v>
      </c>
      <c r="J195" s="1" t="str">
        <f ca="1">IFERROR(__xludf.DUMMYFUNCTION("""COMPUTED_VALUE"""),"2022-07-04T11:09:50.066Z")</f>
        <v>2022-07-04T11:09:50.066Z</v>
      </c>
    </row>
    <row r="196" spans="1:10" x14ac:dyDescent="0.2">
      <c r="A196" s="2" t="str">
        <f ca="1">IFERROR(__xludf.DUMMYFUNCTION("""COMPUTED_VALUE"""),"https://www.facebook.com/johnragadi")</f>
        <v>https://www.facebook.com/johnragadi</v>
      </c>
      <c r="B196" s="1" t="str">
        <f ca="1">IFERROR(__xludf.DUMMYFUNCTION("""COMPUTED_VALUE"""),"John Ragadi")</f>
        <v>John Ragadi</v>
      </c>
      <c r="C196" s="1" t="str">
        <f ca="1">IFERROR(__xludf.DUMMYFUNCTION("""COMPUTED_VALUE"""),"John")</f>
        <v>John</v>
      </c>
      <c r="D196" s="1" t="str">
        <f ca="1">IFERROR(__xludf.DUMMYFUNCTION("""COMPUTED_VALUE"""),"Ragadi")</f>
        <v>Ragadi</v>
      </c>
      <c r="E196" s="1" t="str">
        <f ca="1">IFERROR(__xludf.DUMMYFUNCTION("""COMPUTED_VALUE"""),"The next President of the Philippines 🥰")</f>
        <v>The next President of the Philippines 🥰</v>
      </c>
      <c r="F196" s="1">
        <f ca="1">IFERROR(__xludf.DUMMYFUNCTION("""COMPUTED_VALUE"""),1)</f>
        <v>1</v>
      </c>
      <c r="G196" s="1" t="str">
        <f ca="1">IFERROR(__xludf.DUMMYFUNCTION("""COMPUTED_VALUE"""),"3 mos")</f>
        <v>3 mos</v>
      </c>
      <c r="H196" s="1" t="str">
        <f ca="1">IFERROR(__xludf.DUMMYFUNCTION("""COMPUTED_VALUE"""),"comment")</f>
        <v>comment</v>
      </c>
      <c r="I196" s="2" t="str">
        <f ca="1">IFERROR(__xludf.DUMMYFUNCTION("""COMPUTED_VALUE"""),"https://www.facebook.com/rapplerdotcom/photos/a.317154781638645/5598220220198715/")</f>
        <v>https://www.facebook.com/rapplerdotcom/photos/a.317154781638645/5598220220198715/</v>
      </c>
      <c r="J196" s="1" t="str">
        <f ca="1">IFERROR(__xludf.DUMMYFUNCTION("""COMPUTED_VALUE"""),"2022-07-04T11:09:50.066Z")</f>
        <v>2022-07-04T11:09:50.066Z</v>
      </c>
    </row>
    <row r="197" spans="1:10" x14ac:dyDescent="0.2">
      <c r="A197" s="2" t="str">
        <f ca="1">IFERROR(__xludf.DUMMYFUNCTION("""COMPUTED_VALUE"""),"https://www.facebook.com/Jadiz50")</f>
        <v>https://www.facebook.com/Jadiz50</v>
      </c>
      <c r="B197" s="1" t="str">
        <f ca="1">IFERROR(__xludf.DUMMYFUNCTION("""COMPUTED_VALUE"""),"Sure Diz")</f>
        <v>Sure Diz</v>
      </c>
      <c r="C197" s="1" t="str">
        <f ca="1">IFERROR(__xludf.DUMMYFUNCTION("""COMPUTED_VALUE"""),"Sure")</f>
        <v>Sure</v>
      </c>
      <c r="D197" s="1" t="str">
        <f ca="1">IFERROR(__xludf.DUMMYFUNCTION("""COMPUTED_VALUE"""),"Diz")</f>
        <v>Diz</v>
      </c>
      <c r="E197" s="1" t="str">
        <f ca="1">IFERROR(__xludf.DUMMYFUNCTION("""COMPUTED_VALUE"""),"Two very strong and admirable women na kaya nating ipagmalaki maging sa labas ng bansa. The best man for the job is a woman  #LeniForPresident2022  #10RobredoPresident  #LetLeniLead  #LeniKiko2022  #7KikoPangilinanVicePresident")</f>
        <v>Two very strong and admirable women na kaya nating ipagmalaki maging sa labas ng bansa. The best man for the job is a woman  #LeniForPresident2022  #10RobredoPresident  #LetLeniLead  #LeniKiko2022  #7KikoPangilinanVicePresident</v>
      </c>
      <c r="F197" s="1">
        <f ca="1">IFERROR(__xludf.DUMMYFUNCTION("""COMPUTED_VALUE"""),4)</f>
        <v>4</v>
      </c>
      <c r="G197" s="1" t="str">
        <f ca="1">IFERROR(__xludf.DUMMYFUNCTION("""COMPUTED_VALUE"""),"3 mos")</f>
        <v>3 mos</v>
      </c>
      <c r="H197" s="1" t="str">
        <f ca="1">IFERROR(__xludf.DUMMYFUNCTION("""COMPUTED_VALUE"""),"comment")</f>
        <v>comment</v>
      </c>
      <c r="I197" s="2" t="str">
        <f ca="1">IFERROR(__xludf.DUMMYFUNCTION("""COMPUTED_VALUE"""),"https://www.facebook.com/rapplerdotcom/photos/a.317154781638645/5598220220198715/")</f>
        <v>https://www.facebook.com/rapplerdotcom/photos/a.317154781638645/5598220220198715/</v>
      </c>
      <c r="J197" s="1" t="str">
        <f ca="1">IFERROR(__xludf.DUMMYFUNCTION("""COMPUTED_VALUE"""),"2022-07-04T11:09:50.066Z")</f>
        <v>2022-07-04T11:09:50.066Z</v>
      </c>
    </row>
    <row r="198" spans="1:10" x14ac:dyDescent="0.2">
      <c r="A198" s="2" t="str">
        <f ca="1">IFERROR(__xludf.DUMMYFUNCTION("""COMPUTED_VALUE"""),"https://www.facebook.com/Jadiz50")</f>
        <v>https://www.facebook.com/Jadiz50</v>
      </c>
      <c r="B198" s="1" t="str">
        <f ca="1">IFERROR(__xludf.DUMMYFUNCTION("""COMPUTED_VALUE"""),"Sure Diz")</f>
        <v>Sure Diz</v>
      </c>
      <c r="C198" s="1" t="str">
        <f ca="1">IFERROR(__xludf.DUMMYFUNCTION("""COMPUTED_VALUE"""),"Sure")</f>
        <v>Sure</v>
      </c>
      <c r="D198" s="1" t="str">
        <f ca="1">IFERROR(__xludf.DUMMYFUNCTION("""COMPUTED_VALUE"""),"Diz")</f>
        <v>Diz</v>
      </c>
      <c r="E198" s="1" t="str">
        <f ca="1">IFERROR(__xludf.DUMMYFUNCTION("""COMPUTED_VALUE"""),"Praying for you both🙏.  Kayo ang aming mga bagong Bayani na dapat tularan. Walang takot kanino man sa ngalan ng kabutihan, katarungan  at kapakanan ng mamamayan. 😘💖")</f>
        <v>Praying for you both🙏.  Kayo ang aming mga bagong Bayani na dapat tularan. Walang takot kanino man sa ngalan ng kabutihan, katarungan  at kapakanan ng mamamayan. 😘💖</v>
      </c>
      <c r="F198" s="1">
        <f ca="1">IFERROR(__xludf.DUMMYFUNCTION("""COMPUTED_VALUE"""),2)</f>
        <v>2</v>
      </c>
      <c r="G198" s="1" t="str">
        <f ca="1">IFERROR(__xludf.DUMMYFUNCTION("""COMPUTED_VALUE"""),"3 mos")</f>
        <v>3 mos</v>
      </c>
      <c r="H198" s="1" t="str">
        <f ca="1">IFERROR(__xludf.DUMMYFUNCTION("""COMPUTED_VALUE"""),"comment")</f>
        <v>comment</v>
      </c>
      <c r="I198" s="2" t="str">
        <f ca="1">IFERROR(__xludf.DUMMYFUNCTION("""COMPUTED_VALUE"""),"https://www.facebook.com/rapplerdotcom/photos/a.317154781638645/5598220220198715/")</f>
        <v>https://www.facebook.com/rapplerdotcom/photos/a.317154781638645/5598220220198715/</v>
      </c>
      <c r="J198" s="1" t="str">
        <f ca="1">IFERROR(__xludf.DUMMYFUNCTION("""COMPUTED_VALUE"""),"2022-07-04T11:09:50.066Z")</f>
        <v>2022-07-04T11:09:50.066Z</v>
      </c>
    </row>
    <row r="199" spans="1:10" x14ac:dyDescent="0.2">
      <c r="A199" s="2" t="str">
        <f ca="1">IFERROR(__xludf.DUMMYFUNCTION("""COMPUTED_VALUE"""),"https://www.facebook.com/bill.worth.1422")</f>
        <v>https://www.facebook.com/bill.worth.1422</v>
      </c>
      <c r="B199" s="1" t="str">
        <f ca="1">IFERROR(__xludf.DUMMYFUNCTION("""COMPUTED_VALUE"""),"Andy Billsworth")</f>
        <v>Andy Billsworth</v>
      </c>
      <c r="C199" s="1" t="str">
        <f ca="1">IFERROR(__xludf.DUMMYFUNCTION("""COMPUTED_VALUE"""),"Andy")</f>
        <v>Andy</v>
      </c>
      <c r="D199" s="1" t="str">
        <f ca="1">IFERROR(__xludf.DUMMYFUNCTION("""COMPUTED_VALUE"""),"Billsworth")</f>
        <v>Billsworth</v>
      </c>
      <c r="E199" s="1" t="str">
        <f ca="1">IFERROR(__xludf.DUMMYFUNCTION("""COMPUTED_VALUE"""),"Do what is best for our country.")</f>
        <v>Do what is best for our country.</v>
      </c>
      <c r="F199" s="1">
        <f ca="1">IFERROR(__xludf.DUMMYFUNCTION("""COMPUTED_VALUE"""),2)</f>
        <v>2</v>
      </c>
      <c r="G199" s="1" t="str">
        <f ca="1">IFERROR(__xludf.DUMMYFUNCTION("""COMPUTED_VALUE"""),"3 mos")</f>
        <v>3 mos</v>
      </c>
      <c r="H199" s="1" t="str">
        <f ca="1">IFERROR(__xludf.DUMMYFUNCTION("""COMPUTED_VALUE"""),"comment")</f>
        <v>comment</v>
      </c>
      <c r="I199" s="2" t="str">
        <f ca="1">IFERROR(__xludf.DUMMYFUNCTION("""COMPUTED_VALUE"""),"https://www.facebook.com/rapplerdotcom/photos/a.317154781638645/5598220220198715/")</f>
        <v>https://www.facebook.com/rapplerdotcom/photos/a.317154781638645/5598220220198715/</v>
      </c>
      <c r="J199" s="1" t="str">
        <f ca="1">IFERROR(__xludf.DUMMYFUNCTION("""COMPUTED_VALUE"""),"2022-07-04T11:09:50.066Z")</f>
        <v>2022-07-04T11:09:50.066Z</v>
      </c>
    </row>
    <row r="200" spans="1:10" x14ac:dyDescent="0.2">
      <c r="A200" s="2" t="str">
        <f ca="1">IFERROR(__xludf.DUMMYFUNCTION("""COMPUTED_VALUE"""),"https://www.facebook.com/nap.cruz.3")</f>
        <v>https://www.facebook.com/nap.cruz.3</v>
      </c>
      <c r="B200" s="1" t="str">
        <f ca="1">IFERROR(__xludf.DUMMYFUNCTION("""COMPUTED_VALUE"""),"Nap-Neth Cruz")</f>
        <v>Nap-Neth Cruz</v>
      </c>
      <c r="C200" s="1" t="str">
        <f ca="1">IFERROR(__xludf.DUMMYFUNCTION("""COMPUTED_VALUE"""),"Nap-Neth")</f>
        <v>Nap-Neth</v>
      </c>
      <c r="D200" s="1" t="str">
        <f ca="1">IFERROR(__xludf.DUMMYFUNCTION("""COMPUTED_VALUE"""),"Cruz")</f>
        <v>Cruz</v>
      </c>
      <c r="E200" s="1" t="str">
        <f ca="1">IFERROR(__xludf.DUMMYFUNCTION("""COMPUTED_VALUE"""),"When is this interview going to get aired? Thanks.")</f>
        <v>When is this interview going to get aired? Thanks.</v>
      </c>
      <c r="F200" s="1"/>
      <c r="G200" s="1" t="str">
        <f ca="1">IFERROR(__xludf.DUMMYFUNCTION("""COMPUTED_VALUE"""),"3 mos")</f>
        <v>3 mos</v>
      </c>
      <c r="H200" s="1" t="str">
        <f ca="1">IFERROR(__xludf.DUMMYFUNCTION("""COMPUTED_VALUE"""),"comment")</f>
        <v>comment</v>
      </c>
      <c r="I200" s="2" t="str">
        <f ca="1">IFERROR(__xludf.DUMMYFUNCTION("""COMPUTED_VALUE"""),"https://www.facebook.com/rapplerdotcom/photos/a.317154781638645/5598220220198715/")</f>
        <v>https://www.facebook.com/rapplerdotcom/photos/a.317154781638645/5598220220198715/</v>
      </c>
      <c r="J200" s="1" t="str">
        <f ca="1">IFERROR(__xludf.DUMMYFUNCTION("""COMPUTED_VALUE"""),"2022-07-04T11:09:50.066Z")</f>
        <v>2022-07-04T11:09:50.066Z</v>
      </c>
    </row>
    <row r="201" spans="1:10" x14ac:dyDescent="0.2">
      <c r="A201" s="2" t="str">
        <f ca="1">IFERROR(__xludf.DUMMYFUNCTION("""COMPUTED_VALUE"""),"https://www.facebook.com/steve.tamayo.18")</f>
        <v>https://www.facebook.com/steve.tamayo.18</v>
      </c>
      <c r="B201" s="1" t="str">
        <f ca="1">IFERROR(__xludf.DUMMYFUNCTION("""COMPUTED_VALUE"""),"Steve Tamayo")</f>
        <v>Steve Tamayo</v>
      </c>
      <c r="C201" s="1" t="str">
        <f ca="1">IFERROR(__xludf.DUMMYFUNCTION("""COMPUTED_VALUE"""),"Steve")</f>
        <v>Steve</v>
      </c>
      <c r="D201" s="1" t="str">
        <f ca="1">IFERROR(__xludf.DUMMYFUNCTION("""COMPUTED_VALUE"""),"Tamayo")</f>
        <v>Tamayo</v>
      </c>
      <c r="E201" s="1" t="str">
        <f ca="1">IFERROR(__xludf.DUMMYFUNCTION("""COMPUTED_VALUE"""),"Ang boto ko ay para sa isang #GobyernongTapatAngatBuhayLahat at #MasRadikalAngMagmahal  #IdasalNa10to #LeniKikoAllTheWay  #CaMaNavaForLeniKiko #RockAndRosas #CaMaNaVaIsPink  #LugawIsWowSaDabaw #DabawIsPink #tarLENIqueño #TarlacIsPink #PUSOtarlac  #Masagan"&amp;"angANEhan  #NuevaEcijaIsPink #IpanaloNa10Ito #10RobredoPresident  #KikoISDAKey #KikoAngManokKo  #7PangilinanForVicePresident  #MASSKARApatDapatLeniKiko  #TeamRObredoPAngilinan2022 kasamahan para sa Senado iboto din ng straight, Atty Alex Lacson, Atty Sonn"&amp;"y Matula, Dean Chel Diokno, Indigenous Peoples representative Teddy Baguilat, Sen DeLima, Sen Hontiveros, Sen Trillianes at 1Sambayan Atty Neri Colmenares, Sen Gordon at Labor Leader Elmer Labog at 2 pa.")</f>
        <v>Ang boto ko ay para sa isang #GobyernongTapatAngatBuhayLahat at #MasRadikalAngMagmahal  #IdasalNa10to #LeniKikoAllTheWay  #CaMaNavaForLeniKiko #RockAndRosas #CaMaNaVaIsPink  #LugawIsWowSaDabaw #DabawIsPink #tarLENIqueño #TarlacIsPink #PUSOtarlac  #MasaganangANEhan  #NuevaEcijaIsPink #IpanaloNa10Ito #10RobredoPresident  #KikoISDAKey #KikoAngManokKo  #7PangilinanForVicePresident  #MASSKARApatDapatLeniKiko  #TeamRObredoPAngilinan2022 kasamahan para sa Senado iboto din ng straight, Atty Alex Lacson, Atty Sonny Matula, Dean Chel Diokno, Indigenous Peoples representative Teddy Baguilat, Sen DeLima, Sen Hontiveros, Sen Trillianes at 1Sambayan Atty Neri Colmenares, Sen Gordon at Labor Leader Elmer Labog at 2 pa.</v>
      </c>
      <c r="F201" s="1">
        <f ca="1">IFERROR(__xludf.DUMMYFUNCTION("""COMPUTED_VALUE"""),136)</f>
        <v>136</v>
      </c>
      <c r="G201" s="1" t="str">
        <f ca="1">IFERROR(__xludf.DUMMYFUNCTION("""COMPUTED_VALUE"""),"3 mos")</f>
        <v>3 mos</v>
      </c>
      <c r="H201" s="1" t="str">
        <f ca="1">IFERROR(__xludf.DUMMYFUNCTION("""COMPUTED_VALUE"""),"comment")</f>
        <v>comment</v>
      </c>
      <c r="I201" s="2" t="str">
        <f ca="1">IFERROR(__xludf.DUMMYFUNCTION("""COMPUTED_VALUE"""),"https://www.facebook.com/rapplerdotcom/photos/a.317154781638645/5598220220198715/")</f>
        <v>https://www.facebook.com/rapplerdotcom/photos/a.317154781638645/5598220220198715/</v>
      </c>
      <c r="J201" s="1" t="str">
        <f ca="1">IFERROR(__xludf.DUMMYFUNCTION("""COMPUTED_VALUE"""),"2022-07-04T11:09:50.066Z")</f>
        <v>2022-07-04T11:09:50.066Z</v>
      </c>
    </row>
    <row r="202" spans="1:10" x14ac:dyDescent="0.2">
      <c r="A202" s="2" t="str">
        <f ca="1">IFERROR(__xludf.DUMMYFUNCTION("""COMPUTED_VALUE"""),"https://www.facebook.com/gonb.tibabs")</f>
        <v>https://www.facebook.com/gonb.tibabs</v>
      </c>
      <c r="B202" s="1" t="str">
        <f ca="1">IFERROR(__xludf.DUMMYFUNCTION("""COMPUTED_VALUE"""),"Gonb Tibabs")</f>
        <v>Gonb Tibabs</v>
      </c>
      <c r="C202" s="1" t="str">
        <f ca="1">IFERROR(__xludf.DUMMYFUNCTION("""COMPUTED_VALUE"""),"Gonb")</f>
        <v>Gonb</v>
      </c>
      <c r="D202" s="1" t="str">
        <f ca="1">IFERROR(__xludf.DUMMYFUNCTION("""COMPUTED_VALUE"""),"Tibabs")</f>
        <v>Tibabs</v>
      </c>
      <c r="E202" s="1" t="str">
        <f ca="1">IFERROR(__xludf.DUMMYFUNCTION("""COMPUTED_VALUE"""),"Steve Tamayo pareho po tayo. Proud kakampink.")</f>
        <v>Steve Tamayo pareho po tayo. Proud kakampink.</v>
      </c>
      <c r="F202" s="1">
        <f ca="1">IFERROR(__xludf.DUMMYFUNCTION("""COMPUTED_VALUE"""),7)</f>
        <v>7</v>
      </c>
      <c r="G202" s="1" t="str">
        <f ca="1">IFERROR(__xludf.DUMMYFUNCTION("""COMPUTED_VALUE"""),"3 mos")</f>
        <v>3 mos</v>
      </c>
      <c r="H202" s="1" t="str">
        <f ca="1">IFERROR(__xludf.DUMMYFUNCTION("""COMPUTED_VALUE"""),"reply")</f>
        <v>reply</v>
      </c>
      <c r="I202" s="2" t="str">
        <f ca="1">IFERROR(__xludf.DUMMYFUNCTION("""COMPUTED_VALUE"""),"https://www.facebook.com/rapplerdotcom/photos/a.317154781638645/5598220220198715/")</f>
        <v>https://www.facebook.com/rapplerdotcom/photos/a.317154781638645/5598220220198715/</v>
      </c>
      <c r="J202" s="1" t="str">
        <f ca="1">IFERROR(__xludf.DUMMYFUNCTION("""COMPUTED_VALUE"""),"2022-07-04T11:09:50.066Z")</f>
        <v>2022-07-04T11:09:50.066Z</v>
      </c>
    </row>
    <row r="203" spans="1:10" x14ac:dyDescent="0.2">
      <c r="A203" s="2" t="str">
        <f ca="1">IFERROR(__xludf.DUMMYFUNCTION("""COMPUTED_VALUE"""),"https://www.facebook.com/gonb.tibabs")</f>
        <v>https://www.facebook.com/gonb.tibabs</v>
      </c>
      <c r="B203" s="1" t="str">
        <f ca="1">IFERROR(__xludf.DUMMYFUNCTION("""COMPUTED_VALUE"""),"Gonb Tibabs")</f>
        <v>Gonb Tibabs</v>
      </c>
      <c r="C203" s="1" t="str">
        <f ca="1">IFERROR(__xludf.DUMMYFUNCTION("""COMPUTED_VALUE"""),"Gonb")</f>
        <v>Gonb</v>
      </c>
      <c r="D203" s="1" t="str">
        <f ca="1">IFERROR(__xludf.DUMMYFUNCTION("""COMPUTED_VALUE"""),"Tibabs")</f>
        <v>Tibabs</v>
      </c>
      <c r="E203" s="1" t="str">
        <f ca="1">IFERROR(__xludf.DUMMYFUNCTION("""COMPUTED_VALUE"""),"Proud kakampink.")</f>
        <v>Proud kakampink.</v>
      </c>
      <c r="F203" s="1">
        <f ca="1">IFERROR(__xludf.DUMMYFUNCTION("""COMPUTED_VALUE"""),6)</f>
        <v>6</v>
      </c>
      <c r="G203" s="1" t="str">
        <f ca="1">IFERROR(__xludf.DUMMYFUNCTION("""COMPUTED_VALUE"""),"3 mos")</f>
        <v>3 mos</v>
      </c>
      <c r="H203" s="1" t="str">
        <f ca="1">IFERROR(__xludf.DUMMYFUNCTION("""COMPUTED_VALUE"""),"reply")</f>
        <v>reply</v>
      </c>
      <c r="I203" s="2" t="str">
        <f ca="1">IFERROR(__xludf.DUMMYFUNCTION("""COMPUTED_VALUE"""),"https://www.facebook.com/rapplerdotcom/photos/a.317154781638645/5598220220198715/")</f>
        <v>https://www.facebook.com/rapplerdotcom/photos/a.317154781638645/5598220220198715/</v>
      </c>
      <c r="J203" s="1" t="str">
        <f ca="1">IFERROR(__xludf.DUMMYFUNCTION("""COMPUTED_VALUE"""),"2022-07-04T11:09:50.066Z")</f>
        <v>2022-07-04T11:09:50.066Z</v>
      </c>
    </row>
    <row r="204" spans="1:10" x14ac:dyDescent="0.2">
      <c r="A204" s="2" t="str">
        <f ca="1">IFERROR(__xludf.DUMMYFUNCTION("""COMPUTED_VALUE"""),"https://www.facebook.com/emele.maca.7")</f>
        <v>https://www.facebook.com/emele.maca.7</v>
      </c>
      <c r="B204" s="1" t="str">
        <f ca="1">IFERROR(__xludf.DUMMYFUNCTION("""COMPUTED_VALUE"""),"Mcdagaas Jemelle")</f>
        <v>Mcdagaas Jemelle</v>
      </c>
      <c r="C204" s="1" t="str">
        <f ca="1">IFERROR(__xludf.DUMMYFUNCTION("""COMPUTED_VALUE"""),"Mcdagaas")</f>
        <v>Mcdagaas</v>
      </c>
      <c r="D204" s="1" t="str">
        <f ca="1">IFERROR(__xludf.DUMMYFUNCTION("""COMPUTED_VALUE"""),"Jemelle")</f>
        <v>Jemelle</v>
      </c>
      <c r="E204" s="1" t="str">
        <f ca="1">IFERROR(__xludf.DUMMYFUNCTION("""COMPUTED_VALUE"""),"Steve Tamayo ang boto mo para kay lutang o sege, go nuclear na boto ang ibigay mo kay lutang para sabog")</f>
        <v>Steve Tamayo ang boto mo para kay lutang o sege, go nuclear na boto ang ibigay mo kay lutang para sabog</v>
      </c>
      <c r="F204" s="1"/>
      <c r="G204" s="1" t="str">
        <f ca="1">IFERROR(__xludf.DUMMYFUNCTION("""COMPUTED_VALUE"""),"3 mos")</f>
        <v>3 mos</v>
      </c>
      <c r="H204" s="1" t="str">
        <f ca="1">IFERROR(__xludf.DUMMYFUNCTION("""COMPUTED_VALUE"""),"reply")</f>
        <v>reply</v>
      </c>
      <c r="I204" s="2" t="str">
        <f ca="1">IFERROR(__xludf.DUMMYFUNCTION("""COMPUTED_VALUE"""),"https://www.facebook.com/rapplerdotcom/photos/a.317154781638645/5598220220198715/")</f>
        <v>https://www.facebook.com/rapplerdotcom/photos/a.317154781638645/5598220220198715/</v>
      </c>
      <c r="J204" s="1" t="str">
        <f ca="1">IFERROR(__xludf.DUMMYFUNCTION("""COMPUTED_VALUE"""),"2022-07-04T11:09:50.066Z")</f>
        <v>2022-07-04T11:09:50.066Z</v>
      </c>
    </row>
    <row r="205" spans="1:10" x14ac:dyDescent="0.2">
      <c r="A205" s="2" t="str">
        <f ca="1">IFERROR(__xludf.DUMMYFUNCTION("""COMPUTED_VALUE"""),"https://www.facebook.com/werdna.matugas")</f>
        <v>https://www.facebook.com/werdna.matugas</v>
      </c>
      <c r="B205" s="1" t="str">
        <f ca="1">IFERROR(__xludf.DUMMYFUNCTION("""COMPUTED_VALUE"""),"Yu Shen")</f>
        <v>Yu Shen</v>
      </c>
      <c r="C205" s="1" t="str">
        <f ca="1">IFERROR(__xludf.DUMMYFUNCTION("""COMPUTED_VALUE"""),"Yu")</f>
        <v>Yu</v>
      </c>
      <c r="D205" s="1" t="str">
        <f ca="1">IFERROR(__xludf.DUMMYFUNCTION("""COMPUTED_VALUE"""),"Shen")</f>
        <v>Shen</v>
      </c>
      <c r="E205" s="1" t="str">
        <f ca="1">IFERROR(__xludf.DUMMYFUNCTION("""COMPUTED_VALUE"""),"Steve Tamayo #Sagobernongtapatmgabubulahat🤣🤣")</f>
        <v>Steve Tamayo #Sagobernongtapatmgabubulahat🤣🤣</v>
      </c>
      <c r="F205" s="1"/>
      <c r="G205" s="1" t="str">
        <f ca="1">IFERROR(__xludf.DUMMYFUNCTION("""COMPUTED_VALUE"""),"3 mos")</f>
        <v>3 mos</v>
      </c>
      <c r="H205" s="1" t="str">
        <f ca="1">IFERROR(__xludf.DUMMYFUNCTION("""COMPUTED_VALUE"""),"reply")</f>
        <v>reply</v>
      </c>
      <c r="I205" s="2" t="str">
        <f ca="1">IFERROR(__xludf.DUMMYFUNCTION("""COMPUTED_VALUE"""),"https://www.facebook.com/rapplerdotcom/photos/a.317154781638645/5598220220198715/")</f>
        <v>https://www.facebook.com/rapplerdotcom/photos/a.317154781638645/5598220220198715/</v>
      </c>
      <c r="J205" s="1" t="str">
        <f ca="1">IFERROR(__xludf.DUMMYFUNCTION("""COMPUTED_VALUE"""),"2022-07-04T11:09:50.066Z")</f>
        <v>2022-07-04T11:09:50.066Z</v>
      </c>
    </row>
    <row r="206" spans="1:10" x14ac:dyDescent="0.2">
      <c r="A206" s="2" t="str">
        <f ca="1">IFERROR(__xludf.DUMMYFUNCTION("""COMPUTED_VALUE"""),"https://www.facebook.com/PKMmatters")</f>
        <v>https://www.facebook.com/PKMmatters</v>
      </c>
      <c r="B206" s="1" t="str">
        <f ca="1">IFERROR(__xludf.DUMMYFUNCTION("""COMPUTED_VALUE"""),"Pikaem InHamburg")</f>
        <v>Pikaem InHamburg</v>
      </c>
      <c r="C206" s="1" t="str">
        <f ca="1">IFERROR(__xludf.DUMMYFUNCTION("""COMPUTED_VALUE"""),"Pikaem")</f>
        <v>Pikaem</v>
      </c>
      <c r="D206" s="1" t="str">
        <f ca="1">IFERROR(__xludf.DUMMYFUNCTION("""COMPUTED_VALUE"""),"InHamburg")</f>
        <v>InHamburg</v>
      </c>
      <c r="E206" s="1" t="str">
        <f ca="1">IFERROR(__xludf.DUMMYFUNCTION("""COMPUTED_VALUE"""),"#LetLeniLead2022  MY PRESIDENT!!! TUNAY NA NARARAPAT,  WALANG BAHID NG KORAPSYON #LeniKikoAllTheWay #GobyernongTapatAngatBuhayLahat #KulayRosasAngBukas 🌷♥😍")</f>
        <v>#LetLeniLead2022  MY PRESIDENT!!! TUNAY NA NARARAPAT,  WALANG BAHID NG KORAPSYON #LeniKikoAllTheWay #GobyernongTapatAngatBuhayLahat #KulayRosasAngBukas 🌷♥😍</v>
      </c>
      <c r="F206" s="1">
        <f ca="1">IFERROR(__xludf.DUMMYFUNCTION("""COMPUTED_VALUE"""),2)</f>
        <v>2</v>
      </c>
      <c r="G206" s="1" t="str">
        <f ca="1">IFERROR(__xludf.DUMMYFUNCTION("""COMPUTED_VALUE"""),"3 mos")</f>
        <v>3 mos</v>
      </c>
      <c r="H206" s="1" t="str">
        <f ca="1">IFERROR(__xludf.DUMMYFUNCTION("""COMPUTED_VALUE"""),"comment")</f>
        <v>comment</v>
      </c>
      <c r="I206" s="2" t="str">
        <f ca="1">IFERROR(__xludf.DUMMYFUNCTION("""COMPUTED_VALUE"""),"https://www.facebook.com/rapplerdotcom/photos/a.317154781638645/5598220220198715/")</f>
        <v>https://www.facebook.com/rapplerdotcom/photos/a.317154781638645/5598220220198715/</v>
      </c>
      <c r="J206" s="1" t="str">
        <f ca="1">IFERROR(__xludf.DUMMYFUNCTION("""COMPUTED_VALUE"""),"2022-07-04T11:09:50.066Z")</f>
        <v>2022-07-04T11:09:50.066Z</v>
      </c>
    </row>
    <row r="207" spans="1:10" x14ac:dyDescent="0.2">
      <c r="A207" s="2" t="str">
        <f ca="1">IFERROR(__xludf.DUMMYFUNCTION("""COMPUTED_VALUE"""),"https://www.facebook.com/sweetverni")</f>
        <v>https://www.facebook.com/sweetverni</v>
      </c>
      <c r="B207" s="1" t="str">
        <f ca="1">IFERROR(__xludf.DUMMYFUNCTION("""COMPUTED_VALUE"""),"Sweetverni Aces")</f>
        <v>Sweetverni Aces</v>
      </c>
      <c r="C207" s="1" t="str">
        <f ca="1">IFERROR(__xludf.DUMMYFUNCTION("""COMPUTED_VALUE"""),"Sweetverni")</f>
        <v>Sweetverni</v>
      </c>
      <c r="D207" s="1" t="str">
        <f ca="1">IFERROR(__xludf.DUMMYFUNCTION("""COMPUTED_VALUE"""),"Aces")</f>
        <v>Aces</v>
      </c>
      <c r="E207" s="1" t="str">
        <f ca="1">IFERROR(__xludf.DUMMYFUNCTION("""COMPUTED_VALUE"""),"🌸🌸🍀🍀 Mga TALA NG PAG-ASA, not just for economic but also for MORAL RECOVERY... 🍀🍀🌸🌸  #GobyernongTapat! #LeniKiko2022 #AngatBuhayLahat #LeniKikoAllTheWay  #10RobredoPresident #7KikoPangilinanVicePresident #4TeddyBaguilat #18LeilaDeLima #21ChelDiokn"&amp;"o #34RisaHontiveros #38AlexLacson #45SonnyMatula #58SonnyTrillanes #16NeriColmenares lenirobredo.com")</f>
        <v>🌸🌸🍀🍀 Mga TALA NG PAG-ASA, not just for economic but also for MORAL RECOVERY... 🍀🍀🌸🌸  #GobyernongTapat! #LeniKiko2022 #AngatBuhayLahat #LeniKikoAllTheWay  #10RobredoPresident #7KikoPangilinanVicePresident #4TeddyBaguilat #18LeilaDeLima #21ChelDiokno #34RisaHontiveros #38AlexLacson #45SonnyMatula #58SonnyTrillanes #16NeriColmenares lenirobredo.com</v>
      </c>
      <c r="F207" s="1">
        <f ca="1">IFERROR(__xludf.DUMMYFUNCTION("""COMPUTED_VALUE"""),1)</f>
        <v>1</v>
      </c>
      <c r="G207" s="1" t="str">
        <f ca="1">IFERROR(__xludf.DUMMYFUNCTION("""COMPUTED_VALUE"""),"3 mos")</f>
        <v>3 mos</v>
      </c>
      <c r="H207" s="1" t="str">
        <f ca="1">IFERROR(__xludf.DUMMYFUNCTION("""COMPUTED_VALUE"""),"comment")</f>
        <v>comment</v>
      </c>
      <c r="I207" s="2" t="str">
        <f ca="1">IFERROR(__xludf.DUMMYFUNCTION("""COMPUTED_VALUE"""),"https://www.facebook.com/rapplerdotcom/photos/a.317154781638645/5598220220198715/")</f>
        <v>https://www.facebook.com/rapplerdotcom/photos/a.317154781638645/5598220220198715/</v>
      </c>
      <c r="J207" s="1" t="str">
        <f ca="1">IFERROR(__xludf.DUMMYFUNCTION("""COMPUTED_VALUE"""),"2022-07-04T11:09:50.066Z")</f>
        <v>2022-07-04T11:09:50.066Z</v>
      </c>
    </row>
    <row r="208" spans="1:10" x14ac:dyDescent="0.2">
      <c r="A208" s="2" t="str">
        <f ca="1">IFERROR(__xludf.DUMMYFUNCTION("""COMPUTED_VALUE"""),"https://www.facebook.com/eduardo.arboleda.1257")</f>
        <v>https://www.facebook.com/eduardo.arboleda.1257</v>
      </c>
      <c r="B208" s="1" t="str">
        <f ca="1">IFERROR(__xludf.DUMMYFUNCTION("""COMPUTED_VALUE"""),"Ed Smith")</f>
        <v>Ed Smith</v>
      </c>
      <c r="C208" s="1" t="str">
        <f ca="1">IFERROR(__xludf.DUMMYFUNCTION("""COMPUTED_VALUE"""),"Ed")</f>
        <v>Ed</v>
      </c>
      <c r="D208" s="1" t="str">
        <f ca="1">IFERROR(__xludf.DUMMYFUNCTION("""COMPUTED_VALUE"""),"Smith")</f>
        <v>Smith</v>
      </c>
      <c r="E208" s="1" t="str">
        <f ca="1">IFERROR(__xludf.DUMMYFUNCTION("""COMPUTED_VALUE"""),"Salamat sa pakikilaban para sa masang Pilipino at para sa kinabukan ng ating bansa.")</f>
        <v>Salamat sa pakikilaban para sa masang Pilipino at para sa kinabukan ng ating bansa.</v>
      </c>
      <c r="F208" s="1">
        <f ca="1">IFERROR(__xludf.DUMMYFUNCTION("""COMPUTED_VALUE"""),7)</f>
        <v>7</v>
      </c>
      <c r="G208" s="1" t="str">
        <f ca="1">IFERROR(__xludf.DUMMYFUNCTION("""COMPUTED_VALUE"""),"3 mos")</f>
        <v>3 mos</v>
      </c>
      <c r="H208" s="1" t="str">
        <f ca="1">IFERROR(__xludf.DUMMYFUNCTION("""COMPUTED_VALUE"""),"comment")</f>
        <v>comment</v>
      </c>
      <c r="I208" s="2" t="str">
        <f ca="1">IFERROR(__xludf.DUMMYFUNCTION("""COMPUTED_VALUE"""),"https://www.facebook.com/rapplerdotcom/photos/a.317154781638645/5598220220198715/")</f>
        <v>https://www.facebook.com/rapplerdotcom/photos/a.317154781638645/5598220220198715/</v>
      </c>
      <c r="J208" s="1" t="str">
        <f ca="1">IFERROR(__xludf.DUMMYFUNCTION("""COMPUTED_VALUE"""),"2022-07-04T11:09:50.066Z")</f>
        <v>2022-07-04T11:09:50.066Z</v>
      </c>
    </row>
    <row r="209" spans="1:10" x14ac:dyDescent="0.2">
      <c r="A209" s="2" t="str">
        <f ca="1">IFERROR(__xludf.DUMMYFUNCTION("""COMPUTED_VALUE"""),"https://www.facebook.com/catalino.onquit")</f>
        <v>https://www.facebook.com/catalino.onquit</v>
      </c>
      <c r="B209" s="1" t="str">
        <f ca="1">IFERROR(__xludf.DUMMYFUNCTION("""COMPUTED_VALUE"""),"Catalino Onquit")</f>
        <v>Catalino Onquit</v>
      </c>
      <c r="C209" s="1" t="str">
        <f ca="1">IFERROR(__xludf.DUMMYFUNCTION("""COMPUTED_VALUE"""),"Catalino")</f>
        <v>Catalino</v>
      </c>
      <c r="D209" s="1" t="str">
        <f ca="1">IFERROR(__xludf.DUMMYFUNCTION("""COMPUTED_VALUE"""),"Onquit")</f>
        <v>Onquit</v>
      </c>
      <c r="E209" s="1" t="str">
        <f ca="1">IFERROR(__xludf.DUMMYFUNCTION("""COMPUTED_VALUE"""),"Ilabas n interview")</f>
        <v>Ilabas n interview</v>
      </c>
      <c r="F209" s="1"/>
      <c r="G209" s="1" t="str">
        <f ca="1">IFERROR(__xludf.DUMMYFUNCTION("""COMPUTED_VALUE"""),"3 mos")</f>
        <v>3 mos</v>
      </c>
      <c r="H209" s="1" t="str">
        <f ca="1">IFERROR(__xludf.DUMMYFUNCTION("""COMPUTED_VALUE"""),"comment")</f>
        <v>comment</v>
      </c>
      <c r="I209" s="2" t="str">
        <f ca="1">IFERROR(__xludf.DUMMYFUNCTION("""COMPUTED_VALUE"""),"https://www.facebook.com/rapplerdotcom/photos/a.317154781638645/5598220220198715/")</f>
        <v>https://www.facebook.com/rapplerdotcom/photos/a.317154781638645/5598220220198715/</v>
      </c>
      <c r="J209" s="1" t="str">
        <f ca="1">IFERROR(__xludf.DUMMYFUNCTION("""COMPUTED_VALUE"""),"2022-07-04T11:09:50.066Z")</f>
        <v>2022-07-04T11:09:50.066Z</v>
      </c>
    </row>
    <row r="210" spans="1:10" x14ac:dyDescent="0.2">
      <c r="A210" s="2" t="str">
        <f ca="1">IFERROR(__xludf.DUMMYFUNCTION("""COMPUTED_VALUE"""),"https://www.facebook.com/profile.php?id=100069055685563")</f>
        <v>https://www.facebook.com/profile.php?id=100069055685563</v>
      </c>
      <c r="B210" s="1" t="str">
        <f ca="1">IFERROR(__xludf.DUMMYFUNCTION("""COMPUTED_VALUE"""),"Clark Daniel Gutlay")</f>
        <v>Clark Daniel Gutlay</v>
      </c>
      <c r="C210" s="1" t="str">
        <f ca="1">IFERROR(__xludf.DUMMYFUNCTION("""COMPUTED_VALUE"""),"Clark")</f>
        <v>Clark</v>
      </c>
      <c r="D210" s="1" t="str">
        <f ca="1">IFERROR(__xludf.DUMMYFUNCTION("""COMPUTED_VALUE"""),"Daniel Gutlay")</f>
        <v>Daniel Gutlay</v>
      </c>
      <c r="E210" s="1" t="str">
        <f ca="1">IFERROR(__xludf.DUMMYFUNCTION("""COMPUTED_VALUE"""),"Sabwatan ng mga hayok sa kapangyarihan")</f>
        <v>Sabwatan ng mga hayok sa kapangyarihan</v>
      </c>
      <c r="F210" s="1">
        <f ca="1">IFERROR(__xludf.DUMMYFUNCTION("""COMPUTED_VALUE"""),1)</f>
        <v>1</v>
      </c>
      <c r="G210" s="1" t="str">
        <f ca="1">IFERROR(__xludf.DUMMYFUNCTION("""COMPUTED_VALUE"""),"3 mos")</f>
        <v>3 mos</v>
      </c>
      <c r="H210" s="1" t="str">
        <f ca="1">IFERROR(__xludf.DUMMYFUNCTION("""COMPUTED_VALUE"""),"comment")</f>
        <v>comment</v>
      </c>
      <c r="I210" s="2" t="str">
        <f ca="1">IFERROR(__xludf.DUMMYFUNCTION("""COMPUTED_VALUE"""),"https://www.facebook.com/rapplerdotcom/photos/a.317154781638645/5598220220198715/")</f>
        <v>https://www.facebook.com/rapplerdotcom/photos/a.317154781638645/5598220220198715/</v>
      </c>
      <c r="J210" s="1" t="str">
        <f ca="1">IFERROR(__xludf.DUMMYFUNCTION("""COMPUTED_VALUE"""),"2022-07-04T11:09:50.066Z")</f>
        <v>2022-07-04T11:09:50.066Z</v>
      </c>
    </row>
    <row r="211" spans="1:10" x14ac:dyDescent="0.2">
      <c r="A211" s="2" t="str">
        <f ca="1">IFERROR(__xludf.DUMMYFUNCTION("""COMPUTED_VALUE"""),"https://www.facebook.com/gilbert.cabacoy")</f>
        <v>https://www.facebook.com/gilbert.cabacoy</v>
      </c>
      <c r="B211" s="1" t="str">
        <f ca="1">IFERROR(__xludf.DUMMYFUNCTION("""COMPUTED_VALUE"""),"Gilbert Pahinag Cabacoy")</f>
        <v>Gilbert Pahinag Cabacoy</v>
      </c>
      <c r="C211" s="1" t="str">
        <f ca="1">IFERROR(__xludf.DUMMYFUNCTION("""COMPUTED_VALUE"""),"Gilbert")</f>
        <v>Gilbert</v>
      </c>
      <c r="D211" s="1" t="str">
        <f ca="1">IFERROR(__xludf.DUMMYFUNCTION("""COMPUTED_VALUE"""),"Pahinag Cabacoy")</f>
        <v>Pahinag Cabacoy</v>
      </c>
      <c r="E211" s="1" t="str">
        <f ca="1">IFERROR(__xludf.DUMMYFUNCTION("""COMPUTED_VALUE"""),"Yan Ang Kagalang Galang na Susunod na Presidente Ng Republika Ng Pilipinas!")</f>
        <v>Yan Ang Kagalang Galang na Susunod na Presidente Ng Republika Ng Pilipinas!</v>
      </c>
      <c r="F211" s="1">
        <f ca="1">IFERROR(__xludf.DUMMYFUNCTION("""COMPUTED_VALUE"""),30)</f>
        <v>30</v>
      </c>
      <c r="G211" s="1" t="str">
        <f ca="1">IFERROR(__xludf.DUMMYFUNCTION("""COMPUTED_VALUE"""),"3 mos")</f>
        <v>3 mos</v>
      </c>
      <c r="H211" s="1" t="str">
        <f ca="1">IFERROR(__xludf.DUMMYFUNCTION("""COMPUTED_VALUE"""),"comment")</f>
        <v>comment</v>
      </c>
      <c r="I211" s="2" t="str">
        <f ca="1">IFERROR(__xludf.DUMMYFUNCTION("""COMPUTED_VALUE"""),"https://www.facebook.com/rapplerdotcom/photos/a.317154781638645/5598220220198715/")</f>
        <v>https://www.facebook.com/rapplerdotcom/photos/a.317154781638645/5598220220198715/</v>
      </c>
      <c r="J211" s="1" t="str">
        <f ca="1">IFERROR(__xludf.DUMMYFUNCTION("""COMPUTED_VALUE"""),"2022-07-04T11:09:50.066Z")</f>
        <v>2022-07-04T11:09:50.066Z</v>
      </c>
    </row>
    <row r="212" spans="1:10" x14ac:dyDescent="0.2">
      <c r="A212" s="2" t="str">
        <f ca="1">IFERROR(__xludf.DUMMYFUNCTION("""COMPUTED_VALUE"""),"https://www.facebook.com/versusversi")</f>
        <v>https://www.facebook.com/versusversi</v>
      </c>
      <c r="B212" s="1" t="str">
        <f ca="1">IFERROR(__xludf.DUMMYFUNCTION("""COMPUTED_VALUE"""),"Rem Russel Delarmente")</f>
        <v>Rem Russel Delarmente</v>
      </c>
      <c r="C212" s="1" t="str">
        <f ca="1">IFERROR(__xludf.DUMMYFUNCTION("""COMPUTED_VALUE"""),"Rem")</f>
        <v>Rem</v>
      </c>
      <c r="D212" s="1" t="str">
        <f ca="1">IFERROR(__xludf.DUMMYFUNCTION("""COMPUTED_VALUE"""),"Russel Delarmente")</f>
        <v>Russel Delarmente</v>
      </c>
      <c r="E212" s="1" t="str">
        <f ca="1">IFERROR(__xludf.DUMMYFUNCTION("""COMPUTED_VALUE"""),"Marvz Yu Polines wag na sana mag anak kung kabobohan lng din naman ang ipapamana")</f>
        <v>Marvz Yu Polines wag na sana mag anak kung kabobohan lng din naman ang ipapamana</v>
      </c>
      <c r="F212" s="1"/>
      <c r="G212" s="1" t="str">
        <f ca="1">IFERROR(__xludf.DUMMYFUNCTION("""COMPUTED_VALUE"""),"3 mos")</f>
        <v>3 mos</v>
      </c>
      <c r="H212" s="1" t="str">
        <f ca="1">IFERROR(__xludf.DUMMYFUNCTION("""COMPUTED_VALUE"""),"reply")</f>
        <v>reply</v>
      </c>
      <c r="I212" s="2" t="str">
        <f ca="1">IFERROR(__xludf.DUMMYFUNCTION("""COMPUTED_VALUE"""),"https://www.facebook.com/rapplerdotcom/photos/a.317154781638645/5598220220198715/")</f>
        <v>https://www.facebook.com/rapplerdotcom/photos/a.317154781638645/5598220220198715/</v>
      </c>
      <c r="J212" s="1" t="str">
        <f ca="1">IFERROR(__xludf.DUMMYFUNCTION("""COMPUTED_VALUE"""),"2022-07-04T11:09:50.066Z")</f>
        <v>2022-07-04T11:09:50.066Z</v>
      </c>
    </row>
    <row r="213" spans="1:10" x14ac:dyDescent="0.2">
      <c r="A213" s="2" t="str">
        <f ca="1">IFERROR(__xludf.DUMMYFUNCTION("""COMPUTED_VALUE"""),"https://www.facebook.com/asean.briones")</f>
        <v>https://www.facebook.com/asean.briones</v>
      </c>
      <c r="B213" s="1" t="str">
        <f ca="1">IFERROR(__xludf.DUMMYFUNCTION("""COMPUTED_VALUE"""),"Asean Briones")</f>
        <v>Asean Briones</v>
      </c>
      <c r="C213" s="1" t="str">
        <f ca="1">IFERROR(__xludf.DUMMYFUNCTION("""COMPUTED_VALUE"""),"Asean")</f>
        <v>Asean</v>
      </c>
      <c r="D213" s="1" t="str">
        <f ca="1">IFERROR(__xludf.DUMMYFUNCTION("""COMPUTED_VALUE"""),"Briones")</f>
        <v>Briones</v>
      </c>
      <c r="E213" s="1" t="str">
        <f ca="1">IFERROR(__xludf.DUMMYFUNCTION("""COMPUTED_VALUE"""),"Salute to these inspiring brave women in the forefront! Yung ipaglalaban ang katotohanan gamit ang kanilang talino at sipag at pagmamahal sa bayan bilang sandata tungo sa isang maunlad at malayang Pilipinas 🇵🇭 #womensupportingwomen #womenempoweringwomen"&amp;" #TheLastManStandingIsAWoman")</f>
        <v>Salute to these inspiring brave women in the forefront! Yung ipaglalaban ang katotohanan gamit ang kanilang talino at sipag at pagmamahal sa bayan bilang sandata tungo sa isang maunlad at malayang Pilipinas 🇵🇭 #womensupportingwomen #womenempoweringwomen #TheLastManStandingIsAWoman</v>
      </c>
      <c r="F213" s="1">
        <f ca="1">IFERROR(__xludf.DUMMYFUNCTION("""COMPUTED_VALUE"""),4)</f>
        <v>4</v>
      </c>
      <c r="G213" s="1" t="str">
        <f ca="1">IFERROR(__xludf.DUMMYFUNCTION("""COMPUTED_VALUE"""),"3 mos")</f>
        <v>3 mos</v>
      </c>
      <c r="H213" s="1" t="str">
        <f ca="1">IFERROR(__xludf.DUMMYFUNCTION("""COMPUTED_VALUE"""),"comment")</f>
        <v>comment</v>
      </c>
      <c r="I213" s="2" t="str">
        <f ca="1">IFERROR(__xludf.DUMMYFUNCTION("""COMPUTED_VALUE"""),"https://www.facebook.com/rapplerdotcom/photos/a.317154781638645/5598220220198715/")</f>
        <v>https://www.facebook.com/rapplerdotcom/photos/a.317154781638645/5598220220198715/</v>
      </c>
      <c r="J213" s="1" t="str">
        <f ca="1">IFERROR(__xludf.DUMMYFUNCTION("""COMPUTED_VALUE"""),"2022-07-04T11:09:50.066Z")</f>
        <v>2022-07-04T11:09:50.066Z</v>
      </c>
    </row>
    <row r="214" spans="1:10" x14ac:dyDescent="0.2">
      <c r="A214" s="2" t="str">
        <f ca="1">IFERROR(__xludf.DUMMYFUNCTION("""COMPUTED_VALUE"""),"https://www.facebook.com/elmer.gabini")</f>
        <v>https://www.facebook.com/elmer.gabini</v>
      </c>
      <c r="B214" s="1" t="str">
        <f ca="1">IFERROR(__xludf.DUMMYFUNCTION("""COMPUTED_VALUE"""),"Elmer Gabini")</f>
        <v>Elmer Gabini</v>
      </c>
      <c r="C214" s="1" t="str">
        <f ca="1">IFERROR(__xludf.DUMMYFUNCTION("""COMPUTED_VALUE"""),"Elmer")</f>
        <v>Elmer</v>
      </c>
      <c r="D214" s="1" t="str">
        <f ca="1">IFERROR(__xludf.DUMMYFUNCTION("""COMPUTED_VALUE"""),"Gabini")</f>
        <v>Gabini</v>
      </c>
      <c r="E214" s="1" t="str">
        <f ca="1">IFERROR(__xludf.DUMMYFUNCTION("""COMPUTED_VALUE"""),"#GobyernongTapat #AngatBuhayLahat   #KulayRosasAngBukas para sa mga #KakamPINK at #HindiKaPINK  #TapatMalinisMaasahan #PilipinasNatingMahal")</f>
        <v>#GobyernongTapat #AngatBuhayLahat   #KulayRosasAngBukas para sa mga #KakamPINK at #HindiKaPINK  #TapatMalinisMaasahan #PilipinasNatingMahal</v>
      </c>
      <c r="F214" s="1">
        <f ca="1">IFERROR(__xludf.DUMMYFUNCTION("""COMPUTED_VALUE"""),1)</f>
        <v>1</v>
      </c>
      <c r="G214" s="1" t="str">
        <f ca="1">IFERROR(__xludf.DUMMYFUNCTION("""COMPUTED_VALUE"""),"3 mos")</f>
        <v>3 mos</v>
      </c>
      <c r="H214" s="1" t="str">
        <f ca="1">IFERROR(__xludf.DUMMYFUNCTION("""COMPUTED_VALUE"""),"comment")</f>
        <v>comment</v>
      </c>
      <c r="I214" s="2" t="str">
        <f ca="1">IFERROR(__xludf.DUMMYFUNCTION("""COMPUTED_VALUE"""),"https://www.facebook.com/rapplerdotcom/photos/a.317154781638645/5598220220198715/")</f>
        <v>https://www.facebook.com/rapplerdotcom/photos/a.317154781638645/5598220220198715/</v>
      </c>
      <c r="J214" s="1" t="str">
        <f ca="1">IFERROR(__xludf.DUMMYFUNCTION("""COMPUTED_VALUE"""),"2022-07-04T11:09:50.066Z")</f>
        <v>2022-07-04T11:09:50.066Z</v>
      </c>
    </row>
    <row r="215" spans="1:10" x14ac:dyDescent="0.2">
      <c r="A215" s="2" t="str">
        <f ca="1">IFERROR(__xludf.DUMMYFUNCTION("""COMPUTED_VALUE"""),"https://www.facebook.com/myinspireducation.587606")</f>
        <v>https://www.facebook.com/myinspireducation.587606</v>
      </c>
      <c r="B215" s="1" t="str">
        <f ca="1">IFERROR(__xludf.DUMMYFUNCTION("""COMPUTED_VALUE"""),"Vicky Perez")</f>
        <v>Vicky Perez</v>
      </c>
      <c r="C215" s="1" t="str">
        <f ca="1">IFERROR(__xludf.DUMMYFUNCTION("""COMPUTED_VALUE"""),"Vicky")</f>
        <v>Vicky</v>
      </c>
      <c r="D215" s="1" t="str">
        <f ca="1">IFERROR(__xludf.DUMMYFUNCTION("""COMPUTED_VALUE"""),"Perez")</f>
        <v>Perez</v>
      </c>
      <c r="E215" s="1" t="str">
        <f ca="1">IFERROR(__xludf.DUMMYFUNCTION("""COMPUTED_VALUE"""),"Mabuhay kayong 2! Kulay rosas and bukas.")</f>
        <v>Mabuhay kayong 2! Kulay rosas and bukas.</v>
      </c>
      <c r="F215" s="1">
        <f ca="1">IFERROR(__xludf.DUMMYFUNCTION("""COMPUTED_VALUE"""),1)</f>
        <v>1</v>
      </c>
      <c r="G215" s="1" t="str">
        <f ca="1">IFERROR(__xludf.DUMMYFUNCTION("""COMPUTED_VALUE"""),"3 mos")</f>
        <v>3 mos</v>
      </c>
      <c r="H215" s="1" t="str">
        <f ca="1">IFERROR(__xludf.DUMMYFUNCTION("""COMPUTED_VALUE"""),"comment")</f>
        <v>comment</v>
      </c>
      <c r="I215" s="2" t="str">
        <f ca="1">IFERROR(__xludf.DUMMYFUNCTION("""COMPUTED_VALUE"""),"https://www.facebook.com/rapplerdotcom/photos/a.317154781638645/5598220220198715/")</f>
        <v>https://www.facebook.com/rapplerdotcom/photos/a.317154781638645/5598220220198715/</v>
      </c>
      <c r="J215" s="1" t="str">
        <f ca="1">IFERROR(__xludf.DUMMYFUNCTION("""COMPUTED_VALUE"""),"2022-07-04T11:09:50.066Z")</f>
        <v>2022-07-04T11:09:50.066Z</v>
      </c>
    </row>
    <row r="216" spans="1:10" x14ac:dyDescent="0.2">
      <c r="A216" s="2" t="str">
        <f ca="1">IFERROR(__xludf.DUMMYFUNCTION("""COMPUTED_VALUE"""),"https://www.facebook.com/judyann.aruta")</f>
        <v>https://www.facebook.com/judyann.aruta</v>
      </c>
      <c r="B216" s="1" t="str">
        <f ca="1">IFERROR(__xludf.DUMMYFUNCTION("""COMPUTED_VALUE"""),"Aruta JV")</f>
        <v>Aruta JV</v>
      </c>
      <c r="C216" s="1" t="str">
        <f ca="1">IFERROR(__xludf.DUMMYFUNCTION("""COMPUTED_VALUE"""),"Aruta")</f>
        <v>Aruta</v>
      </c>
      <c r="D216" s="1" t="str">
        <f ca="1">IFERROR(__xludf.DUMMYFUNCTION("""COMPUTED_VALUE"""),"JV")</f>
        <v>JV</v>
      </c>
      <c r="E216" s="1" t="str">
        <f ca="1">IFERROR(__xludf.DUMMYFUNCTION("""COMPUTED_VALUE"""),"Yan ang leader, Presidente.  Walang atraso kahit kanino, walang excess baggage. Kaya, Kahit saan, Kahit kelan, Kahit sino.. Kayang Humarap, Kasi Maalam, Malinis at malinaw Intensyon. may plataporma 🙏🌸🌷💗🇵🇭")</f>
        <v>Yan ang leader, Presidente.  Walang atraso kahit kanino, walang excess baggage. Kaya, Kahit saan, Kahit kelan, Kahit sino.. Kayang Humarap, Kasi Maalam, Malinis at malinaw Intensyon. may plataporma 🙏🌸🌷💗🇵🇭</v>
      </c>
      <c r="F216" s="1">
        <f ca="1">IFERROR(__xludf.DUMMYFUNCTION("""COMPUTED_VALUE"""),128)</f>
        <v>128</v>
      </c>
      <c r="G216" s="1" t="str">
        <f ca="1">IFERROR(__xludf.DUMMYFUNCTION("""COMPUTED_VALUE"""),"3 mos")</f>
        <v>3 mos</v>
      </c>
      <c r="H216" s="1" t="str">
        <f ca="1">IFERROR(__xludf.DUMMYFUNCTION("""COMPUTED_VALUE"""),"comment")</f>
        <v>comment</v>
      </c>
      <c r="I216" s="2" t="str">
        <f ca="1">IFERROR(__xludf.DUMMYFUNCTION("""COMPUTED_VALUE"""),"https://www.facebook.com/rapplerdotcom/photos/a.317154781638645/5598220220198715/")</f>
        <v>https://www.facebook.com/rapplerdotcom/photos/a.317154781638645/5598220220198715/</v>
      </c>
      <c r="J216" s="1" t="str">
        <f ca="1">IFERROR(__xludf.DUMMYFUNCTION("""COMPUTED_VALUE"""),"2022-07-04T11:09:50.066Z")</f>
        <v>2022-07-04T11:09:50.066Z</v>
      </c>
    </row>
    <row r="217" spans="1:10" x14ac:dyDescent="0.2">
      <c r="A217" s="2" t="str">
        <f ca="1">IFERROR(__xludf.DUMMYFUNCTION("""COMPUTED_VALUE"""),"https://www.facebook.com/narciso.corvera.549")</f>
        <v>https://www.facebook.com/narciso.corvera.549</v>
      </c>
      <c r="B217" s="1" t="str">
        <f ca="1">IFERROR(__xludf.DUMMYFUNCTION("""COMPUTED_VALUE"""),"Narciso Corvera")</f>
        <v>Narciso Corvera</v>
      </c>
      <c r="C217" s="1" t="str">
        <f ca="1">IFERROR(__xludf.DUMMYFUNCTION("""COMPUTED_VALUE"""),"Narciso")</f>
        <v>Narciso</v>
      </c>
      <c r="D217" s="1" t="str">
        <f ca="1">IFERROR(__xludf.DUMMYFUNCTION("""COMPUTED_VALUE"""),"Corvera")</f>
        <v>Corvera</v>
      </c>
      <c r="E217" s="1" t="str">
        <f ca="1">IFERROR(__xludf.DUMMYFUNCTION("""COMPUTED_VALUE"""),"Jasmine Mariya Veñas tama ka Sis alang alam yan line  na  yan ang nagpapatakbo naman jan oligarko at ang mayayaman   bansa  kaya sunod sunoran  alam mo ba un kalabaw na kung saan hilahin sunod ng sunod ,ganyan c, Ate Lne kuno")</f>
        <v>Jasmine Mariya Veñas tama ka Sis alang alam yan line  na  yan ang nagpapatakbo naman jan oligarko at ang mayayaman   bansa  kaya sunod sunoran  alam mo ba un kalabaw na kung saan hilahin sunod ng sunod ,ganyan c, Ate Lne kuno</v>
      </c>
      <c r="F217" s="1">
        <f ca="1">IFERROR(__xludf.DUMMYFUNCTION("""COMPUTED_VALUE"""),4)</f>
        <v>4</v>
      </c>
      <c r="G217" s="1" t="str">
        <f ca="1">IFERROR(__xludf.DUMMYFUNCTION("""COMPUTED_VALUE"""),"3 mos")</f>
        <v>3 mos</v>
      </c>
      <c r="H217" s="1" t="str">
        <f ca="1">IFERROR(__xludf.DUMMYFUNCTION("""COMPUTED_VALUE"""),"reply")</f>
        <v>reply</v>
      </c>
      <c r="I217" s="2" t="str">
        <f ca="1">IFERROR(__xludf.DUMMYFUNCTION("""COMPUTED_VALUE"""),"https://www.facebook.com/rapplerdotcom/photos/a.317154781638645/5598220220198715/")</f>
        <v>https://www.facebook.com/rapplerdotcom/photos/a.317154781638645/5598220220198715/</v>
      </c>
      <c r="J217" s="1" t="str">
        <f ca="1">IFERROR(__xludf.DUMMYFUNCTION("""COMPUTED_VALUE"""),"2022-07-04T11:09:50.066Z")</f>
        <v>2022-07-04T11:09:50.066Z</v>
      </c>
    </row>
    <row r="218" spans="1:10" x14ac:dyDescent="0.2">
      <c r="A218" s="2" t="str">
        <f ca="1">IFERROR(__xludf.DUMMYFUNCTION("""COMPUTED_VALUE"""),"https://www.facebook.com/joey.ibe.7")</f>
        <v>https://www.facebook.com/joey.ibe.7</v>
      </c>
      <c r="B218" s="1" t="str">
        <f ca="1">IFERROR(__xludf.DUMMYFUNCTION("""COMPUTED_VALUE"""),"Joey Ibe")</f>
        <v>Joey Ibe</v>
      </c>
      <c r="C218" s="1" t="str">
        <f ca="1">IFERROR(__xludf.DUMMYFUNCTION("""COMPUTED_VALUE"""),"Joey")</f>
        <v>Joey</v>
      </c>
      <c r="D218" s="1" t="str">
        <f ca="1">IFERROR(__xludf.DUMMYFUNCTION("""COMPUTED_VALUE"""),"Ibe")</f>
        <v>Ibe</v>
      </c>
      <c r="E218" s="1" t="str">
        <f ca="1">IFERROR(__xludf.DUMMYFUNCTION("""COMPUTED_VALUE"""),"Parehong lutang.")</f>
        <v>Parehong lutang.</v>
      </c>
      <c r="F218" s="1">
        <f ca="1">IFERROR(__xludf.DUMMYFUNCTION("""COMPUTED_VALUE"""),3)</f>
        <v>3</v>
      </c>
      <c r="G218" s="1" t="str">
        <f ca="1">IFERROR(__xludf.DUMMYFUNCTION("""COMPUTED_VALUE"""),"3 mos")</f>
        <v>3 mos</v>
      </c>
      <c r="H218" s="1" t="str">
        <f ca="1">IFERROR(__xludf.DUMMYFUNCTION("""COMPUTED_VALUE"""),"reply")</f>
        <v>reply</v>
      </c>
      <c r="I218" s="2" t="str">
        <f ca="1">IFERROR(__xludf.DUMMYFUNCTION("""COMPUTED_VALUE"""),"https://www.facebook.com/rapplerdotcom/photos/a.317154781638645/5598220220198715/")</f>
        <v>https://www.facebook.com/rapplerdotcom/photos/a.317154781638645/5598220220198715/</v>
      </c>
      <c r="J218" s="1" t="str">
        <f ca="1">IFERROR(__xludf.DUMMYFUNCTION("""COMPUTED_VALUE"""),"2022-07-04T11:09:50.066Z")</f>
        <v>2022-07-04T11:09:50.066Z</v>
      </c>
    </row>
    <row r="219" spans="1:10" x14ac:dyDescent="0.2">
      <c r="A219" s="2" t="str">
        <f ca="1">IFERROR(__xludf.DUMMYFUNCTION("""COMPUTED_VALUE"""),"https://www.facebook.com/tony.deguzman.104")</f>
        <v>https://www.facebook.com/tony.deguzman.104</v>
      </c>
      <c r="B219" s="1" t="str">
        <f ca="1">IFERROR(__xludf.DUMMYFUNCTION("""COMPUTED_VALUE"""),"Tony de Guzman")</f>
        <v>Tony de Guzman</v>
      </c>
      <c r="C219" s="1" t="str">
        <f ca="1">IFERROR(__xludf.DUMMYFUNCTION("""COMPUTED_VALUE"""),"Tony")</f>
        <v>Tony</v>
      </c>
      <c r="D219" s="1" t="str">
        <f ca="1">IFERROR(__xludf.DUMMYFUNCTION("""COMPUTED_VALUE"""),"de Guzman")</f>
        <v>de Guzman</v>
      </c>
      <c r="E219" s="1" t="str">
        <f ca="1">IFERROR(__xludf.DUMMYFUNCTION("""COMPUTED_VALUE"""),"Aruta JV bakit di sya humarap kay prof. Carlos kagabi?😂😂")</f>
        <v>Aruta JV bakit di sya humarap kay prof. Carlos kagabi?😂😂</v>
      </c>
      <c r="F219" s="1">
        <f ca="1">IFERROR(__xludf.DUMMYFUNCTION("""COMPUTED_VALUE"""),1)</f>
        <v>1</v>
      </c>
      <c r="G219" s="1" t="str">
        <f ca="1">IFERROR(__xludf.DUMMYFUNCTION("""COMPUTED_VALUE"""),"3 mos")</f>
        <v>3 mos</v>
      </c>
      <c r="H219" s="1" t="str">
        <f ca="1">IFERROR(__xludf.DUMMYFUNCTION("""COMPUTED_VALUE"""),"reply")</f>
        <v>reply</v>
      </c>
      <c r="I219" s="2" t="str">
        <f ca="1">IFERROR(__xludf.DUMMYFUNCTION("""COMPUTED_VALUE"""),"https://www.facebook.com/rapplerdotcom/photos/a.317154781638645/5598220220198715/")</f>
        <v>https://www.facebook.com/rapplerdotcom/photos/a.317154781638645/5598220220198715/</v>
      </c>
      <c r="J219" s="1" t="str">
        <f ca="1">IFERROR(__xludf.DUMMYFUNCTION("""COMPUTED_VALUE"""),"2022-07-04T11:09:50.066Z")</f>
        <v>2022-07-04T11:09:50.066Z</v>
      </c>
    </row>
    <row r="220" spans="1:10" x14ac:dyDescent="0.2">
      <c r="A220" s="2" t="str">
        <f ca="1">IFERROR(__xludf.DUMMYFUNCTION("""COMPUTED_VALUE"""),"https://www.facebook.com/palos.reblando")</f>
        <v>https://www.facebook.com/palos.reblando</v>
      </c>
      <c r="B220" s="1" t="str">
        <f ca="1">IFERROR(__xludf.DUMMYFUNCTION("""COMPUTED_VALUE"""),"Palos Reblando")</f>
        <v>Palos Reblando</v>
      </c>
      <c r="C220" s="1" t="str">
        <f ca="1">IFERROR(__xludf.DUMMYFUNCTION("""COMPUTED_VALUE"""),"Palos")</f>
        <v>Palos</v>
      </c>
      <c r="D220" s="1" t="str">
        <f ca="1">IFERROR(__xludf.DUMMYFUNCTION("""COMPUTED_VALUE"""),"Reblando")</f>
        <v>Reblando</v>
      </c>
      <c r="E220" s="1" t="str">
        <f ca="1">IFERROR(__xludf.DUMMYFUNCTION("""COMPUTED_VALUE"""),"Aruta JV lutang na kutang napakabobo")</f>
        <v>Aruta JV lutang na kutang napakabobo</v>
      </c>
      <c r="F220" s="1">
        <f ca="1">IFERROR(__xludf.DUMMYFUNCTION("""COMPUTED_VALUE"""),1)</f>
        <v>1</v>
      </c>
      <c r="G220" s="1" t="str">
        <f ca="1">IFERROR(__xludf.DUMMYFUNCTION("""COMPUTED_VALUE"""),"3 mos")</f>
        <v>3 mos</v>
      </c>
      <c r="H220" s="1" t="str">
        <f ca="1">IFERROR(__xludf.DUMMYFUNCTION("""COMPUTED_VALUE"""),"reply")</f>
        <v>reply</v>
      </c>
      <c r="I220" s="2" t="str">
        <f ca="1">IFERROR(__xludf.DUMMYFUNCTION("""COMPUTED_VALUE"""),"https://www.facebook.com/rapplerdotcom/photos/a.317154781638645/5598220220198715/")</f>
        <v>https://www.facebook.com/rapplerdotcom/photos/a.317154781638645/5598220220198715/</v>
      </c>
      <c r="J220" s="1" t="str">
        <f ca="1">IFERROR(__xludf.DUMMYFUNCTION("""COMPUTED_VALUE"""),"2022-07-04T11:09:50.066Z")</f>
        <v>2022-07-04T11:09:50.066Z</v>
      </c>
    </row>
    <row r="221" spans="1:10" x14ac:dyDescent="0.2">
      <c r="A221" s="2" t="str">
        <f ca="1">IFERROR(__xludf.DUMMYFUNCTION("""COMPUTED_VALUE"""),"https://www.facebook.com/palos.reblando")</f>
        <v>https://www.facebook.com/palos.reblando</v>
      </c>
      <c r="B221" s="1" t="str">
        <f ca="1">IFERROR(__xludf.DUMMYFUNCTION("""COMPUTED_VALUE"""),"Palos Reblando")</f>
        <v>Palos Reblando</v>
      </c>
      <c r="C221" s="1" t="str">
        <f ca="1">IFERROR(__xludf.DUMMYFUNCTION("""COMPUTED_VALUE"""),"Palos")</f>
        <v>Palos</v>
      </c>
      <c r="D221" s="1" t="str">
        <f ca="1">IFERROR(__xludf.DUMMYFUNCTION("""COMPUTED_VALUE"""),"Reblando")</f>
        <v>Reblando</v>
      </c>
      <c r="E221" s="1" t="str">
        <f ca="1">IFERROR(__xludf.DUMMYFUNCTION("""COMPUTED_VALUE"""),"Mendoza Graze walang advance question bka mabulol")</f>
        <v>Mendoza Graze walang advance question bka mabulol</v>
      </c>
      <c r="F221" s="1"/>
      <c r="G221" s="1" t="str">
        <f ca="1">IFERROR(__xludf.DUMMYFUNCTION("""COMPUTED_VALUE"""),"3 mos")</f>
        <v>3 mos</v>
      </c>
      <c r="H221" s="1" t="str">
        <f ca="1">IFERROR(__xludf.DUMMYFUNCTION("""COMPUTED_VALUE"""),"reply")</f>
        <v>reply</v>
      </c>
      <c r="I221" s="2" t="str">
        <f ca="1">IFERROR(__xludf.DUMMYFUNCTION("""COMPUTED_VALUE"""),"https://www.facebook.com/rapplerdotcom/photos/a.317154781638645/5598220220198715/")</f>
        <v>https://www.facebook.com/rapplerdotcom/photos/a.317154781638645/5598220220198715/</v>
      </c>
      <c r="J221" s="1" t="str">
        <f ca="1">IFERROR(__xludf.DUMMYFUNCTION("""COMPUTED_VALUE"""),"2022-07-04T11:09:50.066Z")</f>
        <v>2022-07-04T11:09:50.066Z</v>
      </c>
    </row>
    <row r="222" spans="1:10" x14ac:dyDescent="0.2">
      <c r="A222" s="2" t="str">
        <f ca="1">IFERROR(__xludf.DUMMYFUNCTION("""COMPUTED_VALUE"""),"https://www.facebook.com/jameson.beljica")</f>
        <v>https://www.facebook.com/jameson.beljica</v>
      </c>
      <c r="B222" s="1" t="str">
        <f ca="1">IFERROR(__xludf.DUMMYFUNCTION("""COMPUTED_VALUE"""),"Jameson Beljica")</f>
        <v>Jameson Beljica</v>
      </c>
      <c r="C222" s="1" t="str">
        <f ca="1">IFERROR(__xludf.DUMMYFUNCTION("""COMPUTED_VALUE"""),"Jameson")</f>
        <v>Jameson</v>
      </c>
      <c r="D222" s="1" t="str">
        <f ca="1">IFERROR(__xludf.DUMMYFUNCTION("""COMPUTED_VALUE"""),"Beljica")</f>
        <v>Beljica</v>
      </c>
      <c r="E222" s="1" t="str">
        <f ca="1">IFERROR(__xludf.DUMMYFUNCTION("""COMPUTED_VALUE"""),"Aruta JV asan ang pinsan niya na pinangalanan na drug pusher ni PRRD?")</f>
        <v>Aruta JV asan ang pinsan niya na pinangalanan na drug pusher ni PRRD?</v>
      </c>
      <c r="F222" s="1"/>
      <c r="G222" s="1" t="str">
        <f ca="1">IFERROR(__xludf.DUMMYFUNCTION("""COMPUTED_VALUE"""),"3 mos")</f>
        <v>3 mos</v>
      </c>
      <c r="H222" s="1" t="str">
        <f ca="1">IFERROR(__xludf.DUMMYFUNCTION("""COMPUTED_VALUE"""),"reply")</f>
        <v>reply</v>
      </c>
      <c r="I222" s="2" t="str">
        <f ca="1">IFERROR(__xludf.DUMMYFUNCTION("""COMPUTED_VALUE"""),"https://www.facebook.com/rapplerdotcom/photos/a.317154781638645/5598220220198715/")</f>
        <v>https://www.facebook.com/rapplerdotcom/photos/a.317154781638645/5598220220198715/</v>
      </c>
      <c r="J222" s="1" t="str">
        <f ca="1">IFERROR(__xludf.DUMMYFUNCTION("""COMPUTED_VALUE"""),"2022-07-04T11:09:50.066Z")</f>
        <v>2022-07-04T11:09:50.066Z</v>
      </c>
    </row>
    <row r="223" spans="1:10" x14ac:dyDescent="0.2">
      <c r="A223" s="2" t="str">
        <f ca="1">IFERROR(__xludf.DUMMYFUNCTION("""COMPUTED_VALUE"""),"https://www.facebook.com/jameson.beljica")</f>
        <v>https://www.facebook.com/jameson.beljica</v>
      </c>
      <c r="B223" s="1" t="str">
        <f ca="1">IFERROR(__xludf.DUMMYFUNCTION("""COMPUTED_VALUE"""),"Jameson Beljica")</f>
        <v>Jameson Beljica</v>
      </c>
      <c r="C223" s="1" t="str">
        <f ca="1">IFERROR(__xludf.DUMMYFUNCTION("""COMPUTED_VALUE"""),"Jameson")</f>
        <v>Jameson</v>
      </c>
      <c r="D223" s="1" t="str">
        <f ca="1">IFERROR(__xludf.DUMMYFUNCTION("""COMPUTED_VALUE"""),"Beljica")</f>
        <v>Beljica</v>
      </c>
      <c r="E223" s="1" t="str">
        <f ca="1">IFERROR(__xludf.DUMMYFUNCTION("""COMPUTED_VALUE"""),"ۦۦ ۦۦ ۦۦ ۦۦ gusto niya nga kasi ng advance questions")</f>
        <v>ۦۦ ۦۦ ۦۦ ۦۦ gusto niya nga kasi ng advance questions</v>
      </c>
      <c r="F223" s="1">
        <f ca="1">IFERROR(__xludf.DUMMYFUNCTION("""COMPUTED_VALUE"""),1)</f>
        <v>1</v>
      </c>
      <c r="G223" s="1" t="str">
        <f ca="1">IFERROR(__xludf.DUMMYFUNCTION("""COMPUTED_VALUE"""),"3 mos")</f>
        <v>3 mos</v>
      </c>
      <c r="H223" s="1" t="str">
        <f ca="1">IFERROR(__xludf.DUMMYFUNCTION("""COMPUTED_VALUE"""),"reply")</f>
        <v>reply</v>
      </c>
      <c r="I223" s="2" t="str">
        <f ca="1">IFERROR(__xludf.DUMMYFUNCTION("""COMPUTED_VALUE"""),"https://www.facebook.com/rapplerdotcom/photos/a.317154781638645/5598220220198715/")</f>
        <v>https://www.facebook.com/rapplerdotcom/photos/a.317154781638645/5598220220198715/</v>
      </c>
      <c r="J223" s="1" t="str">
        <f ca="1">IFERROR(__xludf.DUMMYFUNCTION("""COMPUTED_VALUE"""),"2022-07-04T11:09:50.066Z")</f>
        <v>2022-07-04T11:09:50.066Z</v>
      </c>
    </row>
    <row r="224" spans="1:10" x14ac:dyDescent="0.2">
      <c r="A224" s="2" t="str">
        <f ca="1">IFERROR(__xludf.DUMMYFUNCTION("""COMPUTED_VALUE"""),"https://www.facebook.com/thomas.french.52")</f>
        <v>https://www.facebook.com/thomas.french.52</v>
      </c>
      <c r="B224" s="1" t="str">
        <f ca="1">IFERROR(__xludf.DUMMYFUNCTION("""COMPUTED_VALUE"""),"Toto Sandigan")</f>
        <v>Toto Sandigan</v>
      </c>
      <c r="C224" s="1" t="str">
        <f ca="1">IFERROR(__xludf.DUMMYFUNCTION("""COMPUTED_VALUE"""),"Toto")</f>
        <v>Toto</v>
      </c>
      <c r="D224" s="1" t="str">
        <f ca="1">IFERROR(__xludf.DUMMYFUNCTION("""COMPUTED_VALUE"""),"Sandigan")</f>
        <v>Sandigan</v>
      </c>
      <c r="E224" s="1" t="str">
        <f ca="1">IFERROR(__xludf.DUMMYFUNCTION("""COMPUTED_VALUE"""),"Aruta JV")</f>
        <v>Aruta JV</v>
      </c>
      <c r="F224" s="1"/>
      <c r="G224" s="1" t="str">
        <f ca="1">IFERROR(__xludf.DUMMYFUNCTION("""COMPUTED_VALUE"""),"3 mos")</f>
        <v>3 mos</v>
      </c>
      <c r="H224" s="1" t="str">
        <f ca="1">IFERROR(__xludf.DUMMYFUNCTION("""COMPUTED_VALUE"""),"reply")</f>
        <v>reply</v>
      </c>
      <c r="I224" s="2" t="str">
        <f ca="1">IFERROR(__xludf.DUMMYFUNCTION("""COMPUTED_VALUE"""),"https://www.facebook.com/rapplerdotcom/photos/a.317154781638645/5598220220198715/")</f>
        <v>https://www.facebook.com/rapplerdotcom/photos/a.317154781638645/5598220220198715/</v>
      </c>
      <c r="J224" s="1" t="str">
        <f ca="1">IFERROR(__xludf.DUMMYFUNCTION("""COMPUTED_VALUE"""),"2022-07-04T11:09:50.066Z")</f>
        <v>2022-07-04T11:09:50.066Z</v>
      </c>
    </row>
    <row r="225" spans="1:10" x14ac:dyDescent="0.2">
      <c r="A225" s="2" t="str">
        <f ca="1">IFERROR(__xludf.DUMMYFUNCTION("""COMPUTED_VALUE"""),"https://www.facebook.com/venass.mercado.1")</f>
        <v>https://www.facebook.com/venass.mercado.1</v>
      </c>
      <c r="B225" s="1" t="str">
        <f ca="1">IFERROR(__xludf.DUMMYFUNCTION("""COMPUTED_VALUE"""),"Venass Mercado")</f>
        <v>Venass Mercado</v>
      </c>
      <c r="C225" s="1" t="str">
        <f ca="1">IFERROR(__xludf.DUMMYFUNCTION("""COMPUTED_VALUE"""),"Venass")</f>
        <v>Venass</v>
      </c>
      <c r="D225" s="1" t="str">
        <f ca="1">IFERROR(__xludf.DUMMYFUNCTION("""COMPUTED_VALUE"""),"Mercado")</f>
        <v>Mercado</v>
      </c>
      <c r="E225" s="1" t="str">
        <f ca="1">IFERROR(__xludf.DUMMYFUNCTION("""COMPUTED_VALUE"""),"Aruta JV walang kaso? Oo na lang.")</f>
        <v>Aruta JV walang kaso? Oo na lang.</v>
      </c>
      <c r="F225" s="1"/>
      <c r="G225" s="1" t="str">
        <f ca="1">IFERROR(__xludf.DUMMYFUNCTION("""COMPUTED_VALUE"""),"3 mos")</f>
        <v>3 mos</v>
      </c>
      <c r="H225" s="1" t="str">
        <f ca="1">IFERROR(__xludf.DUMMYFUNCTION("""COMPUTED_VALUE"""),"reply")</f>
        <v>reply</v>
      </c>
      <c r="I225" s="2" t="str">
        <f ca="1">IFERROR(__xludf.DUMMYFUNCTION("""COMPUTED_VALUE"""),"https://www.facebook.com/rapplerdotcom/photos/a.317154781638645/5598220220198715/")</f>
        <v>https://www.facebook.com/rapplerdotcom/photos/a.317154781638645/5598220220198715/</v>
      </c>
      <c r="J225" s="1" t="str">
        <f ca="1">IFERROR(__xludf.DUMMYFUNCTION("""COMPUTED_VALUE"""),"2022-07-04T11:09:50.066Z")</f>
        <v>2022-07-04T11:09:50.066Z</v>
      </c>
    </row>
    <row r="226" spans="1:10" x14ac:dyDescent="0.2">
      <c r="A226" s="2" t="str">
        <f ca="1">IFERROR(__xludf.DUMMYFUNCTION("""COMPUTED_VALUE"""),"https://www.facebook.com/profile.php?id=100022498132149")</f>
        <v>https://www.facebook.com/profile.php?id=100022498132149</v>
      </c>
      <c r="B226" s="1" t="str">
        <f ca="1">IFERROR(__xludf.DUMMYFUNCTION("""COMPUTED_VALUE"""),"Cj Sy")</f>
        <v>Cj Sy</v>
      </c>
      <c r="C226" s="1" t="str">
        <f ca="1">IFERROR(__xludf.DUMMYFUNCTION("""COMPUTED_VALUE"""),"Cj")</f>
        <v>Cj</v>
      </c>
      <c r="D226" s="1" t="str">
        <f ca="1">IFERROR(__xludf.DUMMYFUNCTION("""COMPUTED_VALUE"""),"Sy")</f>
        <v>Sy</v>
      </c>
      <c r="E226" s="1" t="str">
        <f ca="1">IFERROR(__xludf.DUMMYFUNCTION("""COMPUTED_VALUE"""),"Cynthia Javier Navales best tandem sila sa pagpapabagsak ng pilipinas")</f>
        <v>Cynthia Javier Navales best tandem sila sa pagpapabagsak ng pilipinas</v>
      </c>
      <c r="F226" s="1"/>
      <c r="G226" s="1" t="str">
        <f ca="1">IFERROR(__xludf.DUMMYFUNCTION("""COMPUTED_VALUE"""),"3 mos")</f>
        <v>3 mos</v>
      </c>
      <c r="H226" s="1" t="str">
        <f ca="1">IFERROR(__xludf.DUMMYFUNCTION("""COMPUTED_VALUE"""),"reply")</f>
        <v>reply</v>
      </c>
      <c r="I226" s="2" t="str">
        <f ca="1">IFERROR(__xludf.DUMMYFUNCTION("""COMPUTED_VALUE"""),"https://www.facebook.com/rapplerdotcom/photos/a.317154781638645/5598220220198715/")</f>
        <v>https://www.facebook.com/rapplerdotcom/photos/a.317154781638645/5598220220198715/</v>
      </c>
      <c r="J226" s="1" t="str">
        <f ca="1">IFERROR(__xludf.DUMMYFUNCTION("""COMPUTED_VALUE"""),"2022-07-04T11:09:50.066Z")</f>
        <v>2022-07-04T11:09:50.066Z</v>
      </c>
    </row>
    <row r="227" spans="1:10" x14ac:dyDescent="0.2">
      <c r="A227" s="2" t="str">
        <f ca="1">IFERROR(__xludf.DUMMYFUNCTION("""COMPUTED_VALUE"""),"https://www.facebook.com/profile.php?id=100007771848864")</f>
        <v>https://www.facebook.com/profile.php?id=100007771848864</v>
      </c>
      <c r="B227" s="1" t="str">
        <f ca="1">IFERROR(__xludf.DUMMYFUNCTION("""COMPUTED_VALUE"""),"Olive Dela Vega")</f>
        <v>Olive Dela Vega</v>
      </c>
      <c r="C227" s="1" t="str">
        <f ca="1">IFERROR(__xludf.DUMMYFUNCTION("""COMPUTED_VALUE"""),"Olive")</f>
        <v>Olive</v>
      </c>
      <c r="D227" s="1" t="str">
        <f ca="1">IFERROR(__xludf.DUMMYFUNCTION("""COMPUTED_VALUE"""),"Dela Vega")</f>
        <v>Dela Vega</v>
      </c>
      <c r="E227" s="1" t="str">
        <f ca="1">IFERROR(__xludf.DUMMYFUNCTION("""COMPUTED_VALUE"""),"Aruta JV , I like you statement ""walang atraso kahit kanino"" ,  na di mo makikita kahit kaninong kandidato")</f>
        <v>Aruta JV , I like you statement "walang atraso kahit kanino" ,  na di mo makikita kahit kaninong kandidato</v>
      </c>
      <c r="F227" s="1"/>
      <c r="G227" s="1" t="str">
        <f ca="1">IFERROR(__xludf.DUMMYFUNCTION("""COMPUTED_VALUE"""),"3 mos")</f>
        <v>3 mos</v>
      </c>
      <c r="H227" s="1" t="str">
        <f ca="1">IFERROR(__xludf.DUMMYFUNCTION("""COMPUTED_VALUE"""),"reply")</f>
        <v>reply</v>
      </c>
      <c r="I227" s="2" t="str">
        <f ca="1">IFERROR(__xludf.DUMMYFUNCTION("""COMPUTED_VALUE"""),"https://www.facebook.com/rapplerdotcom/photos/a.317154781638645/5598220220198715/")</f>
        <v>https://www.facebook.com/rapplerdotcom/photos/a.317154781638645/5598220220198715/</v>
      </c>
      <c r="J227" s="1" t="str">
        <f ca="1">IFERROR(__xludf.DUMMYFUNCTION("""COMPUTED_VALUE"""),"2022-07-04T11:09:50.066Z")</f>
        <v>2022-07-04T11:09:50.066Z</v>
      </c>
    </row>
    <row r="228" spans="1:10" x14ac:dyDescent="0.2">
      <c r="A228" s="2" t="str">
        <f ca="1">IFERROR(__xludf.DUMMYFUNCTION("""COMPUTED_VALUE"""),"https://www.facebook.com/geneilyn.amanduron")</f>
        <v>https://www.facebook.com/geneilyn.amanduron</v>
      </c>
      <c r="B228" s="1" t="str">
        <f ca="1">IFERROR(__xludf.DUMMYFUNCTION("""COMPUTED_VALUE"""),"Dimps P Tiger")</f>
        <v>Dimps P Tiger</v>
      </c>
      <c r="C228" s="1" t="str">
        <f ca="1">IFERROR(__xludf.DUMMYFUNCTION("""COMPUTED_VALUE"""),"Dimps")</f>
        <v>Dimps</v>
      </c>
      <c r="D228" s="1" t="str">
        <f ca="1">IFERROR(__xludf.DUMMYFUNCTION("""COMPUTED_VALUE"""),"P Tiger")</f>
        <v>P Tiger</v>
      </c>
      <c r="E228" s="1" t="str">
        <f ca="1">IFERROR(__xludf.DUMMYFUNCTION("""COMPUTED_VALUE"""),"paano niya masagot lutang eh")</f>
        <v>paano niya masagot lutang eh</v>
      </c>
      <c r="F228" s="1">
        <f ca="1">IFERROR(__xludf.DUMMYFUNCTION("""COMPUTED_VALUE"""),1)</f>
        <v>1</v>
      </c>
      <c r="G228" s="1" t="str">
        <f ca="1">IFERROR(__xludf.DUMMYFUNCTION("""COMPUTED_VALUE"""),"3 mos")</f>
        <v>3 mos</v>
      </c>
      <c r="H228" s="1" t="str">
        <f ca="1">IFERROR(__xludf.DUMMYFUNCTION("""COMPUTED_VALUE"""),"reply")</f>
        <v>reply</v>
      </c>
      <c r="I228" s="2" t="str">
        <f ca="1">IFERROR(__xludf.DUMMYFUNCTION("""COMPUTED_VALUE"""),"https://www.facebook.com/rapplerdotcom/photos/a.317154781638645/5598220220198715/")</f>
        <v>https://www.facebook.com/rapplerdotcom/photos/a.317154781638645/5598220220198715/</v>
      </c>
      <c r="J228" s="1" t="str">
        <f ca="1">IFERROR(__xludf.DUMMYFUNCTION("""COMPUTED_VALUE"""),"2022-07-04T11:09:50.066Z")</f>
        <v>2022-07-04T11:09:50.066Z</v>
      </c>
    </row>
    <row r="229" spans="1:10" x14ac:dyDescent="0.2">
      <c r="A229" s="2" t="str">
        <f ca="1">IFERROR(__xludf.DUMMYFUNCTION("""COMPUTED_VALUE"""),"https://www.facebook.com/scott.dejitomccall")</f>
        <v>https://www.facebook.com/scott.dejitomccall</v>
      </c>
      <c r="B229" s="1" t="str">
        <f ca="1">IFERROR(__xludf.DUMMYFUNCTION("""COMPUTED_VALUE"""),"ۦۦ ۦۦ ۦۦ ۦۦ")</f>
        <v>ۦۦ ۦۦ ۦۦ ۦۦ</v>
      </c>
      <c r="C229" s="1" t="str">
        <f ca="1">IFERROR(__xludf.DUMMYFUNCTION("""COMPUTED_VALUE"""),"ۦۦ")</f>
        <v>ۦۦ</v>
      </c>
      <c r="D229" s="1" t="str">
        <f ca="1">IFERROR(__xludf.DUMMYFUNCTION("""COMPUTED_VALUE"""),"ۦۦ ۦۦ ۦۦ")</f>
        <v>ۦۦ ۦۦ ۦۦ</v>
      </c>
      <c r="E229" s="1" t="str">
        <f ca="1">IFERROR(__xludf.DUMMYFUNCTION("""COMPUTED_VALUE"""),"Dimps P Tiger pati nga supporter nya d ako masagot eh 🤣")</f>
        <v>Dimps P Tiger pati nga supporter nya d ako masagot eh 🤣</v>
      </c>
      <c r="F229" s="1">
        <f ca="1">IFERROR(__xludf.DUMMYFUNCTION("""COMPUTED_VALUE"""),1)</f>
        <v>1</v>
      </c>
      <c r="G229" s="1" t="str">
        <f ca="1">IFERROR(__xludf.DUMMYFUNCTION("""COMPUTED_VALUE"""),"3 mos")</f>
        <v>3 mos</v>
      </c>
      <c r="H229" s="1" t="str">
        <f ca="1">IFERROR(__xludf.DUMMYFUNCTION("""COMPUTED_VALUE"""),"reply")</f>
        <v>reply</v>
      </c>
      <c r="I229" s="2" t="str">
        <f ca="1">IFERROR(__xludf.DUMMYFUNCTION("""COMPUTED_VALUE"""),"https://www.facebook.com/rapplerdotcom/photos/a.317154781638645/5598220220198715/")</f>
        <v>https://www.facebook.com/rapplerdotcom/photos/a.317154781638645/5598220220198715/</v>
      </c>
      <c r="J229" s="1" t="str">
        <f ca="1">IFERROR(__xludf.DUMMYFUNCTION("""COMPUTED_VALUE"""),"2022-07-04T11:09:50.066Z")</f>
        <v>2022-07-04T11:09:50.066Z</v>
      </c>
    </row>
    <row r="230" spans="1:10" x14ac:dyDescent="0.2">
      <c r="A230" s="2" t="str">
        <f ca="1">IFERROR(__xludf.DUMMYFUNCTION("""COMPUTED_VALUE"""),"https://www.facebook.com/gail.llait.9")</f>
        <v>https://www.facebook.com/gail.llait.9</v>
      </c>
      <c r="B230" s="1" t="str">
        <f ca="1">IFERROR(__xludf.DUMMYFUNCTION("""COMPUTED_VALUE"""),"MG Llait")</f>
        <v>MG Llait</v>
      </c>
      <c r="C230" s="1" t="str">
        <f ca="1">IFERROR(__xludf.DUMMYFUNCTION("""COMPUTED_VALUE"""),"MG")</f>
        <v>MG</v>
      </c>
      <c r="D230" s="1" t="str">
        <f ca="1">IFERROR(__xludf.DUMMYFUNCTION("""COMPUTED_VALUE"""),"Llait")</f>
        <v>Llait</v>
      </c>
      <c r="E230" s="1" t="str">
        <f ca="1">IFERROR(__xludf.DUMMYFUNCTION("""COMPUTED_VALUE"""),"Dimps P Tiger wag nang sumingit... pag inggit. ngiwi.. trolling lng? no nonsense...")</f>
        <v>Dimps P Tiger wag nang sumingit... pag inggit. ngiwi.. trolling lng? no nonsense...</v>
      </c>
      <c r="F230" s="1">
        <f ca="1">IFERROR(__xludf.DUMMYFUNCTION("""COMPUTED_VALUE"""),1)</f>
        <v>1</v>
      </c>
      <c r="G230" s="1" t="str">
        <f ca="1">IFERROR(__xludf.DUMMYFUNCTION("""COMPUTED_VALUE"""),"3 mos")</f>
        <v>3 mos</v>
      </c>
      <c r="H230" s="1" t="str">
        <f ca="1">IFERROR(__xludf.DUMMYFUNCTION("""COMPUTED_VALUE"""),"reply")</f>
        <v>reply</v>
      </c>
      <c r="I230" s="2" t="str">
        <f ca="1">IFERROR(__xludf.DUMMYFUNCTION("""COMPUTED_VALUE"""),"https://www.facebook.com/rapplerdotcom/photos/a.317154781638645/5598220220198715/")</f>
        <v>https://www.facebook.com/rapplerdotcom/photos/a.317154781638645/5598220220198715/</v>
      </c>
      <c r="J230" s="1" t="str">
        <f ca="1">IFERROR(__xludf.DUMMYFUNCTION("""COMPUTED_VALUE"""),"2022-07-04T11:09:50.066Z")</f>
        <v>2022-07-04T11:09:50.066Z</v>
      </c>
    </row>
    <row r="231" spans="1:10" x14ac:dyDescent="0.2">
      <c r="A231" s="2" t="str">
        <f ca="1">IFERROR(__xludf.DUMMYFUNCTION("""COMPUTED_VALUE"""),"https://www.facebook.com/profile.php?id=100069959550032")</f>
        <v>https://www.facebook.com/profile.php?id=100069959550032</v>
      </c>
      <c r="B231" s="1" t="str">
        <f ca="1">IFERROR(__xludf.DUMMYFUNCTION("""COMPUTED_VALUE"""),"Bryan Pacres")</f>
        <v>Bryan Pacres</v>
      </c>
      <c r="C231" s="1" t="str">
        <f ca="1">IFERROR(__xludf.DUMMYFUNCTION("""COMPUTED_VALUE"""),"Bryan")</f>
        <v>Bryan</v>
      </c>
      <c r="D231" s="1" t="str">
        <f ca="1">IFERROR(__xludf.DUMMYFUNCTION("""COMPUTED_VALUE"""),"Pacres")</f>
        <v>Pacres</v>
      </c>
      <c r="E231" s="1" t="str">
        <f ca="1">IFERROR(__xludf.DUMMYFUNCTION("""COMPUTED_VALUE"""),"Na ngangamoy pagiging epokrita hahahahahahahahahaha")</f>
        <v>Na ngangamoy pagiging epokrita hahahahahahahahahaha</v>
      </c>
      <c r="F231" s="1">
        <f ca="1">IFERROR(__xludf.DUMMYFUNCTION("""COMPUTED_VALUE"""),4)</f>
        <v>4</v>
      </c>
      <c r="G231" s="1" t="str">
        <f ca="1">IFERROR(__xludf.DUMMYFUNCTION("""COMPUTED_VALUE"""),"3 mos")</f>
        <v>3 mos</v>
      </c>
      <c r="H231" s="1" t="str">
        <f ca="1">IFERROR(__xludf.DUMMYFUNCTION("""COMPUTED_VALUE"""),"comment")</f>
        <v>comment</v>
      </c>
      <c r="I231" s="2" t="str">
        <f ca="1">IFERROR(__xludf.DUMMYFUNCTION("""COMPUTED_VALUE"""),"https://www.facebook.com/rapplerdotcom/photos/a.317154781638645/5598220220198715/")</f>
        <v>https://www.facebook.com/rapplerdotcom/photos/a.317154781638645/5598220220198715/</v>
      </c>
      <c r="J231" s="1" t="str">
        <f ca="1">IFERROR(__xludf.DUMMYFUNCTION("""COMPUTED_VALUE"""),"2022-07-04T11:09:50.067Z")</f>
        <v>2022-07-04T11:09:50.067Z</v>
      </c>
    </row>
    <row r="232" spans="1:10" x14ac:dyDescent="0.2">
      <c r="A232" s="2" t="str">
        <f ca="1">IFERROR(__xludf.DUMMYFUNCTION("""COMPUTED_VALUE"""),"https://www.facebook.com/edclino")</f>
        <v>https://www.facebook.com/edclino</v>
      </c>
      <c r="B232" s="1" t="str">
        <f ca="1">IFERROR(__xludf.DUMMYFUNCTION("""COMPUTED_VALUE"""),"Edwin Lino")</f>
        <v>Edwin Lino</v>
      </c>
      <c r="C232" s="1" t="str">
        <f ca="1">IFERROR(__xludf.DUMMYFUNCTION("""COMPUTED_VALUE"""),"Edwin")</f>
        <v>Edwin</v>
      </c>
      <c r="D232" s="1" t="str">
        <f ca="1">IFERROR(__xludf.DUMMYFUNCTION("""COMPUTED_VALUE"""),"Lino")</f>
        <v>Lino</v>
      </c>
      <c r="E232" s="1" t="str">
        <f ca="1">IFERROR(__xludf.DUMMYFUNCTION("""COMPUTED_VALUE"""),"Yan ang presidente kahit sino mag interview go lang ng go. Kahit hamunin mo ng debate aattend yan di katuld ni junior walang sinabi.")</f>
        <v>Yan ang presidente kahit sino mag interview go lang ng go. Kahit hamunin mo ng debate aattend yan di katuld ni junior walang sinabi.</v>
      </c>
      <c r="F232" s="1">
        <f ca="1">IFERROR(__xludf.DUMMYFUNCTION("""COMPUTED_VALUE"""),1)</f>
        <v>1</v>
      </c>
      <c r="G232" s="1" t="str">
        <f ca="1">IFERROR(__xludf.DUMMYFUNCTION("""COMPUTED_VALUE"""),"3 mos")</f>
        <v>3 mos</v>
      </c>
      <c r="H232" s="1" t="str">
        <f ca="1">IFERROR(__xludf.DUMMYFUNCTION("""COMPUTED_VALUE"""),"comment")</f>
        <v>comment</v>
      </c>
      <c r="I232" s="2" t="str">
        <f ca="1">IFERROR(__xludf.DUMMYFUNCTION("""COMPUTED_VALUE"""),"https://www.facebook.com/rapplerdotcom/photos/a.317154781638645/5598220220198715/")</f>
        <v>https://www.facebook.com/rapplerdotcom/photos/a.317154781638645/5598220220198715/</v>
      </c>
      <c r="J232" s="1" t="str">
        <f ca="1">IFERROR(__xludf.DUMMYFUNCTION("""COMPUTED_VALUE"""),"2022-07-04T11:09:50.067Z")</f>
        <v>2022-07-04T11:09:50.067Z</v>
      </c>
    </row>
    <row r="233" spans="1:10" x14ac:dyDescent="0.2">
      <c r="A233" s="2" t="str">
        <f ca="1">IFERROR(__xludf.DUMMYFUNCTION("""COMPUTED_VALUE"""),"https://www.facebook.com/jhing.lagrimas")</f>
        <v>https://www.facebook.com/jhing.lagrimas</v>
      </c>
      <c r="B233" s="1" t="str">
        <f ca="1">IFERROR(__xludf.DUMMYFUNCTION("""COMPUTED_VALUE"""),"Jhing Lagrimas")</f>
        <v>Jhing Lagrimas</v>
      </c>
      <c r="C233" s="1" t="str">
        <f ca="1">IFERROR(__xludf.DUMMYFUNCTION("""COMPUTED_VALUE"""),"Jhing")</f>
        <v>Jhing</v>
      </c>
      <c r="D233" s="1" t="str">
        <f ca="1">IFERROR(__xludf.DUMMYFUNCTION("""COMPUTED_VALUE"""),"Lagrimas")</f>
        <v>Lagrimas</v>
      </c>
      <c r="E233" s="1" t="str">
        <f ca="1">IFERROR(__xludf.DUMMYFUNCTION("""COMPUTED_VALUE"""),"Buti nalang nabuking nang maaga ang gagawin pandaraya hahhha")</f>
        <v>Buti nalang nabuking nang maaga ang gagawin pandaraya hahhha</v>
      </c>
      <c r="F233" s="1">
        <f ca="1">IFERROR(__xludf.DUMMYFUNCTION("""COMPUTED_VALUE"""),1)</f>
        <v>1</v>
      </c>
      <c r="G233" s="1" t="str">
        <f ca="1">IFERROR(__xludf.DUMMYFUNCTION("""COMPUTED_VALUE"""),"3 mos")</f>
        <v>3 mos</v>
      </c>
      <c r="H233" s="1" t="str">
        <f ca="1">IFERROR(__xludf.DUMMYFUNCTION("""COMPUTED_VALUE"""),"comment")</f>
        <v>comment</v>
      </c>
      <c r="I233" s="2" t="str">
        <f ca="1">IFERROR(__xludf.DUMMYFUNCTION("""COMPUTED_VALUE"""),"https://www.facebook.com/rapplerdotcom/photos/a.317154781638645/5598220220198715/")</f>
        <v>https://www.facebook.com/rapplerdotcom/photos/a.317154781638645/5598220220198715/</v>
      </c>
      <c r="J233" s="1" t="str">
        <f ca="1">IFERROR(__xludf.DUMMYFUNCTION("""COMPUTED_VALUE"""),"2022-07-04T11:09:50.067Z")</f>
        <v>2022-07-04T11:09:50.067Z</v>
      </c>
    </row>
    <row r="234" spans="1:10" x14ac:dyDescent="0.2">
      <c r="A234" s="2" t="str">
        <f ca="1">IFERROR(__xludf.DUMMYFUNCTION("""COMPUTED_VALUE"""),"https://www.facebook.com/rogerick.rovillos.ph")</f>
        <v>https://www.facebook.com/rogerick.rovillos.ph</v>
      </c>
      <c r="B234" s="1" t="str">
        <f ca="1">IFERROR(__xludf.DUMMYFUNCTION("""COMPUTED_VALUE"""),"Ro G Rick")</f>
        <v>Ro G Rick</v>
      </c>
      <c r="C234" s="1" t="str">
        <f ca="1">IFERROR(__xludf.DUMMYFUNCTION("""COMPUTED_VALUE"""),"Ro")</f>
        <v>Ro</v>
      </c>
      <c r="D234" s="1" t="str">
        <f ca="1">IFERROR(__xludf.DUMMYFUNCTION("""COMPUTED_VALUE"""),"G Rick")</f>
        <v>G Rick</v>
      </c>
      <c r="E234" s="1" t="str">
        <f ca="1">IFERROR(__xludf.DUMMYFUNCTION("""COMPUTED_VALUE"""),"Disgrasya to  pag Ito nanalo")</f>
        <v>Disgrasya to  pag Ito nanalo</v>
      </c>
      <c r="F234" s="1">
        <f ca="1">IFERROR(__xludf.DUMMYFUNCTION("""COMPUTED_VALUE"""),19)</f>
        <v>19</v>
      </c>
      <c r="G234" s="1" t="str">
        <f ca="1">IFERROR(__xludf.DUMMYFUNCTION("""COMPUTED_VALUE"""),"3 mos")</f>
        <v>3 mos</v>
      </c>
      <c r="H234" s="1" t="str">
        <f ca="1">IFERROR(__xludf.DUMMYFUNCTION("""COMPUTED_VALUE"""),"comment")</f>
        <v>comment</v>
      </c>
      <c r="I234" s="2" t="str">
        <f ca="1">IFERROR(__xludf.DUMMYFUNCTION("""COMPUTED_VALUE"""),"https://www.facebook.com/rapplerdotcom/photos/a.317154781638645/5598220220198715/")</f>
        <v>https://www.facebook.com/rapplerdotcom/photos/a.317154781638645/5598220220198715/</v>
      </c>
      <c r="J234" s="1" t="str">
        <f ca="1">IFERROR(__xludf.DUMMYFUNCTION("""COMPUTED_VALUE"""),"2022-07-04T11:09:50.067Z")</f>
        <v>2022-07-04T11:09:50.067Z</v>
      </c>
    </row>
    <row r="235" spans="1:10" x14ac:dyDescent="0.2">
      <c r="A235" s="2" t="str">
        <f ca="1">IFERROR(__xludf.DUMMYFUNCTION("""COMPUTED_VALUE"""),"https://www.facebook.com/jeroh.amis")</f>
        <v>https://www.facebook.com/jeroh.amis</v>
      </c>
      <c r="B235" s="1" t="str">
        <f ca="1">IFERROR(__xludf.DUMMYFUNCTION("""COMPUTED_VALUE"""),"Jeroh Amis")</f>
        <v>Jeroh Amis</v>
      </c>
      <c r="C235" s="1" t="str">
        <f ca="1">IFERROR(__xludf.DUMMYFUNCTION("""COMPUTED_VALUE"""),"Jeroh")</f>
        <v>Jeroh</v>
      </c>
      <c r="D235" s="1" t="str">
        <f ca="1">IFERROR(__xludf.DUMMYFUNCTION("""COMPUTED_VALUE"""),"Amis")</f>
        <v>Amis</v>
      </c>
      <c r="E235" s="1" t="str">
        <f ca="1">IFERROR(__xludf.DUMMYFUNCTION("""COMPUTED_VALUE"""),"Ro G Rick disgrasya ng mukha mo..")</f>
        <v>Ro G Rick disgrasya ng mukha mo..</v>
      </c>
      <c r="F235" s="1">
        <f ca="1">IFERROR(__xludf.DUMMYFUNCTION("""COMPUTED_VALUE"""),4)</f>
        <v>4</v>
      </c>
      <c r="G235" s="1" t="str">
        <f ca="1">IFERROR(__xludf.DUMMYFUNCTION("""COMPUTED_VALUE"""),"3 mos")</f>
        <v>3 mos</v>
      </c>
      <c r="H235" s="1" t="str">
        <f ca="1">IFERROR(__xludf.DUMMYFUNCTION("""COMPUTED_VALUE"""),"reply")</f>
        <v>reply</v>
      </c>
      <c r="I235" s="2" t="str">
        <f ca="1">IFERROR(__xludf.DUMMYFUNCTION("""COMPUTED_VALUE"""),"https://www.facebook.com/rapplerdotcom/photos/a.317154781638645/5598220220198715/")</f>
        <v>https://www.facebook.com/rapplerdotcom/photos/a.317154781638645/5598220220198715/</v>
      </c>
      <c r="J235" s="1" t="str">
        <f ca="1">IFERROR(__xludf.DUMMYFUNCTION("""COMPUTED_VALUE"""),"2022-07-04T11:09:50.067Z")</f>
        <v>2022-07-04T11:09:50.067Z</v>
      </c>
    </row>
    <row r="236" spans="1:10" x14ac:dyDescent="0.2">
      <c r="A236" s="2" t="str">
        <f ca="1">IFERROR(__xludf.DUMMYFUNCTION("""COMPUTED_VALUE"""),"https://www.facebook.com/chona.piansay")</f>
        <v>https://www.facebook.com/chona.piansay</v>
      </c>
      <c r="B236" s="1" t="str">
        <f ca="1">IFERROR(__xludf.DUMMYFUNCTION("""COMPUTED_VALUE"""),"Chona Piansay")</f>
        <v>Chona Piansay</v>
      </c>
      <c r="C236" s="1" t="str">
        <f ca="1">IFERROR(__xludf.DUMMYFUNCTION("""COMPUTED_VALUE"""),"Chona")</f>
        <v>Chona</v>
      </c>
      <c r="D236" s="1" t="str">
        <f ca="1">IFERROR(__xludf.DUMMYFUNCTION("""COMPUTED_VALUE"""),"Piansay")</f>
        <v>Piansay</v>
      </c>
      <c r="E236" s="1" t="str">
        <f ca="1">IFERROR(__xludf.DUMMYFUNCTION("""COMPUTED_VALUE"""),"Ro G Rick malamang pero wag naman sana😁😁😁✌✌✌✌✌✌")</f>
        <v>Ro G Rick malamang pero wag naman sana😁😁😁✌✌✌✌✌✌</v>
      </c>
      <c r="F236" s="1"/>
      <c r="G236" s="1" t="str">
        <f ca="1">IFERROR(__xludf.DUMMYFUNCTION("""COMPUTED_VALUE"""),"3 mos")</f>
        <v>3 mos</v>
      </c>
      <c r="H236" s="1" t="str">
        <f ca="1">IFERROR(__xludf.DUMMYFUNCTION("""COMPUTED_VALUE"""),"reply")</f>
        <v>reply</v>
      </c>
      <c r="I236" s="2" t="str">
        <f ca="1">IFERROR(__xludf.DUMMYFUNCTION("""COMPUTED_VALUE"""),"https://www.facebook.com/rapplerdotcom/photos/a.317154781638645/5598220220198715/")</f>
        <v>https://www.facebook.com/rapplerdotcom/photos/a.317154781638645/5598220220198715/</v>
      </c>
      <c r="J236" s="1" t="str">
        <f ca="1">IFERROR(__xludf.DUMMYFUNCTION("""COMPUTED_VALUE"""),"2022-07-04T11:09:50.067Z")</f>
        <v>2022-07-04T11:09:50.067Z</v>
      </c>
    </row>
    <row r="237" spans="1:10" x14ac:dyDescent="0.2">
      <c r="A237" s="2" t="str">
        <f ca="1">IFERROR(__xludf.DUMMYFUNCTION("""COMPUTED_VALUE"""),"https://www.facebook.com/janna.bahinteng")</f>
        <v>https://www.facebook.com/janna.bahinteng</v>
      </c>
      <c r="B237" s="1" t="str">
        <f ca="1">IFERROR(__xludf.DUMMYFUNCTION("""COMPUTED_VALUE"""),"Janna Bahinteng")</f>
        <v>Janna Bahinteng</v>
      </c>
      <c r="C237" s="1" t="str">
        <f ca="1">IFERROR(__xludf.DUMMYFUNCTION("""COMPUTED_VALUE"""),"Janna")</f>
        <v>Janna</v>
      </c>
      <c r="D237" s="1" t="str">
        <f ca="1">IFERROR(__xludf.DUMMYFUNCTION("""COMPUTED_VALUE"""),"Bahinteng")</f>
        <v>Bahinteng</v>
      </c>
      <c r="E237" s="1" t="str">
        <f ca="1">IFERROR(__xludf.DUMMYFUNCTION("""COMPUTED_VALUE"""),"Dalawang Babae na magaling at good leader.#Saludo👏👏🌷")</f>
        <v>Dalawang Babae na magaling at good leader.#Saludo👏👏🌷</v>
      </c>
      <c r="F237" s="1">
        <f ca="1">IFERROR(__xludf.DUMMYFUNCTION("""COMPUTED_VALUE"""),11)</f>
        <v>11</v>
      </c>
      <c r="G237" s="1" t="str">
        <f ca="1">IFERROR(__xludf.DUMMYFUNCTION("""COMPUTED_VALUE"""),"3 mos")</f>
        <v>3 mos</v>
      </c>
      <c r="H237" s="1" t="str">
        <f ca="1">IFERROR(__xludf.DUMMYFUNCTION("""COMPUTED_VALUE"""),"comment")</f>
        <v>comment</v>
      </c>
      <c r="I237" s="2" t="str">
        <f ca="1">IFERROR(__xludf.DUMMYFUNCTION("""COMPUTED_VALUE"""),"https://www.facebook.com/rapplerdotcom/photos/a.317154781638645/5598220220198715/")</f>
        <v>https://www.facebook.com/rapplerdotcom/photos/a.317154781638645/5598220220198715/</v>
      </c>
      <c r="J237" s="1" t="str">
        <f ca="1">IFERROR(__xludf.DUMMYFUNCTION("""COMPUTED_VALUE"""),"2022-07-04T11:09:50.067Z")</f>
        <v>2022-07-04T11:09:50.067Z</v>
      </c>
    </row>
    <row r="238" spans="1:10" x14ac:dyDescent="0.2">
      <c r="A238" s="2" t="str">
        <f ca="1">IFERROR(__xludf.DUMMYFUNCTION("""COMPUTED_VALUE"""),"https://www.facebook.com/topeabarca98")</f>
        <v>https://www.facebook.com/topeabarca98</v>
      </c>
      <c r="B238" s="1" t="str">
        <f ca="1">IFERROR(__xludf.DUMMYFUNCTION("""COMPUTED_VALUE"""),"Christopher Abarca")</f>
        <v>Christopher Abarca</v>
      </c>
      <c r="C238" s="1" t="str">
        <f ca="1">IFERROR(__xludf.DUMMYFUNCTION("""COMPUTED_VALUE"""),"Christopher")</f>
        <v>Christopher</v>
      </c>
      <c r="D238" s="1" t="str">
        <f ca="1">IFERROR(__xludf.DUMMYFUNCTION("""COMPUTED_VALUE"""),"Abarca")</f>
        <v>Abarca</v>
      </c>
      <c r="E238" s="1" t="str">
        <f ca="1">IFERROR(__xludf.DUMMYFUNCTION("""COMPUTED_VALUE"""),"alam na")</f>
        <v>alam na</v>
      </c>
      <c r="F238" s="1"/>
      <c r="G238" s="1" t="str">
        <f ca="1">IFERROR(__xludf.DUMMYFUNCTION("""COMPUTED_VALUE"""),"3 mos")</f>
        <v>3 mos</v>
      </c>
      <c r="H238" s="1" t="str">
        <f ca="1">IFERROR(__xludf.DUMMYFUNCTION("""COMPUTED_VALUE"""),"comment")</f>
        <v>comment</v>
      </c>
      <c r="I238" s="2" t="str">
        <f ca="1">IFERROR(__xludf.DUMMYFUNCTION("""COMPUTED_VALUE"""),"https://www.facebook.com/rapplerdotcom/photos/a.317154781638645/5598220220198715/")</f>
        <v>https://www.facebook.com/rapplerdotcom/photos/a.317154781638645/5598220220198715/</v>
      </c>
      <c r="J238" s="1" t="str">
        <f ca="1">IFERROR(__xludf.DUMMYFUNCTION("""COMPUTED_VALUE"""),"2022-07-04T11:09:50.067Z")</f>
        <v>2022-07-04T11:09:50.067Z</v>
      </c>
    </row>
    <row r="239" spans="1:10" x14ac:dyDescent="0.2">
      <c r="A239" s="2" t="str">
        <f ca="1">IFERROR(__xludf.DUMMYFUNCTION("""COMPUTED_VALUE"""),"https://www.facebook.com/profile.php?id=100009725222253")</f>
        <v>https://www.facebook.com/profile.php?id=100009725222253</v>
      </c>
      <c r="B239" s="1" t="str">
        <f ca="1">IFERROR(__xludf.DUMMYFUNCTION("""COMPUTED_VALUE"""),"Lita Mendoza")</f>
        <v>Lita Mendoza</v>
      </c>
      <c r="C239" s="1" t="str">
        <f ca="1">IFERROR(__xludf.DUMMYFUNCTION("""COMPUTED_VALUE"""),"Lita")</f>
        <v>Lita</v>
      </c>
      <c r="D239" s="1" t="str">
        <f ca="1">IFERROR(__xludf.DUMMYFUNCTION("""COMPUTED_VALUE"""),"Mendoza")</f>
        <v>Mendoza</v>
      </c>
      <c r="E239" s="1" t="str">
        <f ca="1">IFERROR(__xludf.DUMMYFUNCTION("""COMPUTED_VALUE"""),"ang mag bestfriend forever!")</f>
        <v>ang mag bestfriend forever!</v>
      </c>
      <c r="F239" s="1">
        <f ca="1">IFERROR(__xludf.DUMMYFUNCTION("""COMPUTED_VALUE"""),1)</f>
        <v>1</v>
      </c>
      <c r="G239" s="1" t="str">
        <f ca="1">IFERROR(__xludf.DUMMYFUNCTION("""COMPUTED_VALUE"""),"3 mos")</f>
        <v>3 mos</v>
      </c>
      <c r="H239" s="1" t="str">
        <f ca="1">IFERROR(__xludf.DUMMYFUNCTION("""COMPUTED_VALUE"""),"comment")</f>
        <v>comment</v>
      </c>
      <c r="I239" s="2" t="str">
        <f ca="1">IFERROR(__xludf.DUMMYFUNCTION("""COMPUTED_VALUE"""),"https://www.facebook.com/rapplerdotcom/photos/a.317154781638645/5598220220198715/")</f>
        <v>https://www.facebook.com/rapplerdotcom/photos/a.317154781638645/5598220220198715/</v>
      </c>
      <c r="J239" s="1" t="str">
        <f ca="1">IFERROR(__xludf.DUMMYFUNCTION("""COMPUTED_VALUE"""),"2022-07-04T11:09:50.067Z")</f>
        <v>2022-07-04T11:09:50.067Z</v>
      </c>
    </row>
    <row r="240" spans="1:10" x14ac:dyDescent="0.2">
      <c r="A240" s="2" t="str">
        <f ca="1">IFERROR(__xludf.DUMMYFUNCTION("""COMPUTED_VALUE"""),"https://www.facebook.com/profile.php?id=100069842802277")</f>
        <v>https://www.facebook.com/profile.php?id=100069842802277</v>
      </c>
      <c r="B240" s="1" t="str">
        <f ca="1">IFERROR(__xludf.DUMMYFUNCTION("""COMPUTED_VALUE"""),"Gilbert Abastar")</f>
        <v>Gilbert Abastar</v>
      </c>
      <c r="C240" s="1" t="str">
        <f ca="1">IFERROR(__xludf.DUMMYFUNCTION("""COMPUTED_VALUE"""),"Gilbert")</f>
        <v>Gilbert</v>
      </c>
      <c r="D240" s="1" t="str">
        <f ca="1">IFERROR(__xludf.DUMMYFUNCTION("""COMPUTED_VALUE"""),"Abastar")</f>
        <v>Abastar</v>
      </c>
      <c r="E240" s="1" t="str">
        <f ca="1">IFERROR(__xludf.DUMMYFUNCTION("""COMPUTED_VALUE"""),"Dalawang babaeng walang sawa tayong ipinaglalaban.. mabuhay po kayo!")</f>
        <v>Dalawang babaeng walang sawa tayong ipinaglalaban.. mabuhay po kayo!</v>
      </c>
      <c r="F240" s="1">
        <f ca="1">IFERROR(__xludf.DUMMYFUNCTION("""COMPUTED_VALUE"""),2)</f>
        <v>2</v>
      </c>
      <c r="G240" s="1" t="str">
        <f ca="1">IFERROR(__xludf.DUMMYFUNCTION("""COMPUTED_VALUE"""),"3 mos")</f>
        <v>3 mos</v>
      </c>
      <c r="H240" s="1" t="str">
        <f ca="1">IFERROR(__xludf.DUMMYFUNCTION("""COMPUTED_VALUE"""),"comment")</f>
        <v>comment</v>
      </c>
      <c r="I240" s="2" t="str">
        <f ca="1">IFERROR(__xludf.DUMMYFUNCTION("""COMPUTED_VALUE"""),"https://www.facebook.com/rapplerdotcom/photos/a.317154781638645/5598220220198715/")</f>
        <v>https://www.facebook.com/rapplerdotcom/photos/a.317154781638645/5598220220198715/</v>
      </c>
      <c r="J240" s="1" t="str">
        <f ca="1">IFERROR(__xludf.DUMMYFUNCTION("""COMPUTED_VALUE"""),"2022-07-04T11:09:50.067Z")</f>
        <v>2022-07-04T11:09:50.067Z</v>
      </c>
    </row>
    <row r="241" spans="1:10" x14ac:dyDescent="0.2">
      <c r="A241" s="2" t="str">
        <f ca="1">IFERROR(__xludf.DUMMYFUNCTION("""COMPUTED_VALUE"""),"https://www.facebook.com/mal.esquivel")</f>
        <v>https://www.facebook.com/mal.esquivel</v>
      </c>
      <c r="B241" s="1" t="str">
        <f ca="1">IFERROR(__xludf.DUMMYFUNCTION("""COMPUTED_VALUE"""),"Mal Esquivel")</f>
        <v>Mal Esquivel</v>
      </c>
      <c r="C241" s="1" t="str">
        <f ca="1">IFERROR(__xludf.DUMMYFUNCTION("""COMPUTED_VALUE"""),"Mal")</f>
        <v>Mal</v>
      </c>
      <c r="D241" s="1" t="str">
        <f ca="1">IFERROR(__xludf.DUMMYFUNCTION("""COMPUTED_VALUE"""),"Esquivel")</f>
        <v>Esquivel</v>
      </c>
      <c r="E241" s="1" t="str">
        <f ca="1">IFERROR(__xludf.DUMMYFUNCTION("""COMPUTED_VALUE"""),"ABANTE BABAE 💗🌸")</f>
        <v>ABANTE BABAE 💗🌸</v>
      </c>
      <c r="F241" s="1">
        <f ca="1">IFERROR(__xludf.DUMMYFUNCTION("""COMPUTED_VALUE"""),1)</f>
        <v>1</v>
      </c>
      <c r="G241" s="1" t="str">
        <f ca="1">IFERROR(__xludf.DUMMYFUNCTION("""COMPUTED_VALUE"""),"3 mos")</f>
        <v>3 mos</v>
      </c>
      <c r="H241" s="1" t="str">
        <f ca="1">IFERROR(__xludf.DUMMYFUNCTION("""COMPUTED_VALUE"""),"comment")</f>
        <v>comment</v>
      </c>
      <c r="I241" s="2" t="str">
        <f ca="1">IFERROR(__xludf.DUMMYFUNCTION("""COMPUTED_VALUE"""),"https://www.facebook.com/rapplerdotcom/photos/a.317154781638645/5598220220198715/")</f>
        <v>https://www.facebook.com/rapplerdotcom/photos/a.317154781638645/5598220220198715/</v>
      </c>
      <c r="J241" s="1" t="str">
        <f ca="1">IFERROR(__xludf.DUMMYFUNCTION("""COMPUTED_VALUE"""),"2022-07-04T11:09:50.067Z")</f>
        <v>2022-07-04T11:09:50.067Z</v>
      </c>
    </row>
    <row r="242" spans="1:10" x14ac:dyDescent="0.2">
      <c r="A242" s="2" t="str">
        <f ca="1">IFERROR(__xludf.DUMMYFUNCTION("""COMPUTED_VALUE"""),"https://www.facebook.com/ayan.delan")</f>
        <v>https://www.facebook.com/ayan.delan</v>
      </c>
      <c r="B242" s="1" t="str">
        <f ca="1">IFERROR(__xludf.DUMMYFUNCTION("""COMPUTED_VALUE"""),"Onairda Dln")</f>
        <v>Onairda Dln</v>
      </c>
      <c r="C242" s="1" t="str">
        <f ca="1">IFERROR(__xludf.DUMMYFUNCTION("""COMPUTED_VALUE"""),"Onairda")</f>
        <v>Onairda</v>
      </c>
      <c r="D242" s="1" t="str">
        <f ca="1">IFERROR(__xludf.DUMMYFUNCTION("""COMPUTED_VALUE"""),"Dln")</f>
        <v>Dln</v>
      </c>
      <c r="E242" s="1" t="str">
        <f ca="1">IFERROR(__xludf.DUMMYFUNCTION("""COMPUTED_VALUE"""),"Sila Sila na lng naglolokohan pa")</f>
        <v>Sila Sila na lng naglolokohan pa</v>
      </c>
      <c r="F242" s="1">
        <f ca="1">IFERROR(__xludf.DUMMYFUNCTION("""COMPUTED_VALUE"""),8)</f>
        <v>8</v>
      </c>
      <c r="G242" s="1" t="str">
        <f ca="1">IFERROR(__xludf.DUMMYFUNCTION("""COMPUTED_VALUE"""),"3 mos")</f>
        <v>3 mos</v>
      </c>
      <c r="H242" s="1" t="str">
        <f ca="1">IFERROR(__xludf.DUMMYFUNCTION("""COMPUTED_VALUE"""),"comment")</f>
        <v>comment</v>
      </c>
      <c r="I242" s="2" t="str">
        <f ca="1">IFERROR(__xludf.DUMMYFUNCTION("""COMPUTED_VALUE"""),"https://www.facebook.com/rapplerdotcom/photos/a.317154781638645/5598220220198715/")</f>
        <v>https://www.facebook.com/rapplerdotcom/photos/a.317154781638645/5598220220198715/</v>
      </c>
      <c r="J242" s="1" t="str">
        <f ca="1">IFERROR(__xludf.DUMMYFUNCTION("""COMPUTED_VALUE"""),"2022-07-04T11:09:50.067Z")</f>
        <v>2022-07-04T11:09:50.067Z</v>
      </c>
    </row>
    <row r="243" spans="1:10" x14ac:dyDescent="0.2">
      <c r="A243" s="2" t="str">
        <f ca="1">IFERROR(__xludf.DUMMYFUNCTION("""COMPUTED_VALUE"""),"https://www.facebook.com/grace.lucila.33")</f>
        <v>https://www.facebook.com/grace.lucila.33</v>
      </c>
      <c r="B243" s="1" t="str">
        <f ca="1">IFERROR(__xludf.DUMMYFUNCTION("""COMPUTED_VALUE"""),"Grace Lucila")</f>
        <v>Grace Lucila</v>
      </c>
      <c r="C243" s="1" t="str">
        <f ca="1">IFERROR(__xludf.DUMMYFUNCTION("""COMPUTED_VALUE"""),"Grace")</f>
        <v>Grace</v>
      </c>
      <c r="D243" s="1" t="str">
        <f ca="1">IFERROR(__xludf.DUMMYFUNCTION("""COMPUTED_VALUE"""),"Lucila")</f>
        <v>Lucila</v>
      </c>
      <c r="E243" s="1" t="str">
        <f ca="1">IFERROR(__xludf.DUMMYFUNCTION("""COMPUTED_VALUE"""),"Onairda Naler baket, inano ka ba?")</f>
        <v>Onairda Naler baket, inano ka ba?</v>
      </c>
      <c r="F243" s="1">
        <f ca="1">IFERROR(__xludf.DUMMYFUNCTION("""COMPUTED_VALUE"""),1)</f>
        <v>1</v>
      </c>
      <c r="G243" s="1" t="str">
        <f ca="1">IFERROR(__xludf.DUMMYFUNCTION("""COMPUTED_VALUE"""),"3 mos")</f>
        <v>3 mos</v>
      </c>
      <c r="H243" s="1" t="str">
        <f ca="1">IFERROR(__xludf.DUMMYFUNCTION("""COMPUTED_VALUE"""),"reply")</f>
        <v>reply</v>
      </c>
      <c r="I243" s="2" t="str">
        <f ca="1">IFERROR(__xludf.DUMMYFUNCTION("""COMPUTED_VALUE"""),"https://www.facebook.com/rapplerdotcom/photos/a.317154781638645/5598220220198715/")</f>
        <v>https://www.facebook.com/rapplerdotcom/photos/a.317154781638645/5598220220198715/</v>
      </c>
      <c r="J243" s="1" t="str">
        <f ca="1">IFERROR(__xludf.DUMMYFUNCTION("""COMPUTED_VALUE"""),"2022-07-04T11:09:50.067Z")</f>
        <v>2022-07-04T11:09:50.067Z</v>
      </c>
    </row>
    <row r="244" spans="1:10" x14ac:dyDescent="0.2">
      <c r="A244" s="2" t="str">
        <f ca="1">IFERROR(__xludf.DUMMYFUNCTION("""COMPUTED_VALUE"""),"https://www.facebook.com/jeff.hubero")</f>
        <v>https://www.facebook.com/jeff.hubero</v>
      </c>
      <c r="B244" s="1" t="str">
        <f ca="1">IFERROR(__xludf.DUMMYFUNCTION("""COMPUTED_VALUE"""),"Jeff Hubero")</f>
        <v>Jeff Hubero</v>
      </c>
      <c r="C244" s="1" t="str">
        <f ca="1">IFERROR(__xludf.DUMMYFUNCTION("""COMPUTED_VALUE"""),"Jeff")</f>
        <v>Jeff</v>
      </c>
      <c r="D244" s="1" t="str">
        <f ca="1">IFERROR(__xludf.DUMMYFUNCTION("""COMPUTED_VALUE"""),"Hubero")</f>
        <v>Hubero</v>
      </c>
      <c r="E244" s="1" t="str">
        <f ca="1">IFERROR(__xludf.DUMMYFUNCTION("""COMPUTED_VALUE"""),"Alam na dis 😂 😆")</f>
        <v>Alam na dis 😂 😆</v>
      </c>
      <c r="F244" s="1">
        <f ca="1">IFERROR(__xludf.DUMMYFUNCTION("""COMPUTED_VALUE"""),2)</f>
        <v>2</v>
      </c>
      <c r="G244" s="1" t="str">
        <f ca="1">IFERROR(__xludf.DUMMYFUNCTION("""COMPUTED_VALUE"""),"3 mos")</f>
        <v>3 mos</v>
      </c>
      <c r="H244" s="1" t="str">
        <f ca="1">IFERROR(__xludf.DUMMYFUNCTION("""COMPUTED_VALUE"""),"comment")</f>
        <v>comment</v>
      </c>
      <c r="I244" s="2" t="str">
        <f ca="1">IFERROR(__xludf.DUMMYFUNCTION("""COMPUTED_VALUE"""),"https://www.facebook.com/rapplerdotcom/photos/a.317154781638645/5598220220198715/")</f>
        <v>https://www.facebook.com/rapplerdotcom/photos/a.317154781638645/5598220220198715/</v>
      </c>
      <c r="J244" s="1" t="str">
        <f ca="1">IFERROR(__xludf.DUMMYFUNCTION("""COMPUTED_VALUE"""),"2022-07-04T11:09:50.067Z")</f>
        <v>2022-07-04T11:09:50.067Z</v>
      </c>
    </row>
    <row r="245" spans="1:10" x14ac:dyDescent="0.2">
      <c r="A245" s="2" t="str">
        <f ca="1">IFERROR(__xludf.DUMMYFUNCTION("""COMPUTED_VALUE"""),"https://www.facebook.com/maria.carl.77")</f>
        <v>https://www.facebook.com/maria.carl.77</v>
      </c>
      <c r="B245" s="1" t="str">
        <f ca="1">IFERROR(__xludf.DUMMYFUNCTION("""COMPUTED_VALUE"""),"Maria Carl")</f>
        <v>Maria Carl</v>
      </c>
      <c r="C245" s="1" t="str">
        <f ca="1">IFERROR(__xludf.DUMMYFUNCTION("""COMPUTED_VALUE"""),"Maria")</f>
        <v>Maria</v>
      </c>
      <c r="D245" s="1" t="str">
        <f ca="1">IFERROR(__xludf.DUMMYFUNCTION("""COMPUTED_VALUE"""),"Carl")</f>
        <v>Carl</v>
      </c>
      <c r="E245" s="1" t="str">
        <f ca="1">IFERROR(__xludf.DUMMYFUNCTION("""COMPUTED_VALUE"""),"💗💗💗KakamPink forever 💗")</f>
        <v>💗💗💗KakamPink forever 💗</v>
      </c>
      <c r="F245" s="1">
        <f ca="1">IFERROR(__xludf.DUMMYFUNCTION("""COMPUTED_VALUE"""),1)</f>
        <v>1</v>
      </c>
      <c r="G245" s="1" t="str">
        <f ca="1">IFERROR(__xludf.DUMMYFUNCTION("""COMPUTED_VALUE"""),"3 mos")</f>
        <v>3 mos</v>
      </c>
      <c r="H245" s="1" t="str">
        <f ca="1">IFERROR(__xludf.DUMMYFUNCTION("""COMPUTED_VALUE"""),"comment")</f>
        <v>comment</v>
      </c>
      <c r="I245" s="2" t="str">
        <f ca="1">IFERROR(__xludf.DUMMYFUNCTION("""COMPUTED_VALUE"""),"https://www.facebook.com/rapplerdotcom/photos/a.317154781638645/5598220220198715/")</f>
        <v>https://www.facebook.com/rapplerdotcom/photos/a.317154781638645/5598220220198715/</v>
      </c>
      <c r="J245" s="1" t="str">
        <f ca="1">IFERROR(__xludf.DUMMYFUNCTION("""COMPUTED_VALUE"""),"2022-07-04T11:09:50.067Z")</f>
        <v>2022-07-04T11:09:50.067Z</v>
      </c>
    </row>
    <row r="246" spans="1:10" x14ac:dyDescent="0.2">
      <c r="A246" s="2" t="str">
        <f ca="1">IFERROR(__xludf.DUMMYFUNCTION("""COMPUTED_VALUE"""),"https://www.facebook.com/rodelio.cohay.3")</f>
        <v>https://www.facebook.com/rodelio.cohay.3</v>
      </c>
      <c r="B246" s="1" t="str">
        <f ca="1">IFERROR(__xludf.DUMMYFUNCTION("""COMPUTED_VALUE"""),"Tatskie Gambuta Cohay")</f>
        <v>Tatskie Gambuta Cohay</v>
      </c>
      <c r="C246" s="1" t="str">
        <f ca="1">IFERROR(__xludf.DUMMYFUNCTION("""COMPUTED_VALUE"""),"Tatskie")</f>
        <v>Tatskie</v>
      </c>
      <c r="D246" s="1" t="str">
        <f ca="1">IFERROR(__xludf.DUMMYFUNCTION("""COMPUTED_VALUE"""),"Gambuta Cohay")</f>
        <v>Gambuta Cohay</v>
      </c>
      <c r="E246" s="1" t="str">
        <f ca="1">IFERROR(__xludf.DUMMYFUNCTION("""COMPUTED_VALUE"""),"huli piro d kulong")</f>
        <v>huli piro d kulong</v>
      </c>
      <c r="F246" s="1"/>
      <c r="G246" s="1" t="str">
        <f ca="1">IFERROR(__xludf.DUMMYFUNCTION("""COMPUTED_VALUE"""),"3 mos")</f>
        <v>3 mos</v>
      </c>
      <c r="H246" s="1" t="str">
        <f ca="1">IFERROR(__xludf.DUMMYFUNCTION("""COMPUTED_VALUE"""),"comment")</f>
        <v>comment</v>
      </c>
      <c r="I246" s="2" t="str">
        <f ca="1">IFERROR(__xludf.DUMMYFUNCTION("""COMPUTED_VALUE"""),"https://www.facebook.com/rapplerdotcom/photos/a.317154781638645/5598220220198715/")</f>
        <v>https://www.facebook.com/rapplerdotcom/photos/a.317154781638645/5598220220198715/</v>
      </c>
      <c r="J246" s="1" t="str">
        <f ca="1">IFERROR(__xludf.DUMMYFUNCTION("""COMPUTED_VALUE"""),"2022-07-04T11:09:50.067Z")</f>
        <v>2022-07-04T11:09:50.067Z</v>
      </c>
    </row>
    <row r="247" spans="1:10" x14ac:dyDescent="0.2">
      <c r="A247" s="2" t="str">
        <f ca="1">IFERROR(__xludf.DUMMYFUNCTION("""COMPUTED_VALUE"""),"https://www.facebook.com/philip.casapao")</f>
        <v>https://www.facebook.com/philip.casapao</v>
      </c>
      <c r="B247" s="1" t="str">
        <f ca="1">IFERROR(__xludf.DUMMYFUNCTION("""COMPUTED_VALUE"""),"필립캇")</f>
        <v>필립캇</v>
      </c>
      <c r="C247" s="1" t="str">
        <f ca="1">IFERROR(__xludf.DUMMYFUNCTION("""COMPUTED_VALUE"""),"필립캇")</f>
        <v>필립캇</v>
      </c>
      <c r="D247" s="1"/>
      <c r="E247" s="1" t="str">
        <f ca="1">IFERROR(__xludf.DUMMYFUNCTION("""COMPUTED_VALUE"""),"MGA TRAPO😅🤣😂")</f>
        <v>MGA TRAPO😅🤣😂</v>
      </c>
      <c r="F247" s="1">
        <f ca="1">IFERROR(__xludf.DUMMYFUNCTION("""COMPUTED_VALUE"""),6)</f>
        <v>6</v>
      </c>
      <c r="G247" s="1" t="str">
        <f ca="1">IFERROR(__xludf.DUMMYFUNCTION("""COMPUTED_VALUE"""),"3 mos")</f>
        <v>3 mos</v>
      </c>
      <c r="H247" s="1" t="str">
        <f ca="1">IFERROR(__xludf.DUMMYFUNCTION("""COMPUTED_VALUE"""),"comment")</f>
        <v>comment</v>
      </c>
      <c r="I247" s="2" t="str">
        <f ca="1">IFERROR(__xludf.DUMMYFUNCTION("""COMPUTED_VALUE"""),"https://www.facebook.com/rapplerdotcom/photos/a.317154781638645/5598220220198715/")</f>
        <v>https://www.facebook.com/rapplerdotcom/photos/a.317154781638645/5598220220198715/</v>
      </c>
      <c r="J247" s="1" t="str">
        <f ca="1">IFERROR(__xludf.DUMMYFUNCTION("""COMPUTED_VALUE"""),"2022-07-04T11:09:50.067Z")</f>
        <v>2022-07-04T11:09:50.067Z</v>
      </c>
    </row>
    <row r="248" spans="1:10" x14ac:dyDescent="0.2">
      <c r="A248" s="2" t="str">
        <f ca="1">IFERROR(__xludf.DUMMYFUNCTION("""COMPUTED_VALUE"""),"https://www.facebook.com/veronica.o.hadi")</f>
        <v>https://www.facebook.com/veronica.o.hadi</v>
      </c>
      <c r="B248" s="1" t="str">
        <f ca="1">IFERROR(__xludf.DUMMYFUNCTION("""COMPUTED_VALUE"""),"Veronica Olivarez Hadi")</f>
        <v>Veronica Olivarez Hadi</v>
      </c>
      <c r="C248" s="1" t="str">
        <f ca="1">IFERROR(__xludf.DUMMYFUNCTION("""COMPUTED_VALUE"""),"Veronica")</f>
        <v>Veronica</v>
      </c>
      <c r="D248" s="1" t="str">
        <f ca="1">IFERROR(__xludf.DUMMYFUNCTION("""COMPUTED_VALUE"""),"Olivarez Hadi")</f>
        <v>Olivarez Hadi</v>
      </c>
      <c r="E248" s="1" t="str">
        <f ca="1">IFERROR(__xludf.DUMMYFUNCTION("""COMPUTED_VALUE"""),"Dalawa sa mga babaeng hinahangaan ko .Matapang naninindigan para sa katotohanan.")</f>
        <v>Dalawa sa mga babaeng hinahangaan ko .Matapang naninindigan para sa katotohanan.</v>
      </c>
      <c r="F248" s="1">
        <f ca="1">IFERROR(__xludf.DUMMYFUNCTION("""COMPUTED_VALUE"""),1)</f>
        <v>1</v>
      </c>
      <c r="G248" s="1" t="str">
        <f ca="1">IFERROR(__xludf.DUMMYFUNCTION("""COMPUTED_VALUE"""),"3 mos")</f>
        <v>3 mos</v>
      </c>
      <c r="H248" s="1" t="str">
        <f ca="1">IFERROR(__xludf.DUMMYFUNCTION("""COMPUTED_VALUE"""),"comment")</f>
        <v>comment</v>
      </c>
      <c r="I248" s="2" t="str">
        <f ca="1">IFERROR(__xludf.DUMMYFUNCTION("""COMPUTED_VALUE"""),"https://www.facebook.com/rapplerdotcom/photos/a.317154781638645/5598220220198715/")</f>
        <v>https://www.facebook.com/rapplerdotcom/photos/a.317154781638645/5598220220198715/</v>
      </c>
      <c r="J248" s="1" t="str">
        <f ca="1">IFERROR(__xludf.DUMMYFUNCTION("""COMPUTED_VALUE"""),"2022-07-04T11:09:50.067Z")</f>
        <v>2022-07-04T11:09:50.067Z</v>
      </c>
    </row>
    <row r="249" spans="1:10" x14ac:dyDescent="0.2">
      <c r="A249" s="2" t="str">
        <f ca="1">IFERROR(__xludf.DUMMYFUNCTION("""COMPUTED_VALUE"""),"https://www.facebook.com/federico.condesa")</f>
        <v>https://www.facebook.com/federico.condesa</v>
      </c>
      <c r="B249" s="1" t="str">
        <f ca="1">IFERROR(__xludf.DUMMYFUNCTION("""COMPUTED_VALUE"""),"Federico Condesa")</f>
        <v>Federico Condesa</v>
      </c>
      <c r="C249" s="1" t="str">
        <f ca="1">IFERROR(__xludf.DUMMYFUNCTION("""COMPUTED_VALUE"""),"Federico")</f>
        <v>Federico</v>
      </c>
      <c r="D249" s="1" t="str">
        <f ca="1">IFERROR(__xludf.DUMMYFUNCTION("""COMPUTED_VALUE"""),"Condesa")</f>
        <v>Condesa</v>
      </c>
      <c r="E249" s="1" t="str">
        <f ca="1">IFERROR(__xludf.DUMMYFUNCTION("""COMPUTED_VALUE"""),"Veronica Olivarez Hadi naniningdigan para paikotin n nmn ang mamamayan s kanilang binabalak n pansarli pakinabang.")</f>
        <v>Veronica Olivarez Hadi naniningdigan para paikotin n nmn ang mamamayan s kanilang binabalak n pansarli pakinabang.</v>
      </c>
      <c r="F249" s="1"/>
      <c r="G249" s="1" t="str">
        <f ca="1">IFERROR(__xludf.DUMMYFUNCTION("""COMPUTED_VALUE"""),"3 mos")</f>
        <v>3 mos</v>
      </c>
      <c r="H249" s="1" t="str">
        <f ca="1">IFERROR(__xludf.DUMMYFUNCTION("""COMPUTED_VALUE"""),"reply")</f>
        <v>reply</v>
      </c>
      <c r="I249" s="2" t="str">
        <f ca="1">IFERROR(__xludf.DUMMYFUNCTION("""COMPUTED_VALUE"""),"https://www.facebook.com/rapplerdotcom/photos/a.317154781638645/5598220220198715/")</f>
        <v>https://www.facebook.com/rapplerdotcom/photos/a.317154781638645/5598220220198715/</v>
      </c>
      <c r="J249" s="1" t="str">
        <f ca="1">IFERROR(__xludf.DUMMYFUNCTION("""COMPUTED_VALUE"""),"2022-07-04T11:09:50.067Z")</f>
        <v>2022-07-04T11:09:50.067Z</v>
      </c>
    </row>
    <row r="250" spans="1:10" x14ac:dyDescent="0.2">
      <c r="A250" s="2" t="str">
        <f ca="1">IFERROR(__xludf.DUMMYFUNCTION("""COMPUTED_VALUE"""),"https://www.facebook.com/eugarnlise.garcia27")</f>
        <v>https://www.facebook.com/eugarnlise.garcia27</v>
      </c>
      <c r="B250" s="1" t="str">
        <f ca="1">IFERROR(__xludf.DUMMYFUNCTION("""COMPUTED_VALUE"""),"Eugarn Lise Garcia")</f>
        <v>Eugarn Lise Garcia</v>
      </c>
      <c r="C250" s="1" t="str">
        <f ca="1">IFERROR(__xludf.DUMMYFUNCTION("""COMPUTED_VALUE"""),"Eugarn")</f>
        <v>Eugarn</v>
      </c>
      <c r="D250" s="1" t="str">
        <f ca="1">IFERROR(__xludf.DUMMYFUNCTION("""COMPUTED_VALUE"""),"Lise Garcia")</f>
        <v>Lise Garcia</v>
      </c>
      <c r="E250" s="1" t="str">
        <f ca="1">IFERROR(__xludf.DUMMYFUNCTION("""COMPUTED_VALUE"""),"Abante Babae 2022 🌸🌸🌸")</f>
        <v>Abante Babae 2022 🌸🌸🌸</v>
      </c>
      <c r="F250" s="1">
        <f ca="1">IFERROR(__xludf.DUMMYFUNCTION("""COMPUTED_VALUE"""),2)</f>
        <v>2</v>
      </c>
      <c r="G250" s="1" t="str">
        <f ca="1">IFERROR(__xludf.DUMMYFUNCTION("""COMPUTED_VALUE"""),"3 mos")</f>
        <v>3 mos</v>
      </c>
      <c r="H250" s="1" t="str">
        <f ca="1">IFERROR(__xludf.DUMMYFUNCTION("""COMPUTED_VALUE"""),"comment")</f>
        <v>comment</v>
      </c>
      <c r="I250" s="2" t="str">
        <f ca="1">IFERROR(__xludf.DUMMYFUNCTION("""COMPUTED_VALUE"""),"https://www.facebook.com/rapplerdotcom/photos/a.317154781638645/5598220220198715/")</f>
        <v>https://www.facebook.com/rapplerdotcom/photos/a.317154781638645/5598220220198715/</v>
      </c>
      <c r="J250" s="1" t="str">
        <f ca="1">IFERROR(__xludf.DUMMYFUNCTION("""COMPUTED_VALUE"""),"2022-07-04T11:09:50.067Z")</f>
        <v>2022-07-04T11:09:50.067Z</v>
      </c>
    </row>
    <row r="251" spans="1:10" x14ac:dyDescent="0.2">
      <c r="A251" s="2" t="str">
        <f ca="1">IFERROR(__xludf.DUMMYFUNCTION("""COMPUTED_VALUE"""),"https://www.facebook.com/hotaru.izanami")</f>
        <v>https://www.facebook.com/hotaru.izanami</v>
      </c>
      <c r="B251" s="1" t="str">
        <f ca="1">IFERROR(__xludf.DUMMYFUNCTION("""COMPUTED_VALUE"""),"Hotaru Izanami")</f>
        <v>Hotaru Izanami</v>
      </c>
      <c r="C251" s="1" t="str">
        <f ca="1">IFERROR(__xludf.DUMMYFUNCTION("""COMPUTED_VALUE"""),"Hotaru")</f>
        <v>Hotaru</v>
      </c>
      <c r="D251" s="1" t="str">
        <f ca="1">IFERROR(__xludf.DUMMYFUNCTION("""COMPUTED_VALUE"""),"Izanami")</f>
        <v>Izanami</v>
      </c>
      <c r="E251" s="1" t="str">
        <f ca="1">IFERROR(__xludf.DUMMYFUNCTION("""COMPUTED_VALUE"""),"Pag inggit kaog igit 😂😂")</f>
        <v>Pag inggit kaog igit 😂😂</v>
      </c>
      <c r="F251" s="1">
        <f ca="1">IFERROR(__xludf.DUMMYFUNCTION("""COMPUTED_VALUE"""),6)</f>
        <v>6</v>
      </c>
      <c r="G251" s="1" t="str">
        <f ca="1">IFERROR(__xludf.DUMMYFUNCTION("""COMPUTED_VALUE"""),"3 mos")</f>
        <v>3 mos</v>
      </c>
      <c r="H251" s="1" t="str">
        <f ca="1">IFERROR(__xludf.DUMMYFUNCTION("""COMPUTED_VALUE"""),"comment")</f>
        <v>comment</v>
      </c>
      <c r="I251" s="2" t="str">
        <f ca="1">IFERROR(__xludf.DUMMYFUNCTION("""COMPUTED_VALUE"""),"https://www.facebook.com/rapplerdotcom/photos/a.317154781638645/5598220220198715/")</f>
        <v>https://www.facebook.com/rapplerdotcom/photos/a.317154781638645/5598220220198715/</v>
      </c>
      <c r="J251" s="1" t="str">
        <f ca="1">IFERROR(__xludf.DUMMYFUNCTION("""COMPUTED_VALUE"""),"2022-07-04T11:09:50.067Z")</f>
        <v>2022-07-04T11:09:50.067Z</v>
      </c>
    </row>
    <row r="252" spans="1:10" x14ac:dyDescent="0.2">
      <c r="A252" s="2" t="str">
        <f ca="1">IFERROR(__xludf.DUMMYFUNCTION("""COMPUTED_VALUE"""),"https://www.facebook.com/neil.torreon.7")</f>
        <v>https://www.facebook.com/neil.torreon.7</v>
      </c>
      <c r="B252" s="1" t="str">
        <f ca="1">IFERROR(__xludf.DUMMYFUNCTION("""COMPUTED_VALUE"""),"Neil Torreon")</f>
        <v>Neil Torreon</v>
      </c>
      <c r="C252" s="1" t="str">
        <f ca="1">IFERROR(__xludf.DUMMYFUNCTION("""COMPUTED_VALUE"""),"Neil")</f>
        <v>Neil</v>
      </c>
      <c r="D252" s="1" t="str">
        <f ca="1">IFERROR(__xludf.DUMMYFUNCTION("""COMPUTED_VALUE"""),"Torreon")</f>
        <v>Torreon</v>
      </c>
      <c r="E252" s="1" t="str">
        <f ca="1">IFERROR(__xludf.DUMMYFUNCTION("""COMPUTED_VALUE"""),"Alam na this ....hahaha...2 women without dignity....sariling Bansa sisiraan....pag uusapan paano mandaya sa election.....")</f>
        <v>Alam na this ....hahaha...2 women without dignity....sariling Bansa sisiraan....pag uusapan paano mandaya sa election.....</v>
      </c>
      <c r="F252" s="1">
        <f ca="1">IFERROR(__xludf.DUMMYFUNCTION("""COMPUTED_VALUE"""),3)</f>
        <v>3</v>
      </c>
      <c r="G252" s="1" t="str">
        <f ca="1">IFERROR(__xludf.DUMMYFUNCTION("""COMPUTED_VALUE"""),"3 mos")</f>
        <v>3 mos</v>
      </c>
      <c r="H252" s="1" t="str">
        <f ca="1">IFERROR(__xludf.DUMMYFUNCTION("""COMPUTED_VALUE"""),"comment")</f>
        <v>comment</v>
      </c>
      <c r="I252" s="2" t="str">
        <f ca="1">IFERROR(__xludf.DUMMYFUNCTION("""COMPUTED_VALUE"""),"https://www.facebook.com/rapplerdotcom/photos/a.317154781638645/5598220220198715/")</f>
        <v>https://www.facebook.com/rapplerdotcom/photos/a.317154781638645/5598220220198715/</v>
      </c>
      <c r="J252" s="1" t="str">
        <f ca="1">IFERROR(__xludf.DUMMYFUNCTION("""COMPUTED_VALUE"""),"2022-07-04T11:09:50.067Z")</f>
        <v>2022-07-04T11:09:50.067Z</v>
      </c>
    </row>
    <row r="253" spans="1:10" x14ac:dyDescent="0.2">
      <c r="A253" s="2" t="str">
        <f ca="1">IFERROR(__xludf.DUMMYFUNCTION("""COMPUTED_VALUE"""),"https://www.facebook.com/grace.lucila.33")</f>
        <v>https://www.facebook.com/grace.lucila.33</v>
      </c>
      <c r="B253" s="1" t="str">
        <f ca="1">IFERROR(__xludf.DUMMYFUNCTION("""COMPUTED_VALUE"""),"Grace Lucila")</f>
        <v>Grace Lucila</v>
      </c>
      <c r="C253" s="1" t="str">
        <f ca="1">IFERROR(__xludf.DUMMYFUNCTION("""COMPUTED_VALUE"""),"Grace")</f>
        <v>Grace</v>
      </c>
      <c r="D253" s="1" t="str">
        <f ca="1">IFERROR(__xludf.DUMMYFUNCTION("""COMPUTED_VALUE"""),"Lucila")</f>
        <v>Lucila</v>
      </c>
      <c r="E253" s="1" t="str">
        <f ca="1">IFERROR(__xludf.DUMMYFUNCTION("""COMPUTED_VALUE"""),"Neil Torreon Pinagsasasabi mo?")</f>
        <v>Neil Torreon Pinagsasasabi mo?</v>
      </c>
      <c r="F253" s="1">
        <f ca="1">IFERROR(__xludf.DUMMYFUNCTION("""COMPUTED_VALUE"""),1)</f>
        <v>1</v>
      </c>
      <c r="G253" s="1" t="str">
        <f ca="1">IFERROR(__xludf.DUMMYFUNCTION("""COMPUTED_VALUE"""),"3 mos")</f>
        <v>3 mos</v>
      </c>
      <c r="H253" s="1" t="str">
        <f ca="1">IFERROR(__xludf.DUMMYFUNCTION("""COMPUTED_VALUE"""),"reply")</f>
        <v>reply</v>
      </c>
      <c r="I253" s="2" t="str">
        <f ca="1">IFERROR(__xludf.DUMMYFUNCTION("""COMPUTED_VALUE"""),"https://www.facebook.com/rapplerdotcom/photos/a.317154781638645/5598220220198715/")</f>
        <v>https://www.facebook.com/rapplerdotcom/photos/a.317154781638645/5598220220198715/</v>
      </c>
      <c r="J253" s="1" t="str">
        <f ca="1">IFERROR(__xludf.DUMMYFUNCTION("""COMPUTED_VALUE"""),"2022-07-04T11:09:50.067Z")</f>
        <v>2022-07-04T11:09:50.067Z</v>
      </c>
    </row>
    <row r="254" spans="1:10" x14ac:dyDescent="0.2">
      <c r="A254" s="2" t="str">
        <f ca="1">IFERROR(__xludf.DUMMYFUNCTION("""COMPUTED_VALUE"""),"https://www.facebook.com/marcoantonio.bursky")</f>
        <v>https://www.facebook.com/marcoantonio.bursky</v>
      </c>
      <c r="B254" s="1" t="str">
        <f ca="1">IFERROR(__xludf.DUMMYFUNCTION("""COMPUTED_VALUE"""),"Marco Antonio Bursky")</f>
        <v>Marco Antonio Bursky</v>
      </c>
      <c r="C254" s="1" t="str">
        <f ca="1">IFERROR(__xludf.DUMMYFUNCTION("""COMPUTED_VALUE"""),"Marco")</f>
        <v>Marco</v>
      </c>
      <c r="D254" s="1" t="str">
        <f ca="1">IFERROR(__xludf.DUMMYFUNCTION("""COMPUTED_VALUE"""),"Antonio Bursky")</f>
        <v>Antonio Bursky</v>
      </c>
      <c r="E254" s="1" t="str">
        <f ca="1">IFERROR(__xludf.DUMMYFUNCTION("""COMPUTED_VALUE"""),"Dyn k p interview  langaw aabutin nyu")</f>
        <v>Dyn k p interview  langaw aabutin nyu</v>
      </c>
      <c r="F254" s="1"/>
      <c r="G254" s="1" t="str">
        <f ca="1">IFERROR(__xludf.DUMMYFUNCTION("""COMPUTED_VALUE"""),"3 mos")</f>
        <v>3 mos</v>
      </c>
      <c r="H254" s="1" t="str">
        <f ca="1">IFERROR(__xludf.DUMMYFUNCTION("""COMPUTED_VALUE"""),"comment")</f>
        <v>comment</v>
      </c>
      <c r="I254" s="2" t="str">
        <f ca="1">IFERROR(__xludf.DUMMYFUNCTION("""COMPUTED_VALUE"""),"https://www.facebook.com/rapplerdotcom/photos/a.317154781638645/5598220220198715/")</f>
        <v>https://www.facebook.com/rapplerdotcom/photos/a.317154781638645/5598220220198715/</v>
      </c>
      <c r="J254" s="1" t="str">
        <f ca="1">IFERROR(__xludf.DUMMYFUNCTION("""COMPUTED_VALUE"""),"2022-07-04T11:09:50.067Z")</f>
        <v>2022-07-04T11:09:50.067Z</v>
      </c>
    </row>
    <row r="255" spans="1:10" x14ac:dyDescent="0.2">
      <c r="A255" s="2" t="str">
        <f ca="1">IFERROR(__xludf.DUMMYFUNCTION("""COMPUTED_VALUE"""),"https://www.facebook.com/ferrerantonia")</f>
        <v>https://www.facebook.com/ferrerantonia</v>
      </c>
      <c r="B255" s="1" t="str">
        <f ca="1">IFERROR(__xludf.DUMMYFUNCTION("""COMPUTED_VALUE"""),"Antonia Ferrer")</f>
        <v>Antonia Ferrer</v>
      </c>
      <c r="C255" s="1" t="str">
        <f ca="1">IFERROR(__xludf.DUMMYFUNCTION("""COMPUTED_VALUE"""),"Antonia")</f>
        <v>Antonia</v>
      </c>
      <c r="D255" s="1" t="str">
        <f ca="1">IFERROR(__xludf.DUMMYFUNCTION("""COMPUTED_VALUE"""),"Ferrer")</f>
        <v>Ferrer</v>
      </c>
      <c r="E255" s="1" t="str">
        <f ca="1">IFERROR(__xludf.DUMMYFUNCTION("""COMPUTED_VALUE"""),"bumoto ng tama, bumoto ng mabuti #LeniKiko2022 🌷🌷🌷")</f>
        <v>bumoto ng tama, bumoto ng mabuti #LeniKiko2022 🌷🌷🌷</v>
      </c>
      <c r="F255" s="1"/>
      <c r="G255" s="1" t="str">
        <f ca="1">IFERROR(__xludf.DUMMYFUNCTION("""COMPUTED_VALUE"""),"3 mos")</f>
        <v>3 mos</v>
      </c>
      <c r="H255" s="1" t="str">
        <f ca="1">IFERROR(__xludf.DUMMYFUNCTION("""COMPUTED_VALUE"""),"comment")</f>
        <v>comment</v>
      </c>
      <c r="I255" s="2" t="str">
        <f ca="1">IFERROR(__xludf.DUMMYFUNCTION("""COMPUTED_VALUE"""),"https://www.facebook.com/rapplerdotcom/photos/a.317154781638645/5598220220198715/")</f>
        <v>https://www.facebook.com/rapplerdotcom/photos/a.317154781638645/5598220220198715/</v>
      </c>
      <c r="J255" s="1" t="str">
        <f ca="1">IFERROR(__xludf.DUMMYFUNCTION("""COMPUTED_VALUE"""),"2022-07-04T11:09:50.067Z")</f>
        <v>2022-07-04T11:09:50.067Z</v>
      </c>
    </row>
    <row r="256" spans="1:10" x14ac:dyDescent="0.2">
      <c r="A256" s="2" t="str">
        <f ca="1">IFERROR(__xludf.DUMMYFUNCTION("""COMPUTED_VALUE"""),"https://www.facebook.com/florita.manzano.5")</f>
        <v>https://www.facebook.com/florita.manzano.5</v>
      </c>
      <c r="B256" s="1" t="str">
        <f ca="1">IFERROR(__xludf.DUMMYFUNCTION("""COMPUTED_VALUE"""),"Florita Manzano")</f>
        <v>Florita Manzano</v>
      </c>
      <c r="C256" s="1" t="str">
        <f ca="1">IFERROR(__xludf.DUMMYFUNCTION("""COMPUTED_VALUE"""),"Florita")</f>
        <v>Florita</v>
      </c>
      <c r="D256" s="1" t="str">
        <f ca="1">IFERROR(__xludf.DUMMYFUNCTION("""COMPUTED_VALUE"""),"Manzano")</f>
        <v>Manzano</v>
      </c>
      <c r="E256" s="1" t="str">
        <f ca="1">IFERROR(__xludf.DUMMYFUNCTION("""COMPUTED_VALUE"""),"magulo pang yan manalo dadami ang mga maritess")</f>
        <v>magulo pang yan manalo dadami ang mga maritess</v>
      </c>
      <c r="F256" s="1">
        <f ca="1">IFERROR(__xludf.DUMMYFUNCTION("""COMPUTED_VALUE"""),8)</f>
        <v>8</v>
      </c>
      <c r="G256" s="1" t="str">
        <f ca="1">IFERROR(__xludf.DUMMYFUNCTION("""COMPUTED_VALUE"""),"3 mos")</f>
        <v>3 mos</v>
      </c>
      <c r="H256" s="1" t="str">
        <f ca="1">IFERROR(__xludf.DUMMYFUNCTION("""COMPUTED_VALUE"""),"comment")</f>
        <v>comment</v>
      </c>
      <c r="I256" s="2" t="str">
        <f ca="1">IFERROR(__xludf.DUMMYFUNCTION("""COMPUTED_VALUE"""),"https://www.facebook.com/rapplerdotcom/photos/a.317154781638645/5598220220198715/")</f>
        <v>https://www.facebook.com/rapplerdotcom/photos/a.317154781638645/5598220220198715/</v>
      </c>
      <c r="J256" s="1" t="str">
        <f ca="1">IFERROR(__xludf.DUMMYFUNCTION("""COMPUTED_VALUE"""),"2022-07-04T11:09:50.067Z")</f>
        <v>2022-07-04T11:09:50.067Z</v>
      </c>
    </row>
    <row r="257" spans="1:10" x14ac:dyDescent="0.2">
      <c r="A257" s="2" t="str">
        <f ca="1">IFERROR(__xludf.DUMMYFUNCTION("""COMPUTED_VALUE"""),"https://www.facebook.com/jenifer.ponayo.3")</f>
        <v>https://www.facebook.com/jenifer.ponayo.3</v>
      </c>
      <c r="B257" s="1" t="str">
        <f ca="1">IFERROR(__xludf.DUMMYFUNCTION("""COMPUTED_VALUE"""),"Jenifer Ponayo")</f>
        <v>Jenifer Ponayo</v>
      </c>
      <c r="C257" s="1" t="str">
        <f ca="1">IFERROR(__xludf.DUMMYFUNCTION("""COMPUTED_VALUE"""),"Jenifer")</f>
        <v>Jenifer</v>
      </c>
      <c r="D257" s="1" t="str">
        <f ca="1">IFERROR(__xludf.DUMMYFUNCTION("""COMPUTED_VALUE"""),"Ponayo")</f>
        <v>Ponayo</v>
      </c>
      <c r="E257" s="1" t="str">
        <f ca="1">IFERROR(__xludf.DUMMYFUNCTION("""COMPUTED_VALUE"""),"Florita Manzano 😂😂😂ikaw si marisol")</f>
        <v>Florita Manzano 😂😂😂ikaw si marisol</v>
      </c>
      <c r="F257" s="1">
        <f ca="1">IFERROR(__xludf.DUMMYFUNCTION("""COMPUTED_VALUE"""),2)</f>
        <v>2</v>
      </c>
      <c r="G257" s="1" t="str">
        <f ca="1">IFERROR(__xludf.DUMMYFUNCTION("""COMPUTED_VALUE"""),"3 mos")</f>
        <v>3 mos</v>
      </c>
      <c r="H257" s="1" t="str">
        <f ca="1">IFERROR(__xludf.DUMMYFUNCTION("""COMPUTED_VALUE"""),"reply")</f>
        <v>reply</v>
      </c>
      <c r="I257" s="2" t="str">
        <f ca="1">IFERROR(__xludf.DUMMYFUNCTION("""COMPUTED_VALUE"""),"https://www.facebook.com/rapplerdotcom/photos/a.317154781638645/5598220220198715/")</f>
        <v>https://www.facebook.com/rapplerdotcom/photos/a.317154781638645/5598220220198715/</v>
      </c>
      <c r="J257" s="1" t="str">
        <f ca="1">IFERROR(__xludf.DUMMYFUNCTION("""COMPUTED_VALUE"""),"2022-07-04T11:09:50.067Z")</f>
        <v>2022-07-04T11:09:50.067Z</v>
      </c>
    </row>
    <row r="258" spans="1:10" x14ac:dyDescent="0.2">
      <c r="A258" s="2" t="str">
        <f ca="1">IFERROR(__xludf.DUMMYFUNCTION("""COMPUTED_VALUE"""),"https://www.facebook.com/aivin.retazo.7")</f>
        <v>https://www.facebook.com/aivin.retazo.7</v>
      </c>
      <c r="B258" s="1" t="str">
        <f ca="1">IFERROR(__xludf.DUMMYFUNCTION("""COMPUTED_VALUE"""),"Aivin Retazo")</f>
        <v>Aivin Retazo</v>
      </c>
      <c r="C258" s="1" t="str">
        <f ca="1">IFERROR(__xludf.DUMMYFUNCTION("""COMPUTED_VALUE"""),"Aivin")</f>
        <v>Aivin</v>
      </c>
      <c r="D258" s="1" t="str">
        <f ca="1">IFERROR(__xludf.DUMMYFUNCTION("""COMPUTED_VALUE"""),"Retazo")</f>
        <v>Retazo</v>
      </c>
      <c r="E258" s="1" t="str">
        <f ca="1">IFERROR(__xludf.DUMMYFUNCTION("""COMPUTED_VALUE"""),"Salamat s inyung paninindigan at Patuloy na walang humpay na serbisyo! Talunin natin ang kurapsyon at pangaabuso ng mga sakim at maka sariling politiko! Mabuhay ang pilipino! #AngatBuhay")</f>
        <v>Salamat s inyung paninindigan at Patuloy na walang humpay na serbisyo! Talunin natin ang kurapsyon at pangaabuso ng mga sakim at maka sariling politiko! Mabuhay ang pilipino! #AngatBuhay</v>
      </c>
      <c r="F258" s="1">
        <f ca="1">IFERROR(__xludf.DUMMYFUNCTION("""COMPUTED_VALUE"""),1)</f>
        <v>1</v>
      </c>
      <c r="G258" s="1" t="str">
        <f ca="1">IFERROR(__xludf.DUMMYFUNCTION("""COMPUTED_VALUE"""),"3 mos")</f>
        <v>3 mos</v>
      </c>
      <c r="H258" s="1" t="str">
        <f ca="1">IFERROR(__xludf.DUMMYFUNCTION("""COMPUTED_VALUE"""),"comment")</f>
        <v>comment</v>
      </c>
      <c r="I258" s="2" t="str">
        <f ca="1">IFERROR(__xludf.DUMMYFUNCTION("""COMPUTED_VALUE"""),"https://www.facebook.com/rapplerdotcom/photos/a.317154781638645/5598220220198715/")</f>
        <v>https://www.facebook.com/rapplerdotcom/photos/a.317154781638645/5598220220198715/</v>
      </c>
      <c r="J258" s="1" t="str">
        <f ca="1">IFERROR(__xludf.DUMMYFUNCTION("""COMPUTED_VALUE"""),"2022-07-04T11:09:50.067Z")</f>
        <v>2022-07-04T11:09:50.067Z</v>
      </c>
    </row>
    <row r="259" spans="1:10" x14ac:dyDescent="0.2">
      <c r="A259" s="2" t="str">
        <f ca="1">IFERROR(__xludf.DUMMYFUNCTION("""COMPUTED_VALUE"""),"https://www.facebook.com/jacquilyn.okujo.7")</f>
        <v>https://www.facebook.com/jacquilyn.okujo.7</v>
      </c>
      <c r="B259" s="1" t="str">
        <f ca="1">IFERROR(__xludf.DUMMYFUNCTION("""COMPUTED_VALUE"""),"Jacquilyn Okujo")</f>
        <v>Jacquilyn Okujo</v>
      </c>
      <c r="C259" s="1" t="str">
        <f ca="1">IFERROR(__xludf.DUMMYFUNCTION("""COMPUTED_VALUE"""),"Jacquilyn")</f>
        <v>Jacquilyn</v>
      </c>
      <c r="D259" s="1" t="str">
        <f ca="1">IFERROR(__xludf.DUMMYFUNCTION("""COMPUTED_VALUE"""),"Okujo")</f>
        <v>Okujo</v>
      </c>
      <c r="E259" s="1" t="str">
        <f ca="1">IFERROR(__xludf.DUMMYFUNCTION("""COMPUTED_VALUE"""),"walang kwenta")</f>
        <v>walang kwenta</v>
      </c>
      <c r="F259" s="1"/>
      <c r="G259" s="1" t="str">
        <f ca="1">IFERROR(__xludf.DUMMYFUNCTION("""COMPUTED_VALUE"""),"3 mos")</f>
        <v>3 mos</v>
      </c>
      <c r="H259" s="1" t="str">
        <f ca="1">IFERROR(__xludf.DUMMYFUNCTION("""COMPUTED_VALUE"""),"comment")</f>
        <v>comment</v>
      </c>
      <c r="I259" s="2" t="str">
        <f ca="1">IFERROR(__xludf.DUMMYFUNCTION("""COMPUTED_VALUE"""),"https://www.facebook.com/rapplerdotcom/photos/a.317154781638645/5598220220198715/")</f>
        <v>https://www.facebook.com/rapplerdotcom/photos/a.317154781638645/5598220220198715/</v>
      </c>
      <c r="J259" s="1" t="str">
        <f ca="1">IFERROR(__xludf.DUMMYFUNCTION("""COMPUTED_VALUE"""),"2022-07-04T11:09:50.067Z")</f>
        <v>2022-07-04T11:09:50.067Z</v>
      </c>
    </row>
    <row r="260" spans="1:10" x14ac:dyDescent="0.2">
      <c r="A260" s="2" t="str">
        <f ca="1">IFERROR(__xludf.DUMMYFUNCTION("""COMPUTED_VALUE"""),"https://www.facebook.com/ryan.beltran.73")</f>
        <v>https://www.facebook.com/ryan.beltran.73</v>
      </c>
      <c r="B260" s="1" t="str">
        <f ca="1">IFERROR(__xludf.DUMMYFUNCTION("""COMPUTED_VALUE"""),"Ryan Quizon Beltran")</f>
        <v>Ryan Quizon Beltran</v>
      </c>
      <c r="C260" s="1" t="str">
        <f ca="1">IFERROR(__xludf.DUMMYFUNCTION("""COMPUTED_VALUE"""),"Ryan")</f>
        <v>Ryan</v>
      </c>
      <c r="D260" s="1" t="str">
        <f ca="1">IFERROR(__xludf.DUMMYFUNCTION("""COMPUTED_VALUE"""),"Quizon Beltran")</f>
        <v>Quizon Beltran</v>
      </c>
      <c r="E260" s="1" t="str">
        <f ca="1">IFERROR(__xludf.DUMMYFUNCTION("""COMPUTED_VALUE"""),"Pareho mga lutang")</f>
        <v>Pareho mga lutang</v>
      </c>
      <c r="F260" s="1">
        <f ca="1">IFERROR(__xludf.DUMMYFUNCTION("""COMPUTED_VALUE"""),10)</f>
        <v>10</v>
      </c>
      <c r="G260" s="1" t="str">
        <f ca="1">IFERROR(__xludf.DUMMYFUNCTION("""COMPUTED_VALUE"""),"3 mos")</f>
        <v>3 mos</v>
      </c>
      <c r="H260" s="1" t="str">
        <f ca="1">IFERROR(__xludf.DUMMYFUNCTION("""COMPUTED_VALUE"""),"comment")</f>
        <v>comment</v>
      </c>
      <c r="I260" s="2" t="str">
        <f ca="1">IFERROR(__xludf.DUMMYFUNCTION("""COMPUTED_VALUE"""),"https://www.facebook.com/rapplerdotcom/photos/a.317154781638645/5598220220198715/")</f>
        <v>https://www.facebook.com/rapplerdotcom/photos/a.317154781638645/5598220220198715/</v>
      </c>
      <c r="J260" s="1" t="str">
        <f ca="1">IFERROR(__xludf.DUMMYFUNCTION("""COMPUTED_VALUE"""),"2022-07-04T11:09:50.067Z")</f>
        <v>2022-07-04T11:09:50.067Z</v>
      </c>
    </row>
    <row r="261" spans="1:10" x14ac:dyDescent="0.2">
      <c r="A261" s="2" t="str">
        <f ca="1">IFERROR(__xludf.DUMMYFUNCTION("""COMPUTED_VALUE"""),"https://www.facebook.com/abegail.bisabis")</f>
        <v>https://www.facebook.com/abegail.bisabis</v>
      </c>
      <c r="B261" s="1" t="str">
        <f ca="1">IFERROR(__xludf.DUMMYFUNCTION("""COMPUTED_VALUE"""),"Abegail Bisabis")</f>
        <v>Abegail Bisabis</v>
      </c>
      <c r="C261" s="1" t="str">
        <f ca="1">IFERROR(__xludf.DUMMYFUNCTION("""COMPUTED_VALUE"""),"Abegail")</f>
        <v>Abegail</v>
      </c>
      <c r="D261" s="1" t="str">
        <f ca="1">IFERROR(__xludf.DUMMYFUNCTION("""COMPUTED_VALUE"""),"Bisabis")</f>
        <v>Bisabis</v>
      </c>
      <c r="E261" s="1" t="str">
        <f ca="1">IFERROR(__xludf.DUMMYFUNCTION("""COMPUTED_VALUE"""),"Ryan Quizon Beltran Hiyang-hiya 'yong achievements nila sa beke mo.")</f>
        <v>Ryan Quizon Beltran Hiyang-hiya 'yong achievements nila sa beke mo.</v>
      </c>
      <c r="F261" s="1">
        <f ca="1">IFERROR(__xludf.DUMMYFUNCTION("""COMPUTED_VALUE"""),1)</f>
        <v>1</v>
      </c>
      <c r="G261" s="1" t="str">
        <f ca="1">IFERROR(__xludf.DUMMYFUNCTION("""COMPUTED_VALUE"""),"3 mos")</f>
        <v>3 mos</v>
      </c>
      <c r="H261" s="1" t="str">
        <f ca="1">IFERROR(__xludf.DUMMYFUNCTION("""COMPUTED_VALUE"""),"reply")</f>
        <v>reply</v>
      </c>
      <c r="I261" s="2" t="str">
        <f ca="1">IFERROR(__xludf.DUMMYFUNCTION("""COMPUTED_VALUE"""),"https://www.facebook.com/rapplerdotcom/photos/a.317154781638645/5598220220198715/")</f>
        <v>https://www.facebook.com/rapplerdotcom/photos/a.317154781638645/5598220220198715/</v>
      </c>
      <c r="J261" s="1" t="str">
        <f ca="1">IFERROR(__xludf.DUMMYFUNCTION("""COMPUTED_VALUE"""),"2022-07-04T11:09:50.067Z")</f>
        <v>2022-07-04T11:09:50.067Z</v>
      </c>
    </row>
    <row r="262" spans="1:10" x14ac:dyDescent="0.2">
      <c r="A262" s="2" t="str">
        <f ca="1">IFERROR(__xludf.DUMMYFUNCTION("""COMPUTED_VALUE"""),"https://www.facebook.com/profile.php?id=100078117845423")</f>
        <v>https://www.facebook.com/profile.php?id=100078117845423</v>
      </c>
      <c r="B262" s="1" t="str">
        <f ca="1">IFERROR(__xludf.DUMMYFUNCTION("""COMPUTED_VALUE"""),"Xifle Felix")</f>
        <v>Xifle Felix</v>
      </c>
      <c r="C262" s="1" t="str">
        <f ca="1">IFERROR(__xludf.DUMMYFUNCTION("""COMPUTED_VALUE"""),"Xifle")</f>
        <v>Xifle</v>
      </c>
      <c r="D262" s="1" t="str">
        <f ca="1">IFERROR(__xludf.DUMMYFUNCTION("""COMPUTED_VALUE"""),"Felix")</f>
        <v>Felix</v>
      </c>
      <c r="E262" s="1" t="str">
        <f ca="1">IFERROR(__xludf.DUMMYFUNCTION("""COMPUTED_VALUE"""),"Ryan Quizon Beltran ikaw nman parang di ka tao eh.. kulang ka lang kc sa matinong pag iisip kaya kung makapagsalita ka daig mo pa yung sira ulo")</f>
        <v>Ryan Quizon Beltran ikaw nman parang di ka tao eh.. kulang ka lang kc sa matinong pag iisip kaya kung makapagsalita ka daig mo pa yung sira ulo</v>
      </c>
      <c r="F262" s="1"/>
      <c r="G262" s="1" t="str">
        <f ca="1">IFERROR(__xludf.DUMMYFUNCTION("""COMPUTED_VALUE"""),"3 mos")</f>
        <v>3 mos</v>
      </c>
      <c r="H262" s="1" t="str">
        <f ca="1">IFERROR(__xludf.DUMMYFUNCTION("""COMPUTED_VALUE"""),"reply")</f>
        <v>reply</v>
      </c>
      <c r="I262" s="2" t="str">
        <f ca="1">IFERROR(__xludf.DUMMYFUNCTION("""COMPUTED_VALUE"""),"https://www.facebook.com/rapplerdotcom/photos/a.317154781638645/5598220220198715/")</f>
        <v>https://www.facebook.com/rapplerdotcom/photos/a.317154781638645/5598220220198715/</v>
      </c>
      <c r="J262" s="1" t="str">
        <f ca="1">IFERROR(__xludf.DUMMYFUNCTION("""COMPUTED_VALUE"""),"2022-07-04T11:09:50.067Z")</f>
        <v>2022-07-04T11:09:50.067Z</v>
      </c>
    </row>
    <row r="263" spans="1:10" x14ac:dyDescent="0.2">
      <c r="A263" s="2" t="str">
        <f ca="1">IFERROR(__xludf.DUMMYFUNCTION("""COMPUTED_VALUE"""),"https://www.facebook.com/ryan.beltran.73")</f>
        <v>https://www.facebook.com/ryan.beltran.73</v>
      </c>
      <c r="B263" s="1" t="str">
        <f ca="1">IFERROR(__xludf.DUMMYFUNCTION("""COMPUTED_VALUE"""),"Ryan Quizon Beltran")</f>
        <v>Ryan Quizon Beltran</v>
      </c>
      <c r="C263" s="1" t="str">
        <f ca="1">IFERROR(__xludf.DUMMYFUNCTION("""COMPUTED_VALUE"""),"Ryan")</f>
        <v>Ryan</v>
      </c>
      <c r="D263" s="1" t="str">
        <f ca="1">IFERROR(__xludf.DUMMYFUNCTION("""COMPUTED_VALUE"""),"Quizon Beltran")</f>
        <v>Quizon Beltran</v>
      </c>
      <c r="E263" s="1" t="str">
        <f ca="1">IFERROR(__xludf.DUMMYFUNCTION("""COMPUTED_VALUE"""),"Abegail Bisabis achievements sa ka bobohan.")</f>
        <v>Abegail Bisabis achievements sa ka bobohan.</v>
      </c>
      <c r="F263" s="1"/>
      <c r="G263" s="1" t="str">
        <f ca="1">IFERROR(__xludf.DUMMYFUNCTION("""COMPUTED_VALUE"""),"3 mos")</f>
        <v>3 mos</v>
      </c>
      <c r="H263" s="1" t="str">
        <f ca="1">IFERROR(__xludf.DUMMYFUNCTION("""COMPUTED_VALUE"""),"reply")</f>
        <v>reply</v>
      </c>
      <c r="I263" s="2" t="str">
        <f ca="1">IFERROR(__xludf.DUMMYFUNCTION("""COMPUTED_VALUE"""),"https://www.facebook.com/rapplerdotcom/photos/a.317154781638645/5598220220198715/")</f>
        <v>https://www.facebook.com/rapplerdotcom/photos/a.317154781638645/5598220220198715/</v>
      </c>
      <c r="J263" s="1" t="str">
        <f ca="1">IFERROR(__xludf.DUMMYFUNCTION("""COMPUTED_VALUE"""),"2022-07-04T11:09:50.067Z")</f>
        <v>2022-07-04T11:09:50.067Z</v>
      </c>
    </row>
    <row r="264" spans="1:10" x14ac:dyDescent="0.2">
      <c r="A264" s="2" t="str">
        <f ca="1">IFERROR(__xludf.DUMMYFUNCTION("""COMPUTED_VALUE"""),"https://www.facebook.com/thomas.french.52")</f>
        <v>https://www.facebook.com/thomas.french.52</v>
      </c>
      <c r="B264" s="1" t="str">
        <f ca="1">IFERROR(__xludf.DUMMYFUNCTION("""COMPUTED_VALUE"""),"Toto Sandigan")</f>
        <v>Toto Sandigan</v>
      </c>
      <c r="C264" s="1" t="str">
        <f ca="1">IFERROR(__xludf.DUMMYFUNCTION("""COMPUTED_VALUE"""),"Toto")</f>
        <v>Toto</v>
      </c>
      <c r="D264" s="1" t="str">
        <f ca="1">IFERROR(__xludf.DUMMYFUNCTION("""COMPUTED_VALUE"""),"Sandigan")</f>
        <v>Sandigan</v>
      </c>
      <c r="E264" s="1" t="str">
        <f ca="1">IFERROR(__xludf.DUMMYFUNCTION("""COMPUTED_VALUE"""),"Ryan Quizon Beltran gling pre,, genius ka ba,,, bka NCEE di mo maipasa 😂😂😂magdiet ka muna kaya,,, mahirap ang utak sisig")</f>
        <v>Ryan Quizon Beltran gling pre,, genius ka ba,,, bka NCEE di mo maipasa 😂😂😂magdiet ka muna kaya,,, mahirap ang utak sisig</v>
      </c>
      <c r="F264" s="1"/>
      <c r="G264" s="1" t="str">
        <f ca="1">IFERROR(__xludf.DUMMYFUNCTION("""COMPUTED_VALUE"""),"3 mos")</f>
        <v>3 mos</v>
      </c>
      <c r="H264" s="1" t="str">
        <f ca="1">IFERROR(__xludf.DUMMYFUNCTION("""COMPUTED_VALUE"""),"reply")</f>
        <v>reply</v>
      </c>
      <c r="I264" s="2" t="str">
        <f ca="1">IFERROR(__xludf.DUMMYFUNCTION("""COMPUTED_VALUE"""),"https://www.facebook.com/rapplerdotcom/photos/a.317154781638645/5598220220198715/")</f>
        <v>https://www.facebook.com/rapplerdotcom/photos/a.317154781638645/5598220220198715/</v>
      </c>
      <c r="J264" s="1" t="str">
        <f ca="1">IFERROR(__xludf.DUMMYFUNCTION("""COMPUTED_VALUE"""),"2022-07-04T11:09:50.067Z")</f>
        <v>2022-07-04T11:09:50.067Z</v>
      </c>
    </row>
    <row r="265" spans="1:10" x14ac:dyDescent="0.2">
      <c r="A265" s="2" t="str">
        <f ca="1">IFERROR(__xludf.DUMMYFUNCTION("""COMPUTED_VALUE"""),"https://www.facebook.com/ryan.beltran.73")</f>
        <v>https://www.facebook.com/ryan.beltran.73</v>
      </c>
      <c r="B265" s="1" t="str">
        <f ca="1">IFERROR(__xludf.DUMMYFUNCTION("""COMPUTED_VALUE"""),"Ryan Quizon Beltran")</f>
        <v>Ryan Quizon Beltran</v>
      </c>
      <c r="C265" s="1" t="str">
        <f ca="1">IFERROR(__xludf.DUMMYFUNCTION("""COMPUTED_VALUE"""),"Ryan")</f>
        <v>Ryan</v>
      </c>
      <c r="D265" s="1" t="str">
        <f ca="1">IFERROR(__xludf.DUMMYFUNCTION("""COMPUTED_VALUE"""),"Quizon Beltran")</f>
        <v>Quizon Beltran</v>
      </c>
      <c r="E265" s="1" t="str">
        <f ca="1">IFERROR(__xludf.DUMMYFUNCTION("""COMPUTED_VALUE"""),"Toto Sandigan bobong dummy account")</f>
        <v>Toto Sandigan bobong dummy account</v>
      </c>
      <c r="F265" s="1"/>
      <c r="G265" s="1" t="str">
        <f ca="1">IFERROR(__xludf.DUMMYFUNCTION("""COMPUTED_VALUE"""),"3 mos")</f>
        <v>3 mos</v>
      </c>
      <c r="H265" s="1" t="str">
        <f ca="1">IFERROR(__xludf.DUMMYFUNCTION("""COMPUTED_VALUE"""),"reply")</f>
        <v>reply</v>
      </c>
      <c r="I265" s="2" t="str">
        <f ca="1">IFERROR(__xludf.DUMMYFUNCTION("""COMPUTED_VALUE"""),"https://www.facebook.com/rapplerdotcom/photos/a.317154781638645/5598220220198715/")</f>
        <v>https://www.facebook.com/rapplerdotcom/photos/a.317154781638645/5598220220198715/</v>
      </c>
      <c r="J265" s="1" t="str">
        <f ca="1">IFERROR(__xludf.DUMMYFUNCTION("""COMPUTED_VALUE"""),"2022-07-04T11:09:50.067Z")</f>
        <v>2022-07-04T11:09:50.067Z</v>
      </c>
    </row>
    <row r="266" spans="1:10" x14ac:dyDescent="0.2">
      <c r="A266" s="2" t="str">
        <f ca="1">IFERROR(__xludf.DUMMYFUNCTION("""COMPUTED_VALUE"""),"https://www.facebook.com/thomas.french.52")</f>
        <v>https://www.facebook.com/thomas.french.52</v>
      </c>
      <c r="B266" s="1" t="str">
        <f ca="1">IFERROR(__xludf.DUMMYFUNCTION("""COMPUTED_VALUE"""),"Toto Sandigan")</f>
        <v>Toto Sandigan</v>
      </c>
      <c r="C266" s="1" t="str">
        <f ca="1">IFERROR(__xludf.DUMMYFUNCTION("""COMPUTED_VALUE"""),"Toto")</f>
        <v>Toto</v>
      </c>
      <c r="D266" s="1" t="str">
        <f ca="1">IFERROR(__xludf.DUMMYFUNCTION("""COMPUTED_VALUE"""),"Sandigan")</f>
        <v>Sandigan</v>
      </c>
      <c r="E266" s="1" t="str">
        <f ca="1">IFERROR(__xludf.DUMMYFUNCTION("""COMPUTED_VALUE"""),"Ryan Quizon Beltran 😂😂😂matalinong utak sisig ,,,pkidampot nang utak mo dre,,, pkibalik sa bombonan,,,,😂😂😂")</f>
        <v>Ryan Quizon Beltran 😂😂😂matalinong utak sisig ,,,pkidampot nang utak mo dre,,, pkibalik sa bombonan,,,,😂😂😂</v>
      </c>
      <c r="F266" s="1"/>
      <c r="G266" s="1" t="str">
        <f ca="1">IFERROR(__xludf.DUMMYFUNCTION("""COMPUTED_VALUE"""),"3 mos")</f>
        <v>3 mos</v>
      </c>
      <c r="H266" s="1" t="str">
        <f ca="1">IFERROR(__xludf.DUMMYFUNCTION("""COMPUTED_VALUE"""),"reply")</f>
        <v>reply</v>
      </c>
      <c r="I266" s="2" t="str">
        <f ca="1">IFERROR(__xludf.DUMMYFUNCTION("""COMPUTED_VALUE"""),"https://www.facebook.com/rapplerdotcom/photos/a.317154781638645/5598220220198715/")</f>
        <v>https://www.facebook.com/rapplerdotcom/photos/a.317154781638645/5598220220198715/</v>
      </c>
      <c r="J266" s="1" t="str">
        <f ca="1">IFERROR(__xludf.DUMMYFUNCTION("""COMPUTED_VALUE"""),"2022-07-04T11:09:50.067Z")</f>
        <v>2022-07-04T11:09:50.067Z</v>
      </c>
    </row>
    <row r="267" spans="1:10" x14ac:dyDescent="0.2">
      <c r="A267" s="2" t="str">
        <f ca="1">IFERROR(__xludf.DUMMYFUNCTION("""COMPUTED_VALUE"""),"https://www.facebook.com/pacita.comprado.3")</f>
        <v>https://www.facebook.com/pacita.comprado.3</v>
      </c>
      <c r="B267" s="1" t="str">
        <f ca="1">IFERROR(__xludf.DUMMYFUNCTION("""COMPUTED_VALUE"""),"Pacita Comprado")</f>
        <v>Pacita Comprado</v>
      </c>
      <c r="C267" s="1" t="str">
        <f ca="1">IFERROR(__xludf.DUMMYFUNCTION("""COMPUTED_VALUE"""),"Pacita")</f>
        <v>Pacita</v>
      </c>
      <c r="D267" s="1" t="str">
        <f ca="1">IFERROR(__xludf.DUMMYFUNCTION("""COMPUTED_VALUE"""),"Comprado")</f>
        <v>Comprado</v>
      </c>
      <c r="E267" s="1" t="str">
        <f ca="1">IFERROR(__xludf.DUMMYFUNCTION("""COMPUTED_VALUE"""),"Dasal na sana manalo c VP")</f>
        <v>Dasal na sana manalo c VP</v>
      </c>
      <c r="F267" s="1">
        <f ca="1">IFERROR(__xludf.DUMMYFUNCTION("""COMPUTED_VALUE"""),10)</f>
        <v>10</v>
      </c>
      <c r="G267" s="1" t="str">
        <f ca="1">IFERROR(__xludf.DUMMYFUNCTION("""COMPUTED_VALUE"""),"3 mos")</f>
        <v>3 mos</v>
      </c>
      <c r="H267" s="1" t="str">
        <f ca="1">IFERROR(__xludf.DUMMYFUNCTION("""COMPUTED_VALUE"""),"comment")</f>
        <v>comment</v>
      </c>
      <c r="I267" s="2" t="str">
        <f ca="1">IFERROR(__xludf.DUMMYFUNCTION("""COMPUTED_VALUE"""),"https://www.facebook.com/rapplerdotcom/photos/a.317154781638645/5598220220198715/")</f>
        <v>https://www.facebook.com/rapplerdotcom/photos/a.317154781638645/5598220220198715/</v>
      </c>
      <c r="J267" s="1" t="str">
        <f ca="1">IFERROR(__xludf.DUMMYFUNCTION("""COMPUTED_VALUE"""),"2022-07-04T11:09:50.067Z")</f>
        <v>2022-07-04T11:09:50.067Z</v>
      </c>
    </row>
    <row r="268" spans="1:10" x14ac:dyDescent="0.2">
      <c r="A268" s="2" t="str">
        <f ca="1">IFERROR(__xludf.DUMMYFUNCTION("""COMPUTED_VALUE"""),"https://www.facebook.com/antonio.amparado.52")</f>
        <v>https://www.facebook.com/antonio.amparado.52</v>
      </c>
      <c r="B268" s="1" t="str">
        <f ca="1">IFERROR(__xludf.DUMMYFUNCTION("""COMPUTED_VALUE"""),"Anton Amparado")</f>
        <v>Anton Amparado</v>
      </c>
      <c r="C268" s="1" t="str">
        <f ca="1">IFERROR(__xludf.DUMMYFUNCTION("""COMPUTED_VALUE"""),"Anton")</f>
        <v>Anton</v>
      </c>
      <c r="D268" s="1" t="str">
        <f ca="1">IFERROR(__xludf.DUMMYFUNCTION("""COMPUTED_VALUE"""),"Amparado")</f>
        <v>Amparado</v>
      </c>
      <c r="E268" s="1" t="str">
        <f ca="1">IFERROR(__xludf.DUMMYFUNCTION("""COMPUTED_VALUE"""),"Matino at Mahusay")</f>
        <v>Matino at Mahusay</v>
      </c>
      <c r="F268" s="1">
        <f ca="1">IFERROR(__xludf.DUMMYFUNCTION("""COMPUTED_VALUE"""),1)</f>
        <v>1</v>
      </c>
      <c r="G268" s="1" t="str">
        <f ca="1">IFERROR(__xludf.DUMMYFUNCTION("""COMPUTED_VALUE"""),"3 mos")</f>
        <v>3 mos</v>
      </c>
      <c r="H268" s="1" t="str">
        <f ca="1">IFERROR(__xludf.DUMMYFUNCTION("""COMPUTED_VALUE"""),"comment")</f>
        <v>comment</v>
      </c>
      <c r="I268" s="2" t="str">
        <f ca="1">IFERROR(__xludf.DUMMYFUNCTION("""COMPUTED_VALUE"""),"https://www.facebook.com/rapplerdotcom/photos/a.317154781638645/5598220220198715/")</f>
        <v>https://www.facebook.com/rapplerdotcom/photos/a.317154781638645/5598220220198715/</v>
      </c>
      <c r="J268" s="1" t="str">
        <f ca="1">IFERROR(__xludf.DUMMYFUNCTION("""COMPUTED_VALUE"""),"2022-07-04T11:09:50.067Z")</f>
        <v>2022-07-04T11:09:50.067Z</v>
      </c>
    </row>
    <row r="269" spans="1:10" x14ac:dyDescent="0.2">
      <c r="A269" s="2" t="str">
        <f ca="1">IFERROR(__xludf.DUMMYFUNCTION("""COMPUTED_VALUE"""),"https://www.facebook.com/profile.php?id=100075736004218")</f>
        <v>https://www.facebook.com/profile.php?id=100075736004218</v>
      </c>
      <c r="B269" s="1" t="str">
        <f ca="1">IFERROR(__xludf.DUMMYFUNCTION("""COMPUTED_VALUE"""),"Evelyn Catalasan")</f>
        <v>Evelyn Catalasan</v>
      </c>
      <c r="C269" s="1" t="str">
        <f ca="1">IFERROR(__xludf.DUMMYFUNCTION("""COMPUTED_VALUE"""),"Evelyn")</f>
        <v>Evelyn</v>
      </c>
      <c r="D269" s="1" t="str">
        <f ca="1">IFERROR(__xludf.DUMMYFUNCTION("""COMPUTED_VALUE"""),"Catalasan")</f>
        <v>Catalasan</v>
      </c>
      <c r="E269" s="1" t="str">
        <f ca="1">IFERROR(__xludf.DUMMYFUNCTION("""COMPUTED_VALUE"""),"Ano na nman kayang pinaplano nilang kbabalaghan!!")</f>
        <v>Ano na nman kayang pinaplano nilang kbabalaghan!!</v>
      </c>
      <c r="F269" s="1">
        <f ca="1">IFERROR(__xludf.DUMMYFUNCTION("""COMPUTED_VALUE"""),1)</f>
        <v>1</v>
      </c>
      <c r="G269" s="1" t="str">
        <f ca="1">IFERROR(__xludf.DUMMYFUNCTION("""COMPUTED_VALUE"""),"3 mos")</f>
        <v>3 mos</v>
      </c>
      <c r="H269" s="1" t="str">
        <f ca="1">IFERROR(__xludf.DUMMYFUNCTION("""COMPUTED_VALUE"""),"comment")</f>
        <v>comment</v>
      </c>
      <c r="I269" s="2" t="str">
        <f ca="1">IFERROR(__xludf.DUMMYFUNCTION("""COMPUTED_VALUE"""),"https://www.facebook.com/rapplerdotcom/photos/a.317154781638645/5598220220198715/")</f>
        <v>https://www.facebook.com/rapplerdotcom/photos/a.317154781638645/5598220220198715/</v>
      </c>
      <c r="J269" s="1" t="str">
        <f ca="1">IFERROR(__xludf.DUMMYFUNCTION("""COMPUTED_VALUE"""),"2022-07-04T11:09:50.067Z")</f>
        <v>2022-07-04T11:09:50.067Z</v>
      </c>
    </row>
    <row r="270" spans="1:10" x14ac:dyDescent="0.2">
      <c r="A270" s="2" t="str">
        <f ca="1">IFERROR(__xludf.DUMMYFUNCTION("""COMPUTED_VALUE"""),"https://www.facebook.com/PresLeni")</f>
        <v>https://www.facebook.com/PresLeni</v>
      </c>
      <c r="B270" s="1" t="str">
        <f ca="1">IFERROR(__xludf.DUMMYFUNCTION("""COMPUTED_VALUE"""),"Team Leni Robredo - Cebu")</f>
        <v>Team Leni Robredo - Cebu</v>
      </c>
      <c r="C270" s="1" t="str">
        <f ca="1">IFERROR(__xludf.DUMMYFUNCTION("""COMPUTED_VALUE"""),"Team")</f>
        <v>Team</v>
      </c>
      <c r="D270" s="1" t="str">
        <f ca="1">IFERROR(__xludf.DUMMYFUNCTION("""COMPUTED_VALUE"""),"Leni Robredo - Cebu")</f>
        <v>Leni Robredo - Cebu</v>
      </c>
      <c r="E270" s="1" t="str">
        <f ca="1">IFERROR(__xludf.DUMMYFUNCTION("""COMPUTED_VALUE"""),"Kagalang galang ang 17th president of the Philippine Republic 💕")</f>
        <v>Kagalang galang ang 17th president of the Philippine Republic 💕</v>
      </c>
      <c r="F270" s="1">
        <f ca="1">IFERROR(__xludf.DUMMYFUNCTION("""COMPUTED_VALUE"""),1)</f>
        <v>1</v>
      </c>
      <c r="G270" s="1" t="str">
        <f ca="1">IFERROR(__xludf.DUMMYFUNCTION("""COMPUTED_VALUE"""),"3 mos")</f>
        <v>3 mos</v>
      </c>
      <c r="H270" s="1" t="str">
        <f ca="1">IFERROR(__xludf.DUMMYFUNCTION("""COMPUTED_VALUE"""),"comment")</f>
        <v>comment</v>
      </c>
      <c r="I270" s="2" t="str">
        <f ca="1">IFERROR(__xludf.DUMMYFUNCTION("""COMPUTED_VALUE"""),"https://www.facebook.com/rapplerdotcom/photos/a.317154781638645/5598220220198715/")</f>
        <v>https://www.facebook.com/rapplerdotcom/photos/a.317154781638645/5598220220198715/</v>
      </c>
      <c r="J270" s="1" t="str">
        <f ca="1">IFERROR(__xludf.DUMMYFUNCTION("""COMPUTED_VALUE"""),"2022-07-04T11:09:50.067Z")</f>
        <v>2022-07-04T11:09:50.067Z</v>
      </c>
    </row>
    <row r="271" spans="1:10" x14ac:dyDescent="0.2">
      <c r="A271" s="2" t="str">
        <f ca="1">IFERROR(__xludf.DUMMYFUNCTION("""COMPUTED_VALUE"""),"https://www.facebook.com/aldoranada2012")</f>
        <v>https://www.facebook.com/aldoranada2012</v>
      </c>
      <c r="B271" s="1" t="str">
        <f ca="1">IFERROR(__xludf.DUMMYFUNCTION("""COMPUTED_VALUE"""),"Aldo Adanar")</f>
        <v>Aldo Adanar</v>
      </c>
      <c r="C271" s="1" t="str">
        <f ca="1">IFERROR(__xludf.DUMMYFUNCTION("""COMPUTED_VALUE"""),"Aldo")</f>
        <v>Aldo</v>
      </c>
      <c r="D271" s="1" t="str">
        <f ca="1">IFERROR(__xludf.DUMMYFUNCTION("""COMPUTED_VALUE"""),"Adanar")</f>
        <v>Adanar</v>
      </c>
      <c r="E271" s="1" t="str">
        <f ca="1">IFERROR(__xludf.DUMMYFUNCTION("""COMPUTED_VALUE"""),"2 woman bato bato pick")</f>
        <v>2 woman bato bato pick</v>
      </c>
      <c r="F271" s="1">
        <f ca="1">IFERROR(__xludf.DUMMYFUNCTION("""COMPUTED_VALUE"""),1)</f>
        <v>1</v>
      </c>
      <c r="G271" s="1" t="str">
        <f ca="1">IFERROR(__xludf.DUMMYFUNCTION("""COMPUTED_VALUE"""),"3 mos")</f>
        <v>3 mos</v>
      </c>
      <c r="H271" s="1" t="str">
        <f ca="1">IFERROR(__xludf.DUMMYFUNCTION("""COMPUTED_VALUE"""),"comment")</f>
        <v>comment</v>
      </c>
      <c r="I271" s="2" t="str">
        <f ca="1">IFERROR(__xludf.DUMMYFUNCTION("""COMPUTED_VALUE"""),"https://www.facebook.com/rapplerdotcom/photos/a.317154781638645/5598220220198715/")</f>
        <v>https://www.facebook.com/rapplerdotcom/photos/a.317154781638645/5598220220198715/</v>
      </c>
      <c r="J271" s="1" t="str">
        <f ca="1">IFERROR(__xludf.DUMMYFUNCTION("""COMPUTED_VALUE"""),"2022-07-04T11:09:50.067Z")</f>
        <v>2022-07-04T11:09:50.067Z</v>
      </c>
    </row>
    <row r="272" spans="1:10" x14ac:dyDescent="0.2">
      <c r="A272" s="2" t="str">
        <f ca="1">IFERROR(__xludf.DUMMYFUNCTION("""COMPUTED_VALUE"""),"https://www.facebook.com/pipip.tan")</f>
        <v>https://www.facebook.com/pipip.tan</v>
      </c>
      <c r="B272" s="1" t="str">
        <f ca="1">IFERROR(__xludf.DUMMYFUNCTION("""COMPUTED_VALUE"""),"Tan M Masheila")</f>
        <v>Tan M Masheila</v>
      </c>
      <c r="C272" s="1" t="str">
        <f ca="1">IFERROR(__xludf.DUMMYFUNCTION("""COMPUTED_VALUE"""),"Tan")</f>
        <v>Tan</v>
      </c>
      <c r="D272" s="1" t="str">
        <f ca="1">IFERROR(__xludf.DUMMYFUNCTION("""COMPUTED_VALUE"""),"M Masheila")</f>
        <v>M Masheila</v>
      </c>
      <c r="E272" s="1" t="str">
        <f ca="1">IFERROR(__xludf.DUMMYFUNCTION("""COMPUTED_VALUE"""),"May pinaplano na nmn cguro mga yn. Palpak ung plan abcd, plan E nmn, bk sakali effective. Haha")</f>
        <v>May pinaplano na nmn cguro mga yn. Palpak ung plan abcd, plan E nmn, bk sakali effective. Haha</v>
      </c>
      <c r="F272" s="1">
        <f ca="1">IFERROR(__xludf.DUMMYFUNCTION("""COMPUTED_VALUE"""),6)</f>
        <v>6</v>
      </c>
      <c r="G272" s="1" t="str">
        <f ca="1">IFERROR(__xludf.DUMMYFUNCTION("""COMPUTED_VALUE"""),"3 mos")</f>
        <v>3 mos</v>
      </c>
      <c r="H272" s="1" t="str">
        <f ca="1">IFERROR(__xludf.DUMMYFUNCTION("""COMPUTED_VALUE"""),"comment")</f>
        <v>comment</v>
      </c>
      <c r="I272" s="2" t="str">
        <f ca="1">IFERROR(__xludf.DUMMYFUNCTION("""COMPUTED_VALUE"""),"https://www.facebook.com/rapplerdotcom/photos/a.317154781638645/5598220220198715/")</f>
        <v>https://www.facebook.com/rapplerdotcom/photos/a.317154781638645/5598220220198715/</v>
      </c>
      <c r="J272" s="1" t="str">
        <f ca="1">IFERROR(__xludf.DUMMYFUNCTION("""COMPUTED_VALUE"""),"2022-07-04T11:09:50.067Z")</f>
        <v>2022-07-04T11:09:50.067Z</v>
      </c>
    </row>
    <row r="273" spans="1:10" x14ac:dyDescent="0.2">
      <c r="A273" s="2" t="str">
        <f ca="1">IFERROR(__xludf.DUMMYFUNCTION("""COMPUTED_VALUE"""),"https://www.facebook.com/paulpatrick.sapaden")</f>
        <v>https://www.facebook.com/paulpatrick.sapaden</v>
      </c>
      <c r="B273" s="1" t="str">
        <f ca="1">IFERROR(__xludf.DUMMYFUNCTION("""COMPUTED_VALUE"""),"Paul Patrick Sapaden")</f>
        <v>Paul Patrick Sapaden</v>
      </c>
      <c r="C273" s="1" t="str">
        <f ca="1">IFERROR(__xludf.DUMMYFUNCTION("""COMPUTED_VALUE"""),"Paul")</f>
        <v>Paul</v>
      </c>
      <c r="D273" s="1" t="str">
        <f ca="1">IFERROR(__xludf.DUMMYFUNCTION("""COMPUTED_VALUE"""),"Patrick Sapaden")</f>
        <v>Patrick Sapaden</v>
      </c>
      <c r="E273" s="1" t="str">
        <f ca="1">IFERROR(__xludf.DUMMYFUNCTION("""COMPUTED_VALUE"""),"Gawa na lng kayo ng artipisyal na Pilipinas.heh")</f>
        <v>Gawa na lng kayo ng artipisyal na Pilipinas.heh</v>
      </c>
      <c r="F273" s="1"/>
      <c r="G273" s="1" t="str">
        <f ca="1">IFERROR(__xludf.DUMMYFUNCTION("""COMPUTED_VALUE"""),"3 mos")</f>
        <v>3 mos</v>
      </c>
      <c r="H273" s="1" t="str">
        <f ca="1">IFERROR(__xludf.DUMMYFUNCTION("""COMPUTED_VALUE"""),"comment")</f>
        <v>comment</v>
      </c>
      <c r="I273" s="2" t="str">
        <f ca="1">IFERROR(__xludf.DUMMYFUNCTION("""COMPUTED_VALUE"""),"https://www.facebook.com/rapplerdotcom/photos/a.317154781638645/5598220220198715/")</f>
        <v>https://www.facebook.com/rapplerdotcom/photos/a.317154781638645/5598220220198715/</v>
      </c>
      <c r="J273" s="1" t="str">
        <f ca="1">IFERROR(__xludf.DUMMYFUNCTION("""COMPUTED_VALUE"""),"2022-07-04T11:09:50.067Z")</f>
        <v>2022-07-04T11:09:50.067Z</v>
      </c>
    </row>
    <row r="274" spans="1:10" x14ac:dyDescent="0.2">
      <c r="A274" s="1"/>
      <c r="B274" s="1"/>
      <c r="C274" s="1"/>
      <c r="D274" s="1"/>
      <c r="E274" s="1"/>
      <c r="F274" s="1"/>
      <c r="G274" s="1"/>
      <c r="H274" s="1"/>
      <c r="I274" s="2" t="str">
        <f ca="1">IFERROR(__xludf.DUMMYFUNCTION("""COMPUTED_VALUE"""),"https://www.facebook.com/rapplerdotcom/posts/pfbid09g5z1dR1p1muQ7q8d5o5ZrTJHCJBBtaAmV4kfjMWLeh83aGMXmHFcW9md81azR4al")</f>
        <v>https://www.facebook.com/rapplerdotcom/posts/pfbid09g5z1dR1p1muQ7q8d5o5ZrTJHCJBBtaAmV4kfjMWLeh83aGMXmHFcW9md81azR4al</v>
      </c>
      <c r="J274" s="1" t="str">
        <f ca="1">IFERROR(__xludf.DUMMYFUNCTION("""COMPUTED_VALUE"""),"2022-07-04T11:10:20.335Z")</f>
        <v>2022-07-04T11:10:20.335Z</v>
      </c>
    </row>
    <row r="275" spans="1:10" x14ac:dyDescent="0.2">
      <c r="A275" s="2" t="str">
        <f ca="1">IFERROR(__xludf.DUMMYFUNCTION("""COMPUTED_VALUE"""),"https://www.facebook.com/profile.php?id=100009126387339")</f>
        <v>https://www.facebook.com/profile.php?id=100009126387339</v>
      </c>
      <c r="B275" s="1" t="str">
        <f ca="1">IFERROR(__xludf.DUMMYFUNCTION("""COMPUTED_VALUE"""),"Richard Glenn Araullo")</f>
        <v>Richard Glenn Araullo</v>
      </c>
      <c r="C275" s="1" t="str">
        <f ca="1">IFERROR(__xludf.DUMMYFUNCTION("""COMPUTED_VALUE"""),"Richard")</f>
        <v>Richard</v>
      </c>
      <c r="D275" s="1" t="str">
        <f ca="1">IFERROR(__xludf.DUMMYFUNCTION("""COMPUTED_VALUE"""),"Glenn Araullo")</f>
        <v>Glenn Araullo</v>
      </c>
      <c r="E275" s="1" t="str">
        <f ca="1">IFERROR(__xludf.DUMMYFUNCTION("""COMPUTED_VALUE"""),"Casting your vote is not about opinion, and if ever opinion can be part of voting, it should be the least to consider. Electing should be first and foremost about facts.")</f>
        <v>Casting your vote is not about opinion, and if ever opinion can be part of voting, it should be the least to consider. Electing should be first and foremost about facts.</v>
      </c>
      <c r="F275" s="1">
        <f ca="1">IFERROR(__xludf.DUMMYFUNCTION("""COMPUTED_VALUE"""),24)</f>
        <v>24</v>
      </c>
      <c r="G275" s="1" t="str">
        <f ca="1">IFERROR(__xludf.DUMMYFUNCTION("""COMPUTED_VALUE"""),"3 mos")</f>
        <v>3 mos</v>
      </c>
      <c r="H275" s="1" t="str">
        <f ca="1">IFERROR(__xludf.DUMMYFUNCTION("""COMPUTED_VALUE"""),"comment")</f>
        <v>comment</v>
      </c>
      <c r="I275" s="2" t="str">
        <f ca="1">IFERROR(__xludf.DUMMYFUNCTION("""COMPUTED_VALUE"""),"https://www.facebook.com/rapplerdotcom/photos/a.317154781638645/5597874143566656")</f>
        <v>https://www.facebook.com/rapplerdotcom/photos/a.317154781638645/5597874143566656</v>
      </c>
      <c r="J275" s="1" t="str">
        <f ca="1">IFERROR(__xludf.DUMMYFUNCTION("""COMPUTED_VALUE"""),"2022-07-04T11:11:14.003Z")</f>
        <v>2022-07-04T11:11:14.003Z</v>
      </c>
    </row>
    <row r="276" spans="1:10" x14ac:dyDescent="0.2">
      <c r="A276" s="2" t="str">
        <f ca="1">IFERROR(__xludf.DUMMYFUNCTION("""COMPUTED_VALUE"""),"https://www.facebook.com/violeta.bodino")</f>
        <v>https://www.facebook.com/violeta.bodino</v>
      </c>
      <c r="B276" s="1" t="str">
        <f ca="1">IFERROR(__xludf.DUMMYFUNCTION("""COMPUTED_VALUE"""),"Violeta Bodino")</f>
        <v>Violeta Bodino</v>
      </c>
      <c r="C276" s="1" t="str">
        <f ca="1">IFERROR(__xludf.DUMMYFUNCTION("""COMPUTED_VALUE"""),"Violeta")</f>
        <v>Violeta</v>
      </c>
      <c r="D276" s="1" t="str">
        <f ca="1">IFERROR(__xludf.DUMMYFUNCTION("""COMPUTED_VALUE"""),"Bodino")</f>
        <v>Bodino</v>
      </c>
      <c r="E276" s="1" t="str">
        <f ca="1">IFERROR(__xludf.DUMMYFUNCTION("""COMPUTED_VALUE"""),"Richard Glenn Araullo and voting is about choosing the right candidates as PUBLIC Servant as this is our only chance to air our grievances to them.")</f>
        <v>Richard Glenn Araullo and voting is about choosing the right candidates as PUBLIC Servant as this is our only chance to air our grievances to them.</v>
      </c>
      <c r="F276" s="1">
        <f ca="1">IFERROR(__xludf.DUMMYFUNCTION("""COMPUTED_VALUE"""),5)</f>
        <v>5</v>
      </c>
      <c r="G276" s="1" t="str">
        <f ca="1">IFERROR(__xludf.DUMMYFUNCTION("""COMPUTED_VALUE"""),"3 mos")</f>
        <v>3 mos</v>
      </c>
      <c r="H276" s="1" t="str">
        <f ca="1">IFERROR(__xludf.DUMMYFUNCTION("""COMPUTED_VALUE"""),"reply")</f>
        <v>reply</v>
      </c>
      <c r="I276" s="2" t="str">
        <f ca="1">IFERROR(__xludf.DUMMYFUNCTION("""COMPUTED_VALUE"""),"https://www.facebook.com/rapplerdotcom/photos/a.317154781638645/5597874143566656")</f>
        <v>https://www.facebook.com/rapplerdotcom/photos/a.317154781638645/5597874143566656</v>
      </c>
      <c r="J276" s="1" t="str">
        <f ca="1">IFERROR(__xludf.DUMMYFUNCTION("""COMPUTED_VALUE"""),"2022-07-04T11:11:14.003Z")</f>
        <v>2022-07-04T11:11:14.003Z</v>
      </c>
    </row>
    <row r="277" spans="1:10" x14ac:dyDescent="0.2">
      <c r="A277" s="2" t="str">
        <f ca="1">IFERROR(__xludf.DUMMYFUNCTION("""COMPUTED_VALUE"""),"https://www.facebook.com/ken.chiz.393")</f>
        <v>https://www.facebook.com/ken.chiz.393</v>
      </c>
      <c r="B277" s="1" t="str">
        <f ca="1">IFERROR(__xludf.DUMMYFUNCTION("""COMPUTED_VALUE"""),"Ken Chiz")</f>
        <v>Ken Chiz</v>
      </c>
      <c r="C277" s="1" t="str">
        <f ca="1">IFERROR(__xludf.DUMMYFUNCTION("""COMPUTED_VALUE"""),"Ken")</f>
        <v>Ken</v>
      </c>
      <c r="D277" s="1" t="str">
        <f ca="1">IFERROR(__xludf.DUMMYFUNCTION("""COMPUTED_VALUE"""),"Chiz")</f>
        <v>Chiz</v>
      </c>
      <c r="E277" s="1" t="str">
        <f ca="1">IFERROR(__xludf.DUMMYFUNCTION("""COMPUTED_VALUE"""),"Richard Glenn Araullo puro kayu voting...teka??ALAM NYO BA PAPANU NTRANSMIT AT NBIBILANG NG MAAYOS BOTO NYO??OR NTANONG NYO BA SA SARILI NYO KUNG ONCE PINASOK MO SA VCM ANG BOTO MO?MBIBILANG KAYA NG TIYAK AT SAFE??🤣😂oo alam nyo bobotohin nyo pero ang pr"&amp;"oceso pra bilangin boto nyo??alam nyo kaya??🤣🤣🤣")</f>
        <v>Richard Glenn Araullo puro kayu voting...teka??ALAM NYO BA PAPANU NTRANSMIT AT NBIBILANG NG MAAYOS BOTO NYO??OR NTANONG NYO BA SA SARILI NYO KUNG ONCE PINASOK MO SA VCM ANG BOTO MO?MBIBILANG KAYA NG TIYAK AT SAFE??🤣😂oo alam nyo bobotohin nyo pero ang proceso pra bilangin boto nyo??alam nyo kaya??🤣🤣🤣</v>
      </c>
      <c r="F277" s="1"/>
      <c r="G277" s="1" t="str">
        <f ca="1">IFERROR(__xludf.DUMMYFUNCTION("""COMPUTED_VALUE"""),"3 mos")</f>
        <v>3 mos</v>
      </c>
      <c r="H277" s="1" t="str">
        <f ca="1">IFERROR(__xludf.DUMMYFUNCTION("""COMPUTED_VALUE"""),"reply")</f>
        <v>reply</v>
      </c>
      <c r="I277" s="2" t="str">
        <f ca="1">IFERROR(__xludf.DUMMYFUNCTION("""COMPUTED_VALUE"""),"https://www.facebook.com/rapplerdotcom/photos/a.317154781638645/5597874143566656")</f>
        <v>https://www.facebook.com/rapplerdotcom/photos/a.317154781638645/5597874143566656</v>
      </c>
      <c r="J277" s="1" t="str">
        <f ca="1">IFERROR(__xludf.DUMMYFUNCTION("""COMPUTED_VALUE"""),"2022-07-04T11:11:14.003Z")</f>
        <v>2022-07-04T11:11:14.003Z</v>
      </c>
    </row>
    <row r="278" spans="1:10" x14ac:dyDescent="0.2">
      <c r="A278" s="2" t="str">
        <f ca="1">IFERROR(__xludf.DUMMYFUNCTION("""COMPUTED_VALUE"""),"https://www.facebook.com/ness.lansang.1")</f>
        <v>https://www.facebook.com/ness.lansang.1</v>
      </c>
      <c r="B278" s="1" t="str">
        <f ca="1">IFERROR(__xludf.DUMMYFUNCTION("""COMPUTED_VALUE"""),"Ness Lansang")</f>
        <v>Ness Lansang</v>
      </c>
      <c r="C278" s="1" t="str">
        <f ca="1">IFERROR(__xludf.DUMMYFUNCTION("""COMPUTED_VALUE"""),"Ness")</f>
        <v>Ness</v>
      </c>
      <c r="D278" s="1" t="str">
        <f ca="1">IFERROR(__xludf.DUMMYFUNCTION("""COMPUTED_VALUE"""),"Lansang")</f>
        <v>Lansang</v>
      </c>
      <c r="E278" s="1" t="str">
        <f ca="1">IFERROR(__xludf.DUMMYFUNCTION("""COMPUTED_VALUE"""),"You have the right to your opinion. The only problem is...the whole country will suffer if your choice wins. #KayLeniKikoAngatBuhayLahat")</f>
        <v>You have the right to your opinion. The only problem is...the whole country will suffer if your choice wins. #KayLeniKikoAngatBuhayLahat</v>
      </c>
      <c r="F278" s="1">
        <f ca="1">IFERROR(__xludf.DUMMYFUNCTION("""COMPUTED_VALUE"""),17)</f>
        <v>17</v>
      </c>
      <c r="G278" s="1" t="str">
        <f ca="1">IFERROR(__xludf.DUMMYFUNCTION("""COMPUTED_VALUE"""),"3 mos")</f>
        <v>3 mos</v>
      </c>
      <c r="H278" s="1" t="str">
        <f ca="1">IFERROR(__xludf.DUMMYFUNCTION("""COMPUTED_VALUE"""),"comment")</f>
        <v>comment</v>
      </c>
      <c r="I278" s="2" t="str">
        <f ca="1">IFERROR(__xludf.DUMMYFUNCTION("""COMPUTED_VALUE"""),"https://www.facebook.com/rapplerdotcom/photos/a.317154781638645/5597874143566656")</f>
        <v>https://www.facebook.com/rapplerdotcom/photos/a.317154781638645/5597874143566656</v>
      </c>
      <c r="J278" s="1" t="str">
        <f ca="1">IFERROR(__xludf.DUMMYFUNCTION("""COMPUTED_VALUE"""),"2022-07-04T11:11:14.003Z")</f>
        <v>2022-07-04T11:11:14.003Z</v>
      </c>
    </row>
    <row r="279" spans="1:10" x14ac:dyDescent="0.2">
      <c r="A279" s="2" t="str">
        <f ca="1">IFERROR(__xludf.DUMMYFUNCTION("""COMPUTED_VALUE"""),"https://www.facebook.com/jacqueline.reynado")</f>
        <v>https://www.facebook.com/jacqueline.reynado</v>
      </c>
      <c r="B279" s="1" t="str">
        <f ca="1">IFERROR(__xludf.DUMMYFUNCTION("""COMPUTED_VALUE"""),"Jac Que Line")</f>
        <v>Jac Que Line</v>
      </c>
      <c r="C279" s="1" t="str">
        <f ca="1">IFERROR(__xludf.DUMMYFUNCTION("""COMPUTED_VALUE"""),"Jac")</f>
        <v>Jac</v>
      </c>
      <c r="D279" s="1" t="str">
        <f ca="1">IFERROR(__xludf.DUMMYFUNCTION("""COMPUTED_VALUE"""),"Que Line")</f>
        <v>Que Line</v>
      </c>
      <c r="E279" s="1" t="str">
        <f ca="1">IFERROR(__xludf.DUMMYFUNCTION("""COMPUTED_VALUE"""),"Ness Lansang opo mgsusuffer ang filipino pg yang nanay mo ang nanalo ang laki ng gastos sa kampanya tyak babawi yn pg nakaupo na 😂😂")</f>
        <v>Ness Lansang opo mgsusuffer ang filipino pg yang nanay mo ang nanalo ang laki ng gastos sa kampanya tyak babawi yn pg nakaupo na 😂😂</v>
      </c>
      <c r="F279" s="1">
        <f ca="1">IFERROR(__xludf.DUMMYFUNCTION("""COMPUTED_VALUE"""),1)</f>
        <v>1</v>
      </c>
      <c r="G279" s="1" t="str">
        <f ca="1">IFERROR(__xludf.DUMMYFUNCTION("""COMPUTED_VALUE"""),"3 mos")</f>
        <v>3 mos</v>
      </c>
      <c r="H279" s="1" t="str">
        <f ca="1">IFERROR(__xludf.DUMMYFUNCTION("""COMPUTED_VALUE"""),"reply")</f>
        <v>reply</v>
      </c>
      <c r="I279" s="2" t="str">
        <f ca="1">IFERROR(__xludf.DUMMYFUNCTION("""COMPUTED_VALUE"""),"https://www.facebook.com/rapplerdotcom/photos/a.317154781638645/5597874143566656")</f>
        <v>https://www.facebook.com/rapplerdotcom/photos/a.317154781638645/5597874143566656</v>
      </c>
      <c r="J279" s="1" t="str">
        <f ca="1">IFERROR(__xludf.DUMMYFUNCTION("""COMPUTED_VALUE"""),"2022-07-04T11:11:14.003Z")</f>
        <v>2022-07-04T11:11:14.003Z</v>
      </c>
    </row>
    <row r="280" spans="1:10" x14ac:dyDescent="0.2">
      <c r="A280" s="2" t="str">
        <f ca="1">IFERROR(__xludf.DUMMYFUNCTION("""COMPUTED_VALUE"""),"https://www.facebook.com/jace.susara")</f>
        <v>https://www.facebook.com/jace.susara</v>
      </c>
      <c r="B280" s="1" t="str">
        <f ca="1">IFERROR(__xludf.DUMMYFUNCTION("""COMPUTED_VALUE"""),"Jace Susara")</f>
        <v>Jace Susara</v>
      </c>
      <c r="C280" s="1" t="str">
        <f ca="1">IFERROR(__xludf.DUMMYFUNCTION("""COMPUTED_VALUE"""),"Jace")</f>
        <v>Jace</v>
      </c>
      <c r="D280" s="1" t="str">
        <f ca="1">IFERROR(__xludf.DUMMYFUNCTION("""COMPUTED_VALUE"""),"Susara")</f>
        <v>Susara</v>
      </c>
      <c r="E280" s="1" t="str">
        <f ca="1">IFERROR(__xludf.DUMMYFUNCTION("""COMPUTED_VALUE"""),"Eikcaj Etnadnarom Odanyer sure? May proof po ba kayo?")</f>
        <v>Eikcaj Etnadnarom Odanyer sure? May proof po ba kayo?</v>
      </c>
      <c r="F280" s="1"/>
      <c r="G280" s="1" t="str">
        <f ca="1">IFERROR(__xludf.DUMMYFUNCTION("""COMPUTED_VALUE"""),"3 mos")</f>
        <v>3 mos</v>
      </c>
      <c r="H280" s="1" t="str">
        <f ca="1">IFERROR(__xludf.DUMMYFUNCTION("""COMPUTED_VALUE"""),"reply")</f>
        <v>reply</v>
      </c>
      <c r="I280" s="2" t="str">
        <f ca="1">IFERROR(__xludf.DUMMYFUNCTION("""COMPUTED_VALUE"""),"https://www.facebook.com/rapplerdotcom/photos/a.317154781638645/5597874143566656")</f>
        <v>https://www.facebook.com/rapplerdotcom/photos/a.317154781638645/5597874143566656</v>
      </c>
      <c r="J280" s="1" t="str">
        <f ca="1">IFERROR(__xludf.DUMMYFUNCTION("""COMPUTED_VALUE"""),"2022-07-04T11:11:14.003Z")</f>
        <v>2022-07-04T11:11:14.003Z</v>
      </c>
    </row>
    <row r="281" spans="1:10" x14ac:dyDescent="0.2">
      <c r="A281" s="2" t="str">
        <f ca="1">IFERROR(__xludf.DUMMYFUNCTION("""COMPUTED_VALUE"""),"https://www.facebook.com/jacqueline.reynado")</f>
        <v>https://www.facebook.com/jacqueline.reynado</v>
      </c>
      <c r="B281" s="1" t="str">
        <f ca="1">IFERROR(__xludf.DUMMYFUNCTION("""COMPUTED_VALUE"""),"Jac Que Line")</f>
        <v>Jac Que Line</v>
      </c>
      <c r="C281" s="1" t="str">
        <f ca="1">IFERROR(__xludf.DUMMYFUNCTION("""COMPUTED_VALUE"""),"Jac")</f>
        <v>Jac</v>
      </c>
      <c r="D281" s="1" t="str">
        <f ca="1">IFERROR(__xludf.DUMMYFUNCTION("""COMPUTED_VALUE"""),"Que Line")</f>
        <v>Que Line</v>
      </c>
      <c r="E281" s="1" t="str">
        <f ca="1">IFERROR(__xludf.DUMMYFUNCTION("""COMPUTED_VALUE"""),"Jace Susara wait mo lng😅")</f>
        <v>Jace Susara wait mo lng😅</v>
      </c>
      <c r="F281" s="1">
        <f ca="1">IFERROR(__xludf.DUMMYFUNCTION("""COMPUTED_VALUE"""),2)</f>
        <v>2</v>
      </c>
      <c r="G281" s="1" t="str">
        <f ca="1">IFERROR(__xludf.DUMMYFUNCTION("""COMPUTED_VALUE"""),"3 mos")</f>
        <v>3 mos</v>
      </c>
      <c r="H281" s="1" t="str">
        <f ca="1">IFERROR(__xludf.DUMMYFUNCTION("""COMPUTED_VALUE"""),"reply")</f>
        <v>reply</v>
      </c>
      <c r="I281" s="2" t="str">
        <f ca="1">IFERROR(__xludf.DUMMYFUNCTION("""COMPUTED_VALUE"""),"https://www.facebook.com/rapplerdotcom/photos/a.317154781638645/5597874143566656")</f>
        <v>https://www.facebook.com/rapplerdotcom/photos/a.317154781638645/5597874143566656</v>
      </c>
      <c r="J281" s="1" t="str">
        <f ca="1">IFERROR(__xludf.DUMMYFUNCTION("""COMPUTED_VALUE"""),"2022-07-04T11:11:14.003Z")</f>
        <v>2022-07-04T11:11:14.003Z</v>
      </c>
    </row>
    <row r="282" spans="1:10" x14ac:dyDescent="0.2">
      <c r="A282" s="2" t="str">
        <f ca="1">IFERROR(__xludf.DUMMYFUNCTION("""COMPUTED_VALUE"""),"https://www.facebook.com/florentino.quimbo")</f>
        <v>https://www.facebook.com/florentino.quimbo</v>
      </c>
      <c r="B282" s="1" t="str">
        <f ca="1">IFERROR(__xludf.DUMMYFUNCTION("""COMPUTED_VALUE"""),"Florentino A. Quimbo")</f>
        <v>Florentino A. Quimbo</v>
      </c>
      <c r="C282" s="1" t="str">
        <f ca="1">IFERROR(__xludf.DUMMYFUNCTION("""COMPUTED_VALUE"""),"Florentino")</f>
        <v>Florentino</v>
      </c>
      <c r="D282" s="1" t="str">
        <f ca="1">IFERROR(__xludf.DUMMYFUNCTION("""COMPUTED_VALUE"""),"A. Quimbo")</f>
        <v>A. Quimbo</v>
      </c>
      <c r="E282" s="1" t="str">
        <f ca="1">IFERROR(__xludf.DUMMYFUNCTION("""COMPUTED_VALUE"""),"Ness Lansang its the other way around i think. Dont be too righteous.")</f>
        <v>Ness Lansang its the other way around i think. Dont be too righteous.</v>
      </c>
      <c r="F282" s="1">
        <f ca="1">IFERROR(__xludf.DUMMYFUNCTION("""COMPUTED_VALUE"""),1)</f>
        <v>1</v>
      </c>
      <c r="G282" s="1" t="str">
        <f ca="1">IFERROR(__xludf.DUMMYFUNCTION("""COMPUTED_VALUE"""),"3 mos")</f>
        <v>3 mos</v>
      </c>
      <c r="H282" s="1" t="str">
        <f ca="1">IFERROR(__xludf.DUMMYFUNCTION("""COMPUTED_VALUE"""),"reply")</f>
        <v>reply</v>
      </c>
      <c r="I282" s="2" t="str">
        <f ca="1">IFERROR(__xludf.DUMMYFUNCTION("""COMPUTED_VALUE"""),"https://www.facebook.com/rapplerdotcom/photos/a.317154781638645/5597874143566656")</f>
        <v>https://www.facebook.com/rapplerdotcom/photos/a.317154781638645/5597874143566656</v>
      </c>
      <c r="J282" s="1" t="str">
        <f ca="1">IFERROR(__xludf.DUMMYFUNCTION("""COMPUTED_VALUE"""),"2022-07-04T11:11:14.003Z")</f>
        <v>2022-07-04T11:11:14.003Z</v>
      </c>
    </row>
    <row r="283" spans="1:10" x14ac:dyDescent="0.2">
      <c r="A283" s="2" t="str">
        <f ca="1">IFERROR(__xludf.DUMMYFUNCTION("""COMPUTED_VALUE"""),"https://www.facebook.com/nedned.anobla")</f>
        <v>https://www.facebook.com/nedned.anobla</v>
      </c>
      <c r="B283" s="1" t="str">
        <f ca="1">IFERROR(__xludf.DUMMYFUNCTION("""COMPUTED_VALUE"""),"Lier Hakami")</f>
        <v>Lier Hakami</v>
      </c>
      <c r="C283" s="1" t="str">
        <f ca="1">IFERROR(__xludf.DUMMYFUNCTION("""COMPUTED_VALUE"""),"Lier")</f>
        <v>Lier</v>
      </c>
      <c r="D283" s="1" t="str">
        <f ca="1">IFERROR(__xludf.DUMMYFUNCTION("""COMPUTED_VALUE"""),"Hakami")</f>
        <v>Hakami</v>
      </c>
      <c r="E283" s="1" t="str">
        <f ca="1">IFERROR(__xludf.DUMMYFUNCTION("""COMPUTED_VALUE"""),"Jace Susara sure na sure ako...ano ipakain ko sa iyo yung mask at 1k bayad para punta sa rally nya")</f>
        <v>Jace Susara sure na sure ako...ano ipakain ko sa iyo yung mask at 1k bayad para punta sa rally nya</v>
      </c>
      <c r="F283" s="1"/>
      <c r="G283" s="1" t="str">
        <f ca="1">IFERROR(__xludf.DUMMYFUNCTION("""COMPUTED_VALUE"""),"3 mos")</f>
        <v>3 mos</v>
      </c>
      <c r="H283" s="1" t="str">
        <f ca="1">IFERROR(__xludf.DUMMYFUNCTION("""COMPUTED_VALUE"""),"reply")</f>
        <v>reply</v>
      </c>
      <c r="I283" s="2" t="str">
        <f ca="1">IFERROR(__xludf.DUMMYFUNCTION("""COMPUTED_VALUE"""),"https://www.facebook.com/rapplerdotcom/photos/a.317154781638645/5597874143566656")</f>
        <v>https://www.facebook.com/rapplerdotcom/photos/a.317154781638645/5597874143566656</v>
      </c>
      <c r="J283" s="1" t="str">
        <f ca="1">IFERROR(__xludf.DUMMYFUNCTION("""COMPUTED_VALUE"""),"2022-07-04T11:11:14.003Z")</f>
        <v>2022-07-04T11:11:14.003Z</v>
      </c>
    </row>
    <row r="284" spans="1:10" x14ac:dyDescent="0.2">
      <c r="A284" s="2" t="str">
        <f ca="1">IFERROR(__xludf.DUMMYFUNCTION("""COMPUTED_VALUE"""),"https://www.facebook.com/profile.php?id=100079289963212")</f>
        <v>https://www.facebook.com/profile.php?id=100079289963212</v>
      </c>
      <c r="B284" s="1" t="str">
        <f ca="1">IFERROR(__xludf.DUMMYFUNCTION("""COMPUTED_VALUE"""),"Uragon Bicol")</f>
        <v>Uragon Bicol</v>
      </c>
      <c r="C284" s="1" t="str">
        <f ca="1">IFERROR(__xludf.DUMMYFUNCTION("""COMPUTED_VALUE"""),"Uragon")</f>
        <v>Uragon</v>
      </c>
      <c r="D284" s="1" t="str">
        <f ca="1">IFERROR(__xludf.DUMMYFUNCTION("""COMPUTED_VALUE"""),"Bicol")</f>
        <v>Bicol</v>
      </c>
      <c r="E284" s="1" t="str">
        <f ca="1">IFERROR(__xludf.DUMMYFUNCTION("""COMPUTED_VALUE"""),"Ness Lansang paano mo nasabi? galing ka sa future? 😂respect kung cno ung gusto nilang iboto, kung gusto mo pink o red man, desisyon mo yan, wag ng magsiraan ng ibang kampo... wag nyo ng diktahan at isapilitan na iboto ung ayaw nila, period. ✌")</f>
        <v>Ness Lansang paano mo nasabi? galing ka sa future? 😂respect kung cno ung gusto nilang iboto, kung gusto mo pink o red man, desisyon mo yan, wag ng magsiraan ng ibang kampo... wag nyo ng diktahan at isapilitan na iboto ung ayaw nila, period. ✌</v>
      </c>
      <c r="F284" s="1"/>
      <c r="G284" s="1" t="str">
        <f ca="1">IFERROR(__xludf.DUMMYFUNCTION("""COMPUTED_VALUE"""),"3 mos")</f>
        <v>3 mos</v>
      </c>
      <c r="H284" s="1" t="str">
        <f ca="1">IFERROR(__xludf.DUMMYFUNCTION("""COMPUTED_VALUE"""),"reply")</f>
        <v>reply</v>
      </c>
      <c r="I284" s="2" t="str">
        <f ca="1">IFERROR(__xludf.DUMMYFUNCTION("""COMPUTED_VALUE"""),"https://www.facebook.com/rapplerdotcom/photos/a.317154781638645/5597874143566656")</f>
        <v>https://www.facebook.com/rapplerdotcom/photos/a.317154781638645/5597874143566656</v>
      </c>
      <c r="J284" s="1" t="str">
        <f ca="1">IFERROR(__xludf.DUMMYFUNCTION("""COMPUTED_VALUE"""),"2022-07-04T11:11:14.003Z")</f>
        <v>2022-07-04T11:11:14.003Z</v>
      </c>
    </row>
    <row r="285" spans="1:10" x14ac:dyDescent="0.2">
      <c r="A285" s="2" t="str">
        <f ca="1">IFERROR(__xludf.DUMMYFUNCTION("""COMPUTED_VALUE"""),"https://www.facebook.com/erwina.bautista.1")</f>
        <v>https://www.facebook.com/erwina.bautista.1</v>
      </c>
      <c r="B285" s="1" t="str">
        <f ca="1">IFERROR(__xludf.DUMMYFUNCTION("""COMPUTED_VALUE"""),"Weng Bautista")</f>
        <v>Weng Bautista</v>
      </c>
      <c r="C285" s="1" t="str">
        <f ca="1">IFERROR(__xludf.DUMMYFUNCTION("""COMPUTED_VALUE"""),"Weng")</f>
        <v>Weng</v>
      </c>
      <c r="D285" s="1" t="str">
        <f ca="1">IFERROR(__xludf.DUMMYFUNCTION("""COMPUTED_VALUE"""),"Bautista")</f>
        <v>Bautista</v>
      </c>
      <c r="E285" s="1" t="str">
        <f ca="1">IFERROR(__xludf.DUMMYFUNCTION("""COMPUTED_VALUE"""),"kung kinabukasan ng bansa ng tunay ng usapin ng eleksyon, may 2 tayong option: patuloy itong ibigay ito sa mga corrupt at self interest politicians o ibigay ito sa para sa kapakanan ng mamamayan. may mali at tama batay sa facts. hindi pwedeng pareho tayon"&amp;"g tama kung ang batayan ay facts. hindi pwedeng respect your opinion lang kung kinabukasan ng bansa ang usapin. may iisa lang na resolusyon ang iisa nating problema. ang opinion mo ay hindi laging tama para sa kapakanan ng bansa. hindi ito tungkol sa prid"&amp;"e, tungkol ito sa obhetibo nating kalagayan o ang gusto nating maging realidad ng bansa. maari kang magkaroon ng opinyon pero ang kinbukasan ng bansa ay nangangailangan ng masusing pagsusuri batay sa facts/ katotohanan o totoong kaganapan sa kasaysayan.")</f>
        <v>kung kinabukasan ng bansa ng tunay ng usapin ng eleksyon, may 2 tayong option: patuloy itong ibigay ito sa mga corrupt at self interest politicians o ibigay ito sa para sa kapakanan ng mamamayan. may mali at tama batay sa facts. hindi pwedeng pareho tayong tama kung ang batayan ay facts. hindi pwedeng respect your opinion lang kung kinabukasan ng bansa ang usapin. may iisa lang na resolusyon ang iisa nating problema. ang opinion mo ay hindi laging tama para sa kapakanan ng bansa. hindi ito tungkol sa pride, tungkol ito sa obhetibo nating kalagayan o ang gusto nating maging realidad ng bansa. maari kang magkaroon ng opinyon pero ang kinbukasan ng bansa ay nangangailangan ng masusing pagsusuri batay sa facts/ katotohanan o totoong kaganapan sa kasaysayan.</v>
      </c>
      <c r="F285" s="1">
        <f ca="1">IFERROR(__xludf.DUMMYFUNCTION("""COMPUTED_VALUE"""),5)</f>
        <v>5</v>
      </c>
      <c r="G285" s="1" t="str">
        <f ca="1">IFERROR(__xludf.DUMMYFUNCTION("""COMPUTED_VALUE"""),"3 mos")</f>
        <v>3 mos</v>
      </c>
      <c r="H285" s="1" t="str">
        <f ca="1">IFERROR(__xludf.DUMMYFUNCTION("""COMPUTED_VALUE"""),"comment")</f>
        <v>comment</v>
      </c>
      <c r="I285" s="2" t="str">
        <f ca="1">IFERROR(__xludf.DUMMYFUNCTION("""COMPUTED_VALUE"""),"https://www.facebook.com/rapplerdotcom/photos/a.317154781638645/5597874143566656")</f>
        <v>https://www.facebook.com/rapplerdotcom/photos/a.317154781638645/5597874143566656</v>
      </c>
      <c r="J285" s="1" t="str">
        <f ca="1">IFERROR(__xludf.DUMMYFUNCTION("""COMPUTED_VALUE"""),"2022-07-04T11:11:14.003Z")</f>
        <v>2022-07-04T11:11:14.003Z</v>
      </c>
    </row>
    <row r="286" spans="1:10" x14ac:dyDescent="0.2">
      <c r="A286" s="2" t="str">
        <f ca="1">IFERROR(__xludf.DUMMYFUNCTION("""COMPUTED_VALUE"""),"https://www.facebook.com/ino.reyes.1441")</f>
        <v>https://www.facebook.com/ino.reyes.1441</v>
      </c>
      <c r="B286" s="1" t="str">
        <f ca="1">IFERROR(__xludf.DUMMYFUNCTION("""COMPUTED_VALUE"""),"Ino Reyes")</f>
        <v>Ino Reyes</v>
      </c>
      <c r="C286" s="1" t="str">
        <f ca="1">IFERROR(__xludf.DUMMYFUNCTION("""COMPUTED_VALUE"""),"Ino")</f>
        <v>Ino</v>
      </c>
      <c r="D286" s="1" t="str">
        <f ca="1">IFERROR(__xludf.DUMMYFUNCTION("""COMPUTED_VALUE"""),"Reyes")</f>
        <v>Reyes</v>
      </c>
      <c r="E286" s="1" t="str">
        <f ca="1">IFERROR(__xludf.DUMMYFUNCTION("""COMPUTED_VALUE"""),"Sa GOBYERNONG TAPAT may PAGKALINGA sa LAHAT upang BUHAY ay UMANGAT! #LeniKiko2022 IBOTO ang mas karapatdapat")</f>
        <v>Sa GOBYERNONG TAPAT may PAGKALINGA sa LAHAT upang BUHAY ay UMANGAT! #LeniKiko2022 IBOTO ang mas karapatdapat</v>
      </c>
      <c r="F286" s="1">
        <f ca="1">IFERROR(__xludf.DUMMYFUNCTION("""COMPUTED_VALUE"""),33)</f>
        <v>33</v>
      </c>
      <c r="G286" s="1" t="str">
        <f ca="1">IFERROR(__xludf.DUMMYFUNCTION("""COMPUTED_VALUE"""),"3 mos")</f>
        <v>3 mos</v>
      </c>
      <c r="H286" s="1" t="str">
        <f ca="1">IFERROR(__xludf.DUMMYFUNCTION("""COMPUTED_VALUE"""),"comment")</f>
        <v>comment</v>
      </c>
      <c r="I286" s="2" t="str">
        <f ca="1">IFERROR(__xludf.DUMMYFUNCTION("""COMPUTED_VALUE"""),"https://www.facebook.com/rapplerdotcom/photos/a.317154781638645/5597874143566656")</f>
        <v>https://www.facebook.com/rapplerdotcom/photos/a.317154781638645/5597874143566656</v>
      </c>
      <c r="J286" s="1" t="str">
        <f ca="1">IFERROR(__xludf.DUMMYFUNCTION("""COMPUTED_VALUE"""),"2022-07-04T11:11:14.003Z")</f>
        <v>2022-07-04T11:11:14.003Z</v>
      </c>
    </row>
    <row r="287" spans="1:10" x14ac:dyDescent="0.2">
      <c r="A287" s="2" t="str">
        <f ca="1">IFERROR(__xludf.DUMMYFUNCTION("""COMPUTED_VALUE"""),"https://www.facebook.com/alvin.echague.1")</f>
        <v>https://www.facebook.com/alvin.echague.1</v>
      </c>
      <c r="B287" s="1" t="str">
        <f ca="1">IFERROR(__xludf.DUMMYFUNCTION("""COMPUTED_VALUE"""),"Alvin Echague")</f>
        <v>Alvin Echague</v>
      </c>
      <c r="C287" s="1" t="str">
        <f ca="1">IFERROR(__xludf.DUMMYFUNCTION("""COMPUTED_VALUE"""),"Alvin")</f>
        <v>Alvin</v>
      </c>
      <c r="D287" s="1" t="str">
        <f ca="1">IFERROR(__xludf.DUMMYFUNCTION("""COMPUTED_VALUE"""),"Echague")</f>
        <v>Echague</v>
      </c>
      <c r="E287" s="1" t="str">
        <f ca="1">IFERROR(__xludf.DUMMYFUNCTION("""COMPUTED_VALUE"""),"Ino Reyes oo kau lng tropang ANGAT jajajjajaja magpaka aaANGAT kau s lahat")</f>
        <v>Ino Reyes oo kau lng tropang ANGAT jajajjajaja magpaka aaANGAT kau s lahat</v>
      </c>
      <c r="F287" s="1"/>
      <c r="G287" s="1" t="str">
        <f ca="1">IFERROR(__xludf.DUMMYFUNCTION("""COMPUTED_VALUE"""),"3 mos")</f>
        <v>3 mos</v>
      </c>
      <c r="H287" s="1" t="str">
        <f ca="1">IFERROR(__xludf.DUMMYFUNCTION("""COMPUTED_VALUE"""),"reply")</f>
        <v>reply</v>
      </c>
      <c r="I287" s="2" t="str">
        <f ca="1">IFERROR(__xludf.DUMMYFUNCTION("""COMPUTED_VALUE"""),"https://www.facebook.com/rapplerdotcom/photos/a.317154781638645/5597874143566656")</f>
        <v>https://www.facebook.com/rapplerdotcom/photos/a.317154781638645/5597874143566656</v>
      </c>
      <c r="J287" s="1" t="str">
        <f ca="1">IFERROR(__xludf.DUMMYFUNCTION("""COMPUTED_VALUE"""),"2022-07-04T11:11:14.003Z")</f>
        <v>2022-07-04T11:11:14.003Z</v>
      </c>
    </row>
    <row r="288" spans="1:10" x14ac:dyDescent="0.2">
      <c r="A288" s="2" t="str">
        <f ca="1">IFERROR(__xludf.DUMMYFUNCTION("""COMPUTED_VALUE"""),"https://www.facebook.com/brrianjooseph.31")</f>
        <v>https://www.facebook.com/brrianjooseph.31</v>
      </c>
      <c r="B288" s="1" t="str">
        <f ca="1">IFERROR(__xludf.DUMMYFUNCTION("""COMPUTED_VALUE"""),"Brian Jo Seph")</f>
        <v>Brian Jo Seph</v>
      </c>
      <c r="C288" s="1" t="str">
        <f ca="1">IFERROR(__xludf.DUMMYFUNCTION("""COMPUTED_VALUE"""),"Brian")</f>
        <v>Brian</v>
      </c>
      <c r="D288" s="1" t="str">
        <f ca="1">IFERROR(__xludf.DUMMYFUNCTION("""COMPUTED_VALUE"""),"Jo Seph")</f>
        <v>Jo Seph</v>
      </c>
      <c r="E288" s="1" t="str">
        <f ca="1">IFERROR(__xludf.DUMMYFUNCTION("""COMPUTED_VALUE"""),"Pag nman pumalpak yang kandidato nila..damay tayo n hindi mga bumoto haha.. hindi p nadala kay duterte...")</f>
        <v>Pag nman pumalpak yang kandidato nila..damay tayo n hindi mga bumoto haha.. hindi p nadala kay duterte...</v>
      </c>
      <c r="F288" s="1"/>
      <c r="G288" s="1" t="str">
        <f ca="1">IFERROR(__xludf.DUMMYFUNCTION("""COMPUTED_VALUE"""),"3 mos")</f>
        <v>3 mos</v>
      </c>
      <c r="H288" s="1" t="str">
        <f ca="1">IFERROR(__xludf.DUMMYFUNCTION("""COMPUTED_VALUE"""),"comment")</f>
        <v>comment</v>
      </c>
      <c r="I288" s="2" t="str">
        <f ca="1">IFERROR(__xludf.DUMMYFUNCTION("""COMPUTED_VALUE"""),"https://www.facebook.com/rapplerdotcom/photos/a.317154781638645/5597874143566656")</f>
        <v>https://www.facebook.com/rapplerdotcom/photos/a.317154781638645/5597874143566656</v>
      </c>
      <c r="J288" s="1" t="str">
        <f ca="1">IFERROR(__xludf.DUMMYFUNCTION("""COMPUTED_VALUE"""),"2022-07-04T11:11:14.003Z")</f>
        <v>2022-07-04T11:11:14.003Z</v>
      </c>
    </row>
    <row r="289" spans="1:10" x14ac:dyDescent="0.2">
      <c r="A289" s="2" t="str">
        <f ca="1">IFERROR(__xludf.DUMMYFUNCTION("""COMPUTED_VALUE"""),"https://www.facebook.com/NGCD18")</f>
        <v>https://www.facebook.com/NGCD18</v>
      </c>
      <c r="B289" s="1" t="str">
        <f ca="1">IFERROR(__xludf.DUMMYFUNCTION("""COMPUTED_VALUE"""),"Carl Angelo Lubon Daño")</f>
        <v>Carl Angelo Lubon Daño</v>
      </c>
      <c r="C289" s="1" t="str">
        <f ca="1">IFERROR(__xludf.DUMMYFUNCTION("""COMPUTED_VALUE"""),"Carl")</f>
        <v>Carl</v>
      </c>
      <c r="D289" s="1" t="str">
        <f ca="1">IFERROR(__xludf.DUMMYFUNCTION("""COMPUTED_VALUE"""),"Angelo Lubon Daño")</f>
        <v>Angelo Lubon Daño</v>
      </c>
      <c r="E289" s="1" t="str">
        <f ca="1">IFERROR(__xludf.DUMMYFUNCTION("""COMPUTED_VALUE"""),"Brian Jo Seph Kayo lang naman ang nadala. Kami hindi. Mga wala naman kayong kwenta. Hahhaha!")</f>
        <v>Brian Jo Seph Kayo lang naman ang nadala. Kami hindi. Mga wala naman kayong kwenta. Hahhaha!</v>
      </c>
      <c r="F289" s="1"/>
      <c r="G289" s="1" t="str">
        <f ca="1">IFERROR(__xludf.DUMMYFUNCTION("""COMPUTED_VALUE"""),"3 mos")</f>
        <v>3 mos</v>
      </c>
      <c r="H289" s="1" t="str">
        <f ca="1">IFERROR(__xludf.DUMMYFUNCTION("""COMPUTED_VALUE"""),"reply")</f>
        <v>reply</v>
      </c>
      <c r="I289" s="2" t="str">
        <f ca="1">IFERROR(__xludf.DUMMYFUNCTION("""COMPUTED_VALUE"""),"https://www.facebook.com/rapplerdotcom/photos/a.317154781638645/5597874143566656")</f>
        <v>https://www.facebook.com/rapplerdotcom/photos/a.317154781638645/5597874143566656</v>
      </c>
      <c r="J289" s="1" t="str">
        <f ca="1">IFERROR(__xludf.DUMMYFUNCTION("""COMPUTED_VALUE"""),"2022-07-04T11:11:14.003Z")</f>
        <v>2022-07-04T11:11:14.003Z</v>
      </c>
    </row>
    <row r="290" spans="1:10" x14ac:dyDescent="0.2">
      <c r="A290" s="2" t="str">
        <f ca="1">IFERROR(__xludf.DUMMYFUNCTION("""COMPUTED_VALUE"""),"https://www.facebook.com/brrianjooseph.31")</f>
        <v>https://www.facebook.com/brrianjooseph.31</v>
      </c>
      <c r="B290" s="1" t="str">
        <f ca="1">IFERROR(__xludf.DUMMYFUNCTION("""COMPUTED_VALUE"""),"Brian Jo Seph")</f>
        <v>Brian Jo Seph</v>
      </c>
      <c r="C290" s="1" t="str">
        <f ca="1">IFERROR(__xludf.DUMMYFUNCTION("""COMPUTED_VALUE"""),"Brian")</f>
        <v>Brian</v>
      </c>
      <c r="D290" s="1" t="str">
        <f ca="1">IFERROR(__xludf.DUMMYFUNCTION("""COMPUTED_VALUE"""),"Jo Seph")</f>
        <v>Jo Seph</v>
      </c>
      <c r="E290" s="1" t="str">
        <f ca="1">IFERROR(__xludf.DUMMYFUNCTION("""COMPUTED_VALUE"""),"Oh paano k nman naging mas may kwenta?mataas b ang katungkulan mo sa lipunan?may gnwa k b n ikinaangat ng pamumuhay ng mga pilipino?wag k magsasabi sa kapwa mo n walang kwenta...bka nga ikaw ing walang kwenta eh")</f>
        <v>Oh paano k nman naging mas may kwenta?mataas b ang katungkulan mo sa lipunan?may gnwa k b n ikinaangat ng pamumuhay ng mga pilipino?wag k magsasabi sa kapwa mo n walang kwenta...bka nga ikaw ing walang kwenta eh</v>
      </c>
      <c r="F290" s="1"/>
      <c r="G290" s="1" t="str">
        <f ca="1">IFERROR(__xludf.DUMMYFUNCTION("""COMPUTED_VALUE"""),"3 mos")</f>
        <v>3 mos</v>
      </c>
      <c r="H290" s="1" t="str">
        <f ca="1">IFERROR(__xludf.DUMMYFUNCTION("""COMPUTED_VALUE"""),"reply")</f>
        <v>reply</v>
      </c>
      <c r="I290" s="2" t="str">
        <f ca="1">IFERROR(__xludf.DUMMYFUNCTION("""COMPUTED_VALUE"""),"https://www.facebook.com/rapplerdotcom/photos/a.317154781638645/5597874143566656")</f>
        <v>https://www.facebook.com/rapplerdotcom/photos/a.317154781638645/5597874143566656</v>
      </c>
      <c r="J290" s="1" t="str">
        <f ca="1">IFERROR(__xludf.DUMMYFUNCTION("""COMPUTED_VALUE"""),"2022-07-04T11:11:14.003Z")</f>
        <v>2022-07-04T11:11:14.003Z</v>
      </c>
    </row>
    <row r="291" spans="1:10" x14ac:dyDescent="0.2">
      <c r="A291" s="2" t="str">
        <f ca="1">IFERROR(__xludf.DUMMYFUNCTION("""COMPUTED_VALUE"""),"https://www.facebook.com/brrianjooseph.31")</f>
        <v>https://www.facebook.com/brrianjooseph.31</v>
      </c>
      <c r="B291" s="1" t="str">
        <f ca="1">IFERROR(__xludf.DUMMYFUNCTION("""COMPUTED_VALUE"""),"Brian Jo Seph")</f>
        <v>Brian Jo Seph</v>
      </c>
      <c r="C291" s="1" t="str">
        <f ca="1">IFERROR(__xludf.DUMMYFUNCTION("""COMPUTED_VALUE"""),"Brian")</f>
        <v>Brian</v>
      </c>
      <c r="D291" s="1" t="str">
        <f ca="1">IFERROR(__xludf.DUMMYFUNCTION("""COMPUTED_VALUE"""),"Jo Seph")</f>
        <v>Jo Seph</v>
      </c>
      <c r="E291" s="1" t="str">
        <f ca="1">IFERROR(__xludf.DUMMYFUNCTION("""COMPUTED_VALUE"""),"Carl Angelo Lubon Daño alam my b ibig sabhin ng nadala?ibig sabhin hindi natuto...bumoto kay duterte na akala aasenso ang bansa..un pla lalo ilulublob sa utang...mahina pla reading comprehension mo...tpos magaling k magsalita ng walang kwenta sa kapwa")</f>
        <v>Carl Angelo Lubon Daño alam my b ibig sabhin ng nadala?ibig sabhin hindi natuto...bumoto kay duterte na akala aasenso ang bansa..un pla lalo ilulublob sa utang...mahina pla reading comprehension mo...tpos magaling k magsalita ng walang kwenta sa kapwa</v>
      </c>
      <c r="F291" s="1"/>
      <c r="G291" s="1" t="str">
        <f ca="1">IFERROR(__xludf.DUMMYFUNCTION("""COMPUTED_VALUE"""),"3 mos")</f>
        <v>3 mos</v>
      </c>
      <c r="H291" s="1" t="str">
        <f ca="1">IFERROR(__xludf.DUMMYFUNCTION("""COMPUTED_VALUE"""),"reply")</f>
        <v>reply</v>
      </c>
      <c r="I291" s="2" t="str">
        <f ca="1">IFERROR(__xludf.DUMMYFUNCTION("""COMPUTED_VALUE"""),"https://www.facebook.com/rapplerdotcom/photos/a.317154781638645/5597874143566656")</f>
        <v>https://www.facebook.com/rapplerdotcom/photos/a.317154781638645/5597874143566656</v>
      </c>
      <c r="J291" s="1" t="str">
        <f ca="1">IFERROR(__xludf.DUMMYFUNCTION("""COMPUTED_VALUE"""),"2022-07-04T11:11:14.003Z")</f>
        <v>2022-07-04T11:11:14.003Z</v>
      </c>
    </row>
    <row r="292" spans="1:10" x14ac:dyDescent="0.2">
      <c r="A292" s="2" t="str">
        <f ca="1">IFERROR(__xludf.DUMMYFUNCTION("""COMPUTED_VALUE"""),"https://www.facebook.com/alexander.calub")</f>
        <v>https://www.facebook.com/alexander.calub</v>
      </c>
      <c r="B292" s="1" t="str">
        <f ca="1">IFERROR(__xludf.DUMMYFUNCTION("""COMPUTED_VALUE"""),"Alexander Calub")</f>
        <v>Alexander Calub</v>
      </c>
      <c r="C292" s="1" t="str">
        <f ca="1">IFERROR(__xludf.DUMMYFUNCTION("""COMPUTED_VALUE"""),"Alexander")</f>
        <v>Alexander</v>
      </c>
      <c r="D292" s="1" t="str">
        <f ca="1">IFERROR(__xludf.DUMMYFUNCTION("""COMPUTED_VALUE"""),"Calub")</f>
        <v>Calub</v>
      </c>
      <c r="E292" s="1" t="str">
        <f ca="1">IFERROR(__xludf.DUMMYFUNCTION("""COMPUTED_VALUE"""),"bigyan mko ng link kung meron sinabi si duterte na aasenso ang pilipinas sa term niya, walang sinomang presidente na kayang iahon ang bansang 30 yrs nilugmok ng mga idolo mo, mahal ang tubig mahal ang kuryente alam mo nmn siguro kung bakit hahaha")</f>
        <v>bigyan mko ng link kung meron sinabi si duterte na aasenso ang pilipinas sa term niya, walang sinomang presidente na kayang iahon ang bansang 30 yrs nilugmok ng mga idolo mo, mahal ang tubig mahal ang kuryente alam mo nmn siguro kung bakit hahaha</v>
      </c>
      <c r="F292" s="1"/>
      <c r="G292" s="1" t="str">
        <f ca="1">IFERROR(__xludf.DUMMYFUNCTION("""COMPUTED_VALUE"""),"3 mos")</f>
        <v>3 mos</v>
      </c>
      <c r="H292" s="1" t="str">
        <f ca="1">IFERROR(__xludf.DUMMYFUNCTION("""COMPUTED_VALUE"""),"reply")</f>
        <v>reply</v>
      </c>
      <c r="I292" s="2" t="str">
        <f ca="1">IFERROR(__xludf.DUMMYFUNCTION("""COMPUTED_VALUE"""),"https://www.facebook.com/rapplerdotcom/photos/a.317154781638645/5597874143566656")</f>
        <v>https://www.facebook.com/rapplerdotcom/photos/a.317154781638645/5597874143566656</v>
      </c>
      <c r="J292" s="1" t="str">
        <f ca="1">IFERROR(__xludf.DUMMYFUNCTION("""COMPUTED_VALUE"""),"2022-07-04T11:11:14.003Z")</f>
        <v>2022-07-04T11:11:14.003Z</v>
      </c>
    </row>
    <row r="293" spans="1:10" x14ac:dyDescent="0.2">
      <c r="A293" s="2" t="str">
        <f ca="1">IFERROR(__xludf.DUMMYFUNCTION("""COMPUTED_VALUE"""),"https://www.facebook.com/brrianjooseph.31")</f>
        <v>https://www.facebook.com/brrianjooseph.31</v>
      </c>
      <c r="B293" s="1" t="str">
        <f ca="1">IFERROR(__xludf.DUMMYFUNCTION("""COMPUTED_VALUE"""),"Brian Jo Seph")</f>
        <v>Brian Jo Seph</v>
      </c>
      <c r="C293" s="1" t="str">
        <f ca="1">IFERROR(__xludf.DUMMYFUNCTION("""COMPUTED_VALUE"""),"Brian")</f>
        <v>Brian</v>
      </c>
      <c r="D293" s="1" t="str">
        <f ca="1">IFERROR(__xludf.DUMMYFUNCTION("""COMPUTED_VALUE"""),"Jo Seph")</f>
        <v>Jo Seph</v>
      </c>
      <c r="E293" s="1" t="str">
        <f ca="1">IFERROR(__xludf.DUMMYFUNCTION("""COMPUTED_VALUE"""),"Alexander Calub oh ang sinasabi ko ung sinasabi ng mga supporters ni duterte nung tumatakbo siya n kayang paunlarin ang pilipinas..ngayon hindi nman nangyari lalo p naghirap..lumaki ang utang...wala ako sinabi n si duterte ang nagsabi ang sabi ko ung mga "&amp;"supporters ni duterte ang nagsabi..babasa lng mali p")</f>
        <v>Alexander Calub oh ang sinasabi ko ung sinasabi ng mga supporters ni duterte nung tumatakbo siya n kayang paunlarin ang pilipinas..ngayon hindi nman nangyari lalo p naghirap..lumaki ang utang...wala ako sinabi n si duterte ang nagsabi ang sabi ko ung mga supporters ni duterte ang nagsabi..babasa lng mali p</v>
      </c>
      <c r="F293" s="1"/>
      <c r="G293" s="1" t="str">
        <f ca="1">IFERROR(__xludf.DUMMYFUNCTION("""COMPUTED_VALUE"""),"3 mos")</f>
        <v>3 mos</v>
      </c>
      <c r="H293" s="1" t="str">
        <f ca="1">IFERROR(__xludf.DUMMYFUNCTION("""COMPUTED_VALUE"""),"reply")</f>
        <v>reply</v>
      </c>
      <c r="I293" s="2" t="str">
        <f ca="1">IFERROR(__xludf.DUMMYFUNCTION("""COMPUTED_VALUE"""),"https://www.facebook.com/rapplerdotcom/photos/a.317154781638645/5597874143566656")</f>
        <v>https://www.facebook.com/rapplerdotcom/photos/a.317154781638645/5597874143566656</v>
      </c>
      <c r="J293" s="1" t="str">
        <f ca="1">IFERROR(__xludf.DUMMYFUNCTION("""COMPUTED_VALUE"""),"2022-07-04T11:11:14.003Z")</f>
        <v>2022-07-04T11:11:14.003Z</v>
      </c>
    </row>
    <row r="294" spans="1:10" x14ac:dyDescent="0.2">
      <c r="A294" s="2" t="str">
        <f ca="1">IFERROR(__xludf.DUMMYFUNCTION("""COMPUTED_VALUE"""),"https://www.facebook.com/brrianjooseph.31")</f>
        <v>https://www.facebook.com/brrianjooseph.31</v>
      </c>
      <c r="B294" s="1" t="str">
        <f ca="1">IFERROR(__xludf.DUMMYFUNCTION("""COMPUTED_VALUE"""),"Brian Jo Seph")</f>
        <v>Brian Jo Seph</v>
      </c>
      <c r="C294" s="1" t="str">
        <f ca="1">IFERROR(__xludf.DUMMYFUNCTION("""COMPUTED_VALUE"""),"Brian")</f>
        <v>Brian</v>
      </c>
      <c r="D294" s="1" t="str">
        <f ca="1">IFERROR(__xludf.DUMMYFUNCTION("""COMPUTED_VALUE"""),"Jo Seph")</f>
        <v>Jo Seph</v>
      </c>
      <c r="E294" s="1" t="str">
        <f ca="1">IFERROR(__xludf.DUMMYFUNCTION("""COMPUTED_VALUE"""),"Alexander Calub karamihan kasi ng mga supporters ni duterte un ang sinisigaw nung eleksyon 2016..at un din ang kasama sa plataporma niya kung titingnan...")</f>
        <v>Alexander Calub karamihan kasi ng mga supporters ni duterte un ang sinisigaw nung eleksyon 2016..at un din ang kasama sa plataporma niya kung titingnan...</v>
      </c>
      <c r="F294" s="1"/>
      <c r="G294" s="1" t="str">
        <f ca="1">IFERROR(__xludf.DUMMYFUNCTION("""COMPUTED_VALUE"""),"3 mos")</f>
        <v>3 mos</v>
      </c>
      <c r="H294" s="1" t="str">
        <f ca="1">IFERROR(__xludf.DUMMYFUNCTION("""COMPUTED_VALUE"""),"reply")</f>
        <v>reply</v>
      </c>
      <c r="I294" s="2" t="str">
        <f ca="1">IFERROR(__xludf.DUMMYFUNCTION("""COMPUTED_VALUE"""),"https://www.facebook.com/rapplerdotcom/photos/a.317154781638645/5597874143566656")</f>
        <v>https://www.facebook.com/rapplerdotcom/photos/a.317154781638645/5597874143566656</v>
      </c>
      <c r="J294" s="1" t="str">
        <f ca="1">IFERROR(__xludf.DUMMYFUNCTION("""COMPUTED_VALUE"""),"2022-07-04T11:11:14.003Z")</f>
        <v>2022-07-04T11:11:14.003Z</v>
      </c>
    </row>
    <row r="295" spans="1:10" x14ac:dyDescent="0.2">
      <c r="A295" s="2" t="str">
        <f ca="1">IFERROR(__xludf.DUMMYFUNCTION("""COMPUTED_VALUE"""),"https://www.facebook.com/alexander.calub")</f>
        <v>https://www.facebook.com/alexander.calub</v>
      </c>
      <c r="B295" s="1" t="str">
        <f ca="1">IFERROR(__xludf.DUMMYFUNCTION("""COMPUTED_VALUE"""),"Alexander Calub")</f>
        <v>Alexander Calub</v>
      </c>
      <c r="C295" s="1" t="str">
        <f ca="1">IFERROR(__xludf.DUMMYFUNCTION("""COMPUTED_VALUE"""),"Alexander")</f>
        <v>Alexander</v>
      </c>
      <c r="D295" s="1" t="str">
        <f ca="1">IFERROR(__xludf.DUMMYFUNCTION("""COMPUTED_VALUE"""),"Calub")</f>
        <v>Calub</v>
      </c>
      <c r="E295" s="1" t="str">
        <f ca="1">IFERROR(__xludf.DUMMYFUNCTION("""COMPUTED_VALUE"""),"sinong supporters?")</f>
        <v>sinong supporters?</v>
      </c>
      <c r="F295" s="1"/>
      <c r="G295" s="1" t="str">
        <f ca="1">IFERROR(__xludf.DUMMYFUNCTION("""COMPUTED_VALUE"""),"3 mos")</f>
        <v>3 mos</v>
      </c>
      <c r="H295" s="1" t="str">
        <f ca="1">IFERROR(__xludf.DUMMYFUNCTION("""COMPUTED_VALUE"""),"reply")</f>
        <v>reply</v>
      </c>
      <c r="I295" s="2" t="str">
        <f ca="1">IFERROR(__xludf.DUMMYFUNCTION("""COMPUTED_VALUE"""),"https://www.facebook.com/rapplerdotcom/photos/a.317154781638645/5597874143566656")</f>
        <v>https://www.facebook.com/rapplerdotcom/photos/a.317154781638645/5597874143566656</v>
      </c>
      <c r="J295" s="1" t="str">
        <f ca="1">IFERROR(__xludf.DUMMYFUNCTION("""COMPUTED_VALUE"""),"2022-07-04T11:11:14.003Z")</f>
        <v>2022-07-04T11:11:14.003Z</v>
      </c>
    </row>
    <row r="296" spans="1:10" x14ac:dyDescent="0.2">
      <c r="A296" s="2" t="str">
        <f ca="1">IFERROR(__xludf.DUMMYFUNCTION("""COMPUTED_VALUE"""),"https://www.facebook.com/chazper21")</f>
        <v>https://www.facebook.com/chazper21</v>
      </c>
      <c r="B296" s="1" t="str">
        <f ca="1">IFERROR(__xludf.DUMMYFUNCTION("""COMPUTED_VALUE"""),"Jeffrh Sequito Dela Cerna")</f>
        <v>Jeffrh Sequito Dela Cerna</v>
      </c>
      <c r="C296" s="1" t="str">
        <f ca="1">IFERROR(__xludf.DUMMYFUNCTION("""COMPUTED_VALUE"""),"Jeffrh")</f>
        <v>Jeffrh</v>
      </c>
      <c r="D296" s="1" t="str">
        <f ca="1">IFERROR(__xludf.DUMMYFUNCTION("""COMPUTED_VALUE"""),"Sequito Dela Cerna")</f>
        <v>Sequito Dela Cerna</v>
      </c>
      <c r="E296" s="1" t="str">
        <f ca="1">IFERROR(__xludf.DUMMYFUNCTION("""COMPUTED_VALUE"""),"Coming from you??? Wataa shame news wraper este wrapler????")</f>
        <v>Coming from you??? Wataa shame news wraper este wrapler????</v>
      </c>
      <c r="F296" s="1"/>
      <c r="G296" s="1" t="str">
        <f ca="1">IFERROR(__xludf.DUMMYFUNCTION("""COMPUTED_VALUE"""),"3 mos")</f>
        <v>3 mos</v>
      </c>
      <c r="H296" s="1" t="str">
        <f ca="1">IFERROR(__xludf.DUMMYFUNCTION("""COMPUTED_VALUE"""),"comment")</f>
        <v>comment</v>
      </c>
      <c r="I296" s="2" t="str">
        <f ca="1">IFERROR(__xludf.DUMMYFUNCTION("""COMPUTED_VALUE"""),"https://www.facebook.com/rapplerdotcom/photos/a.317154781638645/5597874143566656")</f>
        <v>https://www.facebook.com/rapplerdotcom/photos/a.317154781638645/5597874143566656</v>
      </c>
      <c r="J296" s="1" t="str">
        <f ca="1">IFERROR(__xludf.DUMMYFUNCTION("""COMPUTED_VALUE"""),"2022-07-04T11:11:14.003Z")</f>
        <v>2022-07-04T11:11:14.003Z</v>
      </c>
    </row>
    <row r="297" spans="1:10" x14ac:dyDescent="0.2">
      <c r="A297" s="2" t="str">
        <f ca="1">IFERROR(__xludf.DUMMYFUNCTION("""COMPUTED_VALUE"""),"https://www.facebook.com/crisostomo.ibara.146")</f>
        <v>https://www.facebook.com/crisostomo.ibara.146</v>
      </c>
      <c r="B297" s="1" t="str">
        <f ca="1">IFERROR(__xludf.DUMMYFUNCTION("""COMPUTED_VALUE"""),"Limwell Manikan")</f>
        <v>Limwell Manikan</v>
      </c>
      <c r="C297" s="1" t="str">
        <f ca="1">IFERROR(__xludf.DUMMYFUNCTION("""COMPUTED_VALUE"""),"Limwell")</f>
        <v>Limwell</v>
      </c>
      <c r="D297" s="1" t="str">
        <f ca="1">IFERROR(__xludf.DUMMYFUNCTION("""COMPUTED_VALUE"""),"Manikan")</f>
        <v>Manikan</v>
      </c>
      <c r="E297" s="1" t="str">
        <f ca="1">IFERROR(__xludf.DUMMYFUNCTION("""COMPUTED_VALUE"""),"Kayo ang tunay na diktador sa bansang pilipinas. Pag kayo sinita sasabihin freedom of speech. Pweeeee!!!")</f>
        <v>Kayo ang tunay na diktador sa bansang pilipinas. Pag kayo sinita sasabihin freedom of speech. Pweeeee!!!</v>
      </c>
      <c r="F297" s="1">
        <f ca="1">IFERROR(__xludf.DUMMYFUNCTION("""COMPUTED_VALUE"""),11)</f>
        <v>11</v>
      </c>
      <c r="G297" s="1" t="str">
        <f ca="1">IFERROR(__xludf.DUMMYFUNCTION("""COMPUTED_VALUE"""),"3 mos")</f>
        <v>3 mos</v>
      </c>
      <c r="H297" s="1" t="str">
        <f ca="1">IFERROR(__xludf.DUMMYFUNCTION("""COMPUTED_VALUE"""),"comment")</f>
        <v>comment</v>
      </c>
      <c r="I297" s="2" t="str">
        <f ca="1">IFERROR(__xludf.DUMMYFUNCTION("""COMPUTED_VALUE"""),"https://www.facebook.com/rapplerdotcom/photos/a.317154781638645/5597874143566656")</f>
        <v>https://www.facebook.com/rapplerdotcom/photos/a.317154781638645/5597874143566656</v>
      </c>
      <c r="J297" s="1" t="str">
        <f ca="1">IFERROR(__xludf.DUMMYFUNCTION("""COMPUTED_VALUE"""),"2022-07-04T11:11:14.003Z")</f>
        <v>2022-07-04T11:11:14.003Z</v>
      </c>
    </row>
    <row r="298" spans="1:10" x14ac:dyDescent="0.2">
      <c r="A298" s="2" t="str">
        <f ca="1">IFERROR(__xludf.DUMMYFUNCTION("""COMPUTED_VALUE"""),"https://www.facebook.com/ameliaarana12345")</f>
        <v>https://www.facebook.com/ameliaarana12345</v>
      </c>
      <c r="B298" s="1" t="str">
        <f ca="1">IFERROR(__xludf.DUMMYFUNCTION("""COMPUTED_VALUE"""),"Ame Arana")</f>
        <v>Ame Arana</v>
      </c>
      <c r="C298" s="1" t="str">
        <f ca="1">IFERROR(__xludf.DUMMYFUNCTION("""COMPUTED_VALUE"""),"Ame")</f>
        <v>Ame</v>
      </c>
      <c r="D298" s="1" t="str">
        <f ca="1">IFERROR(__xludf.DUMMYFUNCTION("""COMPUTED_VALUE"""),"Arana")</f>
        <v>Arana</v>
      </c>
      <c r="E298" s="1" t="str">
        <f ca="1">IFERROR(__xludf.DUMMYFUNCTION("""COMPUTED_VALUE"""),"So true po, yong  napapanood  mo  clng nakikipag  agawan  sa pagkain  at sa  50pesos kawawa  din  cla  as  in impakto tlga itong  mga politiko  na  gumagawa ng  ganito")</f>
        <v>So true po, yong  napapanood  mo  clng nakikipag  agawan  sa pagkain  at sa  50pesos kawawa  din  cla  as  in impakto tlga itong  mga politiko  na  gumagawa ng  ganito</v>
      </c>
      <c r="F298" s="1">
        <f ca="1">IFERROR(__xludf.DUMMYFUNCTION("""COMPUTED_VALUE"""),5)</f>
        <v>5</v>
      </c>
      <c r="G298" s="1" t="str">
        <f ca="1">IFERROR(__xludf.DUMMYFUNCTION("""COMPUTED_VALUE"""),"3 mos")</f>
        <v>3 mos</v>
      </c>
      <c r="H298" s="1" t="str">
        <f ca="1">IFERROR(__xludf.DUMMYFUNCTION("""COMPUTED_VALUE"""),"comment")</f>
        <v>comment</v>
      </c>
      <c r="I298" s="2" t="str">
        <f ca="1">IFERROR(__xludf.DUMMYFUNCTION("""COMPUTED_VALUE"""),"https://www.facebook.com/rapplerdotcom/photos/a.317154781638645/5597874143566656")</f>
        <v>https://www.facebook.com/rapplerdotcom/photos/a.317154781638645/5597874143566656</v>
      </c>
      <c r="J298" s="1" t="str">
        <f ca="1">IFERROR(__xludf.DUMMYFUNCTION("""COMPUTED_VALUE"""),"2022-07-04T11:11:14.003Z")</f>
        <v>2022-07-04T11:11:14.003Z</v>
      </c>
    </row>
    <row r="299" spans="1:10" x14ac:dyDescent="0.2">
      <c r="A299" s="2" t="str">
        <f ca="1">IFERROR(__xludf.DUMMYFUNCTION("""COMPUTED_VALUE"""),"https://www.facebook.com/bella.hermohenez")</f>
        <v>https://www.facebook.com/bella.hermohenez</v>
      </c>
      <c r="B299" s="1" t="str">
        <f ca="1">IFERROR(__xludf.DUMMYFUNCTION("""COMPUTED_VALUE"""),"Bella Haki")</f>
        <v>Bella Haki</v>
      </c>
      <c r="C299" s="1" t="str">
        <f ca="1">IFERROR(__xludf.DUMMYFUNCTION("""COMPUTED_VALUE"""),"Bella")</f>
        <v>Bella</v>
      </c>
      <c r="D299" s="1" t="str">
        <f ca="1">IFERROR(__xludf.DUMMYFUNCTION("""COMPUTED_VALUE"""),"Haki")</f>
        <v>Haki</v>
      </c>
      <c r="E299" s="1" t="str">
        <f ca="1">IFERROR(__xludf.DUMMYFUNCTION("""COMPUTED_VALUE"""),"Dito magkakaalaman kung bakit tayo 3rd world country at kung bakit mahirap pa rin ang bayan 🥴📣")</f>
        <v>Dito magkakaalaman kung bakit tayo 3rd world country at kung bakit mahirap pa rin ang bayan 🥴📣</v>
      </c>
      <c r="F299" s="1">
        <f ca="1">IFERROR(__xludf.DUMMYFUNCTION("""COMPUTED_VALUE"""),1)</f>
        <v>1</v>
      </c>
      <c r="G299" s="1" t="str">
        <f ca="1">IFERROR(__xludf.DUMMYFUNCTION("""COMPUTED_VALUE"""),"3 mos")</f>
        <v>3 mos</v>
      </c>
      <c r="H299" s="1" t="str">
        <f ca="1">IFERROR(__xludf.DUMMYFUNCTION("""COMPUTED_VALUE"""),"comment")</f>
        <v>comment</v>
      </c>
      <c r="I299" s="2" t="str">
        <f ca="1">IFERROR(__xludf.DUMMYFUNCTION("""COMPUTED_VALUE"""),"https://www.facebook.com/rapplerdotcom/photos/a.317154781638645/5597874143566656")</f>
        <v>https://www.facebook.com/rapplerdotcom/photos/a.317154781638645/5597874143566656</v>
      </c>
      <c r="J299" s="1" t="str">
        <f ca="1">IFERROR(__xludf.DUMMYFUNCTION("""COMPUTED_VALUE"""),"2022-07-04T11:11:14.003Z")</f>
        <v>2022-07-04T11:11:14.003Z</v>
      </c>
    </row>
    <row r="300" spans="1:10" x14ac:dyDescent="0.2">
      <c r="A300" s="2" t="str">
        <f ca="1">IFERROR(__xludf.DUMMYFUNCTION("""COMPUTED_VALUE"""),"https://www.facebook.com/christine.mamaclay")</f>
        <v>https://www.facebook.com/christine.mamaclay</v>
      </c>
      <c r="B300" s="1" t="str">
        <f ca="1">IFERROR(__xludf.DUMMYFUNCTION("""COMPUTED_VALUE"""),"Christine Corpuz Almirez")</f>
        <v>Christine Corpuz Almirez</v>
      </c>
      <c r="C300" s="1" t="str">
        <f ca="1">IFERROR(__xludf.DUMMYFUNCTION("""COMPUTED_VALUE"""),"Christine")</f>
        <v>Christine</v>
      </c>
      <c r="D300" s="1" t="str">
        <f ca="1">IFERROR(__xludf.DUMMYFUNCTION("""COMPUTED_VALUE"""),"Corpuz Almirez")</f>
        <v>Corpuz Almirez</v>
      </c>
      <c r="E300" s="1" t="str">
        <f ca="1">IFERROR(__xludf.DUMMYFUNCTION("""COMPUTED_VALUE"""),"""The way you campaign will determine/show how you will govern.""  - Sec. Norberto Gonzales")</f>
        <v>"The way you campaign will determine/show how you will govern."  - Sec. Norberto Gonzales</v>
      </c>
      <c r="F300" s="1">
        <f ca="1">IFERROR(__xludf.DUMMYFUNCTION("""COMPUTED_VALUE"""),8)</f>
        <v>8</v>
      </c>
      <c r="G300" s="1" t="str">
        <f ca="1">IFERROR(__xludf.DUMMYFUNCTION("""COMPUTED_VALUE"""),"3 mos")</f>
        <v>3 mos</v>
      </c>
      <c r="H300" s="1" t="str">
        <f ca="1">IFERROR(__xludf.DUMMYFUNCTION("""COMPUTED_VALUE"""),"comment")</f>
        <v>comment</v>
      </c>
      <c r="I300" s="2" t="str">
        <f ca="1">IFERROR(__xludf.DUMMYFUNCTION("""COMPUTED_VALUE"""),"https://www.facebook.com/rapplerdotcom/photos/a.317154781638645/5597874143566656")</f>
        <v>https://www.facebook.com/rapplerdotcom/photos/a.317154781638645/5597874143566656</v>
      </c>
      <c r="J300" s="1" t="str">
        <f ca="1">IFERROR(__xludf.DUMMYFUNCTION("""COMPUTED_VALUE"""),"2022-07-04T11:11:14.003Z")</f>
        <v>2022-07-04T11:11:14.003Z</v>
      </c>
    </row>
    <row r="301" spans="1:10" x14ac:dyDescent="0.2">
      <c r="A301" s="2" t="str">
        <f ca="1">IFERROR(__xludf.DUMMYFUNCTION("""COMPUTED_VALUE"""),"https://www.facebook.com/lalalalamd")</f>
        <v>https://www.facebook.com/lalalalamd</v>
      </c>
      <c r="B301" s="1" t="str">
        <f ca="1">IFERROR(__xludf.DUMMYFUNCTION("""COMPUTED_VALUE"""),"Lala Dela Cruz")</f>
        <v>Lala Dela Cruz</v>
      </c>
      <c r="C301" s="1" t="str">
        <f ca="1">IFERROR(__xludf.DUMMYFUNCTION("""COMPUTED_VALUE"""),"Lala")</f>
        <v>Lala</v>
      </c>
      <c r="D301" s="1" t="str">
        <f ca="1">IFERROR(__xludf.DUMMYFUNCTION("""COMPUTED_VALUE"""),"Dela Cruz")</f>
        <v>Dela Cruz</v>
      </c>
      <c r="E301" s="1" t="str">
        <f ca="1">IFERROR(__xludf.DUMMYFUNCTION("""COMPUTED_VALUE"""),"Christine Corpuz Almirez paanong campaign? yung ganito? https://www.facebook.com/100005001363426/posts/2227900730719951/?d=n")</f>
        <v>Christine Corpuz Almirez paanong campaign? yung ganito? https://www.facebook.com/100005001363426/posts/2227900730719951/?d=n</v>
      </c>
      <c r="F301" s="1"/>
      <c r="G301" s="1" t="str">
        <f ca="1">IFERROR(__xludf.DUMMYFUNCTION("""COMPUTED_VALUE"""),"March 23 at 11:11 PM")</f>
        <v>March 23 at 11:11 PM</v>
      </c>
      <c r="H301" s="1" t="str">
        <f ca="1">IFERROR(__xludf.DUMMYFUNCTION("""COMPUTED_VALUE"""),"reply")</f>
        <v>reply</v>
      </c>
      <c r="I301" s="2" t="str">
        <f ca="1">IFERROR(__xludf.DUMMYFUNCTION("""COMPUTED_VALUE"""),"https://www.facebook.com/rapplerdotcom/photos/a.317154781638645/5597874143566656")</f>
        <v>https://www.facebook.com/rapplerdotcom/photos/a.317154781638645/5597874143566656</v>
      </c>
      <c r="J301" s="1" t="str">
        <f ca="1">IFERROR(__xludf.DUMMYFUNCTION("""COMPUTED_VALUE"""),"2022-07-04T11:11:14.003Z")</f>
        <v>2022-07-04T11:11:14.003Z</v>
      </c>
    </row>
    <row r="302" spans="1:10" x14ac:dyDescent="0.2">
      <c r="A302" s="2" t="str">
        <f ca="1">IFERROR(__xludf.DUMMYFUNCTION("""COMPUTED_VALUE"""),"https://www.facebook.com/hidalgojohnmark99")</f>
        <v>https://www.facebook.com/hidalgojohnmark99</v>
      </c>
      <c r="B302" s="1" t="str">
        <f ca="1">IFERROR(__xludf.DUMMYFUNCTION("""COMPUTED_VALUE"""),"John Mark C. Hidalgo")</f>
        <v>John Mark C. Hidalgo</v>
      </c>
      <c r="C302" s="1" t="str">
        <f ca="1">IFERROR(__xludf.DUMMYFUNCTION("""COMPUTED_VALUE"""),"John")</f>
        <v>John</v>
      </c>
      <c r="D302" s="1" t="str">
        <f ca="1">IFERROR(__xludf.DUMMYFUNCTION("""COMPUTED_VALUE"""),"Mark C. Hidalgo")</f>
        <v>Mark C. Hidalgo</v>
      </c>
      <c r="E302" s="1" t="str">
        <f ca="1">IFERROR(__xludf.DUMMYFUNCTION("""COMPUTED_VALUE"""),"Lala Dela Cruz may I ask you who started this kind of thing?")</f>
        <v>Lala Dela Cruz may I ask you who started this kind of thing?</v>
      </c>
      <c r="F302" s="1">
        <f ca="1">IFERROR(__xludf.DUMMYFUNCTION("""COMPUTED_VALUE"""),1)</f>
        <v>1</v>
      </c>
      <c r="G302" s="1" t="str">
        <f ca="1">IFERROR(__xludf.DUMMYFUNCTION("""COMPUTED_VALUE"""),"3 mos")</f>
        <v>3 mos</v>
      </c>
      <c r="H302" s="1" t="str">
        <f ca="1">IFERROR(__xludf.DUMMYFUNCTION("""COMPUTED_VALUE"""),"reply")</f>
        <v>reply</v>
      </c>
      <c r="I302" s="2" t="str">
        <f ca="1">IFERROR(__xludf.DUMMYFUNCTION("""COMPUTED_VALUE"""),"https://www.facebook.com/rapplerdotcom/photos/a.317154781638645/5597874143566656")</f>
        <v>https://www.facebook.com/rapplerdotcom/photos/a.317154781638645/5597874143566656</v>
      </c>
      <c r="J302" s="1" t="str">
        <f ca="1">IFERROR(__xludf.DUMMYFUNCTION("""COMPUTED_VALUE"""),"2022-07-04T11:11:14.003Z")</f>
        <v>2022-07-04T11:11:14.003Z</v>
      </c>
    </row>
    <row r="303" spans="1:10" x14ac:dyDescent="0.2">
      <c r="A303" s="2" t="str">
        <f ca="1">IFERROR(__xludf.DUMMYFUNCTION("""COMPUTED_VALUE"""),"https://www.facebook.com/honmichael.dy")</f>
        <v>https://www.facebook.com/honmichael.dy</v>
      </c>
      <c r="B303" s="1" t="str">
        <f ca="1">IFERROR(__xludf.DUMMYFUNCTION("""COMPUTED_VALUE"""),"Michael Dy")</f>
        <v>Michael Dy</v>
      </c>
      <c r="C303" s="1" t="str">
        <f ca="1">IFERROR(__xludf.DUMMYFUNCTION("""COMPUTED_VALUE"""),"Michael")</f>
        <v>Michael</v>
      </c>
      <c r="D303" s="1" t="str">
        <f ca="1">IFERROR(__xludf.DUMMYFUNCTION("""COMPUTED_VALUE"""),"Dy")</f>
        <v>Dy</v>
      </c>
      <c r="E303" s="1" t="str">
        <f ca="1">IFERROR(__xludf.DUMMYFUNCTION("""COMPUTED_VALUE"""),"This is true.   Blind men do not need to be told where to step foot. They need a cane. Or a warm hand willing to guide them through.")</f>
        <v>This is true.   Blind men do not need to be told where to step foot. They need a cane. Or a warm hand willing to guide them through.</v>
      </c>
      <c r="F303" s="1"/>
      <c r="G303" s="1" t="str">
        <f ca="1">IFERROR(__xludf.DUMMYFUNCTION("""COMPUTED_VALUE"""),"3 mos")</f>
        <v>3 mos</v>
      </c>
      <c r="H303" s="1" t="str">
        <f ca="1">IFERROR(__xludf.DUMMYFUNCTION("""COMPUTED_VALUE"""),"comment")</f>
        <v>comment</v>
      </c>
      <c r="I303" s="2" t="str">
        <f ca="1">IFERROR(__xludf.DUMMYFUNCTION("""COMPUTED_VALUE"""),"https://www.facebook.com/rapplerdotcom/photos/a.317154781638645/5597874143566656")</f>
        <v>https://www.facebook.com/rapplerdotcom/photos/a.317154781638645/5597874143566656</v>
      </c>
      <c r="J303" s="1" t="str">
        <f ca="1">IFERROR(__xludf.DUMMYFUNCTION("""COMPUTED_VALUE"""),"2022-07-04T11:11:14.003Z")</f>
        <v>2022-07-04T11:11:14.003Z</v>
      </c>
    </row>
    <row r="304" spans="1:10" x14ac:dyDescent="0.2">
      <c r="A304" s="2" t="str">
        <f ca="1">IFERROR(__xludf.DUMMYFUNCTION("""COMPUTED_VALUE"""),"https://www.facebook.com/profile.php?id=100079300902365")</f>
        <v>https://www.facebook.com/profile.php?id=100079300902365</v>
      </c>
      <c r="B304" s="1" t="str">
        <f ca="1">IFERROR(__xludf.DUMMYFUNCTION("""COMPUTED_VALUE"""),"Vic Rodriguez")</f>
        <v>Vic Rodriguez</v>
      </c>
      <c r="C304" s="1" t="str">
        <f ca="1">IFERROR(__xludf.DUMMYFUNCTION("""COMPUTED_VALUE"""),"Vic")</f>
        <v>Vic</v>
      </c>
      <c r="D304" s="1" t="str">
        <f ca="1">IFERROR(__xludf.DUMMYFUNCTION("""COMPUTED_VALUE"""),"Rodriguez")</f>
        <v>Rodriguez</v>
      </c>
      <c r="E304" s="1" t="str">
        <f ca="1">IFERROR(__xludf.DUMMYFUNCTION("""COMPUTED_VALUE"""),"LABAN KAKAMPINKS ✊✊✊")</f>
        <v>LABAN KAKAMPINKS ✊✊✊</v>
      </c>
      <c r="F304" s="1">
        <f ca="1">IFERROR(__xludf.DUMMYFUNCTION("""COMPUTED_VALUE"""),1)</f>
        <v>1</v>
      </c>
      <c r="G304" s="1" t="str">
        <f ca="1">IFERROR(__xludf.DUMMYFUNCTION("""COMPUTED_VALUE"""),"3 mos")</f>
        <v>3 mos</v>
      </c>
      <c r="H304" s="1" t="str">
        <f ca="1">IFERROR(__xludf.DUMMYFUNCTION("""COMPUTED_VALUE"""),"comment")</f>
        <v>comment</v>
      </c>
      <c r="I304" s="2" t="str">
        <f ca="1">IFERROR(__xludf.DUMMYFUNCTION("""COMPUTED_VALUE"""),"https://www.facebook.com/rapplerdotcom/photos/a.317154781638645/5597874143566656")</f>
        <v>https://www.facebook.com/rapplerdotcom/photos/a.317154781638645/5597874143566656</v>
      </c>
      <c r="J304" s="1" t="str">
        <f ca="1">IFERROR(__xludf.DUMMYFUNCTION("""COMPUTED_VALUE"""),"2022-07-04T11:11:14.003Z")</f>
        <v>2022-07-04T11:11:14.003Z</v>
      </c>
    </row>
    <row r="305" spans="1:10" x14ac:dyDescent="0.2">
      <c r="A305" s="2" t="str">
        <f ca="1">IFERROR(__xludf.DUMMYFUNCTION("""COMPUTED_VALUE"""),"https://www.facebook.com/albertjohn.centra")</f>
        <v>https://www.facebook.com/albertjohn.centra</v>
      </c>
      <c r="B305" s="1" t="str">
        <f ca="1">IFERROR(__xludf.DUMMYFUNCTION("""COMPUTED_VALUE"""),"Albert John Centra")</f>
        <v>Albert John Centra</v>
      </c>
      <c r="C305" s="1" t="str">
        <f ca="1">IFERROR(__xludf.DUMMYFUNCTION("""COMPUTED_VALUE"""),"Albert")</f>
        <v>Albert</v>
      </c>
      <c r="D305" s="1" t="str">
        <f ca="1">IFERROR(__xludf.DUMMYFUNCTION("""COMPUTED_VALUE"""),"John Centra")</f>
        <v>John Centra</v>
      </c>
      <c r="E305" s="1" t="str">
        <f ca="1">IFERROR(__xludf.DUMMYFUNCTION("""COMPUTED_VALUE"""),"Respect is EARNED, not given.")</f>
        <v>Respect is EARNED, not given.</v>
      </c>
      <c r="F305" s="1">
        <f ca="1">IFERROR(__xludf.DUMMYFUNCTION("""COMPUTED_VALUE"""),3)</f>
        <v>3</v>
      </c>
      <c r="G305" s="1" t="str">
        <f ca="1">IFERROR(__xludf.DUMMYFUNCTION("""COMPUTED_VALUE"""),"3 mos")</f>
        <v>3 mos</v>
      </c>
      <c r="H305" s="1" t="str">
        <f ca="1">IFERROR(__xludf.DUMMYFUNCTION("""COMPUTED_VALUE"""),"comment")</f>
        <v>comment</v>
      </c>
      <c r="I305" s="2" t="str">
        <f ca="1">IFERROR(__xludf.DUMMYFUNCTION("""COMPUTED_VALUE"""),"https://www.facebook.com/rapplerdotcom/photos/a.317154781638645/5597874143566656")</f>
        <v>https://www.facebook.com/rapplerdotcom/photos/a.317154781638645/5597874143566656</v>
      </c>
      <c r="J305" s="1" t="str">
        <f ca="1">IFERROR(__xludf.DUMMYFUNCTION("""COMPUTED_VALUE"""),"2022-07-04T11:11:14.003Z")</f>
        <v>2022-07-04T11:11:14.003Z</v>
      </c>
    </row>
    <row r="306" spans="1:10" x14ac:dyDescent="0.2">
      <c r="A306" s="2" t="str">
        <f ca="1">IFERROR(__xludf.DUMMYFUNCTION("""COMPUTED_VALUE"""),"https://www.facebook.com/rogelio.lapuz.5055")</f>
        <v>https://www.facebook.com/rogelio.lapuz.5055</v>
      </c>
      <c r="B306" s="1" t="str">
        <f ca="1">IFERROR(__xludf.DUMMYFUNCTION("""COMPUTED_VALUE"""),"Rogelio Lapuz")</f>
        <v>Rogelio Lapuz</v>
      </c>
      <c r="C306" s="1" t="str">
        <f ca="1">IFERROR(__xludf.DUMMYFUNCTION("""COMPUTED_VALUE"""),"Rogelio")</f>
        <v>Rogelio</v>
      </c>
      <c r="D306" s="1" t="str">
        <f ca="1">IFERROR(__xludf.DUMMYFUNCTION("""COMPUTED_VALUE"""),"Lapuz")</f>
        <v>Lapuz</v>
      </c>
      <c r="E306" s="1" t="str">
        <f ca="1">IFERROR(__xludf.DUMMYFUNCTION("""COMPUTED_VALUE"""),"Cgurado na c Len len shade ko # 7 sa baluta😂😂😂😂")</f>
        <v>Cgurado na c Len len shade ko # 7 sa baluta😂😂😂😂</v>
      </c>
      <c r="F306" s="1">
        <f ca="1">IFERROR(__xludf.DUMMYFUNCTION("""COMPUTED_VALUE"""),5)</f>
        <v>5</v>
      </c>
      <c r="G306" s="1" t="str">
        <f ca="1">IFERROR(__xludf.DUMMYFUNCTION("""COMPUTED_VALUE"""),"3 mos")</f>
        <v>3 mos</v>
      </c>
      <c r="H306" s="1" t="str">
        <f ca="1">IFERROR(__xludf.DUMMYFUNCTION("""COMPUTED_VALUE"""),"comment")</f>
        <v>comment</v>
      </c>
      <c r="I306" s="2" t="str">
        <f ca="1">IFERROR(__xludf.DUMMYFUNCTION("""COMPUTED_VALUE"""),"https://www.facebook.com/rapplerdotcom/photos/a.317154781638645/5597874143566656")</f>
        <v>https://www.facebook.com/rapplerdotcom/photos/a.317154781638645/5597874143566656</v>
      </c>
      <c r="J306" s="1" t="str">
        <f ca="1">IFERROR(__xludf.DUMMYFUNCTION("""COMPUTED_VALUE"""),"2022-07-04T11:11:14.003Z")</f>
        <v>2022-07-04T11:11:14.003Z</v>
      </c>
    </row>
    <row r="307" spans="1:10" x14ac:dyDescent="0.2">
      <c r="A307" s="2" t="str">
        <f ca="1">IFERROR(__xludf.DUMMYFUNCTION("""COMPUTED_VALUE"""),"https://www.facebook.com/profile.php?id=100079722041118")</f>
        <v>https://www.facebook.com/profile.php?id=100079722041118</v>
      </c>
      <c r="B307" s="1" t="str">
        <f ca="1">IFERROR(__xludf.DUMMYFUNCTION("""COMPUTED_VALUE"""),"Joel Lim")</f>
        <v>Joel Lim</v>
      </c>
      <c r="C307" s="1" t="str">
        <f ca="1">IFERROR(__xludf.DUMMYFUNCTION("""COMPUTED_VALUE"""),"Joel")</f>
        <v>Joel</v>
      </c>
      <c r="D307" s="1" t="str">
        <f ca="1">IFERROR(__xludf.DUMMYFUNCTION("""COMPUTED_VALUE"""),"Lim")</f>
        <v>Lim</v>
      </c>
      <c r="E307" s="1" t="str">
        <f ca="1">IFERROR(__xludf.DUMMYFUNCTION("""COMPUTED_VALUE"""),"Anong respect kung ipapahamak mo ang pamilya ko?")</f>
        <v>Anong respect kung ipapahamak mo ang pamilya ko?</v>
      </c>
      <c r="F307" s="1"/>
      <c r="G307" s="1" t="str">
        <f ca="1">IFERROR(__xludf.DUMMYFUNCTION("""COMPUTED_VALUE"""),"3 mos")</f>
        <v>3 mos</v>
      </c>
      <c r="H307" s="1" t="str">
        <f ca="1">IFERROR(__xludf.DUMMYFUNCTION("""COMPUTED_VALUE"""),"comment")</f>
        <v>comment</v>
      </c>
      <c r="I307" s="2" t="str">
        <f ca="1">IFERROR(__xludf.DUMMYFUNCTION("""COMPUTED_VALUE"""),"https://www.facebook.com/rapplerdotcom/photos/a.317154781638645/5597874143566656")</f>
        <v>https://www.facebook.com/rapplerdotcom/photos/a.317154781638645/5597874143566656</v>
      </c>
      <c r="J307" s="1" t="str">
        <f ca="1">IFERROR(__xludf.DUMMYFUNCTION("""COMPUTED_VALUE"""),"2022-07-04T11:11:14.003Z")</f>
        <v>2022-07-04T11:11:14.003Z</v>
      </c>
    </row>
    <row r="308" spans="1:10" x14ac:dyDescent="0.2">
      <c r="A308" s="2" t="str">
        <f ca="1">IFERROR(__xludf.DUMMYFUNCTION("""COMPUTED_VALUE"""),"https://www.facebook.com/marisse.mauricio")</f>
        <v>https://www.facebook.com/marisse.mauricio</v>
      </c>
      <c r="B308" s="1" t="str">
        <f ca="1">IFERROR(__xludf.DUMMYFUNCTION("""COMPUTED_VALUE"""),"Marisse Mauricio")</f>
        <v>Marisse Mauricio</v>
      </c>
      <c r="C308" s="1" t="str">
        <f ca="1">IFERROR(__xludf.DUMMYFUNCTION("""COMPUTED_VALUE"""),"Marisse")</f>
        <v>Marisse</v>
      </c>
      <c r="D308" s="1" t="str">
        <f ca="1">IFERROR(__xludf.DUMMYFUNCTION("""COMPUTED_VALUE"""),"Mauricio")</f>
        <v>Mauricio</v>
      </c>
      <c r="E308" s="1" t="str">
        <f ca="1">IFERROR(__xludf.DUMMYFUNCTION("""COMPUTED_VALUE"""),"WE KNOW WHAT SHE DID 2016😜")</f>
        <v>WE KNOW WHAT SHE DID 2016😜</v>
      </c>
      <c r="F308" s="1">
        <f ca="1">IFERROR(__xludf.DUMMYFUNCTION("""COMPUTED_VALUE"""),5)</f>
        <v>5</v>
      </c>
      <c r="G308" s="1" t="str">
        <f ca="1">IFERROR(__xludf.DUMMYFUNCTION("""COMPUTED_VALUE"""),"3 mos")</f>
        <v>3 mos</v>
      </c>
      <c r="H308" s="1" t="str">
        <f ca="1">IFERROR(__xludf.DUMMYFUNCTION("""COMPUTED_VALUE"""),"comment")</f>
        <v>comment</v>
      </c>
      <c r="I308" s="2" t="str">
        <f ca="1">IFERROR(__xludf.DUMMYFUNCTION("""COMPUTED_VALUE"""),"https://www.facebook.com/rapplerdotcom/photos/a.317154781638645/5597874143566656")</f>
        <v>https://www.facebook.com/rapplerdotcom/photos/a.317154781638645/5597874143566656</v>
      </c>
      <c r="J308" s="1" t="str">
        <f ca="1">IFERROR(__xludf.DUMMYFUNCTION("""COMPUTED_VALUE"""),"2022-07-04T11:11:14.003Z")</f>
        <v>2022-07-04T11:11:14.003Z</v>
      </c>
    </row>
    <row r="309" spans="1:10" x14ac:dyDescent="0.2">
      <c r="A309" s="2" t="str">
        <f ca="1">IFERROR(__xludf.DUMMYFUNCTION("""COMPUTED_VALUE"""),"https://www.facebook.com/F16FalconV")</f>
        <v>https://www.facebook.com/F16FalconV</v>
      </c>
      <c r="B309" s="1" t="str">
        <f ca="1">IFERROR(__xludf.DUMMYFUNCTION("""COMPUTED_VALUE"""),"Miguel Galang")</f>
        <v>Miguel Galang</v>
      </c>
      <c r="C309" s="1" t="str">
        <f ca="1">IFERROR(__xludf.DUMMYFUNCTION("""COMPUTED_VALUE"""),"Miguel")</f>
        <v>Miguel</v>
      </c>
      <c r="D309" s="1" t="str">
        <f ca="1">IFERROR(__xludf.DUMMYFUNCTION("""COMPUTED_VALUE"""),"Galang")</f>
        <v>Galang</v>
      </c>
      <c r="E309" s="1" t="str">
        <f ca="1">IFERROR(__xludf.DUMMYFUNCTION("""COMPUTED_VALUE"""),"Marisse Mauricio We do too. We know she won fair and square, unless marunong ka pa sa Korte Suprema?")</f>
        <v>Marisse Mauricio We do too. We know she won fair and square, unless marunong ka pa sa Korte Suprema?</v>
      </c>
      <c r="F309" s="1">
        <f ca="1">IFERROR(__xludf.DUMMYFUNCTION("""COMPUTED_VALUE"""),11)</f>
        <v>11</v>
      </c>
      <c r="G309" s="1" t="str">
        <f ca="1">IFERROR(__xludf.DUMMYFUNCTION("""COMPUTED_VALUE"""),"3 mos")</f>
        <v>3 mos</v>
      </c>
      <c r="H309" s="1" t="str">
        <f ca="1">IFERROR(__xludf.DUMMYFUNCTION("""COMPUTED_VALUE"""),"reply")</f>
        <v>reply</v>
      </c>
      <c r="I309" s="2" t="str">
        <f ca="1">IFERROR(__xludf.DUMMYFUNCTION("""COMPUTED_VALUE"""),"https://www.facebook.com/rapplerdotcom/photos/a.317154781638645/5597874143566656")</f>
        <v>https://www.facebook.com/rapplerdotcom/photos/a.317154781638645/5597874143566656</v>
      </c>
      <c r="J309" s="1" t="str">
        <f ca="1">IFERROR(__xludf.DUMMYFUNCTION("""COMPUTED_VALUE"""),"2022-07-04T11:11:14.003Z")</f>
        <v>2022-07-04T11:11:14.003Z</v>
      </c>
    </row>
    <row r="310" spans="1:10" x14ac:dyDescent="0.2">
      <c r="A310" s="2" t="str">
        <f ca="1">IFERROR(__xludf.DUMMYFUNCTION("""COMPUTED_VALUE"""),"https://www.facebook.com/raiden.ponteras.1")</f>
        <v>https://www.facebook.com/raiden.ponteras.1</v>
      </c>
      <c r="B310" s="1" t="str">
        <f ca="1">IFERROR(__xludf.DUMMYFUNCTION("""COMPUTED_VALUE"""),"Raiden Ponteras")</f>
        <v>Raiden Ponteras</v>
      </c>
      <c r="C310" s="1" t="str">
        <f ca="1">IFERROR(__xludf.DUMMYFUNCTION("""COMPUTED_VALUE"""),"Raiden")</f>
        <v>Raiden</v>
      </c>
      <c r="D310" s="1" t="str">
        <f ca="1">IFERROR(__xludf.DUMMYFUNCTION("""COMPUTED_VALUE"""),"Ponteras")</f>
        <v>Ponteras</v>
      </c>
      <c r="E310" s="1" t="str">
        <f ca="1">IFERROR(__xludf.DUMMYFUNCTION("""COMPUTED_VALUE"""),"Miguel Galang weehhh apaka timing naman ng miralco hehe btw anglaki pala share ni madam sa meralco ano?")</f>
        <v>Miguel Galang weehhh apaka timing naman ng miralco hehe btw anglaki pala share ni madam sa meralco ano?</v>
      </c>
      <c r="F310" s="1">
        <f ca="1">IFERROR(__xludf.DUMMYFUNCTION("""COMPUTED_VALUE"""),4)</f>
        <v>4</v>
      </c>
      <c r="G310" s="1" t="str">
        <f ca="1">IFERROR(__xludf.DUMMYFUNCTION("""COMPUTED_VALUE"""),"3 mos")</f>
        <v>3 mos</v>
      </c>
      <c r="H310" s="1" t="str">
        <f ca="1">IFERROR(__xludf.DUMMYFUNCTION("""COMPUTED_VALUE"""),"reply")</f>
        <v>reply</v>
      </c>
      <c r="I310" s="2" t="str">
        <f ca="1">IFERROR(__xludf.DUMMYFUNCTION("""COMPUTED_VALUE"""),"https://www.facebook.com/rapplerdotcom/photos/a.317154781638645/5597874143566656")</f>
        <v>https://www.facebook.com/rapplerdotcom/photos/a.317154781638645/5597874143566656</v>
      </c>
      <c r="J310" s="1" t="str">
        <f ca="1">IFERROR(__xludf.DUMMYFUNCTION("""COMPUTED_VALUE"""),"2022-07-04T11:11:14.003Z")</f>
        <v>2022-07-04T11:11:14.003Z</v>
      </c>
    </row>
    <row r="311" spans="1:10" x14ac:dyDescent="0.2">
      <c r="A311" s="2" t="str">
        <f ca="1">IFERROR(__xludf.DUMMYFUNCTION("""COMPUTED_VALUE"""),"https://www.facebook.com/justine.gorospe.3150")</f>
        <v>https://www.facebook.com/justine.gorospe.3150</v>
      </c>
      <c r="B311" s="1" t="str">
        <f ca="1">IFERROR(__xludf.DUMMYFUNCTION("""COMPUTED_VALUE"""),"Justineah Gorospe")</f>
        <v>Justineah Gorospe</v>
      </c>
      <c r="C311" s="1" t="str">
        <f ca="1">IFERROR(__xludf.DUMMYFUNCTION("""COMPUTED_VALUE"""),"Justineah")</f>
        <v>Justineah</v>
      </c>
      <c r="D311" s="1" t="str">
        <f ca="1">IFERROR(__xludf.DUMMYFUNCTION("""COMPUTED_VALUE"""),"Gorospe")</f>
        <v>Gorospe</v>
      </c>
      <c r="E311" s="1" t="str">
        <f ca="1">IFERROR(__xludf.DUMMYFUNCTION("""COMPUTED_VALUE"""),"Marisse Mauricio  Oo nga maam. Natuklasan din. Grabe sila. Sana kasama niya ang Comelec sa kaso")</f>
        <v>Marisse Mauricio  Oo nga maam. Natuklasan din. Grabe sila. Sana kasama niya ang Comelec sa kaso</v>
      </c>
      <c r="F311" s="1">
        <f ca="1">IFERROR(__xludf.DUMMYFUNCTION("""COMPUTED_VALUE"""),1)</f>
        <v>1</v>
      </c>
      <c r="G311" s="1" t="str">
        <f ca="1">IFERROR(__xludf.DUMMYFUNCTION("""COMPUTED_VALUE"""),"3 mos")</f>
        <v>3 mos</v>
      </c>
      <c r="H311" s="1" t="str">
        <f ca="1">IFERROR(__xludf.DUMMYFUNCTION("""COMPUTED_VALUE"""),"reply")</f>
        <v>reply</v>
      </c>
      <c r="I311" s="2" t="str">
        <f ca="1">IFERROR(__xludf.DUMMYFUNCTION("""COMPUTED_VALUE"""),"https://www.facebook.com/rapplerdotcom/photos/a.317154781638645/5597874143566656")</f>
        <v>https://www.facebook.com/rapplerdotcom/photos/a.317154781638645/5597874143566656</v>
      </c>
      <c r="J311" s="1" t="str">
        <f ca="1">IFERROR(__xludf.DUMMYFUNCTION("""COMPUTED_VALUE"""),"2022-07-04T11:11:14.003Z")</f>
        <v>2022-07-04T11:11:14.003Z</v>
      </c>
    </row>
    <row r="312" spans="1:10" x14ac:dyDescent="0.2">
      <c r="A312" s="2" t="str">
        <f ca="1">IFERROR(__xludf.DUMMYFUNCTION("""COMPUTED_VALUE"""),"https://www.facebook.com/sanse21")</f>
        <v>https://www.facebook.com/sanse21</v>
      </c>
      <c r="B312" s="1" t="str">
        <f ca="1">IFERROR(__xludf.DUMMYFUNCTION("""COMPUTED_VALUE"""),"Ana Maria Alfaro")</f>
        <v>Ana Maria Alfaro</v>
      </c>
      <c r="C312" s="1" t="str">
        <f ca="1">IFERROR(__xludf.DUMMYFUNCTION("""COMPUTED_VALUE"""),"Ana")</f>
        <v>Ana</v>
      </c>
      <c r="D312" s="1" t="str">
        <f ca="1">IFERROR(__xludf.DUMMYFUNCTION("""COMPUTED_VALUE"""),"Maria Alfaro")</f>
        <v>Maria Alfaro</v>
      </c>
      <c r="E312" s="1" t="str">
        <f ca="1">IFERROR(__xludf.DUMMYFUNCTION("""COMPUTED_VALUE"""),"#LeniKikoForTheWin")</f>
        <v>#LeniKikoForTheWin</v>
      </c>
      <c r="F312" s="1">
        <f ca="1">IFERROR(__xludf.DUMMYFUNCTION("""COMPUTED_VALUE"""),1)</f>
        <v>1</v>
      </c>
      <c r="G312" s="1" t="str">
        <f ca="1">IFERROR(__xludf.DUMMYFUNCTION("""COMPUTED_VALUE"""),"3 mos")</f>
        <v>3 mos</v>
      </c>
      <c r="H312" s="1" t="str">
        <f ca="1">IFERROR(__xludf.DUMMYFUNCTION("""COMPUTED_VALUE"""),"comment")</f>
        <v>comment</v>
      </c>
      <c r="I312" s="2" t="str">
        <f ca="1">IFERROR(__xludf.DUMMYFUNCTION("""COMPUTED_VALUE"""),"https://www.facebook.com/rapplerdotcom/photos/a.317154781638645/5597874143566656")</f>
        <v>https://www.facebook.com/rapplerdotcom/photos/a.317154781638645/5597874143566656</v>
      </c>
      <c r="J312" s="1" t="str">
        <f ca="1">IFERROR(__xludf.DUMMYFUNCTION("""COMPUTED_VALUE"""),"2022-07-04T11:11:14.003Z")</f>
        <v>2022-07-04T11:11:14.003Z</v>
      </c>
    </row>
    <row r="313" spans="1:10" x14ac:dyDescent="0.2">
      <c r="A313" s="2" t="str">
        <f ca="1">IFERROR(__xludf.DUMMYFUNCTION("""COMPUTED_VALUE"""),"https://www.facebook.com/profile.php?id=100074363201711")</f>
        <v>https://www.facebook.com/profile.php?id=100074363201711</v>
      </c>
      <c r="B313" s="1" t="str">
        <f ca="1">IFERROR(__xludf.DUMMYFUNCTION("""COMPUTED_VALUE"""),"Brad Johanson")</f>
        <v>Brad Johanson</v>
      </c>
      <c r="C313" s="1" t="str">
        <f ca="1">IFERROR(__xludf.DUMMYFUNCTION("""COMPUTED_VALUE"""),"Brad")</f>
        <v>Brad</v>
      </c>
      <c r="D313" s="1" t="str">
        <f ca="1">IFERROR(__xludf.DUMMYFUNCTION("""COMPUTED_VALUE"""),"Johanson")</f>
        <v>Johanson</v>
      </c>
      <c r="E313" s="1" t="str">
        <f ca="1">IFERROR(__xludf.DUMMYFUNCTION("""COMPUTED_VALUE"""),"HAHAHA kaya pa ba ? 1 week nalamg april na🤣😍")</f>
        <v>HAHAHA kaya pa ba ? 1 week nalamg april na🤣😍</v>
      </c>
      <c r="F313" s="1">
        <f ca="1">IFERROR(__xludf.DUMMYFUNCTION("""COMPUTED_VALUE"""),2)</f>
        <v>2</v>
      </c>
      <c r="G313" s="1" t="str">
        <f ca="1">IFERROR(__xludf.DUMMYFUNCTION("""COMPUTED_VALUE"""),"3 mos")</f>
        <v>3 mos</v>
      </c>
      <c r="H313" s="1" t="str">
        <f ca="1">IFERROR(__xludf.DUMMYFUNCTION("""COMPUTED_VALUE"""),"comment")</f>
        <v>comment</v>
      </c>
      <c r="I313" s="2" t="str">
        <f ca="1">IFERROR(__xludf.DUMMYFUNCTION("""COMPUTED_VALUE"""),"https://www.facebook.com/rapplerdotcom/photos/a.317154781638645/5597874143566656")</f>
        <v>https://www.facebook.com/rapplerdotcom/photos/a.317154781638645/5597874143566656</v>
      </c>
      <c r="J313" s="1" t="str">
        <f ca="1">IFERROR(__xludf.DUMMYFUNCTION("""COMPUTED_VALUE"""),"2022-07-04T11:11:14.003Z")</f>
        <v>2022-07-04T11:11:14.003Z</v>
      </c>
    </row>
    <row r="314" spans="1:10" x14ac:dyDescent="0.2">
      <c r="A314" s="2" t="str">
        <f ca="1">IFERROR(__xludf.DUMMYFUNCTION("""COMPUTED_VALUE"""),"https://www.facebook.com/ameliaarana12345")</f>
        <v>https://www.facebook.com/ameliaarana12345</v>
      </c>
      <c r="B314" s="1" t="str">
        <f ca="1">IFERROR(__xludf.DUMMYFUNCTION("""COMPUTED_VALUE"""),"Ame Arana")</f>
        <v>Ame Arana</v>
      </c>
      <c r="C314" s="1" t="str">
        <f ca="1">IFERROR(__xludf.DUMMYFUNCTION("""COMPUTED_VALUE"""),"Ame")</f>
        <v>Ame</v>
      </c>
      <c r="D314" s="1" t="str">
        <f ca="1">IFERROR(__xludf.DUMMYFUNCTION("""COMPUTED_VALUE"""),"Arana")</f>
        <v>Arana</v>
      </c>
      <c r="E314" s="1" t="str">
        <f ca="1">IFERROR(__xludf.DUMMYFUNCTION("""COMPUTED_VALUE"""),"Brad Johanson kakayanin  namin  at huwag kayong  umiyak  at mag pa  recount ng  10 beses")</f>
        <v>Brad Johanson kakayanin  namin  at huwag kayong  umiyak  at mag pa  recount ng  10 beses</v>
      </c>
      <c r="F314" s="1">
        <f ca="1">IFERROR(__xludf.DUMMYFUNCTION("""COMPUTED_VALUE"""),2)</f>
        <v>2</v>
      </c>
      <c r="G314" s="1" t="str">
        <f ca="1">IFERROR(__xludf.DUMMYFUNCTION("""COMPUTED_VALUE"""),"3 mos")</f>
        <v>3 mos</v>
      </c>
      <c r="H314" s="1" t="str">
        <f ca="1">IFERROR(__xludf.DUMMYFUNCTION("""COMPUTED_VALUE"""),"reply")</f>
        <v>reply</v>
      </c>
      <c r="I314" s="2" t="str">
        <f ca="1">IFERROR(__xludf.DUMMYFUNCTION("""COMPUTED_VALUE"""),"https://www.facebook.com/rapplerdotcom/photos/a.317154781638645/5597874143566656")</f>
        <v>https://www.facebook.com/rapplerdotcom/photos/a.317154781638645/5597874143566656</v>
      </c>
      <c r="J314" s="1" t="str">
        <f ca="1">IFERROR(__xludf.DUMMYFUNCTION("""COMPUTED_VALUE"""),"2022-07-04T11:11:14.003Z")</f>
        <v>2022-07-04T11:11:14.003Z</v>
      </c>
    </row>
    <row r="315" spans="1:10" x14ac:dyDescent="0.2">
      <c r="A315" s="2" t="str">
        <f ca="1">IFERROR(__xludf.DUMMYFUNCTION("""COMPUTED_VALUE"""),"https://www.facebook.com/profile.php?id=100074363201711")</f>
        <v>https://www.facebook.com/profile.php?id=100074363201711</v>
      </c>
      <c r="B315" s="1" t="str">
        <f ca="1">IFERROR(__xludf.DUMMYFUNCTION("""COMPUTED_VALUE"""),"Brad Johanson")</f>
        <v>Brad Johanson</v>
      </c>
      <c r="C315" s="1" t="str">
        <f ca="1">IFERROR(__xludf.DUMMYFUNCTION("""COMPUTED_VALUE"""),"Brad")</f>
        <v>Brad</v>
      </c>
      <c r="D315" s="1" t="str">
        <f ca="1">IFERROR(__xludf.DUMMYFUNCTION("""COMPUTED_VALUE"""),"Johanson")</f>
        <v>Johanson</v>
      </c>
      <c r="E315" s="1" t="str">
        <f ca="1">IFERROR(__xludf.DUMMYFUNCTION("""COMPUTED_VALUE"""),"Cha-em Crespo Arana hahaha okay")</f>
        <v>Cha-em Crespo Arana hahaha okay</v>
      </c>
      <c r="F315" s="1"/>
      <c r="G315" s="1" t="str">
        <f ca="1">IFERROR(__xludf.DUMMYFUNCTION("""COMPUTED_VALUE"""),"3 mos")</f>
        <v>3 mos</v>
      </c>
      <c r="H315" s="1" t="str">
        <f ca="1">IFERROR(__xludf.DUMMYFUNCTION("""COMPUTED_VALUE"""),"reply")</f>
        <v>reply</v>
      </c>
      <c r="I315" s="2" t="str">
        <f ca="1">IFERROR(__xludf.DUMMYFUNCTION("""COMPUTED_VALUE"""),"https://www.facebook.com/rapplerdotcom/photos/a.317154781638645/5597874143566656")</f>
        <v>https://www.facebook.com/rapplerdotcom/photos/a.317154781638645/5597874143566656</v>
      </c>
      <c r="J315" s="1" t="str">
        <f ca="1">IFERROR(__xludf.DUMMYFUNCTION("""COMPUTED_VALUE"""),"2022-07-04T11:11:14.004Z")</f>
        <v>2022-07-04T11:11:14.004Z</v>
      </c>
    </row>
    <row r="316" spans="1:10" x14ac:dyDescent="0.2">
      <c r="A316" s="2" t="str">
        <f ca="1">IFERROR(__xludf.DUMMYFUNCTION("""COMPUTED_VALUE"""),"https://www.facebook.com/joyceanne.payad")</f>
        <v>https://www.facebook.com/joyceanne.payad</v>
      </c>
      <c r="B316" s="1" t="str">
        <f ca="1">IFERROR(__xludf.DUMMYFUNCTION("""COMPUTED_VALUE"""),"Joyce Anne Payad")</f>
        <v>Joyce Anne Payad</v>
      </c>
      <c r="C316" s="1" t="str">
        <f ca="1">IFERROR(__xludf.DUMMYFUNCTION("""COMPUTED_VALUE"""),"Joyce")</f>
        <v>Joyce</v>
      </c>
      <c r="D316" s="1" t="str">
        <f ca="1">IFERROR(__xludf.DUMMYFUNCTION("""COMPUTED_VALUE"""),"Anne Payad")</f>
        <v>Anne Payad</v>
      </c>
      <c r="E316" s="1" t="str">
        <f ca="1">IFERROR(__xludf.DUMMYFUNCTION("""COMPUTED_VALUE"""),"#10 sa balota")</f>
        <v>#10 sa balota</v>
      </c>
      <c r="F316" s="1">
        <f ca="1">IFERROR(__xludf.DUMMYFUNCTION("""COMPUTED_VALUE"""),3)</f>
        <v>3</v>
      </c>
      <c r="G316" s="1" t="str">
        <f ca="1">IFERROR(__xludf.DUMMYFUNCTION("""COMPUTED_VALUE"""),"3 mos")</f>
        <v>3 mos</v>
      </c>
      <c r="H316" s="1" t="str">
        <f ca="1">IFERROR(__xludf.DUMMYFUNCTION("""COMPUTED_VALUE"""),"comment")</f>
        <v>comment</v>
      </c>
      <c r="I316" s="2" t="str">
        <f ca="1">IFERROR(__xludf.DUMMYFUNCTION("""COMPUTED_VALUE"""),"https://www.facebook.com/rapplerdotcom/photos/a.317154781638645/5597874143566656")</f>
        <v>https://www.facebook.com/rapplerdotcom/photos/a.317154781638645/5597874143566656</v>
      </c>
      <c r="J316" s="1" t="str">
        <f ca="1">IFERROR(__xludf.DUMMYFUNCTION("""COMPUTED_VALUE"""),"2022-07-04T11:11:14.004Z")</f>
        <v>2022-07-04T11:11:14.004Z</v>
      </c>
    </row>
    <row r="317" spans="1:10" x14ac:dyDescent="0.2">
      <c r="A317" s="2" t="str">
        <f ca="1">IFERROR(__xludf.DUMMYFUNCTION("""COMPUTED_VALUE"""),"https://www.facebook.com/jacqueline.sumer.5")</f>
        <v>https://www.facebook.com/jacqueline.sumer.5</v>
      </c>
      <c r="B317" s="1" t="str">
        <f ca="1">IFERROR(__xludf.DUMMYFUNCTION("""COMPUTED_VALUE"""),"Josie Valdez")</f>
        <v>Josie Valdez</v>
      </c>
      <c r="C317" s="1" t="str">
        <f ca="1">IFERROR(__xludf.DUMMYFUNCTION("""COMPUTED_VALUE"""),"Josie")</f>
        <v>Josie</v>
      </c>
      <c r="D317" s="1" t="str">
        <f ca="1">IFERROR(__xludf.DUMMYFUNCTION("""COMPUTED_VALUE"""),"Valdez")</f>
        <v>Valdez</v>
      </c>
      <c r="E317" s="1" t="str">
        <f ca="1">IFERROR(__xludf.DUMMYFUNCTION("""COMPUTED_VALUE"""),"Joyce Anne Payad yes #7 😍 💖 ❤")</f>
        <v>Joyce Anne Payad yes #7 😍 💖 ❤</v>
      </c>
      <c r="F317" s="1"/>
      <c r="G317" s="1" t="str">
        <f ca="1">IFERROR(__xludf.DUMMYFUNCTION("""COMPUTED_VALUE"""),"3 mos")</f>
        <v>3 mos</v>
      </c>
      <c r="H317" s="1" t="str">
        <f ca="1">IFERROR(__xludf.DUMMYFUNCTION("""COMPUTED_VALUE"""),"reply")</f>
        <v>reply</v>
      </c>
      <c r="I317" s="2" t="str">
        <f ca="1">IFERROR(__xludf.DUMMYFUNCTION("""COMPUTED_VALUE"""),"https://www.facebook.com/rapplerdotcom/photos/a.317154781638645/5597874143566656")</f>
        <v>https://www.facebook.com/rapplerdotcom/photos/a.317154781638645/5597874143566656</v>
      </c>
      <c r="J317" s="1" t="str">
        <f ca="1">IFERROR(__xludf.DUMMYFUNCTION("""COMPUTED_VALUE"""),"2022-07-04T11:11:14.004Z")</f>
        <v>2022-07-04T11:11:14.004Z</v>
      </c>
    </row>
    <row r="318" spans="1:10" x14ac:dyDescent="0.2">
      <c r="A318" s="2" t="str">
        <f ca="1">IFERROR(__xludf.DUMMYFUNCTION("""COMPUTED_VALUE"""),"https://www.facebook.com/charmee.mccartney")</f>
        <v>https://www.facebook.com/charmee.mccartney</v>
      </c>
      <c r="B318" s="1" t="str">
        <f ca="1">IFERROR(__xludf.DUMMYFUNCTION("""COMPUTED_VALUE"""),"Zeal F Ribay")</f>
        <v>Zeal F Ribay</v>
      </c>
      <c r="C318" s="1" t="str">
        <f ca="1">IFERROR(__xludf.DUMMYFUNCTION("""COMPUTED_VALUE"""),"Zeal")</f>
        <v>Zeal</v>
      </c>
      <c r="D318" s="1" t="str">
        <f ca="1">IFERROR(__xludf.DUMMYFUNCTION("""COMPUTED_VALUE"""),"F Ribay")</f>
        <v>F Ribay</v>
      </c>
      <c r="E318" s="1" t="str">
        <f ca="1">IFERROR(__xludf.DUMMYFUNCTION("""COMPUTED_VALUE"""),"Bigte kna")</f>
        <v>Bigte kna</v>
      </c>
      <c r="F318" s="1">
        <f ca="1">IFERROR(__xludf.DUMMYFUNCTION("""COMPUTED_VALUE"""),1)</f>
        <v>1</v>
      </c>
      <c r="G318" s="1" t="str">
        <f ca="1">IFERROR(__xludf.DUMMYFUNCTION("""COMPUTED_VALUE"""),"3 mos")</f>
        <v>3 mos</v>
      </c>
      <c r="H318" s="1" t="str">
        <f ca="1">IFERROR(__xludf.DUMMYFUNCTION("""COMPUTED_VALUE"""),"comment")</f>
        <v>comment</v>
      </c>
      <c r="I318" s="2" t="str">
        <f ca="1">IFERROR(__xludf.DUMMYFUNCTION("""COMPUTED_VALUE"""),"https://www.facebook.com/rapplerdotcom/photos/a.317154781638645/5597874143566656")</f>
        <v>https://www.facebook.com/rapplerdotcom/photos/a.317154781638645/5597874143566656</v>
      </c>
      <c r="J318" s="1" t="str">
        <f ca="1">IFERROR(__xludf.DUMMYFUNCTION("""COMPUTED_VALUE"""),"2022-07-04T11:11:14.004Z")</f>
        <v>2022-07-04T11:11:14.004Z</v>
      </c>
    </row>
    <row r="319" spans="1:10" x14ac:dyDescent="0.2">
      <c r="A319" s="2" t="str">
        <f ca="1">IFERROR(__xludf.DUMMYFUNCTION("""COMPUTED_VALUE"""),"https://www.facebook.com/roijohnsare0117")</f>
        <v>https://www.facebook.com/roijohnsare0117</v>
      </c>
      <c r="B319" s="1" t="str">
        <f ca="1">IFERROR(__xludf.DUMMYFUNCTION("""COMPUTED_VALUE"""),"Roijohn Sare")</f>
        <v>Roijohn Sare</v>
      </c>
      <c r="C319" s="1" t="str">
        <f ca="1">IFERROR(__xludf.DUMMYFUNCTION("""COMPUTED_VALUE"""),"Roijohn")</f>
        <v>Roijohn</v>
      </c>
      <c r="D319" s="1" t="str">
        <f ca="1">IFERROR(__xludf.DUMMYFUNCTION("""COMPUTED_VALUE"""),"Sare")</f>
        <v>Sare</v>
      </c>
      <c r="E319" s="1" t="str">
        <f ca="1">IFERROR(__xludf.DUMMYFUNCTION("""COMPUTED_VALUE"""),"Hahaha in pootaaa")</f>
        <v>Hahaha in pootaaa</v>
      </c>
      <c r="F319" s="1"/>
      <c r="G319" s="1" t="str">
        <f ca="1">IFERROR(__xludf.DUMMYFUNCTION("""COMPUTED_VALUE"""),"3 mos")</f>
        <v>3 mos</v>
      </c>
      <c r="H319" s="1" t="str">
        <f ca="1">IFERROR(__xludf.DUMMYFUNCTION("""COMPUTED_VALUE"""),"comment")</f>
        <v>comment</v>
      </c>
      <c r="I319" s="2" t="str">
        <f ca="1">IFERROR(__xludf.DUMMYFUNCTION("""COMPUTED_VALUE"""),"https://www.facebook.com/rapplerdotcom/photos/a.317154781638645/5597874143566656")</f>
        <v>https://www.facebook.com/rapplerdotcom/photos/a.317154781638645/5597874143566656</v>
      </c>
      <c r="J319" s="1" t="str">
        <f ca="1">IFERROR(__xludf.DUMMYFUNCTION("""COMPUTED_VALUE"""),"2022-07-04T11:11:14.004Z")</f>
        <v>2022-07-04T11:11:14.004Z</v>
      </c>
    </row>
    <row r="320" spans="1:10" x14ac:dyDescent="0.2">
      <c r="A320" s="2" t="str">
        <f ca="1">IFERROR(__xludf.DUMMYFUNCTION("""COMPUTED_VALUE"""),"https://www.facebook.com/jacqueline.reynado")</f>
        <v>https://www.facebook.com/jacqueline.reynado</v>
      </c>
      <c r="B320" s="1" t="str">
        <f ca="1">IFERROR(__xludf.DUMMYFUNCTION("""COMPUTED_VALUE"""),"Jac Que Line")</f>
        <v>Jac Que Line</v>
      </c>
      <c r="C320" s="1" t="str">
        <f ca="1">IFERROR(__xludf.DUMMYFUNCTION("""COMPUTED_VALUE"""),"Jac")</f>
        <v>Jac</v>
      </c>
      <c r="D320" s="1" t="str">
        <f ca="1">IFERROR(__xludf.DUMMYFUNCTION("""COMPUTED_VALUE"""),"Que Line")</f>
        <v>Que Line</v>
      </c>
      <c r="E320" s="1" t="str">
        <f ca="1">IFERROR(__xludf.DUMMYFUNCTION("""COMPUTED_VALUE"""),"Inggit.. Iyak")</f>
        <v>Inggit.. Iyak</v>
      </c>
      <c r="F320" s="1">
        <f ca="1">IFERROR(__xludf.DUMMYFUNCTION("""COMPUTED_VALUE"""),2)</f>
        <v>2</v>
      </c>
      <c r="G320" s="1" t="str">
        <f ca="1">IFERROR(__xludf.DUMMYFUNCTION("""COMPUTED_VALUE"""),"3 mos")</f>
        <v>3 mos</v>
      </c>
      <c r="H320" s="1" t="str">
        <f ca="1">IFERROR(__xludf.DUMMYFUNCTION("""COMPUTED_VALUE"""),"comment")</f>
        <v>comment</v>
      </c>
      <c r="I320" s="2" t="str">
        <f ca="1">IFERROR(__xludf.DUMMYFUNCTION("""COMPUTED_VALUE"""),"https://www.facebook.com/rapplerdotcom/photos/a.317154781638645/5597874143566656")</f>
        <v>https://www.facebook.com/rapplerdotcom/photos/a.317154781638645/5597874143566656</v>
      </c>
      <c r="J320" s="1" t="str">
        <f ca="1">IFERROR(__xludf.DUMMYFUNCTION("""COMPUTED_VALUE"""),"2022-07-04T11:11:14.004Z")</f>
        <v>2022-07-04T11:11:14.004Z</v>
      </c>
    </row>
    <row r="321" spans="1:10" x14ac:dyDescent="0.2">
      <c r="A321" s="2" t="str">
        <f ca="1">IFERROR(__xludf.DUMMYFUNCTION("""COMPUTED_VALUE"""),"https://www.facebook.com/haissam.suarez")</f>
        <v>https://www.facebook.com/haissam.suarez</v>
      </c>
      <c r="B321" s="1" t="str">
        <f ca="1">IFERROR(__xludf.DUMMYFUNCTION("""COMPUTED_VALUE"""),"Haissam Suarez")</f>
        <v>Haissam Suarez</v>
      </c>
      <c r="C321" s="1" t="str">
        <f ca="1">IFERROR(__xludf.DUMMYFUNCTION("""COMPUTED_VALUE"""),"Haissam")</f>
        <v>Haissam</v>
      </c>
      <c r="D321" s="1" t="str">
        <f ca="1">IFERROR(__xludf.DUMMYFUNCTION("""COMPUTED_VALUE"""),"Suarez")</f>
        <v>Suarez</v>
      </c>
      <c r="E321" s="1" t="str">
        <f ca="1">IFERROR(__xludf.DUMMYFUNCTION("""COMPUTED_VALUE"""),"Eikcaj Etnadnarom Odanyer affected? Iyak kna rin.")</f>
        <v>Eikcaj Etnadnarom Odanyer affected? Iyak kna rin.</v>
      </c>
      <c r="F321" s="1"/>
      <c r="G321" s="1" t="str">
        <f ca="1">IFERROR(__xludf.DUMMYFUNCTION("""COMPUTED_VALUE"""),"3 mos")</f>
        <v>3 mos</v>
      </c>
      <c r="H321" s="1" t="str">
        <f ca="1">IFERROR(__xludf.DUMMYFUNCTION("""COMPUTED_VALUE"""),"reply")</f>
        <v>reply</v>
      </c>
      <c r="I321" s="2" t="str">
        <f ca="1">IFERROR(__xludf.DUMMYFUNCTION("""COMPUTED_VALUE"""),"https://www.facebook.com/rapplerdotcom/photos/a.317154781638645/5597874143566656")</f>
        <v>https://www.facebook.com/rapplerdotcom/photos/a.317154781638645/5597874143566656</v>
      </c>
      <c r="J321" s="1" t="str">
        <f ca="1">IFERROR(__xludf.DUMMYFUNCTION("""COMPUTED_VALUE"""),"2022-07-04T11:11:14.004Z")</f>
        <v>2022-07-04T11:11:14.004Z</v>
      </c>
    </row>
    <row r="322" spans="1:10" x14ac:dyDescent="0.2">
      <c r="A322" s="2" t="str">
        <f ca="1">IFERROR(__xludf.DUMMYFUNCTION("""COMPUTED_VALUE"""),"https://www.facebook.com/jacqueline.reynado")</f>
        <v>https://www.facebook.com/jacqueline.reynado</v>
      </c>
      <c r="B322" s="1" t="str">
        <f ca="1">IFERROR(__xludf.DUMMYFUNCTION("""COMPUTED_VALUE"""),"Jac Que Line")</f>
        <v>Jac Que Line</v>
      </c>
      <c r="C322" s="1" t="str">
        <f ca="1">IFERROR(__xludf.DUMMYFUNCTION("""COMPUTED_VALUE"""),"Jac")</f>
        <v>Jac</v>
      </c>
      <c r="D322" s="1" t="str">
        <f ca="1">IFERROR(__xludf.DUMMYFUNCTION("""COMPUTED_VALUE"""),"Que Line")</f>
        <v>Que Line</v>
      </c>
      <c r="E322" s="1" t="str">
        <f ca="1">IFERROR(__xludf.DUMMYFUNCTION("""COMPUTED_VALUE"""),"Haissam Suarez iyak ka pag nana mo matalo ir madisqualify😂😂")</f>
        <v>Haissam Suarez iyak ka pag nana mo matalo ir madisqualify😂😂</v>
      </c>
      <c r="F322" s="1"/>
      <c r="G322" s="1" t="str">
        <f ca="1">IFERROR(__xludf.DUMMYFUNCTION("""COMPUTED_VALUE"""),"3 mos")</f>
        <v>3 mos</v>
      </c>
      <c r="H322" s="1" t="str">
        <f ca="1">IFERROR(__xludf.DUMMYFUNCTION("""COMPUTED_VALUE"""),"reply")</f>
        <v>reply</v>
      </c>
      <c r="I322" s="2" t="str">
        <f ca="1">IFERROR(__xludf.DUMMYFUNCTION("""COMPUTED_VALUE"""),"https://www.facebook.com/rapplerdotcom/photos/a.317154781638645/5597874143566656")</f>
        <v>https://www.facebook.com/rapplerdotcom/photos/a.317154781638645/5597874143566656</v>
      </c>
      <c r="J322" s="1" t="str">
        <f ca="1">IFERROR(__xludf.DUMMYFUNCTION("""COMPUTED_VALUE"""),"2022-07-04T11:11:14.004Z")</f>
        <v>2022-07-04T11:11:14.004Z</v>
      </c>
    </row>
    <row r="323" spans="1:10" x14ac:dyDescent="0.2">
      <c r="A323" s="2" t="str">
        <f ca="1">IFERROR(__xludf.DUMMYFUNCTION("""COMPUTED_VALUE"""),"https://www.facebook.com/profile.php?id=100070946473573")</f>
        <v>https://www.facebook.com/profile.php?id=100070946473573</v>
      </c>
      <c r="B323" s="1" t="str">
        <f ca="1">IFERROR(__xludf.DUMMYFUNCTION("""COMPUTED_VALUE"""),"Jun Ske")</f>
        <v>Jun Ske</v>
      </c>
      <c r="C323" s="1" t="str">
        <f ca="1">IFERROR(__xludf.DUMMYFUNCTION("""COMPUTED_VALUE"""),"Jun")</f>
        <v>Jun</v>
      </c>
      <c r="D323" s="1" t="str">
        <f ca="1">IFERROR(__xludf.DUMMYFUNCTION("""COMPUTED_VALUE"""),"Ske")</f>
        <v>Ske</v>
      </c>
      <c r="E323" s="1" t="str">
        <f ca="1">IFERROR(__xludf.DUMMYFUNCTION("""COMPUTED_VALUE"""),"sige. laitin niyo pa hanggang sa lumalakas siya... 😂")</f>
        <v>sige. laitin niyo pa hanggang sa lumalakas siya... 😂</v>
      </c>
      <c r="F323" s="1"/>
      <c r="G323" s="1" t="str">
        <f ca="1">IFERROR(__xludf.DUMMYFUNCTION("""COMPUTED_VALUE"""),"3 mos")</f>
        <v>3 mos</v>
      </c>
      <c r="H323" s="1" t="str">
        <f ca="1">IFERROR(__xludf.DUMMYFUNCTION("""COMPUTED_VALUE"""),"comment")</f>
        <v>comment</v>
      </c>
      <c r="I323" s="2" t="str">
        <f ca="1">IFERROR(__xludf.DUMMYFUNCTION("""COMPUTED_VALUE"""),"https://www.facebook.com/rapplerdotcom/photos/a.317154781638645/5597874143566656")</f>
        <v>https://www.facebook.com/rapplerdotcom/photos/a.317154781638645/5597874143566656</v>
      </c>
      <c r="J323" s="1" t="str">
        <f ca="1">IFERROR(__xludf.DUMMYFUNCTION("""COMPUTED_VALUE"""),"2022-07-04T11:11:14.004Z")</f>
        <v>2022-07-04T11:11:14.004Z</v>
      </c>
    </row>
    <row r="324" spans="1:10" x14ac:dyDescent="0.2">
      <c r="A324" s="2" t="str">
        <f ca="1">IFERROR(__xludf.DUMMYFUNCTION("""COMPUTED_VALUE"""),"https://www.facebook.com/dexter.pavia")</f>
        <v>https://www.facebook.com/dexter.pavia</v>
      </c>
      <c r="B324" s="1" t="str">
        <f ca="1">IFERROR(__xludf.DUMMYFUNCTION("""COMPUTED_VALUE"""),"Dexter Pavia")</f>
        <v>Dexter Pavia</v>
      </c>
      <c r="C324" s="1" t="str">
        <f ca="1">IFERROR(__xludf.DUMMYFUNCTION("""COMPUTED_VALUE"""),"Dexter")</f>
        <v>Dexter</v>
      </c>
      <c r="D324" s="1" t="str">
        <f ca="1">IFERROR(__xludf.DUMMYFUNCTION("""COMPUTED_VALUE"""),"Pavia")</f>
        <v>Pavia</v>
      </c>
      <c r="E324" s="1" t="str">
        <f ca="1">IFERROR(__xludf.DUMMYFUNCTION("""COMPUTED_VALUE"""),"Dexter Pavia")</f>
        <v>Dexter Pavia</v>
      </c>
      <c r="F324" s="1"/>
      <c r="G324" s="1" t="str">
        <f ca="1">IFERROR(__xludf.DUMMYFUNCTION("""COMPUTED_VALUE"""),"3 mos")</f>
        <v>3 mos</v>
      </c>
      <c r="H324" s="1" t="str">
        <f ca="1">IFERROR(__xludf.DUMMYFUNCTION("""COMPUTED_VALUE"""),"comment")</f>
        <v>comment</v>
      </c>
      <c r="I324" s="2" t="str">
        <f ca="1">IFERROR(__xludf.DUMMYFUNCTION("""COMPUTED_VALUE"""),"https://www.facebook.com/rapplerdotcom/photos/a.317154781638645/5597874143566656")</f>
        <v>https://www.facebook.com/rapplerdotcom/photos/a.317154781638645/5597874143566656</v>
      </c>
      <c r="J324" s="1" t="str">
        <f ca="1">IFERROR(__xludf.DUMMYFUNCTION("""COMPUTED_VALUE"""),"2022-07-04T11:11:14.004Z")</f>
        <v>2022-07-04T11:11:14.004Z</v>
      </c>
    </row>
    <row r="325" spans="1:10" x14ac:dyDescent="0.2">
      <c r="A325" s="2" t="str">
        <f ca="1">IFERROR(__xludf.DUMMYFUNCTION("""COMPUTED_VALUE"""),"https://www.facebook.com/edson.l.sion")</f>
        <v>https://www.facebook.com/edson.l.sion</v>
      </c>
      <c r="B325" s="1" t="str">
        <f ca="1">IFERROR(__xludf.DUMMYFUNCTION("""COMPUTED_VALUE"""),"Levi Sion")</f>
        <v>Levi Sion</v>
      </c>
      <c r="C325" s="1" t="str">
        <f ca="1">IFERROR(__xludf.DUMMYFUNCTION("""COMPUTED_VALUE"""),"Levi")</f>
        <v>Levi</v>
      </c>
      <c r="D325" s="1" t="str">
        <f ca="1">IFERROR(__xludf.DUMMYFUNCTION("""COMPUTED_VALUE"""),"Sion")</f>
        <v>Sion</v>
      </c>
      <c r="E325" s="1" t="str">
        <f ca="1">IFERROR(__xludf.DUMMYFUNCTION("""COMPUTED_VALUE"""),"Levi Sion")</f>
        <v>Levi Sion</v>
      </c>
      <c r="F325" s="1"/>
      <c r="G325" s="1" t="str">
        <f ca="1">IFERROR(__xludf.DUMMYFUNCTION("""COMPUTED_VALUE"""),"3 mos")</f>
        <v>3 mos</v>
      </c>
      <c r="H325" s="1" t="str">
        <f ca="1">IFERROR(__xludf.DUMMYFUNCTION("""COMPUTED_VALUE"""),"comment")</f>
        <v>comment</v>
      </c>
      <c r="I325" s="2" t="str">
        <f ca="1">IFERROR(__xludf.DUMMYFUNCTION("""COMPUTED_VALUE"""),"https://www.facebook.com/rapplerdotcom/photos/a.317154781638645/5597874143566656")</f>
        <v>https://www.facebook.com/rapplerdotcom/photos/a.317154781638645/5597874143566656</v>
      </c>
      <c r="J325" s="1" t="str">
        <f ca="1">IFERROR(__xludf.DUMMYFUNCTION("""COMPUTED_VALUE"""),"2022-07-04T11:11:14.004Z")</f>
        <v>2022-07-04T11:11:14.004Z</v>
      </c>
    </row>
    <row r="326" spans="1:10" x14ac:dyDescent="0.2">
      <c r="A326" s="2" t="str">
        <f ca="1">IFERROR(__xludf.DUMMYFUNCTION("""COMPUTED_VALUE"""),"https://www.facebook.com/inocando.arnold")</f>
        <v>https://www.facebook.com/inocando.arnold</v>
      </c>
      <c r="B326" s="1" t="str">
        <f ca="1">IFERROR(__xludf.DUMMYFUNCTION("""COMPUTED_VALUE"""),"Inocando Arnold")</f>
        <v>Inocando Arnold</v>
      </c>
      <c r="C326" s="1" t="str">
        <f ca="1">IFERROR(__xludf.DUMMYFUNCTION("""COMPUTED_VALUE"""),"Inocando")</f>
        <v>Inocando</v>
      </c>
      <c r="D326" s="1" t="str">
        <f ca="1">IFERROR(__xludf.DUMMYFUNCTION("""COMPUTED_VALUE"""),"Arnold")</f>
        <v>Arnold</v>
      </c>
      <c r="E326" s="1" t="str">
        <f ca="1">IFERROR(__xludf.DUMMYFUNCTION("""COMPUTED_VALUE"""),"Inocando Arnold")</f>
        <v>Inocando Arnold</v>
      </c>
      <c r="F326" s="1"/>
      <c r="G326" s="1" t="str">
        <f ca="1">IFERROR(__xludf.DUMMYFUNCTION("""COMPUTED_VALUE"""),"3 mos")</f>
        <v>3 mos</v>
      </c>
      <c r="H326" s="1" t="str">
        <f ca="1">IFERROR(__xludf.DUMMYFUNCTION("""COMPUTED_VALUE"""),"comment")</f>
        <v>comment</v>
      </c>
      <c r="I326" s="2" t="str">
        <f ca="1">IFERROR(__xludf.DUMMYFUNCTION("""COMPUTED_VALUE"""),"https://www.facebook.com/rapplerdotcom/photos/a.317154781638645/5597874143566656")</f>
        <v>https://www.facebook.com/rapplerdotcom/photos/a.317154781638645/5597874143566656</v>
      </c>
      <c r="J326" s="1" t="str">
        <f ca="1">IFERROR(__xludf.DUMMYFUNCTION("""COMPUTED_VALUE"""),"2022-07-04T11:11:14.004Z")</f>
        <v>2022-07-04T11:11:14.004Z</v>
      </c>
    </row>
    <row r="327" spans="1:10" x14ac:dyDescent="0.2">
      <c r="A327" s="2" t="str">
        <f ca="1">IFERROR(__xludf.DUMMYFUNCTION("""COMPUTED_VALUE"""),"https://www.facebook.com/maryrose.dizon.718")</f>
        <v>https://www.facebook.com/maryrose.dizon.718</v>
      </c>
      <c r="B327" s="1" t="str">
        <f ca="1">IFERROR(__xludf.DUMMYFUNCTION("""COMPUTED_VALUE"""),"MaryRose M Dizon")</f>
        <v>MaryRose M Dizon</v>
      </c>
      <c r="C327" s="1" t="str">
        <f ca="1">IFERROR(__xludf.DUMMYFUNCTION("""COMPUTED_VALUE"""),"MaryRose")</f>
        <v>MaryRose</v>
      </c>
      <c r="D327" s="1" t="str">
        <f ca="1">IFERROR(__xludf.DUMMYFUNCTION("""COMPUTED_VALUE"""),"M Dizon")</f>
        <v>M Dizon</v>
      </c>
      <c r="E327" s="1" t="str">
        <f ca="1">IFERROR(__xludf.DUMMYFUNCTION("""COMPUTED_VALUE"""),"AYSUS")</f>
        <v>AYSUS</v>
      </c>
      <c r="F327" s="1"/>
      <c r="G327" s="1" t="str">
        <f ca="1">IFERROR(__xludf.DUMMYFUNCTION("""COMPUTED_VALUE"""),"3 mos")</f>
        <v>3 mos</v>
      </c>
      <c r="H327" s="1" t="str">
        <f ca="1">IFERROR(__xludf.DUMMYFUNCTION("""COMPUTED_VALUE"""),"comment")</f>
        <v>comment</v>
      </c>
      <c r="I327" s="2" t="str">
        <f ca="1">IFERROR(__xludf.DUMMYFUNCTION("""COMPUTED_VALUE"""),"https://www.facebook.com/rapplerdotcom/photos/a.317154781638645/5597874143566656")</f>
        <v>https://www.facebook.com/rapplerdotcom/photos/a.317154781638645/5597874143566656</v>
      </c>
      <c r="J327" s="1" t="str">
        <f ca="1">IFERROR(__xludf.DUMMYFUNCTION("""COMPUTED_VALUE"""),"2022-07-04T11:11:14.004Z")</f>
        <v>2022-07-04T11:11:14.004Z</v>
      </c>
    </row>
    <row r="328" spans="1:10" x14ac:dyDescent="0.2">
      <c r="A328" s="2" t="str">
        <f ca="1">IFERROR(__xludf.DUMMYFUNCTION("""COMPUTED_VALUE"""),"https://www.facebook.com/reynold.galamiton")</f>
        <v>https://www.facebook.com/reynold.galamiton</v>
      </c>
      <c r="B328" s="1" t="str">
        <f ca="1">IFERROR(__xludf.DUMMYFUNCTION("""COMPUTED_VALUE"""),"Red Reynold Galamiton")</f>
        <v>Red Reynold Galamiton</v>
      </c>
      <c r="C328" s="1" t="str">
        <f ca="1">IFERROR(__xludf.DUMMYFUNCTION("""COMPUTED_VALUE"""),"Red")</f>
        <v>Red</v>
      </c>
      <c r="D328" s="1" t="str">
        <f ca="1">IFERROR(__xludf.DUMMYFUNCTION("""COMPUTED_VALUE"""),"Reynold Galamiton")</f>
        <v>Reynold Galamiton</v>
      </c>
      <c r="E328" s="1" t="str">
        <f ca="1">IFERROR(__xludf.DUMMYFUNCTION("""COMPUTED_VALUE"""),"Inggit pikit!")</f>
        <v>Inggit pikit!</v>
      </c>
      <c r="F328" s="1">
        <f ca="1">IFERROR(__xludf.DUMMYFUNCTION("""COMPUTED_VALUE"""),1)</f>
        <v>1</v>
      </c>
      <c r="G328" s="1" t="str">
        <f ca="1">IFERROR(__xludf.DUMMYFUNCTION("""COMPUTED_VALUE"""),"3 mos")</f>
        <v>3 mos</v>
      </c>
      <c r="H328" s="1" t="str">
        <f ca="1">IFERROR(__xludf.DUMMYFUNCTION("""COMPUTED_VALUE"""),"comment")</f>
        <v>comment</v>
      </c>
      <c r="I328" s="2" t="str">
        <f ca="1">IFERROR(__xludf.DUMMYFUNCTION("""COMPUTED_VALUE"""),"https://www.facebook.com/rapplerdotcom/photos/a.317154781638645/5597874143566656")</f>
        <v>https://www.facebook.com/rapplerdotcom/photos/a.317154781638645/5597874143566656</v>
      </c>
      <c r="J328" s="1" t="str">
        <f ca="1">IFERROR(__xludf.DUMMYFUNCTION("""COMPUTED_VALUE"""),"2022-07-04T11:11:14.004Z")</f>
        <v>2022-07-04T11:11:14.004Z</v>
      </c>
    </row>
    <row r="329" spans="1:10" x14ac:dyDescent="0.2">
      <c r="A329" s="2" t="str">
        <f ca="1">IFERROR(__xludf.DUMMYFUNCTION("""COMPUTED_VALUE"""),"https://www.facebook.com/ricardo.borja.908")</f>
        <v>https://www.facebook.com/ricardo.borja.908</v>
      </c>
      <c r="B329" s="1" t="str">
        <f ca="1">IFERROR(__xludf.DUMMYFUNCTION("""COMPUTED_VALUE"""),"Ricardo Borja")</f>
        <v>Ricardo Borja</v>
      </c>
      <c r="C329" s="1" t="str">
        <f ca="1">IFERROR(__xludf.DUMMYFUNCTION("""COMPUTED_VALUE"""),"Ricardo")</f>
        <v>Ricardo</v>
      </c>
      <c r="D329" s="1" t="str">
        <f ca="1">IFERROR(__xludf.DUMMYFUNCTION("""COMPUTED_VALUE"""),"Borja")</f>
        <v>Borja</v>
      </c>
      <c r="E329" s="1" t="str">
        <f ca="1">IFERROR(__xludf.DUMMYFUNCTION("""COMPUTED_VALUE"""),"Ricardo Borja")</f>
        <v>Ricardo Borja</v>
      </c>
      <c r="F329" s="1"/>
      <c r="G329" s="1" t="str">
        <f ca="1">IFERROR(__xludf.DUMMYFUNCTION("""COMPUTED_VALUE"""),"3 mos")</f>
        <v>3 mos</v>
      </c>
      <c r="H329" s="1" t="str">
        <f ca="1">IFERROR(__xludf.DUMMYFUNCTION("""COMPUTED_VALUE"""),"comment")</f>
        <v>comment</v>
      </c>
      <c r="I329" s="2" t="str">
        <f ca="1">IFERROR(__xludf.DUMMYFUNCTION("""COMPUTED_VALUE"""),"https://www.facebook.com/rapplerdotcom/photos/a.317154781638645/5597874143566656")</f>
        <v>https://www.facebook.com/rapplerdotcom/photos/a.317154781638645/5597874143566656</v>
      </c>
      <c r="J329" s="1" t="str">
        <f ca="1">IFERROR(__xludf.DUMMYFUNCTION("""COMPUTED_VALUE"""),"2022-07-04T11:11:14.004Z")</f>
        <v>2022-07-04T11:11:14.004Z</v>
      </c>
    </row>
    <row r="330" spans="1:10" x14ac:dyDescent="0.2">
      <c r="A330" s="2" t="str">
        <f ca="1">IFERROR(__xludf.DUMMYFUNCTION("""COMPUTED_VALUE"""),"https://www.facebook.com/wrollee018")</f>
        <v>https://www.facebook.com/wrollee018</v>
      </c>
      <c r="B330" s="1" t="str">
        <f ca="1">IFERROR(__xludf.DUMMYFUNCTION("""COMPUTED_VALUE"""),"Rolly Garcia Cuasay")</f>
        <v>Rolly Garcia Cuasay</v>
      </c>
      <c r="C330" s="1" t="str">
        <f ca="1">IFERROR(__xludf.DUMMYFUNCTION("""COMPUTED_VALUE"""),"Rolly")</f>
        <v>Rolly</v>
      </c>
      <c r="D330" s="1" t="str">
        <f ca="1">IFERROR(__xludf.DUMMYFUNCTION("""COMPUTED_VALUE"""),"Garcia Cuasay")</f>
        <v>Garcia Cuasay</v>
      </c>
      <c r="E330" s="1" t="str">
        <f ca="1">IFERROR(__xludf.DUMMYFUNCTION("""COMPUTED_VALUE"""),"Iyaakkkk")</f>
        <v>Iyaakkkk</v>
      </c>
      <c r="F330" s="1"/>
      <c r="G330" s="1" t="str">
        <f ca="1">IFERROR(__xludf.DUMMYFUNCTION("""COMPUTED_VALUE"""),"3 mos")</f>
        <v>3 mos</v>
      </c>
      <c r="H330" s="1" t="str">
        <f ca="1">IFERROR(__xludf.DUMMYFUNCTION("""COMPUTED_VALUE"""),"comment")</f>
        <v>comment</v>
      </c>
      <c r="I330" s="2" t="str">
        <f ca="1">IFERROR(__xludf.DUMMYFUNCTION("""COMPUTED_VALUE"""),"https://www.facebook.com/rapplerdotcom/photos/a.317154781638645/5597874143566656")</f>
        <v>https://www.facebook.com/rapplerdotcom/photos/a.317154781638645/5597874143566656</v>
      </c>
      <c r="J330" s="1" t="str">
        <f ca="1">IFERROR(__xludf.DUMMYFUNCTION("""COMPUTED_VALUE"""),"2022-07-04T11:11:14.004Z")</f>
        <v>2022-07-04T11:11:14.004Z</v>
      </c>
    </row>
    <row r="331" spans="1:10" x14ac:dyDescent="0.2">
      <c r="A331" s="2" t="str">
        <f ca="1">IFERROR(__xludf.DUMMYFUNCTION("""COMPUTED_VALUE"""),"https://www.facebook.com/jonsibalasi")</f>
        <v>https://www.facebook.com/jonsibalasi</v>
      </c>
      <c r="B331" s="1" t="str">
        <f ca="1">IFERROR(__xludf.DUMMYFUNCTION("""COMPUTED_VALUE"""),"Tambaoan T. Jonathan")</f>
        <v>Tambaoan T. Jonathan</v>
      </c>
      <c r="C331" s="1" t="str">
        <f ca="1">IFERROR(__xludf.DUMMYFUNCTION("""COMPUTED_VALUE"""),"Tambaoan")</f>
        <v>Tambaoan</v>
      </c>
      <c r="D331" s="1" t="str">
        <f ca="1">IFERROR(__xludf.DUMMYFUNCTION("""COMPUTED_VALUE"""),"T. Jonathan")</f>
        <v>T. Jonathan</v>
      </c>
      <c r="E331" s="1" t="str">
        <f ca="1">IFERROR(__xludf.DUMMYFUNCTION("""COMPUTED_VALUE"""),"Bughaw ang mananalo")</f>
        <v>Bughaw ang mananalo</v>
      </c>
      <c r="F331" s="1"/>
      <c r="G331" s="1" t="str">
        <f ca="1">IFERROR(__xludf.DUMMYFUNCTION("""COMPUTED_VALUE"""),"3 mos")</f>
        <v>3 mos</v>
      </c>
      <c r="H331" s="1" t="str">
        <f ca="1">IFERROR(__xludf.DUMMYFUNCTION("""COMPUTED_VALUE"""),"comment")</f>
        <v>comment</v>
      </c>
      <c r="I331" s="2" t="str">
        <f ca="1">IFERROR(__xludf.DUMMYFUNCTION("""COMPUTED_VALUE"""),"https://www.facebook.com/rapplerdotcom/photos/a.317154781638645/5597874143566656")</f>
        <v>https://www.facebook.com/rapplerdotcom/photos/a.317154781638645/5597874143566656</v>
      </c>
      <c r="J331" s="1" t="str">
        <f ca="1">IFERROR(__xludf.DUMMYFUNCTION("""COMPUTED_VALUE"""),"2022-07-04T11:11:14.004Z")</f>
        <v>2022-07-04T11:11:14.004Z</v>
      </c>
    </row>
    <row r="332" spans="1:10" x14ac:dyDescent="0.2">
      <c r="A332" s="2" t="str">
        <f ca="1">IFERROR(__xludf.DUMMYFUNCTION("""COMPUTED_VALUE"""),"https://www.facebook.com/Itz.me.leo.reyes")</f>
        <v>https://www.facebook.com/Itz.me.leo.reyes</v>
      </c>
      <c r="B332" s="1" t="str">
        <f ca="1">IFERROR(__xludf.DUMMYFUNCTION("""COMPUTED_VALUE"""),"Leo Disio Reyes")</f>
        <v>Leo Disio Reyes</v>
      </c>
      <c r="C332" s="1" t="str">
        <f ca="1">IFERROR(__xludf.DUMMYFUNCTION("""COMPUTED_VALUE"""),"Leo")</f>
        <v>Leo</v>
      </c>
      <c r="D332" s="1" t="str">
        <f ca="1">IFERROR(__xludf.DUMMYFUNCTION("""COMPUTED_VALUE"""),"Disio Reyes")</f>
        <v>Disio Reyes</v>
      </c>
      <c r="E332" s="1" t="str">
        <f ca="1">IFERROR(__xludf.DUMMYFUNCTION("""COMPUTED_VALUE"""),"Palibhasa kc mga kakampwet wala non 🤣🤣")</f>
        <v>Palibhasa kc mga kakampwet wala non 🤣🤣</v>
      </c>
      <c r="F332" s="1"/>
      <c r="G332" s="1" t="str">
        <f ca="1">IFERROR(__xludf.DUMMYFUNCTION("""COMPUTED_VALUE"""),"3 mos")</f>
        <v>3 mos</v>
      </c>
      <c r="H332" s="1" t="str">
        <f ca="1">IFERROR(__xludf.DUMMYFUNCTION("""COMPUTED_VALUE"""),"comment")</f>
        <v>comment</v>
      </c>
      <c r="I332" s="2" t="str">
        <f ca="1">IFERROR(__xludf.DUMMYFUNCTION("""COMPUTED_VALUE"""),"https://www.facebook.com/rapplerdotcom/photos/a.317154781638645/5597874143566656")</f>
        <v>https://www.facebook.com/rapplerdotcom/photos/a.317154781638645/5597874143566656</v>
      </c>
      <c r="J332" s="1" t="str">
        <f ca="1">IFERROR(__xludf.DUMMYFUNCTION("""COMPUTED_VALUE"""),"2022-07-04T11:11:14.004Z")</f>
        <v>2022-07-04T11:11:14.004Z</v>
      </c>
    </row>
    <row r="333" spans="1:10" x14ac:dyDescent="0.2">
      <c r="A333" s="2" t="str">
        <f ca="1">IFERROR(__xludf.DUMMYFUNCTION("""COMPUTED_VALUE"""),"https://www.facebook.com/zandra.lim.3")</f>
        <v>https://www.facebook.com/zandra.lim.3</v>
      </c>
      <c r="B333" s="1" t="str">
        <f ca="1">IFERROR(__xludf.DUMMYFUNCTION("""COMPUTED_VALUE"""),"Zee Lim")</f>
        <v>Zee Lim</v>
      </c>
      <c r="C333" s="1" t="str">
        <f ca="1">IFERROR(__xludf.DUMMYFUNCTION("""COMPUTED_VALUE"""),"Zee")</f>
        <v>Zee</v>
      </c>
      <c r="D333" s="1" t="str">
        <f ca="1">IFERROR(__xludf.DUMMYFUNCTION("""COMPUTED_VALUE"""),"Lim")</f>
        <v>Lim</v>
      </c>
      <c r="E333" s="1" t="str">
        <f ca="1">IFERROR(__xludf.DUMMYFUNCTION("""COMPUTED_VALUE"""),"#UniTeamBBMSARA ✌🇵🇭✌❤🤝💚💎")</f>
        <v>#UniTeamBBMSARA ✌🇵🇭✌❤🤝💚💎</v>
      </c>
      <c r="F333" s="1">
        <f ca="1">IFERROR(__xludf.DUMMYFUNCTION("""COMPUTED_VALUE"""),8)</f>
        <v>8</v>
      </c>
      <c r="G333" s="1" t="str">
        <f ca="1">IFERROR(__xludf.DUMMYFUNCTION("""COMPUTED_VALUE"""),"3 mos")</f>
        <v>3 mos</v>
      </c>
      <c r="H333" s="1" t="str">
        <f ca="1">IFERROR(__xludf.DUMMYFUNCTION("""COMPUTED_VALUE"""),"comment")</f>
        <v>comment</v>
      </c>
      <c r="I333" s="2" t="str">
        <f ca="1">IFERROR(__xludf.DUMMYFUNCTION("""COMPUTED_VALUE"""),"https://www.facebook.com/rapplerdotcom/photos/a.317154781638645/5597874143566656")</f>
        <v>https://www.facebook.com/rapplerdotcom/photos/a.317154781638645/5597874143566656</v>
      </c>
      <c r="J333" s="1" t="str">
        <f ca="1">IFERROR(__xludf.DUMMYFUNCTION("""COMPUTED_VALUE"""),"2022-07-04T11:11:14.004Z")</f>
        <v>2022-07-04T11:11:14.004Z</v>
      </c>
    </row>
    <row r="334" spans="1:10" x14ac:dyDescent="0.2">
      <c r="A334" s="2" t="str">
        <f ca="1">IFERROR(__xludf.DUMMYFUNCTION("""COMPUTED_VALUE"""),"https://www.facebook.com/jeko.balaquidan")</f>
        <v>https://www.facebook.com/jeko.balaquidan</v>
      </c>
      <c r="B334" s="1" t="str">
        <f ca="1">IFERROR(__xludf.DUMMYFUNCTION("""COMPUTED_VALUE"""),"Jeko Balaquidan")</f>
        <v>Jeko Balaquidan</v>
      </c>
      <c r="C334" s="1" t="str">
        <f ca="1">IFERROR(__xludf.DUMMYFUNCTION("""COMPUTED_VALUE"""),"Jeko")</f>
        <v>Jeko</v>
      </c>
      <c r="D334" s="1" t="str">
        <f ca="1">IFERROR(__xludf.DUMMYFUNCTION("""COMPUTED_VALUE"""),"Balaquidan")</f>
        <v>Balaquidan</v>
      </c>
      <c r="E334" s="1" t="str">
        <f ca="1">IFERROR(__xludf.DUMMYFUNCTION("""COMPUTED_VALUE"""),"Pareparehong mayayaman lang naman uunlad kahit sino manalo jan..pag pula sasavihin kurap pag pink puppet nman at gatasan ng mga mayayaman🤣🤣🤣 wag lang dayaan ang maging dahilan ng pagkapanalo ok lang kahit sino sa kanila👍")</f>
        <v>Pareparehong mayayaman lang naman uunlad kahit sino manalo jan..pag pula sasavihin kurap pag pink puppet nman at gatasan ng mga mayayaman🤣🤣🤣 wag lang dayaan ang maging dahilan ng pagkapanalo ok lang kahit sino sa kanila👍</v>
      </c>
      <c r="F334" s="1"/>
      <c r="G334" s="1" t="str">
        <f ca="1">IFERROR(__xludf.DUMMYFUNCTION("""COMPUTED_VALUE"""),"3 mos")</f>
        <v>3 mos</v>
      </c>
      <c r="H334" s="1" t="str">
        <f ca="1">IFERROR(__xludf.DUMMYFUNCTION("""COMPUTED_VALUE"""),"comment")</f>
        <v>comment</v>
      </c>
      <c r="I334" s="2" t="str">
        <f ca="1">IFERROR(__xludf.DUMMYFUNCTION("""COMPUTED_VALUE"""),"https://www.facebook.com/rapplerdotcom/photos/a.317154781638645/5597874143566656")</f>
        <v>https://www.facebook.com/rapplerdotcom/photos/a.317154781638645/5597874143566656</v>
      </c>
      <c r="J334" s="1" t="str">
        <f ca="1">IFERROR(__xludf.DUMMYFUNCTION("""COMPUTED_VALUE"""),"2022-07-04T11:11:14.004Z")</f>
        <v>2022-07-04T11:11:14.004Z</v>
      </c>
    </row>
    <row r="335" spans="1:10" x14ac:dyDescent="0.2">
      <c r="A335" s="2" t="str">
        <f ca="1">IFERROR(__xludf.DUMMYFUNCTION("""COMPUTED_VALUE"""),"https://www.facebook.com/jannetCSM")</f>
        <v>https://www.facebook.com/jannetCSM</v>
      </c>
      <c r="B335" s="1" t="str">
        <f ca="1">IFERROR(__xludf.DUMMYFUNCTION("""COMPUTED_VALUE"""),"Jannet Sta Monica")</f>
        <v>Jannet Sta Monica</v>
      </c>
      <c r="C335" s="1" t="str">
        <f ca="1">IFERROR(__xludf.DUMMYFUNCTION("""COMPUTED_VALUE"""),"Jannet")</f>
        <v>Jannet</v>
      </c>
      <c r="D335" s="1" t="str">
        <f ca="1">IFERROR(__xludf.DUMMYFUNCTION("""COMPUTED_VALUE"""),"Sta Monica")</f>
        <v>Sta Monica</v>
      </c>
      <c r="E335" s="1" t="str">
        <f ca="1">IFERROR(__xludf.DUMMYFUNCTION("""COMPUTED_VALUE"""),"Well at least may character development kahit papano but not gonna change the fact that he's one of the reasons why thousands of ABS-CBN employees lost their jobs in the middle of the pandemic. Kasama na ako doon. Again, praying this guy gets what he and "&amp;"his family deserve.")</f>
        <v>Well at least may character development kahit papano but not gonna change the fact that he's one of the reasons why thousands of ABS-CBN employees lost their jobs in the middle of the pandemic. Kasama na ako doon. Again, praying this guy gets what he and his family deserve.</v>
      </c>
      <c r="F335" s="1">
        <f ca="1">IFERROR(__xludf.DUMMYFUNCTION("""COMPUTED_VALUE"""),21)</f>
        <v>21</v>
      </c>
      <c r="G335" s="1" t="str">
        <f ca="1">IFERROR(__xludf.DUMMYFUNCTION("""COMPUTED_VALUE"""),"3 mos")</f>
        <v>3 mos</v>
      </c>
      <c r="H335" s="1" t="str">
        <f ca="1">IFERROR(__xludf.DUMMYFUNCTION("""COMPUTED_VALUE"""),"comment")</f>
        <v>comment</v>
      </c>
      <c r="I335" s="2" t="str">
        <f ca="1">IFERROR(__xludf.DUMMYFUNCTION("""COMPUTED_VALUE"""),"https://www.facebook.com/rapplerdotcom/photos/a.317154781638645/5597612220259515/")</f>
        <v>https://www.facebook.com/rapplerdotcom/photos/a.317154781638645/5597612220259515/</v>
      </c>
      <c r="J335" s="1" t="str">
        <f ca="1">IFERROR(__xludf.DUMMYFUNCTION("""COMPUTED_VALUE"""),"2022-07-04T11:12:03.020Z")</f>
        <v>2022-07-04T11:12:03.020Z</v>
      </c>
    </row>
    <row r="336" spans="1:10" x14ac:dyDescent="0.2">
      <c r="A336" s="2" t="str">
        <f ca="1">IFERROR(__xludf.DUMMYFUNCTION("""COMPUTED_VALUE"""),"https://www.facebook.com/profile.php?id=100070178707772")</f>
        <v>https://www.facebook.com/profile.php?id=100070178707772</v>
      </c>
      <c r="B336" s="1" t="str">
        <f ca="1">IFERROR(__xludf.DUMMYFUNCTION("""COMPUTED_VALUE"""),"Mike Andrada")</f>
        <v>Mike Andrada</v>
      </c>
      <c r="C336" s="1" t="str">
        <f ca="1">IFERROR(__xludf.DUMMYFUNCTION("""COMPUTED_VALUE"""),"Mike")</f>
        <v>Mike</v>
      </c>
      <c r="D336" s="1" t="str">
        <f ca="1">IFERROR(__xludf.DUMMYFUNCTION("""COMPUTED_VALUE"""),"Andrada")</f>
        <v>Andrada</v>
      </c>
      <c r="E336" s="1" t="str">
        <f ca="1">IFERROR(__xludf.DUMMYFUNCTION("""COMPUTED_VALUE"""),"Has anyone noticed how strikingly similar the pattern of crime is for EJK, Sabungero Kidnapping and Harrasment of Customs Personnel? Just fill in the blanks.")</f>
        <v>Has anyone noticed how strikingly similar the pattern of crime is for EJK, Sabungero Kidnapping and Harrasment of Customs Personnel? Just fill in the blanks.</v>
      </c>
      <c r="F336" s="1"/>
      <c r="G336" s="1" t="str">
        <f ca="1">IFERROR(__xludf.DUMMYFUNCTION("""COMPUTED_VALUE"""),"3 mos")</f>
        <v>3 mos</v>
      </c>
      <c r="H336" s="1" t="str">
        <f ca="1">IFERROR(__xludf.DUMMYFUNCTION("""COMPUTED_VALUE"""),"reply")</f>
        <v>reply</v>
      </c>
      <c r="I336" s="2" t="str">
        <f ca="1">IFERROR(__xludf.DUMMYFUNCTION("""COMPUTED_VALUE"""),"https://www.facebook.com/rapplerdotcom/photos/a.317154781638645/5597612220259515/")</f>
        <v>https://www.facebook.com/rapplerdotcom/photos/a.317154781638645/5597612220259515/</v>
      </c>
      <c r="J336" s="1" t="str">
        <f ca="1">IFERROR(__xludf.DUMMYFUNCTION("""COMPUTED_VALUE"""),"2022-07-04T11:12:03.021Z")</f>
        <v>2022-07-04T11:12:03.021Z</v>
      </c>
    </row>
    <row r="337" spans="1:10" x14ac:dyDescent="0.2">
      <c r="A337" s="2" t="str">
        <f ca="1">IFERROR(__xludf.DUMMYFUNCTION("""COMPUTED_VALUE"""),"https://www.facebook.com/chris.c.camacho")</f>
        <v>https://www.facebook.com/chris.c.camacho</v>
      </c>
      <c r="B337" s="1" t="str">
        <f ca="1">IFERROR(__xludf.DUMMYFUNCTION("""COMPUTED_VALUE"""),"Star Xina Camacho")</f>
        <v>Star Xina Camacho</v>
      </c>
      <c r="C337" s="1" t="str">
        <f ca="1">IFERROR(__xludf.DUMMYFUNCTION("""COMPUTED_VALUE"""),"Star")</f>
        <v>Star</v>
      </c>
      <c r="D337" s="1" t="str">
        <f ca="1">IFERROR(__xludf.DUMMYFUNCTION("""COMPUTED_VALUE"""),"Xina Camacho")</f>
        <v>Xina Camacho</v>
      </c>
      <c r="E337" s="1" t="str">
        <f ca="1">IFERROR(__xludf.DUMMYFUNCTION("""COMPUTED_VALUE"""),"It's a good job for choosing the right candidate for Presidency! Well done Rep. Barzaga!")</f>
        <v>It's a good job for choosing the right candidate for Presidency! Well done Rep. Barzaga!</v>
      </c>
      <c r="F337" s="1">
        <f ca="1">IFERROR(__xludf.DUMMYFUNCTION("""COMPUTED_VALUE"""),22)</f>
        <v>22</v>
      </c>
      <c r="G337" s="1" t="str">
        <f ca="1">IFERROR(__xludf.DUMMYFUNCTION("""COMPUTED_VALUE"""),"3 mos")</f>
        <v>3 mos</v>
      </c>
      <c r="H337" s="1" t="str">
        <f ca="1">IFERROR(__xludf.DUMMYFUNCTION("""COMPUTED_VALUE"""),"comment")</f>
        <v>comment</v>
      </c>
      <c r="I337" s="2" t="str">
        <f ca="1">IFERROR(__xludf.DUMMYFUNCTION("""COMPUTED_VALUE"""),"https://www.facebook.com/rapplerdotcom/photos/a.317154781638645/5597612220259515/")</f>
        <v>https://www.facebook.com/rapplerdotcom/photos/a.317154781638645/5597612220259515/</v>
      </c>
      <c r="J337" s="1" t="str">
        <f ca="1">IFERROR(__xludf.DUMMYFUNCTION("""COMPUTED_VALUE"""),"2022-07-04T11:12:03.021Z")</f>
        <v>2022-07-04T11:12:03.021Z</v>
      </c>
    </row>
    <row r="338" spans="1:10" x14ac:dyDescent="0.2">
      <c r="A338" s="2" t="str">
        <f ca="1">IFERROR(__xludf.DUMMYFUNCTION("""COMPUTED_VALUE"""),"https://www.facebook.com/christianjerry.castillo")</f>
        <v>https://www.facebook.com/christianjerry.castillo</v>
      </c>
      <c r="B338" s="1" t="str">
        <f ca="1">IFERROR(__xludf.DUMMYFUNCTION("""COMPUTED_VALUE"""),"Jerry Calicdan Castillo")</f>
        <v>Jerry Calicdan Castillo</v>
      </c>
      <c r="C338" s="1" t="str">
        <f ca="1">IFERROR(__xludf.DUMMYFUNCTION("""COMPUTED_VALUE"""),"Jerry")</f>
        <v>Jerry</v>
      </c>
      <c r="D338" s="1" t="str">
        <f ca="1">IFERROR(__xludf.DUMMYFUNCTION("""COMPUTED_VALUE"""),"Calicdan Castillo")</f>
        <v>Calicdan Castillo</v>
      </c>
      <c r="E338" s="1" t="str">
        <f ca="1">IFERROR(__xludf.DUMMYFUNCTION("""COMPUTED_VALUE"""),"Hahaha..lutang")</f>
        <v>Hahaha..lutang</v>
      </c>
      <c r="F338" s="1">
        <f ca="1">IFERROR(__xludf.DUMMYFUNCTION("""COMPUTED_VALUE"""),1)</f>
        <v>1</v>
      </c>
      <c r="G338" s="1" t="str">
        <f ca="1">IFERROR(__xludf.DUMMYFUNCTION("""COMPUTED_VALUE"""),"3 mos")</f>
        <v>3 mos</v>
      </c>
      <c r="H338" s="1" t="str">
        <f ca="1">IFERROR(__xludf.DUMMYFUNCTION("""COMPUTED_VALUE"""),"reply")</f>
        <v>reply</v>
      </c>
      <c r="I338" s="2" t="str">
        <f ca="1">IFERROR(__xludf.DUMMYFUNCTION("""COMPUTED_VALUE"""),"https://www.facebook.com/rapplerdotcom/photos/a.317154781638645/5597612220259515/")</f>
        <v>https://www.facebook.com/rapplerdotcom/photos/a.317154781638645/5597612220259515/</v>
      </c>
      <c r="J338" s="1" t="str">
        <f ca="1">IFERROR(__xludf.DUMMYFUNCTION("""COMPUTED_VALUE"""),"2022-07-04T11:12:03.021Z")</f>
        <v>2022-07-04T11:12:03.021Z</v>
      </c>
    </row>
    <row r="339" spans="1:10" x14ac:dyDescent="0.2">
      <c r="A339" s="2" t="str">
        <f ca="1">IFERROR(__xludf.DUMMYFUNCTION("""COMPUTED_VALUE"""),"https://www.facebook.com/profile.php?id=100070178707772")</f>
        <v>https://www.facebook.com/profile.php?id=100070178707772</v>
      </c>
      <c r="B339" s="1" t="str">
        <f ca="1">IFERROR(__xludf.DUMMYFUNCTION("""COMPUTED_VALUE"""),"Mike Andrada")</f>
        <v>Mike Andrada</v>
      </c>
      <c r="C339" s="1" t="str">
        <f ca="1">IFERROR(__xludf.DUMMYFUNCTION("""COMPUTED_VALUE"""),"Mike")</f>
        <v>Mike</v>
      </c>
      <c r="D339" s="1" t="str">
        <f ca="1">IFERROR(__xludf.DUMMYFUNCTION("""COMPUTED_VALUE"""),"Andrada")</f>
        <v>Andrada</v>
      </c>
      <c r="E339" s="1" t="str">
        <f ca="1">IFERROR(__xludf.DUMMYFUNCTION("""COMPUTED_VALUE"""),"Has anyone noticed how strikingly similar the pattern of crime is for EJK, Sabungero Kidnapping and Harrasment of Customs Personnel? Just fill in the blanks.")</f>
        <v>Has anyone noticed how strikingly similar the pattern of crime is for EJK, Sabungero Kidnapping and Harrasment of Customs Personnel? Just fill in the blanks.</v>
      </c>
      <c r="F339" s="1"/>
      <c r="G339" s="1" t="str">
        <f ca="1">IFERROR(__xludf.DUMMYFUNCTION("""COMPUTED_VALUE"""),"3 mos")</f>
        <v>3 mos</v>
      </c>
      <c r="H339" s="1" t="str">
        <f ca="1">IFERROR(__xludf.DUMMYFUNCTION("""COMPUTED_VALUE"""),"reply")</f>
        <v>reply</v>
      </c>
      <c r="I339" s="2" t="str">
        <f ca="1">IFERROR(__xludf.DUMMYFUNCTION("""COMPUTED_VALUE"""),"https://www.facebook.com/rapplerdotcom/photos/a.317154781638645/5597612220259515/")</f>
        <v>https://www.facebook.com/rapplerdotcom/photos/a.317154781638645/5597612220259515/</v>
      </c>
      <c r="J339" s="1" t="str">
        <f ca="1">IFERROR(__xludf.DUMMYFUNCTION("""COMPUTED_VALUE"""),"2022-07-04T11:12:03.021Z")</f>
        <v>2022-07-04T11:12:03.021Z</v>
      </c>
    </row>
    <row r="340" spans="1:10" x14ac:dyDescent="0.2">
      <c r="A340" s="2" t="str">
        <f ca="1">IFERROR(__xludf.DUMMYFUNCTION("""COMPUTED_VALUE"""),"https://www.facebook.com/dr.julius.uy")</f>
        <v>https://www.facebook.com/dr.julius.uy</v>
      </c>
      <c r="B340" s="1" t="str">
        <f ca="1">IFERROR(__xludf.DUMMYFUNCTION("""COMPUTED_VALUE"""),"Julius Uy")</f>
        <v>Julius Uy</v>
      </c>
      <c r="C340" s="1" t="str">
        <f ca="1">IFERROR(__xludf.DUMMYFUNCTION("""COMPUTED_VALUE"""),"Julius")</f>
        <v>Julius</v>
      </c>
      <c r="D340" s="1" t="str">
        <f ca="1">IFERROR(__xludf.DUMMYFUNCTION("""COMPUTED_VALUE"""),"Uy")</f>
        <v>Uy</v>
      </c>
      <c r="E340" s="1" t="str">
        <f ca="1">IFERROR(__xludf.DUMMYFUNCTION("""COMPUTED_VALUE"""),"Wise decision Sir. #RosasAngKulayNgBukas #GobyernongTapatAngatBuhayLahat #KayLeniKikoPanaloAngPilipino #HusayAtTibay #BangonPilipinas #TaraIpanalNaNa10To")</f>
        <v>Wise decision Sir. #RosasAngKulayNgBukas #GobyernongTapatAngatBuhayLahat #KayLeniKikoPanaloAngPilipino #HusayAtTibay #BangonPilipinas #TaraIpanalNaNa10To</v>
      </c>
      <c r="F340" s="1">
        <f ca="1">IFERROR(__xludf.DUMMYFUNCTION("""COMPUTED_VALUE"""),85)</f>
        <v>85</v>
      </c>
      <c r="G340" s="1" t="str">
        <f ca="1">IFERROR(__xludf.DUMMYFUNCTION("""COMPUTED_VALUE"""),"3 mos")</f>
        <v>3 mos</v>
      </c>
      <c r="H340" s="1" t="str">
        <f ca="1">IFERROR(__xludf.DUMMYFUNCTION("""COMPUTED_VALUE"""),"comment")</f>
        <v>comment</v>
      </c>
      <c r="I340" s="2" t="str">
        <f ca="1">IFERROR(__xludf.DUMMYFUNCTION("""COMPUTED_VALUE"""),"https://www.facebook.com/rapplerdotcom/photos/a.317154781638645/5597612220259515/")</f>
        <v>https://www.facebook.com/rapplerdotcom/photos/a.317154781638645/5597612220259515/</v>
      </c>
      <c r="J340" s="1" t="str">
        <f ca="1">IFERROR(__xludf.DUMMYFUNCTION("""COMPUTED_VALUE"""),"2022-07-04T11:12:03.021Z")</f>
        <v>2022-07-04T11:12:03.021Z</v>
      </c>
    </row>
    <row r="341" spans="1:10" x14ac:dyDescent="0.2">
      <c r="A341" s="2" t="str">
        <f ca="1">IFERROR(__xludf.DUMMYFUNCTION("""COMPUTED_VALUE"""),"https://www.facebook.com/profile.php?id=100070178707772")</f>
        <v>https://www.facebook.com/profile.php?id=100070178707772</v>
      </c>
      <c r="B341" s="1" t="str">
        <f ca="1">IFERROR(__xludf.DUMMYFUNCTION("""COMPUTED_VALUE"""),"Mike Andrada")</f>
        <v>Mike Andrada</v>
      </c>
      <c r="C341" s="1" t="str">
        <f ca="1">IFERROR(__xludf.DUMMYFUNCTION("""COMPUTED_VALUE"""),"Mike")</f>
        <v>Mike</v>
      </c>
      <c r="D341" s="1" t="str">
        <f ca="1">IFERROR(__xludf.DUMMYFUNCTION("""COMPUTED_VALUE"""),"Andrada")</f>
        <v>Andrada</v>
      </c>
      <c r="E341" s="1" t="str">
        <f ca="1">IFERROR(__xludf.DUMMYFUNCTION("""COMPUTED_VALUE"""),"Has anyone noticed how strikingly similar the pattern of crime is for EJK, Sabungero Kidnapping and Harrasment of Customs Personnel? Just fill in the blanks.")</f>
        <v>Has anyone noticed how strikingly similar the pattern of crime is for EJK, Sabungero Kidnapping and Harrasment of Customs Personnel? Just fill in the blanks.</v>
      </c>
      <c r="F341" s="1"/>
      <c r="G341" s="1" t="str">
        <f ca="1">IFERROR(__xludf.DUMMYFUNCTION("""COMPUTED_VALUE"""),"3 mos")</f>
        <v>3 mos</v>
      </c>
      <c r="H341" s="1" t="str">
        <f ca="1">IFERROR(__xludf.DUMMYFUNCTION("""COMPUTED_VALUE"""),"reply")</f>
        <v>reply</v>
      </c>
      <c r="I341" s="2" t="str">
        <f ca="1">IFERROR(__xludf.DUMMYFUNCTION("""COMPUTED_VALUE"""),"https://www.facebook.com/rapplerdotcom/photos/a.317154781638645/5597612220259515/")</f>
        <v>https://www.facebook.com/rapplerdotcom/photos/a.317154781638645/5597612220259515/</v>
      </c>
      <c r="J341" s="1" t="str">
        <f ca="1">IFERROR(__xludf.DUMMYFUNCTION("""COMPUTED_VALUE"""),"2022-07-04T11:12:03.021Z")</f>
        <v>2022-07-04T11:12:03.021Z</v>
      </c>
    </row>
    <row r="342" spans="1:10" x14ac:dyDescent="0.2">
      <c r="A342" s="2" t="str">
        <f ca="1">IFERROR(__xludf.DUMMYFUNCTION("""COMPUTED_VALUE"""),"https://www.facebook.com/chai.li888")</f>
        <v>https://www.facebook.com/chai.li888</v>
      </c>
      <c r="B342" s="1" t="str">
        <f ca="1">IFERROR(__xludf.DUMMYFUNCTION("""COMPUTED_VALUE"""),"Chai Li")</f>
        <v>Chai Li</v>
      </c>
      <c r="C342" s="1" t="str">
        <f ca="1">IFERROR(__xludf.DUMMYFUNCTION("""COMPUTED_VALUE"""),"Chai")</f>
        <v>Chai</v>
      </c>
      <c r="D342" s="1" t="str">
        <f ca="1">IFERROR(__xludf.DUMMYFUNCTION("""COMPUTED_VALUE"""),"Li")</f>
        <v>Li</v>
      </c>
      <c r="E342" s="1" t="str">
        <f ca="1">IFERROR(__xludf.DUMMYFUNCTION("""COMPUTED_VALUE"""),"Best decision. Fight for our country!! 💕")</f>
        <v>Best decision. Fight for our country!! 💕</v>
      </c>
      <c r="F342" s="1">
        <f ca="1">IFERROR(__xludf.DUMMYFUNCTION("""COMPUTED_VALUE"""),28)</f>
        <v>28</v>
      </c>
      <c r="G342" s="1" t="str">
        <f ca="1">IFERROR(__xludf.DUMMYFUNCTION("""COMPUTED_VALUE"""),"3 mos")</f>
        <v>3 mos</v>
      </c>
      <c r="H342" s="1" t="str">
        <f ca="1">IFERROR(__xludf.DUMMYFUNCTION("""COMPUTED_VALUE"""),"comment")</f>
        <v>comment</v>
      </c>
      <c r="I342" s="2" t="str">
        <f ca="1">IFERROR(__xludf.DUMMYFUNCTION("""COMPUTED_VALUE"""),"https://www.facebook.com/rapplerdotcom/photos/a.317154781638645/5597612220259515/")</f>
        <v>https://www.facebook.com/rapplerdotcom/photos/a.317154781638645/5597612220259515/</v>
      </c>
      <c r="J342" s="1" t="str">
        <f ca="1">IFERROR(__xludf.DUMMYFUNCTION("""COMPUTED_VALUE"""),"2022-07-04T11:12:03.021Z")</f>
        <v>2022-07-04T11:12:03.021Z</v>
      </c>
    </row>
    <row r="343" spans="1:10" x14ac:dyDescent="0.2">
      <c r="A343" s="2" t="str">
        <f ca="1">IFERROR(__xludf.DUMMYFUNCTION("""COMPUTED_VALUE"""),"https://www.facebook.com/dmiguelcastaneda")</f>
        <v>https://www.facebook.com/dmiguelcastaneda</v>
      </c>
      <c r="B343" s="1" t="str">
        <f ca="1">IFERROR(__xludf.DUMMYFUNCTION("""COMPUTED_VALUE"""),"Ding Castaneda")</f>
        <v>Ding Castaneda</v>
      </c>
      <c r="C343" s="1" t="str">
        <f ca="1">IFERROR(__xludf.DUMMYFUNCTION("""COMPUTED_VALUE"""),"Ding")</f>
        <v>Ding</v>
      </c>
      <c r="D343" s="1" t="str">
        <f ca="1">IFERROR(__xludf.DUMMYFUNCTION("""COMPUTED_VALUE"""),"Castaneda")</f>
        <v>Castaneda</v>
      </c>
      <c r="E343" s="1" t="str">
        <f ca="1">IFERROR(__xludf.DUMMYFUNCTION("""COMPUTED_VALUE"""),"Thank You and SALUDOS Congressman Pidi Barzaga ! 🎉💕🎉")</f>
        <v>Thank You and SALUDOS Congressman Pidi Barzaga ! 🎉💕🎉</v>
      </c>
      <c r="F343" s="1">
        <f ca="1">IFERROR(__xludf.DUMMYFUNCTION("""COMPUTED_VALUE"""),13)</f>
        <v>13</v>
      </c>
      <c r="G343" s="1" t="str">
        <f ca="1">IFERROR(__xludf.DUMMYFUNCTION("""COMPUTED_VALUE"""),"3 mos")</f>
        <v>3 mos</v>
      </c>
      <c r="H343" s="1" t="str">
        <f ca="1">IFERROR(__xludf.DUMMYFUNCTION("""COMPUTED_VALUE"""),"comment")</f>
        <v>comment</v>
      </c>
      <c r="I343" s="2" t="str">
        <f ca="1">IFERROR(__xludf.DUMMYFUNCTION("""COMPUTED_VALUE"""),"https://www.facebook.com/rapplerdotcom/photos/a.317154781638645/5597612220259515/")</f>
        <v>https://www.facebook.com/rapplerdotcom/photos/a.317154781638645/5597612220259515/</v>
      </c>
      <c r="J343" s="1" t="str">
        <f ca="1">IFERROR(__xludf.DUMMYFUNCTION("""COMPUTED_VALUE"""),"2022-07-04T11:12:03.021Z")</f>
        <v>2022-07-04T11:12:03.021Z</v>
      </c>
    </row>
    <row r="344" spans="1:10" x14ac:dyDescent="0.2">
      <c r="A344" s="2" t="str">
        <f ca="1">IFERROR(__xludf.DUMMYFUNCTION("""COMPUTED_VALUE"""),"https://www.facebook.com/arlene.buela.9")</f>
        <v>https://www.facebook.com/arlene.buela.9</v>
      </c>
      <c r="B344" s="1" t="str">
        <f ca="1">IFERROR(__xludf.DUMMYFUNCTION("""COMPUTED_VALUE"""),"Arlene Buela")</f>
        <v>Arlene Buela</v>
      </c>
      <c r="C344" s="1" t="str">
        <f ca="1">IFERROR(__xludf.DUMMYFUNCTION("""COMPUTED_VALUE"""),"Arlene")</f>
        <v>Arlene</v>
      </c>
      <c r="D344" s="1" t="str">
        <f ca="1">IFERROR(__xludf.DUMMYFUNCTION("""COMPUTED_VALUE"""),"Buela")</f>
        <v>Buela</v>
      </c>
      <c r="E344" s="1" t="str">
        <f ca="1">IFERROR(__xludf.DUMMYFUNCTION("""COMPUTED_VALUE"""),"Malapit na maging Kulay Rosas ang Bukas!!! Salamat sa suporta.. For Good Governance magsama sama na lahat para sa kabutihan ng bansa!! #KulayRosasAngBukas #AngatBuhayLahat #LeniKiko2022")</f>
        <v>Malapit na maging Kulay Rosas ang Bukas!!! Salamat sa suporta.. For Good Governance magsama sama na lahat para sa kabutihan ng bansa!! #KulayRosasAngBukas #AngatBuhayLahat #LeniKiko2022</v>
      </c>
      <c r="F344" s="1">
        <f ca="1">IFERROR(__xludf.DUMMYFUNCTION("""COMPUTED_VALUE"""),104)</f>
        <v>104</v>
      </c>
      <c r="G344" s="1" t="str">
        <f ca="1">IFERROR(__xludf.DUMMYFUNCTION("""COMPUTED_VALUE"""),"3 mos")</f>
        <v>3 mos</v>
      </c>
      <c r="H344" s="1" t="str">
        <f ca="1">IFERROR(__xludf.DUMMYFUNCTION("""COMPUTED_VALUE"""),"comment")</f>
        <v>comment</v>
      </c>
      <c r="I344" s="2" t="str">
        <f ca="1">IFERROR(__xludf.DUMMYFUNCTION("""COMPUTED_VALUE"""),"https://www.facebook.com/rapplerdotcom/photos/a.317154781638645/5597612220259515/")</f>
        <v>https://www.facebook.com/rapplerdotcom/photos/a.317154781638645/5597612220259515/</v>
      </c>
      <c r="J344" s="1" t="str">
        <f ca="1">IFERROR(__xludf.DUMMYFUNCTION("""COMPUTED_VALUE"""),"2022-07-04T11:12:03.021Z")</f>
        <v>2022-07-04T11:12:03.021Z</v>
      </c>
    </row>
    <row r="345" spans="1:10" x14ac:dyDescent="0.2">
      <c r="A345" s="2" t="str">
        <f ca="1">IFERROR(__xludf.DUMMYFUNCTION("""COMPUTED_VALUE"""),"https://www.facebook.com/rowena.rodencio")</f>
        <v>https://www.facebook.com/rowena.rodencio</v>
      </c>
      <c r="B345" s="1" t="str">
        <f ca="1">IFERROR(__xludf.DUMMYFUNCTION("""COMPUTED_VALUE"""),"Rowena Rodencio")</f>
        <v>Rowena Rodencio</v>
      </c>
      <c r="C345" s="1" t="str">
        <f ca="1">IFERROR(__xludf.DUMMYFUNCTION("""COMPUTED_VALUE"""),"Rowena")</f>
        <v>Rowena</v>
      </c>
      <c r="D345" s="1" t="str">
        <f ca="1">IFERROR(__xludf.DUMMYFUNCTION("""COMPUTED_VALUE"""),"Rodencio")</f>
        <v>Rodencio</v>
      </c>
      <c r="E345" s="1" t="str">
        <f ca="1">IFERROR(__xludf.DUMMYFUNCTION("""COMPUTED_VALUE"""),"Arlene Buela nangangamoy sibuyas n nmn hahaha Palakas loob team eoww")</f>
        <v>Arlene Buela nangangamoy sibuyas n nmn hahaha Palakas loob team eoww</v>
      </c>
      <c r="F345" s="1"/>
      <c r="G345" s="1" t="str">
        <f ca="1">IFERROR(__xludf.DUMMYFUNCTION("""COMPUTED_VALUE"""),"3 mos")</f>
        <v>3 mos</v>
      </c>
      <c r="H345" s="1" t="str">
        <f ca="1">IFERROR(__xludf.DUMMYFUNCTION("""COMPUTED_VALUE"""),"reply")</f>
        <v>reply</v>
      </c>
      <c r="I345" s="2" t="str">
        <f ca="1">IFERROR(__xludf.DUMMYFUNCTION("""COMPUTED_VALUE"""),"https://www.facebook.com/rapplerdotcom/photos/a.317154781638645/5597612220259515/")</f>
        <v>https://www.facebook.com/rapplerdotcom/photos/a.317154781638645/5597612220259515/</v>
      </c>
      <c r="J345" s="1" t="str">
        <f ca="1">IFERROR(__xludf.DUMMYFUNCTION("""COMPUTED_VALUE"""),"2022-07-04T11:12:03.021Z")</f>
        <v>2022-07-04T11:12:03.021Z</v>
      </c>
    </row>
    <row r="346" spans="1:10" x14ac:dyDescent="0.2">
      <c r="A346" s="2" t="str">
        <f ca="1">IFERROR(__xludf.DUMMYFUNCTION("""COMPUTED_VALUE"""),"https://www.facebook.com/profile.php?id=100070178707772")</f>
        <v>https://www.facebook.com/profile.php?id=100070178707772</v>
      </c>
      <c r="B346" s="1" t="str">
        <f ca="1">IFERROR(__xludf.DUMMYFUNCTION("""COMPUTED_VALUE"""),"Mike Andrada")</f>
        <v>Mike Andrada</v>
      </c>
      <c r="C346" s="1" t="str">
        <f ca="1">IFERROR(__xludf.DUMMYFUNCTION("""COMPUTED_VALUE"""),"Mike")</f>
        <v>Mike</v>
      </c>
      <c r="D346" s="1" t="str">
        <f ca="1">IFERROR(__xludf.DUMMYFUNCTION("""COMPUTED_VALUE"""),"Andrada")</f>
        <v>Andrada</v>
      </c>
      <c r="E346" s="1" t="str">
        <f ca="1">IFERROR(__xludf.DUMMYFUNCTION("""COMPUTED_VALUE"""),"Has anyone noticed how strikingly similar the pattern of crime is for EJK, Sabungero Kidnapping and Harrasment of Customs Personnel? Just fill in the blanks.")</f>
        <v>Has anyone noticed how strikingly similar the pattern of crime is for EJK, Sabungero Kidnapping and Harrasment of Customs Personnel? Just fill in the blanks.</v>
      </c>
      <c r="F346" s="1"/>
      <c r="G346" s="1" t="str">
        <f ca="1">IFERROR(__xludf.DUMMYFUNCTION("""COMPUTED_VALUE"""),"3 mos")</f>
        <v>3 mos</v>
      </c>
      <c r="H346" s="1" t="str">
        <f ca="1">IFERROR(__xludf.DUMMYFUNCTION("""COMPUTED_VALUE"""),"reply")</f>
        <v>reply</v>
      </c>
      <c r="I346" s="2" t="str">
        <f ca="1">IFERROR(__xludf.DUMMYFUNCTION("""COMPUTED_VALUE"""),"https://www.facebook.com/rapplerdotcom/photos/a.317154781638645/5597612220259515/")</f>
        <v>https://www.facebook.com/rapplerdotcom/photos/a.317154781638645/5597612220259515/</v>
      </c>
      <c r="J346" s="1" t="str">
        <f ca="1">IFERROR(__xludf.DUMMYFUNCTION("""COMPUTED_VALUE"""),"2022-07-04T11:12:03.021Z")</f>
        <v>2022-07-04T11:12:03.021Z</v>
      </c>
    </row>
    <row r="347" spans="1:10" x14ac:dyDescent="0.2">
      <c r="A347" s="2" t="str">
        <f ca="1">IFERROR(__xludf.DUMMYFUNCTION("""COMPUTED_VALUE"""),"https://www.facebook.com/mean.agustin")</f>
        <v>https://www.facebook.com/mean.agustin</v>
      </c>
      <c r="B347" s="1" t="str">
        <f ca="1">IFERROR(__xludf.DUMMYFUNCTION("""COMPUTED_VALUE"""),"Marianne Agustin")</f>
        <v>Marianne Agustin</v>
      </c>
      <c r="C347" s="1" t="str">
        <f ca="1">IFERROR(__xludf.DUMMYFUNCTION("""COMPUTED_VALUE"""),"Marianne")</f>
        <v>Marianne</v>
      </c>
      <c r="D347" s="1" t="str">
        <f ca="1">IFERROR(__xludf.DUMMYFUNCTION("""COMPUTED_VALUE"""),"Agustin")</f>
        <v>Agustin</v>
      </c>
      <c r="E347" s="1" t="str">
        <f ca="1">IFERROR(__xludf.DUMMYFUNCTION("""COMPUTED_VALUE"""),"Thanks po for putting first what is good for our country.🙏")</f>
        <v>Thanks po for putting first what is good for our country.🙏</v>
      </c>
      <c r="F347" s="1">
        <f ca="1">IFERROR(__xludf.DUMMYFUNCTION("""COMPUTED_VALUE"""),48)</f>
        <v>48</v>
      </c>
      <c r="G347" s="1" t="str">
        <f ca="1">IFERROR(__xludf.DUMMYFUNCTION("""COMPUTED_VALUE"""),"3 mos")</f>
        <v>3 mos</v>
      </c>
      <c r="H347" s="1" t="str">
        <f ca="1">IFERROR(__xludf.DUMMYFUNCTION("""COMPUTED_VALUE"""),"comment")</f>
        <v>comment</v>
      </c>
      <c r="I347" s="2" t="str">
        <f ca="1">IFERROR(__xludf.DUMMYFUNCTION("""COMPUTED_VALUE"""),"https://www.facebook.com/rapplerdotcom/photos/a.317154781638645/5597612220259515/")</f>
        <v>https://www.facebook.com/rapplerdotcom/photos/a.317154781638645/5597612220259515/</v>
      </c>
      <c r="J347" s="1" t="str">
        <f ca="1">IFERROR(__xludf.DUMMYFUNCTION("""COMPUTED_VALUE"""),"2022-07-04T11:12:03.021Z")</f>
        <v>2022-07-04T11:12:03.021Z</v>
      </c>
    </row>
    <row r="348" spans="1:10" x14ac:dyDescent="0.2">
      <c r="A348" s="2" t="str">
        <f ca="1">IFERROR(__xludf.DUMMYFUNCTION("""COMPUTED_VALUE"""),"https://www.facebook.com/profile.php?id=100070178707772")</f>
        <v>https://www.facebook.com/profile.php?id=100070178707772</v>
      </c>
      <c r="B348" s="1" t="str">
        <f ca="1">IFERROR(__xludf.DUMMYFUNCTION("""COMPUTED_VALUE"""),"Mike Andrada")</f>
        <v>Mike Andrada</v>
      </c>
      <c r="C348" s="1" t="str">
        <f ca="1">IFERROR(__xludf.DUMMYFUNCTION("""COMPUTED_VALUE"""),"Mike")</f>
        <v>Mike</v>
      </c>
      <c r="D348" s="1" t="str">
        <f ca="1">IFERROR(__xludf.DUMMYFUNCTION("""COMPUTED_VALUE"""),"Andrada")</f>
        <v>Andrada</v>
      </c>
      <c r="E348" s="1" t="str">
        <f ca="1">IFERROR(__xludf.DUMMYFUNCTION("""COMPUTED_VALUE"""),"Has anyone noticed how strikingly similar the pattern of crime is for EJK, Sabungero Kidnapping and Harrasment of Customs Personnel? Just fill in the blanks.")</f>
        <v>Has anyone noticed how strikingly similar the pattern of crime is for EJK, Sabungero Kidnapping and Harrasment of Customs Personnel? Just fill in the blanks.</v>
      </c>
      <c r="F348" s="1"/>
      <c r="G348" s="1" t="str">
        <f ca="1">IFERROR(__xludf.DUMMYFUNCTION("""COMPUTED_VALUE"""),"3 mos")</f>
        <v>3 mos</v>
      </c>
      <c r="H348" s="1" t="str">
        <f ca="1">IFERROR(__xludf.DUMMYFUNCTION("""COMPUTED_VALUE"""),"reply")</f>
        <v>reply</v>
      </c>
      <c r="I348" s="2" t="str">
        <f ca="1">IFERROR(__xludf.DUMMYFUNCTION("""COMPUTED_VALUE"""),"https://www.facebook.com/rapplerdotcom/photos/a.317154781638645/5597612220259515/")</f>
        <v>https://www.facebook.com/rapplerdotcom/photos/a.317154781638645/5597612220259515/</v>
      </c>
      <c r="J348" s="1" t="str">
        <f ca="1">IFERROR(__xludf.DUMMYFUNCTION("""COMPUTED_VALUE"""),"2022-07-04T11:12:03.021Z")</f>
        <v>2022-07-04T11:12:03.021Z</v>
      </c>
    </row>
    <row r="349" spans="1:10" x14ac:dyDescent="0.2">
      <c r="A349" s="2" t="str">
        <f ca="1">IFERROR(__xludf.DUMMYFUNCTION("""COMPUTED_VALUE"""),"https://www.facebook.com/raymund.yangco")</f>
        <v>https://www.facebook.com/raymund.yangco</v>
      </c>
      <c r="B349" s="1" t="str">
        <f ca="1">IFERROR(__xludf.DUMMYFUNCTION("""COMPUTED_VALUE"""),"Raymund Yangco")</f>
        <v>Raymund Yangco</v>
      </c>
      <c r="C349" s="1" t="str">
        <f ca="1">IFERROR(__xludf.DUMMYFUNCTION("""COMPUTED_VALUE"""),"Raymund")</f>
        <v>Raymund</v>
      </c>
      <c r="D349" s="1" t="str">
        <f ca="1">IFERROR(__xludf.DUMMYFUNCTION("""COMPUTED_VALUE"""),"Yangco")</f>
        <v>Yangco</v>
      </c>
      <c r="E349" s="1" t="str">
        <f ca="1">IFERROR(__xludf.DUMMYFUNCTION("""COMPUTED_VALUE"""),"Disappointed with Cong Barzaga’s preference. Do i despise him? Of course not! I still admire him for his wit, wisdom n vast knowledge of his interpretation of our laws. I would have voted for him regardless of his political affiliation if he opted to run "&amp;"for higher office, say a senator maybe. Enormous respect n admiration for the old-timer. I sincerely wish well in his endeavors. 👍😊")</f>
        <v>Disappointed with Cong Barzaga’s preference. Do i despise him? Of course not! I still admire him for his wit, wisdom n vast knowledge of his interpretation of our laws. I would have voted for him regardless of his political affiliation if he opted to run for higher office, say a senator maybe. Enormous respect n admiration for the old-timer. I sincerely wish well in his endeavors. 👍😊</v>
      </c>
      <c r="F349" s="1"/>
      <c r="G349" s="1" t="str">
        <f ca="1">IFERROR(__xludf.DUMMYFUNCTION("""COMPUTED_VALUE"""),"3 mos")</f>
        <v>3 mos</v>
      </c>
      <c r="H349" s="1" t="str">
        <f ca="1">IFERROR(__xludf.DUMMYFUNCTION("""COMPUTED_VALUE"""),"comment")</f>
        <v>comment</v>
      </c>
      <c r="I349" s="2" t="str">
        <f ca="1">IFERROR(__xludf.DUMMYFUNCTION("""COMPUTED_VALUE"""),"https://www.facebook.com/rapplerdotcom/photos/a.317154781638645/5597612220259515/")</f>
        <v>https://www.facebook.com/rapplerdotcom/photos/a.317154781638645/5597612220259515/</v>
      </c>
      <c r="J349" s="1" t="str">
        <f ca="1">IFERROR(__xludf.DUMMYFUNCTION("""COMPUTED_VALUE"""),"2022-07-04T11:12:03.021Z")</f>
        <v>2022-07-04T11:12:03.021Z</v>
      </c>
    </row>
    <row r="350" spans="1:10" x14ac:dyDescent="0.2">
      <c r="A350" s="2" t="str">
        <f ca="1">IFERROR(__xludf.DUMMYFUNCTION("""COMPUTED_VALUE"""),"https://www.facebook.com/jocelyn.domingotorres")</f>
        <v>https://www.facebook.com/jocelyn.domingotorres</v>
      </c>
      <c r="B350" s="1" t="str">
        <f ca="1">IFERROR(__xludf.DUMMYFUNCTION("""COMPUTED_VALUE"""),"Jocelyn Domingo-Torres")</f>
        <v>Jocelyn Domingo-Torres</v>
      </c>
      <c r="C350" s="1" t="str">
        <f ca="1">IFERROR(__xludf.DUMMYFUNCTION("""COMPUTED_VALUE"""),"Jocelyn")</f>
        <v>Jocelyn</v>
      </c>
      <c r="D350" s="1" t="str">
        <f ca="1">IFERROR(__xludf.DUMMYFUNCTION("""COMPUTED_VALUE"""),"Domingo-Torres")</f>
        <v>Domingo-Torres</v>
      </c>
      <c r="E350" s="1" t="str">
        <f ca="1">IFERROR(__xludf.DUMMYFUNCTION("""COMPUTED_VALUE"""),"Thank you Cong.Barzaga,Wise and smart move for the good of our country. Proud kkmpinks here. 🌸🌷🌸🌷🌸🙏🏻🇨🇿😎")</f>
        <v>Thank you Cong.Barzaga,Wise and smart move for the good of our country. Proud kkmpinks here. 🌸🌷🌸🌷🌸🙏🏻🇨🇿😎</v>
      </c>
      <c r="F350" s="1">
        <f ca="1">IFERROR(__xludf.DUMMYFUNCTION("""COMPUTED_VALUE"""),21)</f>
        <v>21</v>
      </c>
      <c r="G350" s="1" t="str">
        <f ca="1">IFERROR(__xludf.DUMMYFUNCTION("""COMPUTED_VALUE"""),"3 mos")</f>
        <v>3 mos</v>
      </c>
      <c r="H350" s="1" t="str">
        <f ca="1">IFERROR(__xludf.DUMMYFUNCTION("""COMPUTED_VALUE"""),"comment")</f>
        <v>comment</v>
      </c>
      <c r="I350" s="2" t="str">
        <f ca="1">IFERROR(__xludf.DUMMYFUNCTION("""COMPUTED_VALUE"""),"https://www.facebook.com/rapplerdotcom/photos/a.317154781638645/5597612220259515/")</f>
        <v>https://www.facebook.com/rapplerdotcom/photos/a.317154781638645/5597612220259515/</v>
      </c>
      <c r="J350" s="1" t="str">
        <f ca="1">IFERROR(__xludf.DUMMYFUNCTION("""COMPUTED_VALUE"""),"2022-07-04T11:12:03.021Z")</f>
        <v>2022-07-04T11:12:03.021Z</v>
      </c>
    </row>
    <row r="351" spans="1:10" x14ac:dyDescent="0.2">
      <c r="A351" s="2" t="str">
        <f ca="1">IFERROR(__xludf.DUMMYFUNCTION("""COMPUTED_VALUE"""),"https://www.facebook.com/narciso.corvera.549")</f>
        <v>https://www.facebook.com/narciso.corvera.549</v>
      </c>
      <c r="B351" s="1" t="str">
        <f ca="1">IFERROR(__xludf.DUMMYFUNCTION("""COMPUTED_VALUE"""),"Narciso Corvera")</f>
        <v>Narciso Corvera</v>
      </c>
      <c r="C351" s="1" t="str">
        <f ca="1">IFERROR(__xludf.DUMMYFUNCTION("""COMPUTED_VALUE"""),"Narciso")</f>
        <v>Narciso</v>
      </c>
      <c r="D351" s="1" t="str">
        <f ca="1">IFERROR(__xludf.DUMMYFUNCTION("""COMPUTED_VALUE"""),"Corvera")</f>
        <v>Corvera</v>
      </c>
      <c r="E351" s="1" t="str">
        <f ca="1">IFERROR(__xludf.DUMMYFUNCTION("""COMPUTED_VALUE"""),"Jocelyn Domingo-Torres wala na kaci hawak N ,C  Ate  mga oligarko at ng  mayayamang Bansa  kung sa  kalabaw kahit saan mo hilahin susunod yan c,  Ate  Len  Icip icip")</f>
        <v>Jocelyn Domingo-Torres wala na kaci hawak N ,C  Ate  mga oligarko at ng  mayayamang Bansa  kung sa  kalabaw kahit saan mo hilahin susunod yan c,  Ate  Len  Icip icip</v>
      </c>
      <c r="F351" s="1">
        <f ca="1">IFERROR(__xludf.DUMMYFUNCTION("""COMPUTED_VALUE"""),2)</f>
        <v>2</v>
      </c>
      <c r="G351" s="1" t="str">
        <f ca="1">IFERROR(__xludf.DUMMYFUNCTION("""COMPUTED_VALUE"""),"3 mos")</f>
        <v>3 mos</v>
      </c>
      <c r="H351" s="1" t="str">
        <f ca="1">IFERROR(__xludf.DUMMYFUNCTION("""COMPUTED_VALUE"""),"reply")</f>
        <v>reply</v>
      </c>
      <c r="I351" s="2" t="str">
        <f ca="1">IFERROR(__xludf.DUMMYFUNCTION("""COMPUTED_VALUE"""),"https://www.facebook.com/rapplerdotcom/photos/a.317154781638645/5597612220259515/")</f>
        <v>https://www.facebook.com/rapplerdotcom/photos/a.317154781638645/5597612220259515/</v>
      </c>
      <c r="J351" s="1" t="str">
        <f ca="1">IFERROR(__xludf.DUMMYFUNCTION("""COMPUTED_VALUE"""),"2022-07-04T11:12:03.021Z")</f>
        <v>2022-07-04T11:12:03.021Z</v>
      </c>
    </row>
    <row r="352" spans="1:10" x14ac:dyDescent="0.2">
      <c r="A352" s="2" t="str">
        <f ca="1">IFERROR(__xludf.DUMMYFUNCTION("""COMPUTED_VALUE"""),"https://www.facebook.com/enecy.queto")</f>
        <v>https://www.facebook.com/enecy.queto</v>
      </c>
      <c r="B352" s="1" t="str">
        <f ca="1">IFERROR(__xludf.DUMMYFUNCTION("""COMPUTED_VALUE"""),"Enecy Queto")</f>
        <v>Enecy Queto</v>
      </c>
      <c r="C352" s="1" t="str">
        <f ca="1">IFERROR(__xludf.DUMMYFUNCTION("""COMPUTED_VALUE"""),"Enecy")</f>
        <v>Enecy</v>
      </c>
      <c r="D352" s="1" t="str">
        <f ca="1">IFERROR(__xludf.DUMMYFUNCTION("""COMPUTED_VALUE"""),"Queto")</f>
        <v>Queto</v>
      </c>
      <c r="E352" s="1" t="str">
        <f ca="1">IFERROR(__xludf.DUMMYFUNCTION("""COMPUTED_VALUE"""),"Thank you po, Bayan po natin i2 mahalin natin, at disente buhay ng bawat 1 Pilipino, congrats po sa ating lahat sama n kayo lahat sa amin at welcome n welcome  cno man, dahil bayan natin i2, we love you n GOD BLESS po.......kakampink")</f>
        <v>Thank you po, Bayan po natin i2 mahalin natin, at disente buhay ng bawat 1 Pilipino, congrats po sa ating lahat sama n kayo lahat sa amin at welcome n welcome  cno man, dahil bayan natin i2, we love you n GOD BLESS po.......kakampink</v>
      </c>
      <c r="F352" s="1">
        <f ca="1">IFERROR(__xludf.DUMMYFUNCTION("""COMPUTED_VALUE"""),20)</f>
        <v>20</v>
      </c>
      <c r="G352" s="1" t="str">
        <f ca="1">IFERROR(__xludf.DUMMYFUNCTION("""COMPUTED_VALUE"""),"3 mos")</f>
        <v>3 mos</v>
      </c>
      <c r="H352" s="1" t="str">
        <f ca="1">IFERROR(__xludf.DUMMYFUNCTION("""COMPUTED_VALUE"""),"comment")</f>
        <v>comment</v>
      </c>
      <c r="I352" s="2" t="str">
        <f ca="1">IFERROR(__xludf.DUMMYFUNCTION("""COMPUTED_VALUE"""),"https://www.facebook.com/rapplerdotcom/photos/a.317154781638645/5597612220259515/")</f>
        <v>https://www.facebook.com/rapplerdotcom/photos/a.317154781638645/5597612220259515/</v>
      </c>
      <c r="J352" s="1" t="str">
        <f ca="1">IFERROR(__xludf.DUMMYFUNCTION("""COMPUTED_VALUE"""),"2022-07-04T11:12:03.021Z")</f>
        <v>2022-07-04T11:12:03.021Z</v>
      </c>
    </row>
    <row r="353" spans="1:10" x14ac:dyDescent="0.2">
      <c r="A353" s="2" t="str">
        <f ca="1">IFERROR(__xludf.DUMMYFUNCTION("""COMPUTED_VALUE"""),"https://www.facebook.com/arsenio.tan.104418")</f>
        <v>https://www.facebook.com/arsenio.tan.104418</v>
      </c>
      <c r="B353" s="1" t="str">
        <f ca="1">IFERROR(__xludf.DUMMYFUNCTION("""COMPUTED_VALUE"""),"Arsenio Tan")</f>
        <v>Arsenio Tan</v>
      </c>
      <c r="C353" s="1" t="str">
        <f ca="1">IFERROR(__xludf.DUMMYFUNCTION("""COMPUTED_VALUE"""),"Arsenio")</f>
        <v>Arsenio</v>
      </c>
      <c r="D353" s="1" t="str">
        <f ca="1">IFERROR(__xludf.DUMMYFUNCTION("""COMPUTED_VALUE"""),"Tan")</f>
        <v>Tan</v>
      </c>
      <c r="E353" s="1" t="str">
        <f ca="1">IFERROR(__xludf.DUMMYFUNCTION("""COMPUTED_VALUE"""),"It's either you align with those in the LIGHT or with those in darkness but it is CERTAIN that LIGHT overwhelms darkness. LIGHT triumps over darkness! 1 John 1:5 ""This then is the message which we have heard of HIM, and declare unto you, that GOD is LIGH"&amp;"T, and in HIM is no darkness at all."" John 14:6 ""JESUS said unto him, I am the WAY, the TRUTH, and the LIFE: no man comes to the FATHER, but by ME."" 2 Corinthians 13:8 ""For we can do nothing against the TRUTH,  but for the TRUTH"" John 8:12 ""Then spe"&amp;"ak JESUS again unto them, saying, I am the LIGHT of the world: he that follows me shall not walk in darkness, but shall have the LIGHT of LIFE"" Therefore no uncertainties! Matthew 5:14-16 ""You are the LIGHT of the world. A city that is set on a hill can"&amp;"not be hid. Neither do men LIGHT a candle, and put it under a bushel, but in a candlestick; and gives LIGHT unto all that are in the house. Let your LIGHT so shine before men, that they may see your good works, and glorify your FATHER which is in heaven."&amp;""" SWITCH ON to LIGHT UP the dark. Let's light up the Philippines and the world for a bright Philippines by choosing GODLY candidates for GOD's glory. THE RIGHT CHOICE is THE ONLY ONE! #YES to JESUS #NO to COVID19 #NO to CORRUPTION")</f>
        <v>It's either you align with those in the LIGHT or with those in darkness but it is CERTAIN that LIGHT overwhelms darkness. LIGHT triumps over darkness! 1 John 1:5 "This then is the message which we have heard of HIM, and declare unto you, that GOD is LIGHT, and in HIM is no darkness at all." John 14:6 "JESUS said unto him, I am the WAY, the TRUTH, and the LIFE: no man comes to the FATHER, but by ME." 2 Corinthians 13:8 "For we can do nothing against the TRUTH,  but for the TRUTH" John 8:12 "Then speak JESUS again unto them, saying, I am the LIGHT of the world: he that follows me shall not walk in darkness, but shall have the LIGHT of LIFE" Therefore no uncertainties! Matthew 5:14-16 "You are the LIGHT of the world. A city that is set on a hill cannot be hid. Neither do men LIGHT a candle, and put it under a bushel, but in a candlestick; and gives LIGHT unto all that are in the house. Let your LIGHT so shine before men, that they may see your good works, and glorify your FATHER which is in heaven." SWITCH ON to LIGHT UP the dark. Let's light up the Philippines and the world for a bright Philippines by choosing GODLY candidates for GOD's glory. THE RIGHT CHOICE is THE ONLY ONE! #YES to JESUS #NO to COVID19 #NO to CORRUPTION</v>
      </c>
      <c r="F353" s="1">
        <f ca="1">IFERROR(__xludf.DUMMYFUNCTION("""COMPUTED_VALUE"""),6)</f>
        <v>6</v>
      </c>
      <c r="G353" s="1" t="str">
        <f ca="1">IFERROR(__xludf.DUMMYFUNCTION("""COMPUTED_VALUE"""),"3 mos")</f>
        <v>3 mos</v>
      </c>
      <c r="H353" s="1" t="str">
        <f ca="1">IFERROR(__xludf.DUMMYFUNCTION("""COMPUTED_VALUE"""),"comment")</f>
        <v>comment</v>
      </c>
      <c r="I353" s="2" t="str">
        <f ca="1">IFERROR(__xludf.DUMMYFUNCTION("""COMPUTED_VALUE"""),"https://www.facebook.com/rapplerdotcom/photos/a.317154781638645/5597612220259515/")</f>
        <v>https://www.facebook.com/rapplerdotcom/photos/a.317154781638645/5597612220259515/</v>
      </c>
      <c r="J353" s="1" t="str">
        <f ca="1">IFERROR(__xludf.DUMMYFUNCTION("""COMPUTED_VALUE"""),"2022-07-04T11:12:03.021Z")</f>
        <v>2022-07-04T11:12:03.021Z</v>
      </c>
    </row>
    <row r="354" spans="1:10" x14ac:dyDescent="0.2">
      <c r="A354" s="2" t="str">
        <f ca="1">IFERROR(__xludf.DUMMYFUNCTION("""COMPUTED_VALUE"""),"https://www.facebook.com/profile.php?id=100049952135179")</f>
        <v>https://www.facebook.com/profile.php?id=100049952135179</v>
      </c>
      <c r="B354" s="1" t="str">
        <f ca="1">IFERROR(__xludf.DUMMYFUNCTION("""COMPUTED_VALUE"""),"Alfonso Sigue Sr.")</f>
        <v>Alfonso Sigue Sr.</v>
      </c>
      <c r="C354" s="1" t="str">
        <f ca="1">IFERROR(__xludf.DUMMYFUNCTION("""COMPUTED_VALUE"""),"Alfonso")</f>
        <v>Alfonso</v>
      </c>
      <c r="D354" s="1" t="str">
        <f ca="1">IFERROR(__xludf.DUMMYFUNCTION("""COMPUTED_VALUE"""),"Sigue Sr.")</f>
        <v>Sigue Sr.</v>
      </c>
      <c r="E354" s="1" t="str">
        <f ca="1">IFERROR(__xludf.DUMMYFUNCTION("""COMPUTED_VALUE"""),"Thats the beauty and madness of the Phil. Politics,as they said,in politics no permanent friends or enemies,what is important is personal interest")</f>
        <v>Thats the beauty and madness of the Phil. Politics,as they said,in politics no permanent friends or enemies,what is important is personal interest</v>
      </c>
      <c r="F354" s="1">
        <f ca="1">IFERROR(__xludf.DUMMYFUNCTION("""COMPUTED_VALUE"""),6)</f>
        <v>6</v>
      </c>
      <c r="G354" s="1" t="str">
        <f ca="1">IFERROR(__xludf.DUMMYFUNCTION("""COMPUTED_VALUE"""),"3 mos")</f>
        <v>3 mos</v>
      </c>
      <c r="H354" s="1" t="str">
        <f ca="1">IFERROR(__xludf.DUMMYFUNCTION("""COMPUTED_VALUE"""),"comment")</f>
        <v>comment</v>
      </c>
      <c r="I354" s="2" t="str">
        <f ca="1">IFERROR(__xludf.DUMMYFUNCTION("""COMPUTED_VALUE"""),"https://www.facebook.com/rapplerdotcom/photos/a.317154781638645/5597612220259515/")</f>
        <v>https://www.facebook.com/rapplerdotcom/photos/a.317154781638645/5597612220259515/</v>
      </c>
      <c r="J354" s="1" t="str">
        <f ca="1">IFERROR(__xludf.DUMMYFUNCTION("""COMPUTED_VALUE"""),"2022-07-04T11:12:03.021Z")</f>
        <v>2022-07-04T11:12:03.021Z</v>
      </c>
    </row>
    <row r="355" spans="1:10" x14ac:dyDescent="0.2">
      <c r="A355" s="2" t="str">
        <f ca="1">IFERROR(__xludf.DUMMYFUNCTION("""COMPUTED_VALUE"""),"https://www.facebook.com/nikolo.romeo")</f>
        <v>https://www.facebook.com/nikolo.romeo</v>
      </c>
      <c r="B355" s="1" t="str">
        <f ca="1">IFERROR(__xludf.DUMMYFUNCTION("""COMPUTED_VALUE"""),"Nikola Romeo Smith")</f>
        <v>Nikola Romeo Smith</v>
      </c>
      <c r="C355" s="1" t="str">
        <f ca="1">IFERROR(__xludf.DUMMYFUNCTION("""COMPUTED_VALUE"""),"Nikola")</f>
        <v>Nikola</v>
      </c>
      <c r="D355" s="1" t="str">
        <f ca="1">IFERROR(__xludf.DUMMYFUNCTION("""COMPUTED_VALUE"""),"Romeo Smith")</f>
        <v>Romeo Smith</v>
      </c>
      <c r="E355" s="1" t="str">
        <f ca="1">IFERROR(__xludf.DUMMYFUNCTION("""COMPUTED_VALUE"""),"Alfonso Sigue Sr. Walang kalaban sa Dasma yan")</f>
        <v>Alfonso Sigue Sr. Walang kalaban sa Dasma yan</v>
      </c>
      <c r="F355" s="1"/>
      <c r="G355" s="1" t="str">
        <f ca="1">IFERROR(__xludf.DUMMYFUNCTION("""COMPUTED_VALUE"""),"3 mos")</f>
        <v>3 mos</v>
      </c>
      <c r="H355" s="1" t="str">
        <f ca="1">IFERROR(__xludf.DUMMYFUNCTION("""COMPUTED_VALUE"""),"reply")</f>
        <v>reply</v>
      </c>
      <c r="I355" s="2" t="str">
        <f ca="1">IFERROR(__xludf.DUMMYFUNCTION("""COMPUTED_VALUE"""),"https://www.facebook.com/rapplerdotcom/photos/a.317154781638645/5597612220259515/")</f>
        <v>https://www.facebook.com/rapplerdotcom/photos/a.317154781638645/5597612220259515/</v>
      </c>
      <c r="J355" s="1" t="str">
        <f ca="1">IFERROR(__xludf.DUMMYFUNCTION("""COMPUTED_VALUE"""),"2022-07-04T11:12:03.021Z")</f>
        <v>2022-07-04T11:12:03.021Z</v>
      </c>
    </row>
    <row r="356" spans="1:10" x14ac:dyDescent="0.2">
      <c r="A356" s="2" t="str">
        <f ca="1">IFERROR(__xludf.DUMMYFUNCTION("""COMPUTED_VALUE"""),"https://www.facebook.com/profile.php?id=100014625901344")</f>
        <v>https://www.facebook.com/profile.php?id=100014625901344</v>
      </c>
      <c r="B356" s="1" t="str">
        <f ca="1">IFERROR(__xludf.DUMMYFUNCTION("""COMPUTED_VALUE"""),"Eldridge E. Zeva")</f>
        <v>Eldridge E. Zeva</v>
      </c>
      <c r="C356" s="1" t="str">
        <f ca="1">IFERROR(__xludf.DUMMYFUNCTION("""COMPUTED_VALUE"""),"Eldridge")</f>
        <v>Eldridge</v>
      </c>
      <c r="D356" s="1" t="str">
        <f ca="1">IFERROR(__xludf.DUMMYFUNCTION("""COMPUTED_VALUE"""),"E. Zeva")</f>
        <v>E. Zeva</v>
      </c>
      <c r="E356" s="1" t="str">
        <f ca="1">IFERROR(__xludf.DUMMYFUNCTION("""COMPUTED_VALUE"""),"The righteous thing to do. Better do what your conscience tells you and firmly stand by that decision - no matter how the world says you're wrong! That's being a man!")</f>
        <v>The righteous thing to do. Better do what your conscience tells you and firmly stand by that decision - no matter how the world says you're wrong! That's being a man!</v>
      </c>
      <c r="F356" s="1">
        <f ca="1">IFERROR(__xludf.DUMMYFUNCTION("""COMPUTED_VALUE"""),9)</f>
        <v>9</v>
      </c>
      <c r="G356" s="1" t="str">
        <f ca="1">IFERROR(__xludf.DUMMYFUNCTION("""COMPUTED_VALUE"""),"3 mos")</f>
        <v>3 mos</v>
      </c>
      <c r="H356" s="1" t="str">
        <f ca="1">IFERROR(__xludf.DUMMYFUNCTION("""COMPUTED_VALUE"""),"comment")</f>
        <v>comment</v>
      </c>
      <c r="I356" s="2" t="str">
        <f ca="1">IFERROR(__xludf.DUMMYFUNCTION("""COMPUTED_VALUE"""),"https://www.facebook.com/rapplerdotcom/photos/a.317154781638645/5597612220259515/")</f>
        <v>https://www.facebook.com/rapplerdotcom/photos/a.317154781638645/5597612220259515/</v>
      </c>
      <c r="J356" s="1" t="str">
        <f ca="1">IFERROR(__xludf.DUMMYFUNCTION("""COMPUTED_VALUE"""),"2022-07-04T11:12:03.021Z")</f>
        <v>2022-07-04T11:12:03.021Z</v>
      </c>
    </row>
    <row r="357" spans="1:10" x14ac:dyDescent="0.2">
      <c r="A357" s="2" t="str">
        <f ca="1">IFERROR(__xludf.DUMMYFUNCTION("""COMPUTED_VALUE"""),"https://www.facebook.com/nilo.seda")</f>
        <v>https://www.facebook.com/nilo.seda</v>
      </c>
      <c r="B357" s="1" t="str">
        <f ca="1">IFERROR(__xludf.DUMMYFUNCTION("""COMPUTED_VALUE"""),"Nilo Sasot Seda")</f>
        <v>Nilo Sasot Seda</v>
      </c>
      <c r="C357" s="1" t="str">
        <f ca="1">IFERROR(__xludf.DUMMYFUNCTION("""COMPUTED_VALUE"""),"Nilo")</f>
        <v>Nilo</v>
      </c>
      <c r="D357" s="1" t="str">
        <f ca="1">IFERROR(__xludf.DUMMYFUNCTION("""COMPUTED_VALUE"""),"Sasot Seda")</f>
        <v>Sasot Seda</v>
      </c>
      <c r="E357" s="1" t="str">
        <f ca="1">IFERROR(__xludf.DUMMYFUNCTION("""COMPUTED_VALUE"""),"THANK YOU PO CONG. PIDI AT MAYOR JENNY BARZAGA, #LETLENIKIKOLEAD IN CAVITE. MABUHAY SA MGA KABITENYONG MAY PANININDIGAN.")</f>
        <v>THANK YOU PO CONG. PIDI AT MAYOR JENNY BARZAGA, #LETLENIKIKOLEAD IN CAVITE. MABUHAY SA MGA KABITENYONG MAY PANININDIGAN.</v>
      </c>
      <c r="F357" s="1">
        <f ca="1">IFERROR(__xludf.DUMMYFUNCTION("""COMPUTED_VALUE"""),16)</f>
        <v>16</v>
      </c>
      <c r="G357" s="1" t="str">
        <f ca="1">IFERROR(__xludf.DUMMYFUNCTION("""COMPUTED_VALUE"""),"3 mos")</f>
        <v>3 mos</v>
      </c>
      <c r="H357" s="1" t="str">
        <f ca="1">IFERROR(__xludf.DUMMYFUNCTION("""COMPUTED_VALUE"""),"comment")</f>
        <v>comment</v>
      </c>
      <c r="I357" s="2" t="str">
        <f ca="1">IFERROR(__xludf.DUMMYFUNCTION("""COMPUTED_VALUE"""),"https://www.facebook.com/rapplerdotcom/photos/a.317154781638645/5597612220259515/")</f>
        <v>https://www.facebook.com/rapplerdotcom/photos/a.317154781638645/5597612220259515/</v>
      </c>
      <c r="J357" s="1" t="str">
        <f ca="1">IFERROR(__xludf.DUMMYFUNCTION("""COMPUTED_VALUE"""),"2022-07-04T11:12:03.021Z")</f>
        <v>2022-07-04T11:12:03.021Z</v>
      </c>
    </row>
    <row r="358" spans="1:10" x14ac:dyDescent="0.2">
      <c r="A358" s="2" t="str">
        <f ca="1">IFERROR(__xludf.DUMMYFUNCTION("""COMPUTED_VALUE"""),"https://www.facebook.com/ditas.roxas")</f>
        <v>https://www.facebook.com/ditas.roxas</v>
      </c>
      <c r="B358" s="1" t="str">
        <f ca="1">IFERROR(__xludf.DUMMYFUNCTION("""COMPUTED_VALUE"""),"Ditas Rodis Roxas")</f>
        <v>Ditas Rodis Roxas</v>
      </c>
      <c r="C358" s="1" t="str">
        <f ca="1">IFERROR(__xludf.DUMMYFUNCTION("""COMPUTED_VALUE"""),"Ditas")</f>
        <v>Ditas</v>
      </c>
      <c r="D358" s="1" t="str">
        <f ca="1">IFERROR(__xludf.DUMMYFUNCTION("""COMPUTED_VALUE"""),"Rodis Roxas")</f>
        <v>Rodis Roxas</v>
      </c>
      <c r="E358" s="1" t="str">
        <f ca="1">IFERROR(__xludf.DUMMYFUNCTION("""COMPUTED_VALUE"""),"Thank you, sir for putting the interests of the country before the (selfish) interests of your party! #letlenilead #lenirobredoforpresident #kikopangilinanforvicepresident")</f>
        <v>Thank you, sir for putting the interests of the country before the (selfish) interests of your party! #letlenilead #lenirobredoforpresident #kikopangilinanforvicepresident</v>
      </c>
      <c r="F358" s="1">
        <f ca="1">IFERROR(__xludf.DUMMYFUNCTION("""COMPUTED_VALUE"""),42)</f>
        <v>42</v>
      </c>
      <c r="G358" s="1" t="str">
        <f ca="1">IFERROR(__xludf.DUMMYFUNCTION("""COMPUTED_VALUE"""),"3 mos")</f>
        <v>3 mos</v>
      </c>
      <c r="H358" s="1" t="str">
        <f ca="1">IFERROR(__xludf.DUMMYFUNCTION("""COMPUTED_VALUE"""),"comment")</f>
        <v>comment</v>
      </c>
      <c r="I358" s="2" t="str">
        <f ca="1">IFERROR(__xludf.DUMMYFUNCTION("""COMPUTED_VALUE"""),"https://www.facebook.com/rapplerdotcom/photos/a.317154781638645/5597612220259515/")</f>
        <v>https://www.facebook.com/rapplerdotcom/photos/a.317154781638645/5597612220259515/</v>
      </c>
      <c r="J358" s="1" t="str">
        <f ca="1">IFERROR(__xludf.DUMMYFUNCTION("""COMPUTED_VALUE"""),"2022-07-04T11:12:03.021Z")</f>
        <v>2022-07-04T11:12:03.021Z</v>
      </c>
    </row>
    <row r="359" spans="1:10" x14ac:dyDescent="0.2">
      <c r="A359" s="2" t="str">
        <f ca="1">IFERROR(__xludf.DUMMYFUNCTION("""COMPUTED_VALUE"""),"https://www.facebook.com/julio.quian")</f>
        <v>https://www.facebook.com/julio.quian</v>
      </c>
      <c r="B359" s="1" t="str">
        <f ca="1">IFERROR(__xludf.DUMMYFUNCTION("""COMPUTED_VALUE"""),"Julio Quian")</f>
        <v>Julio Quian</v>
      </c>
      <c r="C359" s="1" t="str">
        <f ca="1">IFERROR(__xludf.DUMMYFUNCTION("""COMPUTED_VALUE"""),"Julio")</f>
        <v>Julio</v>
      </c>
      <c r="D359" s="1" t="str">
        <f ca="1">IFERROR(__xludf.DUMMYFUNCTION("""COMPUTED_VALUE"""),"Quian")</f>
        <v>Quian</v>
      </c>
      <c r="E359" s="1" t="str">
        <f ca="1">IFERROR(__xludf.DUMMYFUNCTION("""COMPUTED_VALUE"""),"Solid Sarah @Marco's nlang ako he is very good leader...!!!")</f>
        <v>Solid Sarah @Marco's nlang ako he is very good leader...!!!</v>
      </c>
      <c r="F359" s="1">
        <f ca="1">IFERROR(__xludf.DUMMYFUNCTION("""COMPUTED_VALUE"""),4)</f>
        <v>4</v>
      </c>
      <c r="G359" s="1" t="str">
        <f ca="1">IFERROR(__xludf.DUMMYFUNCTION("""COMPUTED_VALUE"""),"3 mos")</f>
        <v>3 mos</v>
      </c>
      <c r="H359" s="1" t="str">
        <f ca="1">IFERROR(__xludf.DUMMYFUNCTION("""COMPUTED_VALUE"""),"comment")</f>
        <v>comment</v>
      </c>
      <c r="I359" s="2" t="str">
        <f ca="1">IFERROR(__xludf.DUMMYFUNCTION("""COMPUTED_VALUE"""),"https://www.facebook.com/rapplerdotcom/photos/a.317154781638645/5597612220259515/")</f>
        <v>https://www.facebook.com/rapplerdotcom/photos/a.317154781638645/5597612220259515/</v>
      </c>
      <c r="J359" s="1" t="str">
        <f ca="1">IFERROR(__xludf.DUMMYFUNCTION("""COMPUTED_VALUE"""),"2022-07-04T11:12:03.021Z")</f>
        <v>2022-07-04T11:12:03.021Z</v>
      </c>
    </row>
    <row r="360" spans="1:10" x14ac:dyDescent="0.2">
      <c r="A360" s="2" t="str">
        <f ca="1">IFERROR(__xludf.DUMMYFUNCTION("""COMPUTED_VALUE"""),"https://www.facebook.com/daisycanonizado.dalangin")</f>
        <v>https://www.facebook.com/daisycanonizado.dalangin</v>
      </c>
      <c r="B360" s="1" t="str">
        <f ca="1">IFERROR(__xludf.DUMMYFUNCTION("""COMPUTED_VALUE"""),"Daisy Canonizado Dalangin")</f>
        <v>Daisy Canonizado Dalangin</v>
      </c>
      <c r="C360" s="1" t="str">
        <f ca="1">IFERROR(__xludf.DUMMYFUNCTION("""COMPUTED_VALUE"""),"Daisy")</f>
        <v>Daisy</v>
      </c>
      <c r="D360" s="1" t="str">
        <f ca="1">IFERROR(__xludf.DUMMYFUNCTION("""COMPUTED_VALUE"""),"Canonizado Dalangin")</f>
        <v>Canonizado Dalangin</v>
      </c>
      <c r="E360" s="1" t="str">
        <f ca="1">IFERROR(__xludf.DUMMYFUNCTION("""COMPUTED_VALUE"""),"More and more will be awakened as 9 May approaches.  God works for the good of all.")</f>
        <v>More and more will be awakened as 9 May approaches.  God works for the good of all.</v>
      </c>
      <c r="F360" s="1">
        <f ca="1">IFERROR(__xludf.DUMMYFUNCTION("""COMPUTED_VALUE"""),8)</f>
        <v>8</v>
      </c>
      <c r="G360" s="1" t="str">
        <f ca="1">IFERROR(__xludf.DUMMYFUNCTION("""COMPUTED_VALUE"""),"3 mos")</f>
        <v>3 mos</v>
      </c>
      <c r="H360" s="1" t="str">
        <f ca="1">IFERROR(__xludf.DUMMYFUNCTION("""COMPUTED_VALUE"""),"comment")</f>
        <v>comment</v>
      </c>
      <c r="I360" s="2" t="str">
        <f ca="1">IFERROR(__xludf.DUMMYFUNCTION("""COMPUTED_VALUE"""),"https://www.facebook.com/rapplerdotcom/photos/a.317154781638645/5597612220259515/")</f>
        <v>https://www.facebook.com/rapplerdotcom/photos/a.317154781638645/5597612220259515/</v>
      </c>
      <c r="J360" s="1" t="str">
        <f ca="1">IFERROR(__xludf.DUMMYFUNCTION("""COMPUTED_VALUE"""),"2022-07-04T11:12:03.021Z")</f>
        <v>2022-07-04T11:12:03.021Z</v>
      </c>
    </row>
    <row r="361" spans="1:10" x14ac:dyDescent="0.2">
      <c r="A361" s="2" t="str">
        <f ca="1">IFERROR(__xludf.DUMMYFUNCTION("""COMPUTED_VALUE"""),"https://www.facebook.com/francis.noel.5686")</f>
        <v>https://www.facebook.com/francis.noel.5686</v>
      </c>
      <c r="B361" s="1" t="str">
        <f ca="1">IFERROR(__xludf.DUMMYFUNCTION("""COMPUTED_VALUE"""),"ArFrancis Noel")</f>
        <v>ArFrancis Noel</v>
      </c>
      <c r="C361" s="1" t="str">
        <f ca="1">IFERROR(__xludf.DUMMYFUNCTION("""COMPUTED_VALUE"""),"ArFrancis")</f>
        <v>ArFrancis</v>
      </c>
      <c r="D361" s="1" t="str">
        <f ca="1">IFERROR(__xludf.DUMMYFUNCTION("""COMPUTED_VALUE"""),"Noel")</f>
        <v>Noel</v>
      </c>
      <c r="E361" s="1" t="str">
        <f ca="1">IFERROR(__xludf.DUMMYFUNCTION("""COMPUTED_VALUE"""),"Tides turning. No to Trapos, We Deserved Better! #LeniKikoAllTheWay")</f>
        <v>Tides turning. No to Trapos, We Deserved Better! #LeniKikoAllTheWay</v>
      </c>
      <c r="F361" s="1">
        <f ca="1">IFERROR(__xludf.DUMMYFUNCTION("""COMPUTED_VALUE"""),45)</f>
        <v>45</v>
      </c>
      <c r="G361" s="1" t="str">
        <f ca="1">IFERROR(__xludf.DUMMYFUNCTION("""COMPUTED_VALUE"""),"3 mos")</f>
        <v>3 mos</v>
      </c>
      <c r="H361" s="1" t="str">
        <f ca="1">IFERROR(__xludf.DUMMYFUNCTION("""COMPUTED_VALUE"""),"comment")</f>
        <v>comment</v>
      </c>
      <c r="I361" s="2" t="str">
        <f ca="1">IFERROR(__xludf.DUMMYFUNCTION("""COMPUTED_VALUE"""),"https://www.facebook.com/rapplerdotcom/photos/a.317154781638645/5597612220259515/")</f>
        <v>https://www.facebook.com/rapplerdotcom/photos/a.317154781638645/5597612220259515/</v>
      </c>
      <c r="J361" s="1" t="str">
        <f ca="1">IFERROR(__xludf.DUMMYFUNCTION("""COMPUTED_VALUE"""),"2022-07-04T11:12:03.021Z")</f>
        <v>2022-07-04T11:12:03.021Z</v>
      </c>
    </row>
    <row r="362" spans="1:10" x14ac:dyDescent="0.2">
      <c r="A362" s="2" t="str">
        <f ca="1">IFERROR(__xludf.DUMMYFUNCTION("""COMPUTED_VALUE"""),"https://www.facebook.com/christinefamulagan")</f>
        <v>https://www.facebook.com/christinefamulagan</v>
      </c>
      <c r="B362" s="1" t="str">
        <f ca="1">IFERROR(__xludf.DUMMYFUNCTION("""COMPUTED_VALUE"""),"Tine Nagalumaf")</f>
        <v>Tine Nagalumaf</v>
      </c>
      <c r="C362" s="1" t="str">
        <f ca="1">IFERROR(__xludf.DUMMYFUNCTION("""COMPUTED_VALUE"""),"Tine")</f>
        <v>Tine</v>
      </c>
      <c r="D362" s="1" t="str">
        <f ca="1">IFERROR(__xludf.DUMMYFUNCTION("""COMPUTED_VALUE"""),"Nagalumaf")</f>
        <v>Nagalumaf</v>
      </c>
      <c r="E362" s="1" t="str">
        <f ca="1">IFERROR(__xludf.DUMMYFUNCTION("""COMPUTED_VALUE"""),"ArFrancis Noel  We deserved better. So, why settle for anything less. ,#lenikiko2022")</f>
        <v>ArFrancis Noel  We deserved better. So, why settle for anything less. ,#lenikiko2022</v>
      </c>
      <c r="F362" s="1">
        <f ca="1">IFERROR(__xludf.DUMMYFUNCTION("""COMPUTED_VALUE"""),4)</f>
        <v>4</v>
      </c>
      <c r="G362" s="1" t="str">
        <f ca="1">IFERROR(__xludf.DUMMYFUNCTION("""COMPUTED_VALUE"""),"3 mos")</f>
        <v>3 mos</v>
      </c>
      <c r="H362" s="1" t="str">
        <f ca="1">IFERROR(__xludf.DUMMYFUNCTION("""COMPUTED_VALUE"""),"reply")</f>
        <v>reply</v>
      </c>
      <c r="I362" s="2" t="str">
        <f ca="1">IFERROR(__xludf.DUMMYFUNCTION("""COMPUTED_VALUE"""),"https://www.facebook.com/rapplerdotcom/photos/a.317154781638645/5597612220259515/")</f>
        <v>https://www.facebook.com/rapplerdotcom/photos/a.317154781638645/5597612220259515/</v>
      </c>
      <c r="J362" s="1" t="str">
        <f ca="1">IFERROR(__xludf.DUMMYFUNCTION("""COMPUTED_VALUE"""),"2022-07-04T11:12:03.021Z")</f>
        <v>2022-07-04T11:12:03.021Z</v>
      </c>
    </row>
    <row r="363" spans="1:10" x14ac:dyDescent="0.2">
      <c r="A363" s="2" t="str">
        <f ca="1">IFERROR(__xludf.DUMMYFUNCTION("""COMPUTED_VALUE"""),"https://www.facebook.com/christinefamulagan")</f>
        <v>https://www.facebook.com/christinefamulagan</v>
      </c>
      <c r="B363" s="1" t="str">
        <f ca="1">IFERROR(__xludf.DUMMYFUNCTION("""COMPUTED_VALUE"""),"Tine Nagalumaf")</f>
        <v>Tine Nagalumaf</v>
      </c>
      <c r="C363" s="1" t="str">
        <f ca="1">IFERROR(__xludf.DUMMYFUNCTION("""COMPUTED_VALUE"""),"Tine")</f>
        <v>Tine</v>
      </c>
      <c r="D363" s="1" t="str">
        <f ca="1">IFERROR(__xludf.DUMMYFUNCTION("""COMPUTED_VALUE"""),"Nagalumaf")</f>
        <v>Nagalumaf</v>
      </c>
      <c r="E363" s="1" t="str">
        <f ca="1">IFERROR(__xludf.DUMMYFUNCTION("""COMPUTED_VALUE"""),"Tine Nagalumaf")</f>
        <v>Tine Nagalumaf</v>
      </c>
      <c r="F363" s="1"/>
      <c r="G363" s="1" t="str">
        <f ca="1">IFERROR(__xludf.DUMMYFUNCTION("""COMPUTED_VALUE"""),"3 mos")</f>
        <v>3 mos</v>
      </c>
      <c r="H363" s="1" t="str">
        <f ca="1">IFERROR(__xludf.DUMMYFUNCTION("""COMPUTED_VALUE"""),"reply")</f>
        <v>reply</v>
      </c>
      <c r="I363" s="2" t="str">
        <f ca="1">IFERROR(__xludf.DUMMYFUNCTION("""COMPUTED_VALUE"""),"https://www.facebook.com/rapplerdotcom/photos/a.317154781638645/5597612220259515/")</f>
        <v>https://www.facebook.com/rapplerdotcom/photos/a.317154781638645/5597612220259515/</v>
      </c>
      <c r="J363" s="1" t="str">
        <f ca="1">IFERROR(__xludf.DUMMYFUNCTION("""COMPUTED_VALUE"""),"2022-07-04T11:12:03.021Z")</f>
        <v>2022-07-04T11:12:03.021Z</v>
      </c>
    </row>
    <row r="364" spans="1:10" x14ac:dyDescent="0.2">
      <c r="A364" s="2" t="str">
        <f ca="1">IFERROR(__xludf.DUMMYFUNCTION("""COMPUTED_VALUE"""),"https://www.facebook.com/fatiph.rack")</f>
        <v>https://www.facebook.com/fatiph.rack</v>
      </c>
      <c r="B364" s="1" t="str">
        <f ca="1">IFERROR(__xludf.DUMMYFUNCTION("""COMPUTED_VALUE"""),"Fatiph Rack")</f>
        <v>Fatiph Rack</v>
      </c>
      <c r="C364" s="1" t="str">
        <f ca="1">IFERROR(__xludf.DUMMYFUNCTION("""COMPUTED_VALUE"""),"Fatiph")</f>
        <v>Fatiph</v>
      </c>
      <c r="D364" s="1" t="str">
        <f ca="1">IFERROR(__xludf.DUMMYFUNCTION("""COMPUTED_VALUE"""),"Rack")</f>
        <v>Rack</v>
      </c>
      <c r="E364" s="1" t="str">
        <f ca="1">IFERROR(__xludf.DUMMYFUNCTION("""COMPUTED_VALUE"""),"So, Pidi is now insignificant to his party. He should resign.")</f>
        <v>So, Pidi is now insignificant to his party. He should resign.</v>
      </c>
      <c r="F364" s="1">
        <f ca="1">IFERROR(__xludf.DUMMYFUNCTION("""COMPUTED_VALUE"""),4)</f>
        <v>4</v>
      </c>
      <c r="G364" s="1" t="str">
        <f ca="1">IFERROR(__xludf.DUMMYFUNCTION("""COMPUTED_VALUE"""),"3 mos")</f>
        <v>3 mos</v>
      </c>
      <c r="H364" s="1" t="str">
        <f ca="1">IFERROR(__xludf.DUMMYFUNCTION("""COMPUTED_VALUE"""),"comment")</f>
        <v>comment</v>
      </c>
      <c r="I364" s="2" t="str">
        <f ca="1">IFERROR(__xludf.DUMMYFUNCTION("""COMPUTED_VALUE"""),"https://www.facebook.com/rapplerdotcom/photos/a.317154781638645/5597612220259515/")</f>
        <v>https://www.facebook.com/rapplerdotcom/photos/a.317154781638645/5597612220259515/</v>
      </c>
      <c r="J364" s="1" t="str">
        <f ca="1">IFERROR(__xludf.DUMMYFUNCTION("""COMPUTED_VALUE"""),"2022-07-04T11:12:03.021Z")</f>
        <v>2022-07-04T11:12:03.021Z</v>
      </c>
    </row>
    <row r="365" spans="1:10" x14ac:dyDescent="0.2">
      <c r="A365" s="2" t="str">
        <f ca="1">IFERROR(__xludf.DUMMYFUNCTION("""COMPUTED_VALUE"""),"https://www.facebook.com/judema.cruz")</f>
        <v>https://www.facebook.com/judema.cruz</v>
      </c>
      <c r="B365" s="1" t="str">
        <f ca="1">IFERROR(__xludf.DUMMYFUNCTION("""COMPUTED_VALUE"""),"Judema Sedonio Cruz")</f>
        <v>Judema Sedonio Cruz</v>
      </c>
      <c r="C365" s="1" t="str">
        <f ca="1">IFERROR(__xludf.DUMMYFUNCTION("""COMPUTED_VALUE"""),"Judema")</f>
        <v>Judema</v>
      </c>
      <c r="D365" s="1" t="str">
        <f ca="1">IFERROR(__xludf.DUMMYFUNCTION("""COMPUTED_VALUE"""),"Sedonio Cruz")</f>
        <v>Sedonio Cruz</v>
      </c>
      <c r="E365" s="1" t="str">
        <f ca="1">IFERROR(__xludf.DUMMYFUNCTION("""COMPUTED_VALUE"""),"Thank you for your support, Cong. Barzaga! May others follow too!")</f>
        <v>Thank you for your support, Cong. Barzaga! May others follow too!</v>
      </c>
      <c r="F365" s="1">
        <f ca="1">IFERROR(__xludf.DUMMYFUNCTION("""COMPUTED_VALUE"""),16)</f>
        <v>16</v>
      </c>
      <c r="G365" s="1" t="str">
        <f ca="1">IFERROR(__xludf.DUMMYFUNCTION("""COMPUTED_VALUE"""),"3 mos")</f>
        <v>3 mos</v>
      </c>
      <c r="H365" s="1" t="str">
        <f ca="1">IFERROR(__xludf.DUMMYFUNCTION("""COMPUTED_VALUE"""),"comment")</f>
        <v>comment</v>
      </c>
      <c r="I365" s="2" t="str">
        <f ca="1">IFERROR(__xludf.DUMMYFUNCTION("""COMPUTED_VALUE"""),"https://www.facebook.com/rapplerdotcom/photos/a.317154781638645/5597612220259515/")</f>
        <v>https://www.facebook.com/rapplerdotcom/photos/a.317154781638645/5597612220259515/</v>
      </c>
      <c r="J365" s="1" t="str">
        <f ca="1">IFERROR(__xludf.DUMMYFUNCTION("""COMPUTED_VALUE"""),"2022-07-04T11:12:03.021Z")</f>
        <v>2022-07-04T11:12:03.021Z</v>
      </c>
    </row>
    <row r="366" spans="1:10" x14ac:dyDescent="0.2">
      <c r="A366" s="2" t="str">
        <f ca="1">IFERROR(__xludf.DUMMYFUNCTION("""COMPUTED_VALUE"""),"https://www.facebook.com/gene.oarde")</f>
        <v>https://www.facebook.com/gene.oarde</v>
      </c>
      <c r="B366" s="1" t="str">
        <f ca="1">IFERROR(__xludf.DUMMYFUNCTION("""COMPUTED_VALUE"""),"Gene Oarde")</f>
        <v>Gene Oarde</v>
      </c>
      <c r="C366" s="1" t="str">
        <f ca="1">IFERROR(__xludf.DUMMYFUNCTION("""COMPUTED_VALUE"""),"Gene")</f>
        <v>Gene</v>
      </c>
      <c r="D366" s="1" t="str">
        <f ca="1">IFERROR(__xludf.DUMMYFUNCTION("""COMPUTED_VALUE"""),"Oarde")</f>
        <v>Oarde</v>
      </c>
      <c r="E366" s="1" t="str">
        <f ca="1">IFERROR(__xludf.DUMMYFUNCTION("""COMPUTED_VALUE"""),"Thank u Sir Atty Pedi Barzaga .Kakampink tayo. Lalo ka pa naming susuportahan ngayun at sa mga darating na panahon. KULAY ROSAS ANG DASMARIÑAS💗💗💗")</f>
        <v>Thank u Sir Atty Pedi Barzaga .Kakampink tayo. Lalo ka pa naming susuportahan ngayun at sa mga darating na panahon. KULAY ROSAS ANG DASMARIÑAS💗💗💗</v>
      </c>
      <c r="F366" s="1"/>
      <c r="G366" s="1" t="str">
        <f ca="1">IFERROR(__xludf.DUMMYFUNCTION("""COMPUTED_VALUE"""),"3 mos")</f>
        <v>3 mos</v>
      </c>
      <c r="H366" s="1" t="str">
        <f ca="1">IFERROR(__xludf.DUMMYFUNCTION("""COMPUTED_VALUE"""),"comment")</f>
        <v>comment</v>
      </c>
      <c r="I366" s="2" t="str">
        <f ca="1">IFERROR(__xludf.DUMMYFUNCTION("""COMPUTED_VALUE"""),"https://www.facebook.com/rapplerdotcom/photos/a.317154781638645/5597612220259515/")</f>
        <v>https://www.facebook.com/rapplerdotcom/photos/a.317154781638645/5597612220259515/</v>
      </c>
      <c r="J366" s="1" t="str">
        <f ca="1">IFERROR(__xludf.DUMMYFUNCTION("""COMPUTED_VALUE"""),"2022-07-04T11:12:03.021Z")</f>
        <v>2022-07-04T11:12:03.021Z</v>
      </c>
    </row>
    <row r="367" spans="1:10" x14ac:dyDescent="0.2">
      <c r="A367" s="2" t="str">
        <f ca="1">IFERROR(__xludf.DUMMYFUNCTION("""COMPUTED_VALUE"""),"https://www.facebook.com/jovito.tamayo.7")</f>
        <v>https://www.facebook.com/jovito.tamayo.7</v>
      </c>
      <c r="B367" s="1" t="str">
        <f ca="1">IFERROR(__xludf.DUMMYFUNCTION("""COMPUTED_VALUE"""),"Jovito Tamayo")</f>
        <v>Jovito Tamayo</v>
      </c>
      <c r="C367" s="1" t="str">
        <f ca="1">IFERROR(__xludf.DUMMYFUNCTION("""COMPUTED_VALUE"""),"Jovito")</f>
        <v>Jovito</v>
      </c>
      <c r="D367" s="1" t="str">
        <f ca="1">IFERROR(__xludf.DUMMYFUNCTION("""COMPUTED_VALUE"""),"Tamayo")</f>
        <v>Tamayo</v>
      </c>
      <c r="E367" s="1" t="str">
        <f ca="1">IFERROR(__xludf.DUMMYFUNCTION("""COMPUTED_VALUE"""),"Only one vote for President whole NUP thousands of voters")</f>
        <v>Only one vote for President whole NUP thousands of voters</v>
      </c>
      <c r="F367" s="1">
        <f ca="1">IFERROR(__xludf.DUMMYFUNCTION("""COMPUTED_VALUE"""),3)</f>
        <v>3</v>
      </c>
      <c r="G367" s="1" t="str">
        <f ca="1">IFERROR(__xludf.DUMMYFUNCTION("""COMPUTED_VALUE"""),"3 mos")</f>
        <v>3 mos</v>
      </c>
      <c r="H367" s="1" t="str">
        <f ca="1">IFERROR(__xludf.DUMMYFUNCTION("""COMPUTED_VALUE"""),"comment")</f>
        <v>comment</v>
      </c>
      <c r="I367" s="2" t="str">
        <f ca="1">IFERROR(__xludf.DUMMYFUNCTION("""COMPUTED_VALUE"""),"https://www.facebook.com/rapplerdotcom/photos/a.317154781638645/5597612220259515/")</f>
        <v>https://www.facebook.com/rapplerdotcom/photos/a.317154781638645/5597612220259515/</v>
      </c>
      <c r="J367" s="1" t="str">
        <f ca="1">IFERROR(__xludf.DUMMYFUNCTION("""COMPUTED_VALUE"""),"2022-07-04T11:12:03.021Z")</f>
        <v>2022-07-04T11:12:03.021Z</v>
      </c>
    </row>
    <row r="368" spans="1:10" x14ac:dyDescent="0.2">
      <c r="A368" s="2" t="str">
        <f ca="1">IFERROR(__xludf.DUMMYFUNCTION("""COMPUTED_VALUE"""),"https://www.facebook.com/profile.php?id=100005697048693")</f>
        <v>https://www.facebook.com/profile.php?id=100005697048693</v>
      </c>
      <c r="B368" s="1" t="str">
        <f ca="1">IFERROR(__xludf.DUMMYFUNCTION("""COMPUTED_VALUE"""),"Jaime Marshall")</f>
        <v>Jaime Marshall</v>
      </c>
      <c r="C368" s="1" t="str">
        <f ca="1">IFERROR(__xludf.DUMMYFUNCTION("""COMPUTED_VALUE"""),"Jaime")</f>
        <v>Jaime</v>
      </c>
      <c r="D368" s="1" t="str">
        <f ca="1">IFERROR(__xludf.DUMMYFUNCTION("""COMPUTED_VALUE"""),"Marshall")</f>
        <v>Marshall</v>
      </c>
      <c r="E368" s="1" t="str">
        <f ca="1">IFERROR(__xludf.DUMMYFUNCTION("""COMPUTED_VALUE"""),"Good decision Cong Barsaga, Mabuhay po kayi #KayLeniAngatBuhayLahat  #LetLeniLead2022  #neveragain  #neverforget  #RosasAngKulayNgBukas")</f>
        <v>Good decision Cong Barsaga, Mabuhay po kayi #KayLeniAngatBuhayLahat  #LetLeniLead2022  #neveragain  #neverforget  #RosasAngKulayNgBukas</v>
      </c>
      <c r="F368" s="1">
        <f ca="1">IFERROR(__xludf.DUMMYFUNCTION("""COMPUTED_VALUE"""),4)</f>
        <v>4</v>
      </c>
      <c r="G368" s="1" t="str">
        <f ca="1">IFERROR(__xludf.DUMMYFUNCTION("""COMPUTED_VALUE"""),"3 mos")</f>
        <v>3 mos</v>
      </c>
      <c r="H368" s="1" t="str">
        <f ca="1">IFERROR(__xludf.DUMMYFUNCTION("""COMPUTED_VALUE"""),"comment")</f>
        <v>comment</v>
      </c>
      <c r="I368" s="2" t="str">
        <f ca="1">IFERROR(__xludf.DUMMYFUNCTION("""COMPUTED_VALUE"""),"https://www.facebook.com/rapplerdotcom/photos/a.317154781638645/5597612220259515/")</f>
        <v>https://www.facebook.com/rapplerdotcom/photos/a.317154781638645/5597612220259515/</v>
      </c>
      <c r="J368" s="1" t="str">
        <f ca="1">IFERROR(__xludf.DUMMYFUNCTION("""COMPUTED_VALUE"""),"2022-07-04T11:12:03.021Z")</f>
        <v>2022-07-04T11:12:03.021Z</v>
      </c>
    </row>
    <row r="369" spans="1:10" x14ac:dyDescent="0.2">
      <c r="A369" s="2" t="str">
        <f ca="1">IFERROR(__xludf.DUMMYFUNCTION("""COMPUTED_VALUE"""),"https://www.facebook.com/angelo.amistoso.5")</f>
        <v>https://www.facebook.com/angelo.amistoso.5</v>
      </c>
      <c r="B369" s="1" t="str">
        <f ca="1">IFERROR(__xludf.DUMMYFUNCTION("""COMPUTED_VALUE"""),"Angelo Amistoso")</f>
        <v>Angelo Amistoso</v>
      </c>
      <c r="C369" s="1" t="str">
        <f ca="1">IFERROR(__xludf.DUMMYFUNCTION("""COMPUTED_VALUE"""),"Angelo")</f>
        <v>Angelo</v>
      </c>
      <c r="D369" s="1" t="str">
        <f ca="1">IFERROR(__xludf.DUMMYFUNCTION("""COMPUTED_VALUE"""),"Amistoso")</f>
        <v>Amistoso</v>
      </c>
      <c r="E369" s="1" t="str">
        <f ca="1">IFERROR(__xludf.DUMMYFUNCTION("""COMPUTED_VALUE"""),"There is no such thing as party principle, but mere move for political survival. BS this system !")</f>
        <v>There is no such thing as party principle, but mere move for political survival. BS this system !</v>
      </c>
      <c r="F369" s="1"/>
      <c r="G369" s="1" t="str">
        <f ca="1">IFERROR(__xludf.DUMMYFUNCTION("""COMPUTED_VALUE"""),"3 mos")</f>
        <v>3 mos</v>
      </c>
      <c r="H369" s="1" t="str">
        <f ca="1">IFERROR(__xludf.DUMMYFUNCTION("""COMPUTED_VALUE"""),"comment")</f>
        <v>comment</v>
      </c>
      <c r="I369" s="2" t="str">
        <f ca="1">IFERROR(__xludf.DUMMYFUNCTION("""COMPUTED_VALUE"""),"https://www.facebook.com/rapplerdotcom/photos/a.317154781638645/5597612220259515/")</f>
        <v>https://www.facebook.com/rapplerdotcom/photos/a.317154781638645/5597612220259515/</v>
      </c>
      <c r="J369" s="1" t="str">
        <f ca="1">IFERROR(__xludf.DUMMYFUNCTION("""COMPUTED_VALUE"""),"2022-07-04T11:12:03.021Z")</f>
        <v>2022-07-04T11:12:03.021Z</v>
      </c>
    </row>
    <row r="370" spans="1:10" x14ac:dyDescent="0.2">
      <c r="A370" s="2" t="str">
        <f ca="1">IFERROR(__xludf.DUMMYFUNCTION("""COMPUTED_VALUE"""),"https://www.facebook.com/ocir18")</f>
        <v>https://www.facebook.com/ocir18</v>
      </c>
      <c r="B370" s="1" t="str">
        <f ca="1">IFERROR(__xludf.DUMMYFUNCTION("""COMPUTED_VALUE"""),"Rico Iballa")</f>
        <v>Rico Iballa</v>
      </c>
      <c r="C370" s="1" t="str">
        <f ca="1">IFERROR(__xludf.DUMMYFUNCTION("""COMPUTED_VALUE"""),"Rico")</f>
        <v>Rico</v>
      </c>
      <c r="D370" s="1" t="str">
        <f ca="1">IFERROR(__xludf.DUMMYFUNCTION("""COMPUTED_VALUE"""),"Iballa")</f>
        <v>Iballa</v>
      </c>
      <c r="E370" s="1" t="str">
        <f ca="1">IFERROR(__xludf.DUMMYFUNCTION("""COMPUTED_VALUE"""),"""My loyalty to my party ends where my loyalty to my country begins""...Former Pres. Manuel L. Quezon.")</f>
        <v>"My loyalty to my party ends where my loyalty to my country begins"...Former Pres. Manuel L. Quezon.</v>
      </c>
      <c r="F370" s="1">
        <f ca="1">IFERROR(__xludf.DUMMYFUNCTION("""COMPUTED_VALUE"""),17)</f>
        <v>17</v>
      </c>
      <c r="G370" s="1" t="str">
        <f ca="1">IFERROR(__xludf.DUMMYFUNCTION("""COMPUTED_VALUE"""),"3 mos")</f>
        <v>3 mos</v>
      </c>
      <c r="H370" s="1" t="str">
        <f ca="1">IFERROR(__xludf.DUMMYFUNCTION("""COMPUTED_VALUE"""),"comment")</f>
        <v>comment</v>
      </c>
      <c r="I370" s="2" t="str">
        <f ca="1">IFERROR(__xludf.DUMMYFUNCTION("""COMPUTED_VALUE"""),"https://www.facebook.com/rapplerdotcom/photos/a.317154781638645/5597612220259515/")</f>
        <v>https://www.facebook.com/rapplerdotcom/photos/a.317154781638645/5597612220259515/</v>
      </c>
      <c r="J370" s="1" t="str">
        <f ca="1">IFERROR(__xludf.DUMMYFUNCTION("""COMPUTED_VALUE"""),"2022-07-04T11:12:03.021Z")</f>
        <v>2022-07-04T11:12:03.021Z</v>
      </c>
    </row>
    <row r="371" spans="1:10" x14ac:dyDescent="0.2">
      <c r="A371" s="2" t="str">
        <f ca="1">IFERROR(__xludf.DUMMYFUNCTION("""COMPUTED_VALUE"""),"https://www.facebook.com/babettemendelebar")</f>
        <v>https://www.facebook.com/babettemendelebar</v>
      </c>
      <c r="B371" s="1" t="str">
        <f ca="1">IFERROR(__xludf.DUMMYFUNCTION("""COMPUTED_VALUE"""),"Babette Mendelebar")</f>
        <v>Babette Mendelebar</v>
      </c>
      <c r="C371" s="1" t="str">
        <f ca="1">IFERROR(__xludf.DUMMYFUNCTION("""COMPUTED_VALUE"""),"Babette")</f>
        <v>Babette</v>
      </c>
      <c r="D371" s="1" t="str">
        <f ca="1">IFERROR(__xludf.DUMMYFUNCTION("""COMPUTED_VALUE"""),"Mendelebar")</f>
        <v>Mendelebar</v>
      </c>
      <c r="E371" s="1" t="str">
        <f ca="1">IFERROR(__xludf.DUMMYFUNCTION("""COMPUTED_VALUE"""),"Good  decision Mayor Jen. ❤️")</f>
        <v>Good  decision Mayor Jen. ❤️</v>
      </c>
      <c r="F371" s="1"/>
      <c r="G371" s="1" t="str">
        <f ca="1">IFERROR(__xludf.DUMMYFUNCTION("""COMPUTED_VALUE"""),"3 mos")</f>
        <v>3 mos</v>
      </c>
      <c r="H371" s="1" t="str">
        <f ca="1">IFERROR(__xludf.DUMMYFUNCTION("""COMPUTED_VALUE"""),"comment")</f>
        <v>comment</v>
      </c>
      <c r="I371" s="2" t="str">
        <f ca="1">IFERROR(__xludf.DUMMYFUNCTION("""COMPUTED_VALUE"""),"https://www.facebook.com/rapplerdotcom/photos/a.317154781638645/5597612220259515/")</f>
        <v>https://www.facebook.com/rapplerdotcom/photos/a.317154781638645/5597612220259515/</v>
      </c>
      <c r="J371" s="1" t="str">
        <f ca="1">IFERROR(__xludf.DUMMYFUNCTION("""COMPUTED_VALUE"""),"2022-07-04T11:12:03.021Z")</f>
        <v>2022-07-04T11:12:03.021Z</v>
      </c>
    </row>
    <row r="372" spans="1:10" x14ac:dyDescent="0.2">
      <c r="A372" s="2" t="str">
        <f ca="1">IFERROR(__xludf.DUMMYFUNCTION("""COMPUTED_VALUE"""),"https://www.facebook.com/hector.t.padilla")</f>
        <v>https://www.facebook.com/hector.t.padilla</v>
      </c>
      <c r="B372" s="1" t="str">
        <f ca="1">IFERROR(__xludf.DUMMYFUNCTION("""COMPUTED_VALUE"""),"Hector Tagamolila Padilla")</f>
        <v>Hector Tagamolila Padilla</v>
      </c>
      <c r="C372" s="1" t="str">
        <f ca="1">IFERROR(__xludf.DUMMYFUNCTION("""COMPUTED_VALUE"""),"Hector")</f>
        <v>Hector</v>
      </c>
      <c r="D372" s="1" t="str">
        <f ca="1">IFERROR(__xludf.DUMMYFUNCTION("""COMPUTED_VALUE"""),"Tagamolila Padilla")</f>
        <v>Tagamolila Padilla</v>
      </c>
      <c r="E372" s="1" t="str">
        <f ca="1">IFERROR(__xludf.DUMMYFUNCTION("""COMPUTED_VALUE"""),"Thank you sir for putting your country first 🙏 #LetLeniLead #LeniKiko2022 💗💗💗")</f>
        <v>Thank you sir for putting your country first 🙏 #LetLeniLead #LeniKiko2022 💗💗💗</v>
      </c>
      <c r="F372" s="1">
        <f ca="1">IFERROR(__xludf.DUMMYFUNCTION("""COMPUTED_VALUE"""),10)</f>
        <v>10</v>
      </c>
      <c r="G372" s="1" t="str">
        <f ca="1">IFERROR(__xludf.DUMMYFUNCTION("""COMPUTED_VALUE"""),"3 mos")</f>
        <v>3 mos</v>
      </c>
      <c r="H372" s="1" t="str">
        <f ca="1">IFERROR(__xludf.DUMMYFUNCTION("""COMPUTED_VALUE"""),"comment")</f>
        <v>comment</v>
      </c>
      <c r="I372" s="2" t="str">
        <f ca="1">IFERROR(__xludf.DUMMYFUNCTION("""COMPUTED_VALUE"""),"https://www.facebook.com/rapplerdotcom/photos/a.317154781638645/5597612220259515/")</f>
        <v>https://www.facebook.com/rapplerdotcom/photos/a.317154781638645/5597612220259515/</v>
      </c>
      <c r="J372" s="1" t="str">
        <f ca="1">IFERROR(__xludf.DUMMYFUNCTION("""COMPUTED_VALUE"""),"2022-07-04T11:12:03.021Z")</f>
        <v>2022-07-04T11:12:03.021Z</v>
      </c>
    </row>
    <row r="373" spans="1:10" x14ac:dyDescent="0.2">
      <c r="A373" s="2" t="str">
        <f ca="1">IFERROR(__xludf.DUMMYFUNCTION("""COMPUTED_VALUE"""),"https://www.facebook.com/zenaida.laguio.75")</f>
        <v>https://www.facebook.com/zenaida.laguio.75</v>
      </c>
      <c r="B373" s="1" t="str">
        <f ca="1">IFERROR(__xludf.DUMMYFUNCTION("""COMPUTED_VALUE"""),"Zenaida Laguio")</f>
        <v>Zenaida Laguio</v>
      </c>
      <c r="C373" s="1" t="str">
        <f ca="1">IFERROR(__xludf.DUMMYFUNCTION("""COMPUTED_VALUE"""),"Zenaida")</f>
        <v>Zenaida</v>
      </c>
      <c r="D373" s="1" t="str">
        <f ca="1">IFERROR(__xludf.DUMMYFUNCTION("""COMPUTED_VALUE"""),"Laguio")</f>
        <v>Laguio</v>
      </c>
      <c r="E373" s="1" t="str">
        <f ca="1">IFERROR(__xludf.DUMMYFUNCTION("""COMPUTED_VALUE"""),"Truth and justice prevail even it hurts... thanks God.,.")</f>
        <v>Truth and justice prevail even it hurts... thanks God.,.</v>
      </c>
      <c r="F373" s="1">
        <f ca="1">IFERROR(__xludf.DUMMYFUNCTION("""COMPUTED_VALUE"""),10)</f>
        <v>10</v>
      </c>
      <c r="G373" s="1" t="str">
        <f ca="1">IFERROR(__xludf.DUMMYFUNCTION("""COMPUTED_VALUE"""),"3 mos")</f>
        <v>3 mos</v>
      </c>
      <c r="H373" s="1" t="str">
        <f ca="1">IFERROR(__xludf.DUMMYFUNCTION("""COMPUTED_VALUE"""),"comment")</f>
        <v>comment</v>
      </c>
      <c r="I373" s="2" t="str">
        <f ca="1">IFERROR(__xludf.DUMMYFUNCTION("""COMPUTED_VALUE"""),"https://www.facebook.com/rapplerdotcom/photos/a.317154781638645/5597612220259515/")</f>
        <v>https://www.facebook.com/rapplerdotcom/photos/a.317154781638645/5597612220259515/</v>
      </c>
      <c r="J373" s="1" t="str">
        <f ca="1">IFERROR(__xludf.DUMMYFUNCTION("""COMPUTED_VALUE"""),"2022-07-04T11:12:03.021Z")</f>
        <v>2022-07-04T11:12:03.021Z</v>
      </c>
    </row>
    <row r="374" spans="1:10" x14ac:dyDescent="0.2">
      <c r="A374" s="2" t="str">
        <f ca="1">IFERROR(__xludf.DUMMYFUNCTION("""COMPUTED_VALUE"""),"https://www.facebook.com/nelson.figueroa.1048")</f>
        <v>https://www.facebook.com/nelson.figueroa.1048</v>
      </c>
      <c r="B374" s="1" t="str">
        <f ca="1">IFERROR(__xludf.DUMMYFUNCTION("""COMPUTED_VALUE"""),"Nelson Figueroa")</f>
        <v>Nelson Figueroa</v>
      </c>
      <c r="C374" s="1" t="str">
        <f ca="1">IFERROR(__xludf.DUMMYFUNCTION("""COMPUTED_VALUE"""),"Nelson")</f>
        <v>Nelson</v>
      </c>
      <c r="D374" s="1" t="str">
        <f ca="1">IFERROR(__xludf.DUMMYFUNCTION("""COMPUTED_VALUE"""),"Figueroa")</f>
        <v>Figueroa</v>
      </c>
      <c r="E374" s="1" t="str">
        <f ca="1">IFERROR(__xludf.DUMMYFUNCTION("""COMPUTED_VALUE"""),"ROSA is dead. “Team Unity also endorsed Davao City Mayor Sara Duterte for vice president, supporting the RoSa (Robredo-Sara) movement brewing in Mindanao.” https://mb.com.ph/2022/03/27/robredo-endorsed-by-misamis-oriental-cavite-local-execs-nup-defied/")</f>
        <v>ROSA is dead. “Team Unity also endorsed Davao City Mayor Sara Duterte for vice president, supporting the RoSa (Robredo-Sara) movement brewing in Mindanao.” https://mb.com.ph/2022/03/27/robredo-endorsed-by-misamis-oriental-cavite-local-execs-nup-defied/</v>
      </c>
      <c r="F374" s="1"/>
      <c r="G374" s="1" t="str">
        <f ca="1">IFERROR(__xludf.DUMMYFUNCTION("""COMPUTED_VALUE"""),"3 mos")</f>
        <v>3 mos</v>
      </c>
      <c r="H374" s="1" t="str">
        <f ca="1">IFERROR(__xludf.DUMMYFUNCTION("""COMPUTED_VALUE"""),"comment")</f>
        <v>comment</v>
      </c>
      <c r="I374" s="2" t="str">
        <f ca="1">IFERROR(__xludf.DUMMYFUNCTION("""COMPUTED_VALUE"""),"https://www.facebook.com/rapplerdotcom/photos/a.317154781638645/5597612220259515/")</f>
        <v>https://www.facebook.com/rapplerdotcom/photos/a.317154781638645/5597612220259515/</v>
      </c>
      <c r="J374" s="1" t="str">
        <f ca="1">IFERROR(__xludf.DUMMYFUNCTION("""COMPUTED_VALUE"""),"2022-07-04T11:12:03.021Z")</f>
        <v>2022-07-04T11:12:03.021Z</v>
      </c>
    </row>
    <row r="375" spans="1:10" x14ac:dyDescent="0.2">
      <c r="A375" s="2" t="str">
        <f ca="1">IFERROR(__xludf.DUMMYFUNCTION("""COMPUTED_VALUE"""),"https://www.facebook.com/chito.say.9")</f>
        <v>https://www.facebook.com/chito.say.9</v>
      </c>
      <c r="B375" s="1" t="str">
        <f ca="1">IFERROR(__xludf.DUMMYFUNCTION("""COMPUTED_VALUE"""),"Chito Say")</f>
        <v>Chito Say</v>
      </c>
      <c r="C375" s="1" t="str">
        <f ca="1">IFERROR(__xludf.DUMMYFUNCTION("""COMPUTED_VALUE"""),"Chito")</f>
        <v>Chito</v>
      </c>
      <c r="D375" s="1" t="str">
        <f ca="1">IFERROR(__xludf.DUMMYFUNCTION("""COMPUTED_VALUE"""),"Say")</f>
        <v>Say</v>
      </c>
      <c r="E375" s="1" t="str">
        <f ca="1">IFERROR(__xludf.DUMMYFUNCTION("""COMPUTED_VALUE"""),"YOU MADE A GOOD,THE BEST,A WISE DECISION SIR,,""THE ACTION MAN""!!!@")</f>
        <v>YOU MADE A GOOD,THE BEST,A WISE DECISION SIR,,"THE ACTION MAN"!!!@</v>
      </c>
      <c r="F375" s="1"/>
      <c r="G375" s="1" t="str">
        <f ca="1">IFERROR(__xludf.DUMMYFUNCTION("""COMPUTED_VALUE"""),"3 mos")</f>
        <v>3 mos</v>
      </c>
      <c r="H375" s="1" t="str">
        <f ca="1">IFERROR(__xludf.DUMMYFUNCTION("""COMPUTED_VALUE"""),"comment")</f>
        <v>comment</v>
      </c>
      <c r="I375" s="2" t="str">
        <f ca="1">IFERROR(__xludf.DUMMYFUNCTION("""COMPUTED_VALUE"""),"https://www.facebook.com/rapplerdotcom/photos/a.317154781638645/5597612220259515/")</f>
        <v>https://www.facebook.com/rapplerdotcom/photos/a.317154781638645/5597612220259515/</v>
      </c>
      <c r="J375" s="1" t="str">
        <f ca="1">IFERROR(__xludf.DUMMYFUNCTION("""COMPUTED_VALUE"""),"2022-07-04T11:12:03.022Z")</f>
        <v>2022-07-04T11:12:03.022Z</v>
      </c>
    </row>
    <row r="376" spans="1:10" x14ac:dyDescent="0.2">
      <c r="A376" s="2" t="str">
        <f ca="1">IFERROR(__xludf.DUMMYFUNCTION("""COMPUTED_VALUE"""),"https://www.facebook.com/wilbert.favor")</f>
        <v>https://www.facebook.com/wilbert.favor</v>
      </c>
      <c r="B376" s="1" t="str">
        <f ca="1">IFERROR(__xludf.DUMMYFUNCTION("""COMPUTED_VALUE"""),"Willy Favor")</f>
        <v>Willy Favor</v>
      </c>
      <c r="C376" s="1" t="str">
        <f ca="1">IFERROR(__xludf.DUMMYFUNCTION("""COMPUTED_VALUE"""),"Willy")</f>
        <v>Willy</v>
      </c>
      <c r="D376" s="1" t="str">
        <f ca="1">IFERROR(__xludf.DUMMYFUNCTION("""COMPUTED_VALUE"""),"Favor")</f>
        <v>Favor</v>
      </c>
      <c r="E376" s="1" t="str">
        <f ca="1">IFERROR(__xludf.DUMMYFUNCTION("""COMPUTED_VALUE"""),"Tama ang desisyon po Rep. Pidi barzaga Mabuhay dasmarinias cavite!")</f>
        <v>Tama ang desisyon po Rep. Pidi barzaga Mabuhay dasmarinias cavite!</v>
      </c>
      <c r="F376" s="1"/>
      <c r="G376" s="1" t="str">
        <f ca="1">IFERROR(__xludf.DUMMYFUNCTION("""COMPUTED_VALUE"""),"3 mos")</f>
        <v>3 mos</v>
      </c>
      <c r="H376" s="1" t="str">
        <f ca="1">IFERROR(__xludf.DUMMYFUNCTION("""COMPUTED_VALUE"""),"comment")</f>
        <v>comment</v>
      </c>
      <c r="I376" s="2" t="str">
        <f ca="1">IFERROR(__xludf.DUMMYFUNCTION("""COMPUTED_VALUE"""),"https://www.facebook.com/rapplerdotcom/photos/a.317154781638645/5597612220259515/")</f>
        <v>https://www.facebook.com/rapplerdotcom/photos/a.317154781638645/5597612220259515/</v>
      </c>
      <c r="J376" s="1" t="str">
        <f ca="1">IFERROR(__xludf.DUMMYFUNCTION("""COMPUTED_VALUE"""),"2022-07-04T11:12:03.022Z")</f>
        <v>2022-07-04T11:12:03.022Z</v>
      </c>
    </row>
    <row r="377" spans="1:10" x14ac:dyDescent="0.2">
      <c r="A377" s="2" t="str">
        <f ca="1">IFERROR(__xludf.DUMMYFUNCTION("""COMPUTED_VALUE"""),"https://www.facebook.com/jocelyn.mendoza.5437")</f>
        <v>https://www.facebook.com/jocelyn.mendoza.5437</v>
      </c>
      <c r="B377" s="1" t="str">
        <f ca="1">IFERROR(__xludf.DUMMYFUNCTION("""COMPUTED_VALUE"""),"Jocelyn Fernandez")</f>
        <v>Jocelyn Fernandez</v>
      </c>
      <c r="C377" s="1" t="str">
        <f ca="1">IFERROR(__xludf.DUMMYFUNCTION("""COMPUTED_VALUE"""),"Jocelyn")</f>
        <v>Jocelyn</v>
      </c>
      <c r="D377" s="1" t="str">
        <f ca="1">IFERROR(__xludf.DUMMYFUNCTION("""COMPUTED_VALUE"""),"Fernandez")</f>
        <v>Fernandez</v>
      </c>
      <c r="E377" s="1" t="str">
        <f ca="1">IFERROR(__xludf.DUMMYFUNCTION("""COMPUTED_VALUE"""),"Good choice  Cong Barsaga ! Mabuhay po kayo 😊😊😊")</f>
        <v>Good choice  Cong Barsaga ! Mabuhay po kayo 😊😊😊</v>
      </c>
      <c r="F377" s="1">
        <f ca="1">IFERROR(__xludf.DUMMYFUNCTION("""COMPUTED_VALUE"""),1)</f>
        <v>1</v>
      </c>
      <c r="G377" s="1" t="str">
        <f ca="1">IFERROR(__xludf.DUMMYFUNCTION("""COMPUTED_VALUE"""),"3 mos")</f>
        <v>3 mos</v>
      </c>
      <c r="H377" s="1" t="str">
        <f ca="1">IFERROR(__xludf.DUMMYFUNCTION("""COMPUTED_VALUE"""),"comment")</f>
        <v>comment</v>
      </c>
      <c r="I377" s="2" t="str">
        <f ca="1">IFERROR(__xludf.DUMMYFUNCTION("""COMPUTED_VALUE"""),"https://www.facebook.com/rapplerdotcom/photos/a.317154781638645/5597612220259515/")</f>
        <v>https://www.facebook.com/rapplerdotcom/photos/a.317154781638645/5597612220259515/</v>
      </c>
      <c r="J377" s="1" t="str">
        <f ca="1">IFERROR(__xludf.DUMMYFUNCTION("""COMPUTED_VALUE"""),"2022-07-04T11:12:03.022Z")</f>
        <v>2022-07-04T11:12:03.022Z</v>
      </c>
    </row>
    <row r="378" spans="1:10" x14ac:dyDescent="0.2">
      <c r="A378" s="2" t="str">
        <f ca="1">IFERROR(__xludf.DUMMYFUNCTION("""COMPUTED_VALUE"""),"https://www.facebook.com/abelardo.l.cruz")</f>
        <v>https://www.facebook.com/abelardo.l.cruz</v>
      </c>
      <c r="B378" s="1" t="str">
        <f ca="1">IFERROR(__xludf.DUMMYFUNCTION("""COMPUTED_VALUE"""),"Abelardo Cruz")</f>
        <v>Abelardo Cruz</v>
      </c>
      <c r="C378" s="1" t="str">
        <f ca="1">IFERROR(__xludf.DUMMYFUNCTION("""COMPUTED_VALUE"""),"Abelardo")</f>
        <v>Abelardo</v>
      </c>
      <c r="D378" s="1" t="str">
        <f ca="1">IFERROR(__xludf.DUMMYFUNCTION("""COMPUTED_VALUE"""),"Cruz")</f>
        <v>Cruz</v>
      </c>
      <c r="E378" s="1" t="str">
        <f ca="1">IFERROR(__xludf.DUMMYFUNCTION("""COMPUTED_VALUE"""),"Great news!!now surge of pink is inevitable everywhere")</f>
        <v>Great news!!now surge of pink is inevitable everywhere</v>
      </c>
      <c r="F378" s="1">
        <f ca="1">IFERROR(__xludf.DUMMYFUNCTION("""COMPUTED_VALUE"""),2)</f>
        <v>2</v>
      </c>
      <c r="G378" s="1" t="str">
        <f ca="1">IFERROR(__xludf.DUMMYFUNCTION("""COMPUTED_VALUE"""),"3 mos")</f>
        <v>3 mos</v>
      </c>
      <c r="H378" s="1" t="str">
        <f ca="1">IFERROR(__xludf.DUMMYFUNCTION("""COMPUTED_VALUE"""),"comment")</f>
        <v>comment</v>
      </c>
      <c r="I378" s="2" t="str">
        <f ca="1">IFERROR(__xludf.DUMMYFUNCTION("""COMPUTED_VALUE"""),"https://www.facebook.com/rapplerdotcom/photos/a.317154781638645/5597612220259515/")</f>
        <v>https://www.facebook.com/rapplerdotcom/photos/a.317154781638645/5597612220259515/</v>
      </c>
      <c r="J378" s="1" t="str">
        <f ca="1">IFERROR(__xludf.DUMMYFUNCTION("""COMPUTED_VALUE"""),"2022-07-04T11:12:03.022Z")</f>
        <v>2022-07-04T11:12:03.022Z</v>
      </c>
    </row>
    <row r="379" spans="1:10" x14ac:dyDescent="0.2">
      <c r="A379" s="2" t="str">
        <f ca="1">IFERROR(__xludf.DUMMYFUNCTION("""COMPUTED_VALUE"""),"https://www.facebook.com/profile.php?id=100072561709675")</f>
        <v>https://www.facebook.com/profile.php?id=100072561709675</v>
      </c>
      <c r="B379" s="1" t="str">
        <f ca="1">IFERROR(__xludf.DUMMYFUNCTION("""COMPUTED_VALUE"""),"Filadelfo Alfante")</f>
        <v>Filadelfo Alfante</v>
      </c>
      <c r="C379" s="1" t="str">
        <f ca="1">IFERROR(__xludf.DUMMYFUNCTION("""COMPUTED_VALUE"""),"Filadelfo")</f>
        <v>Filadelfo</v>
      </c>
      <c r="D379" s="1" t="str">
        <f ca="1">IFERROR(__xludf.DUMMYFUNCTION("""COMPUTED_VALUE"""),"Alfante")</f>
        <v>Alfante</v>
      </c>
      <c r="E379" s="1" t="str">
        <f ca="1">IFERROR(__xludf.DUMMYFUNCTION("""COMPUTED_VALUE"""),"YOUR IN BEST CHOICE SIR!! THANK YOU AND GOD BLESS YOU AND YOUR FAMILY!!!")</f>
        <v>YOUR IN BEST CHOICE SIR!! THANK YOU AND GOD BLESS YOU AND YOUR FAMILY!!!</v>
      </c>
      <c r="F379" s="1">
        <f ca="1">IFERROR(__xludf.DUMMYFUNCTION("""COMPUTED_VALUE"""),1)</f>
        <v>1</v>
      </c>
      <c r="G379" s="1" t="str">
        <f ca="1">IFERROR(__xludf.DUMMYFUNCTION("""COMPUTED_VALUE"""),"3 mos")</f>
        <v>3 mos</v>
      </c>
      <c r="H379" s="1" t="str">
        <f ca="1">IFERROR(__xludf.DUMMYFUNCTION("""COMPUTED_VALUE"""),"comment")</f>
        <v>comment</v>
      </c>
      <c r="I379" s="2" t="str">
        <f ca="1">IFERROR(__xludf.DUMMYFUNCTION("""COMPUTED_VALUE"""),"https://www.facebook.com/rapplerdotcom/photos/a.317154781638645/5597612220259515/")</f>
        <v>https://www.facebook.com/rapplerdotcom/photos/a.317154781638645/5597612220259515/</v>
      </c>
      <c r="J379" s="1" t="str">
        <f ca="1">IFERROR(__xludf.DUMMYFUNCTION("""COMPUTED_VALUE"""),"2022-07-04T11:12:03.022Z")</f>
        <v>2022-07-04T11:12:03.022Z</v>
      </c>
    </row>
    <row r="380" spans="1:10" x14ac:dyDescent="0.2">
      <c r="A380" s="2" t="str">
        <f ca="1">IFERROR(__xludf.DUMMYFUNCTION("""COMPUTED_VALUE"""),"https://www.facebook.com/cristyherreralu")</f>
        <v>https://www.facebook.com/cristyherreralu</v>
      </c>
      <c r="B380" s="1" t="str">
        <f ca="1">IFERROR(__xludf.DUMMYFUNCTION("""COMPUTED_VALUE"""),"Cristy Herrera Lu")</f>
        <v>Cristy Herrera Lu</v>
      </c>
      <c r="C380" s="1" t="str">
        <f ca="1">IFERROR(__xludf.DUMMYFUNCTION("""COMPUTED_VALUE"""),"Cristy")</f>
        <v>Cristy</v>
      </c>
      <c r="D380" s="1" t="str">
        <f ca="1">IFERROR(__xludf.DUMMYFUNCTION("""COMPUTED_VALUE"""),"Herrera Lu")</f>
        <v>Herrera Lu</v>
      </c>
      <c r="E380" s="1" t="str">
        <f ca="1">IFERROR(__xludf.DUMMYFUNCTION("""COMPUTED_VALUE"""),"Kudos sa pagtindig !!")</f>
        <v>Kudos sa pagtindig !!</v>
      </c>
      <c r="F380" s="1">
        <f ca="1">IFERROR(__xludf.DUMMYFUNCTION("""COMPUTED_VALUE"""),1)</f>
        <v>1</v>
      </c>
      <c r="G380" s="1" t="str">
        <f ca="1">IFERROR(__xludf.DUMMYFUNCTION("""COMPUTED_VALUE"""),"3 mos")</f>
        <v>3 mos</v>
      </c>
      <c r="H380" s="1" t="str">
        <f ca="1">IFERROR(__xludf.DUMMYFUNCTION("""COMPUTED_VALUE"""),"comment")</f>
        <v>comment</v>
      </c>
      <c r="I380" s="2" t="str">
        <f ca="1">IFERROR(__xludf.DUMMYFUNCTION("""COMPUTED_VALUE"""),"https://www.facebook.com/rapplerdotcom/photos/a.317154781638645/5597612220259515/")</f>
        <v>https://www.facebook.com/rapplerdotcom/photos/a.317154781638645/5597612220259515/</v>
      </c>
      <c r="J380" s="1" t="str">
        <f ca="1">IFERROR(__xludf.DUMMYFUNCTION("""COMPUTED_VALUE"""),"2022-07-04T11:12:03.022Z")</f>
        <v>2022-07-04T11:12:03.022Z</v>
      </c>
    </row>
    <row r="381" spans="1:10" x14ac:dyDescent="0.2">
      <c r="A381" s="2" t="str">
        <f ca="1">IFERROR(__xludf.DUMMYFUNCTION("""COMPUTED_VALUE"""),"https://www.facebook.com/arman.soliveres.5")</f>
        <v>https://www.facebook.com/arman.soliveres.5</v>
      </c>
      <c r="B381" s="1" t="str">
        <f ca="1">IFERROR(__xludf.DUMMYFUNCTION("""COMPUTED_VALUE"""),"Arman Soliveres")</f>
        <v>Arman Soliveres</v>
      </c>
      <c r="C381" s="1" t="str">
        <f ca="1">IFERROR(__xludf.DUMMYFUNCTION("""COMPUTED_VALUE"""),"Arman")</f>
        <v>Arman</v>
      </c>
      <c r="D381" s="1" t="str">
        <f ca="1">IFERROR(__xludf.DUMMYFUNCTION("""COMPUTED_VALUE"""),"Soliveres")</f>
        <v>Soliveres</v>
      </c>
      <c r="E381" s="1" t="str">
        <f ca="1">IFERROR(__xludf.DUMMYFUNCTION("""COMPUTED_VALUE"""),"Good choice Sir 👍 MOST OF CAVITENIO SALUTE YOU 🙂")</f>
        <v>Good choice Sir 👍 MOST OF CAVITENIO SALUTE YOU 🙂</v>
      </c>
      <c r="F381" s="1">
        <f ca="1">IFERROR(__xludf.DUMMYFUNCTION("""COMPUTED_VALUE"""),6)</f>
        <v>6</v>
      </c>
      <c r="G381" s="1" t="str">
        <f ca="1">IFERROR(__xludf.DUMMYFUNCTION("""COMPUTED_VALUE"""),"3 mos")</f>
        <v>3 mos</v>
      </c>
      <c r="H381" s="1" t="str">
        <f ca="1">IFERROR(__xludf.DUMMYFUNCTION("""COMPUTED_VALUE"""),"comment")</f>
        <v>comment</v>
      </c>
      <c r="I381" s="2" t="str">
        <f ca="1">IFERROR(__xludf.DUMMYFUNCTION("""COMPUTED_VALUE"""),"https://www.facebook.com/rapplerdotcom/photos/a.317154781638645/5597612220259515/")</f>
        <v>https://www.facebook.com/rapplerdotcom/photos/a.317154781638645/5597612220259515/</v>
      </c>
      <c r="J381" s="1" t="str">
        <f ca="1">IFERROR(__xludf.DUMMYFUNCTION("""COMPUTED_VALUE"""),"2022-07-04T11:12:03.022Z")</f>
        <v>2022-07-04T11:12:03.022Z</v>
      </c>
    </row>
    <row r="382" spans="1:10" x14ac:dyDescent="0.2">
      <c r="A382" s="2" t="str">
        <f ca="1">IFERROR(__xludf.DUMMYFUNCTION("""COMPUTED_VALUE"""),"https://www.facebook.com/lizabcede.bana")</f>
        <v>https://www.facebook.com/lizabcede.bana</v>
      </c>
      <c r="B382" s="1" t="str">
        <f ca="1">IFERROR(__xludf.DUMMYFUNCTION("""COMPUTED_VALUE"""),"Yesa El")</f>
        <v>Yesa El</v>
      </c>
      <c r="C382" s="1" t="str">
        <f ca="1">IFERROR(__xludf.DUMMYFUNCTION("""COMPUTED_VALUE"""),"Yesa")</f>
        <v>Yesa</v>
      </c>
      <c r="D382" s="1" t="str">
        <f ca="1">IFERROR(__xludf.DUMMYFUNCTION("""COMPUTED_VALUE"""),"El")</f>
        <v>El</v>
      </c>
      <c r="E382" s="1" t="str">
        <f ca="1">IFERROR(__xludf.DUMMYFUNCTION("""COMPUTED_VALUE"""),"Salute to u sir... Uv decided to chose what's best and what's right. MABUHAY ka po sir,")</f>
        <v>Salute to u sir... Uv decided to chose what's best and what's right. MABUHAY ka po sir,</v>
      </c>
      <c r="F382" s="1">
        <f ca="1">IFERROR(__xludf.DUMMYFUNCTION("""COMPUTED_VALUE"""),1)</f>
        <v>1</v>
      </c>
      <c r="G382" s="1" t="str">
        <f ca="1">IFERROR(__xludf.DUMMYFUNCTION("""COMPUTED_VALUE"""),"3 mos")</f>
        <v>3 mos</v>
      </c>
      <c r="H382" s="1" t="str">
        <f ca="1">IFERROR(__xludf.DUMMYFUNCTION("""COMPUTED_VALUE"""),"comment")</f>
        <v>comment</v>
      </c>
      <c r="I382" s="2" t="str">
        <f ca="1">IFERROR(__xludf.DUMMYFUNCTION("""COMPUTED_VALUE"""),"https://www.facebook.com/rapplerdotcom/photos/a.317154781638645/5597612220259515/")</f>
        <v>https://www.facebook.com/rapplerdotcom/photos/a.317154781638645/5597612220259515/</v>
      </c>
      <c r="J382" s="1" t="str">
        <f ca="1">IFERROR(__xludf.DUMMYFUNCTION("""COMPUTED_VALUE"""),"2022-07-04T11:12:03.022Z")</f>
        <v>2022-07-04T11:12:03.022Z</v>
      </c>
    </row>
    <row r="383" spans="1:10" x14ac:dyDescent="0.2">
      <c r="A383" s="2" t="str">
        <f ca="1">IFERROR(__xludf.DUMMYFUNCTION("""COMPUTED_VALUE"""),"https://www.facebook.com/viviana.ceracas.31")</f>
        <v>https://www.facebook.com/viviana.ceracas.31</v>
      </c>
      <c r="B383" s="1" t="str">
        <f ca="1">IFERROR(__xludf.DUMMYFUNCTION("""COMPUTED_VALUE"""),"Viviana Ceracas")</f>
        <v>Viviana Ceracas</v>
      </c>
      <c r="C383" s="1" t="str">
        <f ca="1">IFERROR(__xludf.DUMMYFUNCTION("""COMPUTED_VALUE"""),"Viviana")</f>
        <v>Viviana</v>
      </c>
      <c r="D383" s="1" t="str">
        <f ca="1">IFERROR(__xludf.DUMMYFUNCTION("""COMPUTED_VALUE"""),"Ceracas")</f>
        <v>Ceracas</v>
      </c>
      <c r="E383" s="1" t="str">
        <f ca="1">IFERROR(__xludf.DUMMYFUNCTION("""COMPUTED_VALUE"""),"Because you care for our nation.")</f>
        <v>Because you care for our nation.</v>
      </c>
      <c r="F383" s="1">
        <f ca="1">IFERROR(__xludf.DUMMYFUNCTION("""COMPUTED_VALUE"""),2)</f>
        <v>2</v>
      </c>
      <c r="G383" s="1" t="str">
        <f ca="1">IFERROR(__xludf.DUMMYFUNCTION("""COMPUTED_VALUE"""),"3 mos")</f>
        <v>3 mos</v>
      </c>
      <c r="H383" s="1" t="str">
        <f ca="1">IFERROR(__xludf.DUMMYFUNCTION("""COMPUTED_VALUE"""),"comment")</f>
        <v>comment</v>
      </c>
      <c r="I383" s="2" t="str">
        <f ca="1">IFERROR(__xludf.DUMMYFUNCTION("""COMPUTED_VALUE"""),"https://www.facebook.com/rapplerdotcom/photos/a.317154781638645/5597612220259515/")</f>
        <v>https://www.facebook.com/rapplerdotcom/photos/a.317154781638645/5597612220259515/</v>
      </c>
      <c r="J383" s="1" t="str">
        <f ca="1">IFERROR(__xludf.DUMMYFUNCTION("""COMPUTED_VALUE"""),"2022-07-04T11:12:03.022Z")</f>
        <v>2022-07-04T11:12:03.022Z</v>
      </c>
    </row>
    <row r="384" spans="1:10" x14ac:dyDescent="0.2">
      <c r="A384" s="2" t="str">
        <f ca="1">IFERROR(__xludf.DUMMYFUNCTION("""COMPUTED_VALUE"""),"https://www.facebook.com/debbie.garcia.71216141")</f>
        <v>https://www.facebook.com/debbie.garcia.71216141</v>
      </c>
      <c r="B384" s="1" t="str">
        <f ca="1">IFERROR(__xludf.DUMMYFUNCTION("""COMPUTED_VALUE"""),"Debbie Garcia")</f>
        <v>Debbie Garcia</v>
      </c>
      <c r="C384" s="1" t="str">
        <f ca="1">IFERROR(__xludf.DUMMYFUNCTION("""COMPUTED_VALUE"""),"Debbie")</f>
        <v>Debbie</v>
      </c>
      <c r="D384" s="1" t="str">
        <f ca="1">IFERROR(__xludf.DUMMYFUNCTION("""COMPUTED_VALUE"""),"Garcia")</f>
        <v>Garcia</v>
      </c>
      <c r="E384" s="1" t="str">
        <f ca="1">IFERROR(__xludf.DUMMYFUNCTION("""COMPUTED_VALUE"""),"Cong. Elpidio Barzaga is the best in Cavite💗💗💗")</f>
        <v>Cong. Elpidio Barzaga is the best in Cavite💗💗💗</v>
      </c>
      <c r="F384" s="1">
        <f ca="1">IFERROR(__xludf.DUMMYFUNCTION("""COMPUTED_VALUE"""),5)</f>
        <v>5</v>
      </c>
      <c r="G384" s="1" t="str">
        <f ca="1">IFERROR(__xludf.DUMMYFUNCTION("""COMPUTED_VALUE"""),"3 mos")</f>
        <v>3 mos</v>
      </c>
      <c r="H384" s="1" t="str">
        <f ca="1">IFERROR(__xludf.DUMMYFUNCTION("""COMPUTED_VALUE"""),"comment")</f>
        <v>comment</v>
      </c>
      <c r="I384" s="2" t="str">
        <f ca="1">IFERROR(__xludf.DUMMYFUNCTION("""COMPUTED_VALUE"""),"https://www.facebook.com/rapplerdotcom/photos/a.317154781638645/5597612220259515/")</f>
        <v>https://www.facebook.com/rapplerdotcom/photos/a.317154781638645/5597612220259515/</v>
      </c>
      <c r="J384" s="1" t="str">
        <f ca="1">IFERROR(__xludf.DUMMYFUNCTION("""COMPUTED_VALUE"""),"2022-07-04T11:12:03.022Z")</f>
        <v>2022-07-04T11:12:03.022Z</v>
      </c>
    </row>
    <row r="385" spans="1:10" x14ac:dyDescent="0.2">
      <c r="A385" s="2" t="str">
        <f ca="1">IFERROR(__xludf.DUMMYFUNCTION("""COMPUTED_VALUE"""),"https://www.facebook.com/dominador.lopez2")</f>
        <v>https://www.facebook.com/dominador.lopez2</v>
      </c>
      <c r="B385" s="1" t="str">
        <f ca="1">IFERROR(__xludf.DUMMYFUNCTION("""COMPUTED_VALUE"""),"Dominador Lopez")</f>
        <v>Dominador Lopez</v>
      </c>
      <c r="C385" s="1" t="str">
        <f ca="1">IFERROR(__xludf.DUMMYFUNCTION("""COMPUTED_VALUE"""),"Dominador")</f>
        <v>Dominador</v>
      </c>
      <c r="D385" s="1" t="str">
        <f ca="1">IFERROR(__xludf.DUMMYFUNCTION("""COMPUTED_VALUE"""),"Lopez")</f>
        <v>Lopez</v>
      </c>
      <c r="E385" s="1" t="str">
        <f ca="1">IFERROR(__xludf.DUMMYFUNCTION("""COMPUTED_VALUE"""),"God bless you Sir for chosing the right decision")</f>
        <v>God bless you Sir for chosing the right decision</v>
      </c>
      <c r="F385" s="1">
        <f ca="1">IFERROR(__xludf.DUMMYFUNCTION("""COMPUTED_VALUE"""),1)</f>
        <v>1</v>
      </c>
      <c r="G385" s="1" t="str">
        <f ca="1">IFERROR(__xludf.DUMMYFUNCTION("""COMPUTED_VALUE"""),"3 mos")</f>
        <v>3 mos</v>
      </c>
      <c r="H385" s="1" t="str">
        <f ca="1">IFERROR(__xludf.DUMMYFUNCTION("""COMPUTED_VALUE"""),"comment")</f>
        <v>comment</v>
      </c>
      <c r="I385" s="2" t="str">
        <f ca="1">IFERROR(__xludf.DUMMYFUNCTION("""COMPUTED_VALUE"""),"https://www.facebook.com/rapplerdotcom/photos/a.317154781638645/5597612220259515/")</f>
        <v>https://www.facebook.com/rapplerdotcom/photos/a.317154781638645/5597612220259515/</v>
      </c>
      <c r="J385" s="1" t="str">
        <f ca="1">IFERROR(__xludf.DUMMYFUNCTION("""COMPUTED_VALUE"""),"2022-07-04T11:12:03.022Z")</f>
        <v>2022-07-04T11:12:03.022Z</v>
      </c>
    </row>
    <row r="386" spans="1:10" x14ac:dyDescent="0.2">
      <c r="A386" s="2" t="str">
        <f ca="1">IFERROR(__xludf.DUMMYFUNCTION("""COMPUTED_VALUE"""),"https://www.facebook.com/leonallent")</f>
        <v>https://www.facebook.com/leonallent</v>
      </c>
      <c r="B386" s="1" t="str">
        <f ca="1">IFERROR(__xludf.DUMMYFUNCTION("""COMPUTED_VALUE"""),"LA Tindog")</f>
        <v>LA Tindog</v>
      </c>
      <c r="C386" s="1" t="str">
        <f ca="1">IFERROR(__xludf.DUMMYFUNCTION("""COMPUTED_VALUE"""),"LA")</f>
        <v>LA</v>
      </c>
      <c r="D386" s="1" t="str">
        <f ca="1">IFERROR(__xludf.DUMMYFUNCTION("""COMPUTED_VALUE"""),"Tindog")</f>
        <v>Tindog</v>
      </c>
      <c r="E386" s="1" t="str">
        <f ca="1">IFERROR(__xludf.DUMMYFUNCTION("""COMPUTED_VALUE"""),"Salamat sa pantindig sa tama Sir God bless you.")</f>
        <v>Salamat sa pantindig sa tama Sir God bless you.</v>
      </c>
      <c r="F386" s="1">
        <f ca="1">IFERROR(__xludf.DUMMYFUNCTION("""COMPUTED_VALUE"""),1)</f>
        <v>1</v>
      </c>
      <c r="G386" s="1" t="str">
        <f ca="1">IFERROR(__xludf.DUMMYFUNCTION("""COMPUTED_VALUE"""),"3 mos")</f>
        <v>3 mos</v>
      </c>
      <c r="H386" s="1" t="str">
        <f ca="1">IFERROR(__xludf.DUMMYFUNCTION("""COMPUTED_VALUE"""),"comment")</f>
        <v>comment</v>
      </c>
      <c r="I386" s="2" t="str">
        <f ca="1">IFERROR(__xludf.DUMMYFUNCTION("""COMPUTED_VALUE"""),"https://www.facebook.com/rapplerdotcom/photos/a.317154781638645/5597612220259515/")</f>
        <v>https://www.facebook.com/rapplerdotcom/photos/a.317154781638645/5597612220259515/</v>
      </c>
      <c r="J386" s="1" t="str">
        <f ca="1">IFERROR(__xludf.DUMMYFUNCTION("""COMPUTED_VALUE"""),"2022-07-04T11:12:03.022Z")</f>
        <v>2022-07-04T11:12:03.022Z</v>
      </c>
    </row>
    <row r="387" spans="1:10" x14ac:dyDescent="0.2">
      <c r="A387" s="2" t="str">
        <f ca="1">IFERROR(__xludf.DUMMYFUNCTION("""COMPUTED_VALUE"""),"https://www.facebook.com/lito.watiwat")</f>
        <v>https://www.facebook.com/lito.watiwat</v>
      </c>
      <c r="B387" s="1" t="str">
        <f ca="1">IFERROR(__xludf.DUMMYFUNCTION("""COMPUTED_VALUE"""),"Jose Wating Lito")</f>
        <v>Jose Wating Lito</v>
      </c>
      <c r="C387" s="1" t="str">
        <f ca="1">IFERROR(__xludf.DUMMYFUNCTION("""COMPUTED_VALUE"""),"Jose")</f>
        <v>Jose</v>
      </c>
      <c r="D387" s="1" t="str">
        <f ca="1">IFERROR(__xludf.DUMMYFUNCTION("""COMPUTED_VALUE"""),"Wating Lito")</f>
        <v>Wating Lito</v>
      </c>
      <c r="E387" s="1" t="str">
        <f ca="1">IFERROR(__xludf.DUMMYFUNCTION("""COMPUTED_VALUE"""),"Abolish the party system...it's not working!")</f>
        <v>Abolish the party system...it's not working!</v>
      </c>
      <c r="F387" s="1">
        <f ca="1">IFERROR(__xludf.DUMMYFUNCTION("""COMPUTED_VALUE"""),2)</f>
        <v>2</v>
      </c>
      <c r="G387" s="1" t="str">
        <f ca="1">IFERROR(__xludf.DUMMYFUNCTION("""COMPUTED_VALUE"""),"3 mos")</f>
        <v>3 mos</v>
      </c>
      <c r="H387" s="1" t="str">
        <f ca="1">IFERROR(__xludf.DUMMYFUNCTION("""COMPUTED_VALUE"""),"comment")</f>
        <v>comment</v>
      </c>
      <c r="I387" s="2" t="str">
        <f ca="1">IFERROR(__xludf.DUMMYFUNCTION("""COMPUTED_VALUE"""),"https://www.facebook.com/rapplerdotcom/photos/a.317154781638645/5597612220259515/")</f>
        <v>https://www.facebook.com/rapplerdotcom/photos/a.317154781638645/5597612220259515/</v>
      </c>
      <c r="J387" s="1" t="str">
        <f ca="1">IFERROR(__xludf.DUMMYFUNCTION("""COMPUTED_VALUE"""),"2022-07-04T11:12:03.022Z")</f>
        <v>2022-07-04T11:12:03.022Z</v>
      </c>
    </row>
    <row r="388" spans="1:10" x14ac:dyDescent="0.2">
      <c r="A388" s="2" t="str">
        <f ca="1">IFERROR(__xludf.DUMMYFUNCTION("""COMPUTED_VALUE"""),"https://www.facebook.com/cora.baliola.5")</f>
        <v>https://www.facebook.com/cora.baliola.5</v>
      </c>
      <c r="B388" s="1" t="str">
        <f ca="1">IFERROR(__xludf.DUMMYFUNCTION("""COMPUTED_VALUE"""),"Cora Baliola")</f>
        <v>Cora Baliola</v>
      </c>
      <c r="C388" s="1" t="str">
        <f ca="1">IFERROR(__xludf.DUMMYFUNCTION("""COMPUTED_VALUE"""),"Cora")</f>
        <v>Cora</v>
      </c>
      <c r="D388" s="1" t="str">
        <f ca="1">IFERROR(__xludf.DUMMYFUNCTION("""COMPUTED_VALUE"""),"Baliola")</f>
        <v>Baliola</v>
      </c>
      <c r="E388" s="1" t="str">
        <f ca="1">IFERROR(__xludf.DUMMYFUNCTION("""COMPUTED_VALUE"""),"Good decision Cong. Pidi .")</f>
        <v>Good decision Cong. Pidi .</v>
      </c>
      <c r="F388" s="1">
        <f ca="1">IFERROR(__xludf.DUMMYFUNCTION("""COMPUTED_VALUE"""),1)</f>
        <v>1</v>
      </c>
      <c r="G388" s="1" t="str">
        <f ca="1">IFERROR(__xludf.DUMMYFUNCTION("""COMPUTED_VALUE"""),"3 mos")</f>
        <v>3 mos</v>
      </c>
      <c r="H388" s="1" t="str">
        <f ca="1">IFERROR(__xludf.DUMMYFUNCTION("""COMPUTED_VALUE"""),"comment")</f>
        <v>comment</v>
      </c>
      <c r="I388" s="2" t="str">
        <f ca="1">IFERROR(__xludf.DUMMYFUNCTION("""COMPUTED_VALUE"""),"https://www.facebook.com/rapplerdotcom/photos/a.317154781638645/5597612220259515/")</f>
        <v>https://www.facebook.com/rapplerdotcom/photos/a.317154781638645/5597612220259515/</v>
      </c>
      <c r="J388" s="1" t="str">
        <f ca="1">IFERROR(__xludf.DUMMYFUNCTION("""COMPUTED_VALUE"""),"2022-07-04T11:12:03.022Z")</f>
        <v>2022-07-04T11:12:03.022Z</v>
      </c>
    </row>
    <row r="389" spans="1:10" x14ac:dyDescent="0.2">
      <c r="A389" s="2" t="str">
        <f ca="1">IFERROR(__xludf.DUMMYFUNCTION("""COMPUTED_VALUE"""),"https://www.facebook.com/sarah.mae.lopez")</f>
        <v>https://www.facebook.com/sarah.mae.lopez</v>
      </c>
      <c r="B389" s="1" t="str">
        <f ca="1">IFERROR(__xludf.DUMMYFUNCTION("""COMPUTED_VALUE"""),"Sarah Lopez")</f>
        <v>Sarah Lopez</v>
      </c>
      <c r="C389" s="1" t="str">
        <f ca="1">IFERROR(__xludf.DUMMYFUNCTION("""COMPUTED_VALUE"""),"Sarah")</f>
        <v>Sarah</v>
      </c>
      <c r="D389" s="1" t="str">
        <f ca="1">IFERROR(__xludf.DUMMYFUNCTION("""COMPUTED_VALUE"""),"Lopez")</f>
        <v>Lopez</v>
      </c>
      <c r="E389" s="1" t="str">
        <f ca="1">IFERROR(__xludf.DUMMYFUNCTION("""COMPUTED_VALUE"""),"Fearless 💗 Salamat Congressman Barsaga! 🌸  #LeniKiko2022")</f>
        <v>Fearless 💗 Salamat Congressman Barsaga! 🌸  #LeniKiko2022</v>
      </c>
      <c r="F389" s="1"/>
      <c r="G389" s="1" t="str">
        <f ca="1">IFERROR(__xludf.DUMMYFUNCTION("""COMPUTED_VALUE"""),"3 mos")</f>
        <v>3 mos</v>
      </c>
      <c r="H389" s="1" t="str">
        <f ca="1">IFERROR(__xludf.DUMMYFUNCTION("""COMPUTED_VALUE"""),"comment")</f>
        <v>comment</v>
      </c>
      <c r="I389" s="2" t="str">
        <f ca="1">IFERROR(__xludf.DUMMYFUNCTION("""COMPUTED_VALUE"""),"https://www.facebook.com/rapplerdotcom/photos/a.317154781638645/5597612220259515/")</f>
        <v>https://www.facebook.com/rapplerdotcom/photos/a.317154781638645/5597612220259515/</v>
      </c>
      <c r="J389" s="1" t="str">
        <f ca="1">IFERROR(__xludf.DUMMYFUNCTION("""COMPUTED_VALUE"""),"2022-07-04T11:12:03.022Z")</f>
        <v>2022-07-04T11:12:03.022Z</v>
      </c>
    </row>
    <row r="390" spans="1:10" x14ac:dyDescent="0.2">
      <c r="A390" s="2" t="str">
        <f ca="1">IFERROR(__xludf.DUMMYFUNCTION("""COMPUTED_VALUE"""),"https://www.facebook.com/merlyn.lachica.96")</f>
        <v>https://www.facebook.com/merlyn.lachica.96</v>
      </c>
      <c r="B390" s="1" t="str">
        <f ca="1">IFERROR(__xludf.DUMMYFUNCTION("""COMPUTED_VALUE"""),"Merlyn Salda Lachica")</f>
        <v>Merlyn Salda Lachica</v>
      </c>
      <c r="C390" s="1" t="str">
        <f ca="1">IFERROR(__xludf.DUMMYFUNCTION("""COMPUTED_VALUE"""),"Merlyn")</f>
        <v>Merlyn</v>
      </c>
      <c r="D390" s="1" t="str">
        <f ca="1">IFERROR(__xludf.DUMMYFUNCTION("""COMPUTED_VALUE"""),"Salda Lachica")</f>
        <v>Salda Lachica</v>
      </c>
      <c r="E390" s="1" t="str">
        <f ca="1">IFERROR(__xludf.DUMMYFUNCTION("""COMPUTED_VALUE"""),"Mbhy ka sir you decide very well gidbless")</f>
        <v>Mbhy ka sir you decide very well gidbless</v>
      </c>
      <c r="F390" s="1"/>
      <c r="G390" s="1" t="str">
        <f ca="1">IFERROR(__xludf.DUMMYFUNCTION("""COMPUTED_VALUE"""),"3 mos")</f>
        <v>3 mos</v>
      </c>
      <c r="H390" s="1" t="str">
        <f ca="1">IFERROR(__xludf.DUMMYFUNCTION("""COMPUTED_VALUE"""),"comment")</f>
        <v>comment</v>
      </c>
      <c r="I390" s="2" t="str">
        <f ca="1">IFERROR(__xludf.DUMMYFUNCTION("""COMPUTED_VALUE"""),"https://www.facebook.com/rapplerdotcom/photos/a.317154781638645/5597612220259515/")</f>
        <v>https://www.facebook.com/rapplerdotcom/photos/a.317154781638645/5597612220259515/</v>
      </c>
      <c r="J390" s="1" t="str">
        <f ca="1">IFERROR(__xludf.DUMMYFUNCTION("""COMPUTED_VALUE"""),"2022-07-04T11:12:03.022Z")</f>
        <v>2022-07-04T11:12:03.022Z</v>
      </c>
    </row>
    <row r="391" spans="1:10" x14ac:dyDescent="0.2">
      <c r="A391" s="2" t="str">
        <f ca="1">IFERROR(__xludf.DUMMYFUNCTION("""COMPUTED_VALUE"""),"https://www.facebook.com/reynaldo.villarama")</f>
        <v>https://www.facebook.com/reynaldo.villarama</v>
      </c>
      <c r="B391" s="1" t="str">
        <f ca="1">IFERROR(__xludf.DUMMYFUNCTION("""COMPUTED_VALUE"""),"Rey Villarama")</f>
        <v>Rey Villarama</v>
      </c>
      <c r="C391" s="1" t="str">
        <f ca="1">IFERROR(__xludf.DUMMYFUNCTION("""COMPUTED_VALUE"""),"Rey")</f>
        <v>Rey</v>
      </c>
      <c r="D391" s="1" t="str">
        <f ca="1">IFERROR(__xludf.DUMMYFUNCTION("""COMPUTED_VALUE"""),"Villarama")</f>
        <v>Villarama</v>
      </c>
      <c r="E391" s="1" t="str">
        <f ca="1">IFERROR(__xludf.DUMMYFUNCTION("""COMPUTED_VALUE"""),"good decision")</f>
        <v>good decision</v>
      </c>
      <c r="F391" s="1">
        <f ca="1">IFERROR(__xludf.DUMMYFUNCTION("""COMPUTED_VALUE"""),2)</f>
        <v>2</v>
      </c>
      <c r="G391" s="1" t="str">
        <f ca="1">IFERROR(__xludf.DUMMYFUNCTION("""COMPUTED_VALUE"""),"3 mos")</f>
        <v>3 mos</v>
      </c>
      <c r="H391" s="1" t="str">
        <f ca="1">IFERROR(__xludf.DUMMYFUNCTION("""COMPUTED_VALUE"""),"comment")</f>
        <v>comment</v>
      </c>
      <c r="I391" s="2" t="str">
        <f ca="1">IFERROR(__xludf.DUMMYFUNCTION("""COMPUTED_VALUE"""),"https://www.facebook.com/rapplerdotcom/photos/a.317154781638645/5597612220259515/")</f>
        <v>https://www.facebook.com/rapplerdotcom/photos/a.317154781638645/5597612220259515/</v>
      </c>
      <c r="J391" s="1" t="str">
        <f ca="1">IFERROR(__xludf.DUMMYFUNCTION("""COMPUTED_VALUE"""),"2022-07-04T11:12:03.022Z")</f>
        <v>2022-07-04T11:12:03.022Z</v>
      </c>
    </row>
    <row r="392" spans="1:10" x14ac:dyDescent="0.2">
      <c r="A392" s="2" t="str">
        <f ca="1">IFERROR(__xludf.DUMMYFUNCTION("""COMPUTED_VALUE"""),"https://www.facebook.com/jorge.devenecia")</f>
        <v>https://www.facebook.com/jorge.devenecia</v>
      </c>
      <c r="B392" s="1" t="str">
        <f ca="1">IFERROR(__xludf.DUMMYFUNCTION("""COMPUTED_VALUE"""),"Jorge de Venecia")</f>
        <v>Jorge de Venecia</v>
      </c>
      <c r="C392" s="1" t="str">
        <f ca="1">IFERROR(__xludf.DUMMYFUNCTION("""COMPUTED_VALUE"""),"Jorge")</f>
        <v>Jorge</v>
      </c>
      <c r="D392" s="1" t="str">
        <f ca="1">IFERROR(__xludf.DUMMYFUNCTION("""COMPUTED_VALUE"""),"de Venecia")</f>
        <v>de Venecia</v>
      </c>
      <c r="E392" s="1" t="str">
        <f ca="1">IFERROR(__xludf.DUMMYFUNCTION("""COMPUTED_VALUE"""),"Good for our country cong.Barsaga! Mabuhay ka🙏")</f>
        <v>Good for our country cong.Barsaga! Mabuhay ka🙏</v>
      </c>
      <c r="F392" s="1"/>
      <c r="G392" s="1" t="str">
        <f ca="1">IFERROR(__xludf.DUMMYFUNCTION("""COMPUTED_VALUE"""),"3 mos")</f>
        <v>3 mos</v>
      </c>
      <c r="H392" s="1" t="str">
        <f ca="1">IFERROR(__xludf.DUMMYFUNCTION("""COMPUTED_VALUE"""),"comment")</f>
        <v>comment</v>
      </c>
      <c r="I392" s="2" t="str">
        <f ca="1">IFERROR(__xludf.DUMMYFUNCTION("""COMPUTED_VALUE"""),"https://www.facebook.com/rapplerdotcom/photos/a.317154781638645/5597612220259515/")</f>
        <v>https://www.facebook.com/rapplerdotcom/photos/a.317154781638645/5597612220259515/</v>
      </c>
      <c r="J392" s="1" t="str">
        <f ca="1">IFERROR(__xludf.DUMMYFUNCTION("""COMPUTED_VALUE"""),"2022-07-04T11:12:03.022Z")</f>
        <v>2022-07-04T11:12:03.022Z</v>
      </c>
    </row>
    <row r="393" spans="1:10" x14ac:dyDescent="0.2">
      <c r="A393" s="2" t="str">
        <f ca="1">IFERROR(__xludf.DUMMYFUNCTION("""COMPUTED_VALUE"""),"https://www.facebook.com/bagie.macalalad")</f>
        <v>https://www.facebook.com/bagie.macalalad</v>
      </c>
      <c r="B393" s="1" t="str">
        <f ca="1">IFERROR(__xludf.DUMMYFUNCTION("""COMPUTED_VALUE"""),"Maria Formento Macalalad")</f>
        <v>Maria Formento Macalalad</v>
      </c>
      <c r="C393" s="1" t="str">
        <f ca="1">IFERROR(__xludf.DUMMYFUNCTION("""COMPUTED_VALUE"""),"Maria")</f>
        <v>Maria</v>
      </c>
      <c r="D393" s="1" t="str">
        <f ca="1">IFERROR(__xludf.DUMMYFUNCTION("""COMPUTED_VALUE"""),"Formento Macalalad")</f>
        <v>Formento Macalalad</v>
      </c>
      <c r="E393" s="1" t="str">
        <f ca="1">IFERROR(__xludf.DUMMYFUNCTION("""COMPUTED_VALUE"""),"Salamat po!")</f>
        <v>Salamat po!</v>
      </c>
      <c r="F393" s="1"/>
      <c r="G393" s="1" t="str">
        <f ca="1">IFERROR(__xludf.DUMMYFUNCTION("""COMPUTED_VALUE"""),"3 mos")</f>
        <v>3 mos</v>
      </c>
      <c r="H393" s="1" t="str">
        <f ca="1">IFERROR(__xludf.DUMMYFUNCTION("""COMPUTED_VALUE"""),"comment")</f>
        <v>comment</v>
      </c>
      <c r="I393" s="2" t="str">
        <f ca="1">IFERROR(__xludf.DUMMYFUNCTION("""COMPUTED_VALUE"""),"https://www.facebook.com/rapplerdotcom/photos/a.317154781638645/5597612220259515/")</f>
        <v>https://www.facebook.com/rapplerdotcom/photos/a.317154781638645/5597612220259515/</v>
      </c>
      <c r="J393" s="1" t="str">
        <f ca="1">IFERROR(__xludf.DUMMYFUNCTION("""COMPUTED_VALUE"""),"2022-07-04T11:12:03.022Z")</f>
        <v>2022-07-04T11:12:03.022Z</v>
      </c>
    </row>
    <row r="394" spans="1:10" x14ac:dyDescent="0.2">
      <c r="A394" s="2" t="str">
        <f ca="1">IFERROR(__xludf.DUMMYFUNCTION("""COMPUTED_VALUE"""),"https://www.facebook.com/simeona.stevens")</f>
        <v>https://www.facebook.com/simeona.stevens</v>
      </c>
      <c r="B394" s="1" t="str">
        <f ca="1">IFERROR(__xludf.DUMMYFUNCTION("""COMPUTED_VALUE"""),"Simeona Stevens")</f>
        <v>Simeona Stevens</v>
      </c>
      <c r="C394" s="1" t="str">
        <f ca="1">IFERROR(__xludf.DUMMYFUNCTION("""COMPUTED_VALUE"""),"Simeona")</f>
        <v>Simeona</v>
      </c>
      <c r="D394" s="1" t="str">
        <f ca="1">IFERROR(__xludf.DUMMYFUNCTION("""COMPUTED_VALUE"""),"Stevens")</f>
        <v>Stevens</v>
      </c>
      <c r="E394" s="1" t="str">
        <f ca="1">IFERROR(__xludf.DUMMYFUNCTION("""COMPUTED_VALUE"""),"Thank you sir #RosasAng Kulay Ng Bukas")</f>
        <v>Thank you sir #RosasAng Kulay Ng Bukas</v>
      </c>
      <c r="F394" s="1"/>
      <c r="G394" s="1" t="str">
        <f ca="1">IFERROR(__xludf.DUMMYFUNCTION("""COMPUTED_VALUE"""),"3 mos")</f>
        <v>3 mos</v>
      </c>
      <c r="H394" s="1" t="str">
        <f ca="1">IFERROR(__xludf.DUMMYFUNCTION("""COMPUTED_VALUE"""),"comment")</f>
        <v>comment</v>
      </c>
      <c r="I394" s="2" t="str">
        <f ca="1">IFERROR(__xludf.DUMMYFUNCTION("""COMPUTED_VALUE"""),"https://www.facebook.com/rapplerdotcom/photos/a.317154781638645/5597612220259515/")</f>
        <v>https://www.facebook.com/rapplerdotcom/photos/a.317154781638645/5597612220259515/</v>
      </c>
      <c r="J394" s="1" t="str">
        <f ca="1">IFERROR(__xludf.DUMMYFUNCTION("""COMPUTED_VALUE"""),"2022-07-04T11:12:03.022Z")</f>
        <v>2022-07-04T11:12:03.022Z</v>
      </c>
    </row>
    <row r="395" spans="1:10" x14ac:dyDescent="0.2">
      <c r="A395" s="2" t="str">
        <f ca="1">IFERROR(__xludf.DUMMYFUNCTION("""COMPUTED_VALUE"""),"https://www.facebook.com/egtic.anton")</f>
        <v>https://www.facebook.com/egtic.anton</v>
      </c>
      <c r="B395" s="1" t="str">
        <f ca="1">IFERROR(__xludf.DUMMYFUNCTION("""COMPUTED_VALUE"""),"Egtic Anton")</f>
        <v>Egtic Anton</v>
      </c>
      <c r="C395" s="1" t="str">
        <f ca="1">IFERROR(__xludf.DUMMYFUNCTION("""COMPUTED_VALUE"""),"Egtic")</f>
        <v>Egtic</v>
      </c>
      <c r="D395" s="1" t="str">
        <f ca="1">IFERROR(__xludf.DUMMYFUNCTION("""COMPUTED_VALUE"""),"Anton")</f>
        <v>Anton</v>
      </c>
      <c r="E395" s="1" t="str">
        <f ca="1">IFERROR(__xludf.DUMMYFUNCTION("""COMPUTED_VALUE"""),"Go Cong.Barzaga")</f>
        <v>Go Cong.Barzaga</v>
      </c>
      <c r="F395" s="1"/>
      <c r="G395" s="1" t="str">
        <f ca="1">IFERROR(__xludf.DUMMYFUNCTION("""COMPUTED_VALUE"""),"3 mos")</f>
        <v>3 mos</v>
      </c>
      <c r="H395" s="1" t="str">
        <f ca="1">IFERROR(__xludf.DUMMYFUNCTION("""COMPUTED_VALUE"""),"comment")</f>
        <v>comment</v>
      </c>
      <c r="I395" s="2" t="str">
        <f ca="1">IFERROR(__xludf.DUMMYFUNCTION("""COMPUTED_VALUE"""),"https://www.facebook.com/rapplerdotcom/photos/a.317154781638645/5597612220259515/")</f>
        <v>https://www.facebook.com/rapplerdotcom/photos/a.317154781638645/5597612220259515/</v>
      </c>
      <c r="J395" s="1" t="str">
        <f ca="1">IFERROR(__xludf.DUMMYFUNCTION("""COMPUTED_VALUE"""),"2022-07-04T11:12:03.022Z")</f>
        <v>2022-07-04T11:12:03.022Z</v>
      </c>
    </row>
    <row r="396" spans="1:10" x14ac:dyDescent="0.2">
      <c r="A396" s="2" t="str">
        <f ca="1">IFERROR(__xludf.DUMMYFUNCTION("""COMPUTED_VALUE"""),"https://www.facebook.com/isidro.rentoy.5")</f>
        <v>https://www.facebook.com/isidro.rentoy.5</v>
      </c>
      <c r="B396" s="1" t="str">
        <f ca="1">IFERROR(__xludf.DUMMYFUNCTION("""COMPUTED_VALUE"""),"Idr Rentoy")</f>
        <v>Idr Rentoy</v>
      </c>
      <c r="C396" s="1" t="str">
        <f ca="1">IFERROR(__xludf.DUMMYFUNCTION("""COMPUTED_VALUE"""),"Idr")</f>
        <v>Idr</v>
      </c>
      <c r="D396" s="1" t="str">
        <f ca="1">IFERROR(__xludf.DUMMYFUNCTION("""COMPUTED_VALUE"""),"Rentoy")</f>
        <v>Rentoy</v>
      </c>
      <c r="E396" s="1" t="str">
        <f ca="1">IFERROR(__xludf.DUMMYFUNCTION("""COMPUTED_VALUE"""),"Yan  ang dasmarinenyo may utak ay makabayan kya gumaganda ang dasmarinas city gobyernong tapat salute mayor jenny barzaga at cong pidi CPA N LAWYER P")</f>
        <v>Yan  ang dasmarinenyo may utak ay makabayan kya gumaganda ang dasmarinas city gobyernong tapat salute mayor jenny barzaga at cong pidi CPA N LAWYER P</v>
      </c>
      <c r="F396" s="1">
        <f ca="1">IFERROR(__xludf.DUMMYFUNCTION("""COMPUTED_VALUE"""),2)</f>
        <v>2</v>
      </c>
      <c r="G396" s="1" t="str">
        <f ca="1">IFERROR(__xludf.DUMMYFUNCTION("""COMPUTED_VALUE"""),"3 mos")</f>
        <v>3 mos</v>
      </c>
      <c r="H396" s="1" t="str">
        <f ca="1">IFERROR(__xludf.DUMMYFUNCTION("""COMPUTED_VALUE"""),"comment")</f>
        <v>comment</v>
      </c>
      <c r="I396" s="2" t="str">
        <f ca="1">IFERROR(__xludf.DUMMYFUNCTION("""COMPUTED_VALUE"""),"https://www.facebook.com/rapplerdotcom/photos/a.317154781638645/5597612220259515/")</f>
        <v>https://www.facebook.com/rapplerdotcom/photos/a.317154781638645/5597612220259515/</v>
      </c>
      <c r="J396" s="1" t="str">
        <f ca="1">IFERROR(__xludf.DUMMYFUNCTION("""COMPUTED_VALUE"""),"2022-07-04T11:12:03.022Z")</f>
        <v>2022-07-04T11:12:03.022Z</v>
      </c>
    </row>
    <row r="397" spans="1:10" x14ac:dyDescent="0.2">
      <c r="A397" s="2" t="str">
        <f ca="1">IFERROR(__xludf.DUMMYFUNCTION("""COMPUTED_VALUE"""),"https://www.facebook.com/romeo.serrano.39")</f>
        <v>https://www.facebook.com/romeo.serrano.39</v>
      </c>
      <c r="B397" s="1" t="str">
        <f ca="1">IFERROR(__xludf.DUMMYFUNCTION("""COMPUTED_VALUE"""),"Romeo Serrano")</f>
        <v>Romeo Serrano</v>
      </c>
      <c r="C397" s="1" t="str">
        <f ca="1">IFERROR(__xludf.DUMMYFUNCTION("""COMPUTED_VALUE"""),"Romeo")</f>
        <v>Romeo</v>
      </c>
      <c r="D397" s="1" t="str">
        <f ca="1">IFERROR(__xludf.DUMMYFUNCTION("""COMPUTED_VALUE"""),"Serrano")</f>
        <v>Serrano</v>
      </c>
      <c r="E397" s="1" t="str">
        <f ca="1">IFERROR(__xludf.DUMMYFUNCTION("""COMPUTED_VALUE"""),"Salute sir... Hindi ka bulag sa katotohanan")</f>
        <v>Salute sir... Hindi ka bulag sa katotohanan</v>
      </c>
      <c r="F397" s="1">
        <f ca="1">IFERROR(__xludf.DUMMYFUNCTION("""COMPUTED_VALUE"""),3)</f>
        <v>3</v>
      </c>
      <c r="G397" s="1" t="str">
        <f ca="1">IFERROR(__xludf.DUMMYFUNCTION("""COMPUTED_VALUE"""),"3 mos")</f>
        <v>3 mos</v>
      </c>
      <c r="H397" s="1" t="str">
        <f ca="1">IFERROR(__xludf.DUMMYFUNCTION("""COMPUTED_VALUE"""),"comment")</f>
        <v>comment</v>
      </c>
      <c r="I397" s="2" t="str">
        <f ca="1">IFERROR(__xludf.DUMMYFUNCTION("""COMPUTED_VALUE"""),"https://www.facebook.com/rapplerdotcom/photos/a.317154781638645/5597612220259515/")</f>
        <v>https://www.facebook.com/rapplerdotcom/photos/a.317154781638645/5597612220259515/</v>
      </c>
      <c r="J397" s="1" t="str">
        <f ca="1">IFERROR(__xludf.DUMMYFUNCTION("""COMPUTED_VALUE"""),"2022-07-04T11:12:03.022Z")</f>
        <v>2022-07-04T11:12:03.022Z</v>
      </c>
    </row>
    <row r="398" spans="1:10" x14ac:dyDescent="0.2">
      <c r="A398" s="2" t="str">
        <f ca="1">IFERROR(__xludf.DUMMYFUNCTION("""COMPUTED_VALUE"""),"https://www.facebook.com/RogeJrJobLaura")</f>
        <v>https://www.facebook.com/RogeJrJobLaura</v>
      </c>
      <c r="B398" s="1" t="str">
        <f ca="1">IFERROR(__xludf.DUMMYFUNCTION("""COMPUTED_VALUE"""),"Roge Jr Job Laura")</f>
        <v>Roge Jr Job Laura</v>
      </c>
      <c r="C398" s="1" t="str">
        <f ca="1">IFERROR(__xludf.DUMMYFUNCTION("""COMPUTED_VALUE"""),"Roge")</f>
        <v>Roge</v>
      </c>
      <c r="D398" s="1" t="str">
        <f ca="1">IFERROR(__xludf.DUMMYFUNCTION("""COMPUTED_VALUE"""),"Jr Job Laura")</f>
        <v>Jr Job Laura</v>
      </c>
      <c r="E398" s="1" t="str">
        <f ca="1">IFERROR(__xludf.DUMMYFUNCTION("""COMPUTED_VALUE"""),"Dito mo makikita tama nga si pareng Ted Failon ""Your choice reflects your values"" mapalad yong may mga  provinces, city, town na may government Officials na Good Governance ang main goal sa gobyerno.")</f>
        <v>Dito mo makikita tama nga si pareng Ted Failon "Your choice reflects your values" mapalad yong may mga  provinces, city, town na may government Officials na Good Governance ang main goal sa gobyerno.</v>
      </c>
      <c r="F398" s="1"/>
      <c r="G398" s="1" t="str">
        <f ca="1">IFERROR(__xludf.DUMMYFUNCTION("""COMPUTED_VALUE"""),"3 mos")</f>
        <v>3 mos</v>
      </c>
      <c r="H398" s="1" t="str">
        <f ca="1">IFERROR(__xludf.DUMMYFUNCTION("""COMPUTED_VALUE"""),"comment")</f>
        <v>comment</v>
      </c>
      <c r="I398" s="2" t="str">
        <f ca="1">IFERROR(__xludf.DUMMYFUNCTION("""COMPUTED_VALUE"""),"https://www.facebook.com/rapplerdotcom/photos/a.317154781638645/5597612220259515/")</f>
        <v>https://www.facebook.com/rapplerdotcom/photos/a.317154781638645/5597612220259515/</v>
      </c>
      <c r="J398" s="1" t="str">
        <f ca="1">IFERROR(__xludf.DUMMYFUNCTION("""COMPUTED_VALUE"""),"2022-07-04T11:12:03.022Z")</f>
        <v>2022-07-04T11:12:03.022Z</v>
      </c>
    </row>
    <row r="399" spans="1:10" x14ac:dyDescent="0.2">
      <c r="A399" s="2" t="str">
        <f ca="1">IFERROR(__xludf.DUMMYFUNCTION("""COMPUTED_VALUE"""),"https://www.facebook.com/melinda.santelices")</f>
        <v>https://www.facebook.com/melinda.santelices</v>
      </c>
      <c r="B399" s="1" t="str">
        <f ca="1">IFERROR(__xludf.DUMMYFUNCTION("""COMPUTED_VALUE"""),"Melinda Santelices")</f>
        <v>Melinda Santelices</v>
      </c>
      <c r="C399" s="1" t="str">
        <f ca="1">IFERROR(__xludf.DUMMYFUNCTION("""COMPUTED_VALUE"""),"Melinda")</f>
        <v>Melinda</v>
      </c>
      <c r="D399" s="1" t="str">
        <f ca="1">IFERROR(__xludf.DUMMYFUNCTION("""COMPUTED_VALUE"""),"Santelices")</f>
        <v>Santelices</v>
      </c>
      <c r="E399" s="1" t="str">
        <f ca="1">IFERROR(__xludf.DUMMYFUNCTION("""COMPUTED_VALUE"""),"Thank you po Sir, Tama PO Ang ginawa nyo...good job PO.")</f>
        <v>Thank you po Sir, Tama PO Ang ginawa nyo...good job PO.</v>
      </c>
      <c r="F399" s="1">
        <f ca="1">IFERROR(__xludf.DUMMYFUNCTION("""COMPUTED_VALUE"""),2)</f>
        <v>2</v>
      </c>
      <c r="G399" s="1" t="str">
        <f ca="1">IFERROR(__xludf.DUMMYFUNCTION("""COMPUTED_VALUE"""),"3 mos")</f>
        <v>3 mos</v>
      </c>
      <c r="H399" s="1" t="str">
        <f ca="1">IFERROR(__xludf.DUMMYFUNCTION("""COMPUTED_VALUE"""),"comment")</f>
        <v>comment</v>
      </c>
      <c r="I399" s="2" t="str">
        <f ca="1">IFERROR(__xludf.DUMMYFUNCTION("""COMPUTED_VALUE"""),"https://www.facebook.com/rapplerdotcom/photos/a.317154781638645/5597612220259515/")</f>
        <v>https://www.facebook.com/rapplerdotcom/photos/a.317154781638645/5597612220259515/</v>
      </c>
      <c r="J399" s="1" t="str">
        <f ca="1">IFERROR(__xludf.DUMMYFUNCTION("""COMPUTED_VALUE"""),"2022-07-04T11:12:03.022Z")</f>
        <v>2022-07-04T11:12:03.022Z</v>
      </c>
    </row>
    <row r="400" spans="1:10" x14ac:dyDescent="0.2">
      <c r="A400" s="2" t="str">
        <f ca="1">IFERROR(__xludf.DUMMYFUNCTION("""COMPUTED_VALUE"""),"https://www.facebook.com/joebeth.egenias")</f>
        <v>https://www.facebook.com/joebeth.egenias</v>
      </c>
      <c r="B400" s="1" t="str">
        <f ca="1">IFERROR(__xludf.DUMMYFUNCTION("""COMPUTED_VALUE"""),"Lizabeth Egenias Cariño")</f>
        <v>Lizabeth Egenias Cariño</v>
      </c>
      <c r="C400" s="1" t="str">
        <f ca="1">IFERROR(__xludf.DUMMYFUNCTION("""COMPUTED_VALUE"""),"Lizabeth")</f>
        <v>Lizabeth</v>
      </c>
      <c r="D400" s="1" t="str">
        <f ca="1">IFERROR(__xludf.DUMMYFUNCTION("""COMPUTED_VALUE"""),"Egenias Cariño")</f>
        <v>Egenias Cariño</v>
      </c>
      <c r="E400" s="1" t="str">
        <f ca="1">IFERROR(__xludf.DUMMYFUNCTION("""COMPUTED_VALUE"""),"SAlamat po Cong.Barzaga")</f>
        <v>SAlamat po Cong.Barzaga</v>
      </c>
      <c r="F400" s="1"/>
      <c r="G400" s="1" t="str">
        <f ca="1">IFERROR(__xludf.DUMMYFUNCTION("""COMPUTED_VALUE"""),"3 mos")</f>
        <v>3 mos</v>
      </c>
      <c r="H400" s="1" t="str">
        <f ca="1">IFERROR(__xludf.DUMMYFUNCTION("""COMPUTED_VALUE"""),"comment")</f>
        <v>comment</v>
      </c>
      <c r="I400" s="2" t="str">
        <f ca="1">IFERROR(__xludf.DUMMYFUNCTION("""COMPUTED_VALUE"""),"https://www.facebook.com/rapplerdotcom/photos/a.317154781638645/5597612220259515/")</f>
        <v>https://www.facebook.com/rapplerdotcom/photos/a.317154781638645/5597612220259515/</v>
      </c>
      <c r="J400" s="1" t="str">
        <f ca="1">IFERROR(__xludf.DUMMYFUNCTION("""COMPUTED_VALUE"""),"2022-07-04T11:12:03.022Z")</f>
        <v>2022-07-04T11:12:03.022Z</v>
      </c>
    </row>
    <row r="401" spans="1:10" x14ac:dyDescent="0.2">
      <c r="A401" s="2" t="str">
        <f ca="1">IFERROR(__xludf.DUMMYFUNCTION("""COMPUTED_VALUE"""),"https://www.facebook.com/marizz.monzoncordova")</f>
        <v>https://www.facebook.com/marizz.monzoncordova</v>
      </c>
      <c r="B401" s="1" t="str">
        <f ca="1">IFERROR(__xludf.DUMMYFUNCTION("""COMPUTED_VALUE"""),"Marizz Monzon-Cordova")</f>
        <v>Marizz Monzon-Cordova</v>
      </c>
      <c r="C401" s="1" t="str">
        <f ca="1">IFERROR(__xludf.DUMMYFUNCTION("""COMPUTED_VALUE"""),"Marizz")</f>
        <v>Marizz</v>
      </c>
      <c r="D401" s="1" t="str">
        <f ca="1">IFERROR(__xludf.DUMMYFUNCTION("""COMPUTED_VALUE"""),"Monzon-Cordova")</f>
        <v>Monzon-Cordova</v>
      </c>
      <c r="E401" s="1" t="str">
        <f ca="1">IFERROR(__xludf.DUMMYFUNCTION("""COMPUTED_VALUE"""),"Thank you po for the support 💗 indeed Kulay Rosas ang Bukas🌸 #LeniKiko2022")</f>
        <v>Thank you po for the support 💗 indeed Kulay Rosas ang Bukas🌸 #LeniKiko2022</v>
      </c>
      <c r="F401" s="1">
        <f ca="1">IFERROR(__xludf.DUMMYFUNCTION("""COMPUTED_VALUE"""),1)</f>
        <v>1</v>
      </c>
      <c r="G401" s="1" t="str">
        <f ca="1">IFERROR(__xludf.DUMMYFUNCTION("""COMPUTED_VALUE"""),"3 mos")</f>
        <v>3 mos</v>
      </c>
      <c r="H401" s="1" t="str">
        <f ca="1">IFERROR(__xludf.DUMMYFUNCTION("""COMPUTED_VALUE"""),"comment")</f>
        <v>comment</v>
      </c>
      <c r="I401" s="2" t="str">
        <f ca="1">IFERROR(__xludf.DUMMYFUNCTION("""COMPUTED_VALUE"""),"https://www.facebook.com/rapplerdotcom/photos/a.317154781638645/5597612220259515/")</f>
        <v>https://www.facebook.com/rapplerdotcom/photos/a.317154781638645/5597612220259515/</v>
      </c>
      <c r="J401" s="1" t="str">
        <f ca="1">IFERROR(__xludf.DUMMYFUNCTION("""COMPUTED_VALUE"""),"2022-07-04T11:12:03.022Z")</f>
        <v>2022-07-04T11:12:03.022Z</v>
      </c>
    </row>
    <row r="402" spans="1:10" x14ac:dyDescent="0.2">
      <c r="A402" s="2" t="str">
        <f ca="1">IFERROR(__xludf.DUMMYFUNCTION("""COMPUTED_VALUE"""),"https://www.facebook.com/ramon.juario")</f>
        <v>https://www.facebook.com/ramon.juario</v>
      </c>
      <c r="B402" s="1" t="str">
        <f ca="1">IFERROR(__xludf.DUMMYFUNCTION("""COMPUTED_VALUE"""),"Ramon Juario")</f>
        <v>Ramon Juario</v>
      </c>
      <c r="C402" s="1" t="str">
        <f ca="1">IFERROR(__xludf.DUMMYFUNCTION("""COMPUTED_VALUE"""),"Ramon")</f>
        <v>Ramon</v>
      </c>
      <c r="D402" s="1" t="str">
        <f ca="1">IFERROR(__xludf.DUMMYFUNCTION("""COMPUTED_VALUE"""),"Juario")</f>
        <v>Juario</v>
      </c>
      <c r="E402" s="1" t="str">
        <f ca="1">IFERROR(__xludf.DUMMYFUNCTION("""COMPUTED_VALUE"""),"Tama po ang paglipat ninyo sa pink color Congressman at tiyak nasa tama po Dereksyon ninyo.")</f>
        <v>Tama po ang paglipat ninyo sa pink color Congressman at tiyak nasa tama po Dereksyon ninyo.</v>
      </c>
      <c r="F402" s="1">
        <f ca="1">IFERROR(__xludf.DUMMYFUNCTION("""COMPUTED_VALUE"""),2)</f>
        <v>2</v>
      </c>
      <c r="G402" s="1" t="str">
        <f ca="1">IFERROR(__xludf.DUMMYFUNCTION("""COMPUTED_VALUE"""),"3 mos")</f>
        <v>3 mos</v>
      </c>
      <c r="H402" s="1" t="str">
        <f ca="1">IFERROR(__xludf.DUMMYFUNCTION("""COMPUTED_VALUE"""),"comment")</f>
        <v>comment</v>
      </c>
      <c r="I402" s="2" t="str">
        <f ca="1">IFERROR(__xludf.DUMMYFUNCTION("""COMPUTED_VALUE"""),"https://www.facebook.com/rapplerdotcom/photos/a.317154781638645/5597612220259515/")</f>
        <v>https://www.facebook.com/rapplerdotcom/photos/a.317154781638645/5597612220259515/</v>
      </c>
      <c r="J402" s="1" t="str">
        <f ca="1">IFERROR(__xludf.DUMMYFUNCTION("""COMPUTED_VALUE"""),"2022-07-04T11:12:03.022Z")</f>
        <v>2022-07-04T11:12:03.022Z</v>
      </c>
    </row>
    <row r="403" spans="1:10" x14ac:dyDescent="0.2">
      <c r="A403" s="2" t="str">
        <f ca="1">IFERROR(__xludf.DUMMYFUNCTION("""COMPUTED_VALUE"""),"https://www.facebook.com/lourdes.tobias.16")</f>
        <v>https://www.facebook.com/lourdes.tobias.16</v>
      </c>
      <c r="B403" s="1" t="str">
        <f ca="1">IFERROR(__xludf.DUMMYFUNCTION("""COMPUTED_VALUE"""),"Lourdes Tobias")</f>
        <v>Lourdes Tobias</v>
      </c>
      <c r="C403" s="1" t="str">
        <f ca="1">IFERROR(__xludf.DUMMYFUNCTION("""COMPUTED_VALUE"""),"Lourdes")</f>
        <v>Lourdes</v>
      </c>
      <c r="D403" s="1" t="str">
        <f ca="1">IFERROR(__xludf.DUMMYFUNCTION("""COMPUTED_VALUE"""),"Tobias")</f>
        <v>Tobias</v>
      </c>
      <c r="E403" s="1" t="str">
        <f ca="1">IFERROR(__xludf.DUMMYFUNCTION("""COMPUTED_VALUE"""),"Salamat po")</f>
        <v>Salamat po</v>
      </c>
      <c r="F403" s="1">
        <f ca="1">IFERROR(__xludf.DUMMYFUNCTION("""COMPUTED_VALUE"""),1)</f>
        <v>1</v>
      </c>
      <c r="G403" s="1" t="str">
        <f ca="1">IFERROR(__xludf.DUMMYFUNCTION("""COMPUTED_VALUE"""),"3 mos")</f>
        <v>3 mos</v>
      </c>
      <c r="H403" s="1" t="str">
        <f ca="1">IFERROR(__xludf.DUMMYFUNCTION("""COMPUTED_VALUE"""),"comment")</f>
        <v>comment</v>
      </c>
      <c r="I403" s="2" t="str">
        <f ca="1">IFERROR(__xludf.DUMMYFUNCTION("""COMPUTED_VALUE"""),"https://www.facebook.com/rapplerdotcom/photos/a.317154781638645/5597612220259515/")</f>
        <v>https://www.facebook.com/rapplerdotcom/photos/a.317154781638645/5597612220259515/</v>
      </c>
      <c r="J403" s="1" t="str">
        <f ca="1">IFERROR(__xludf.DUMMYFUNCTION("""COMPUTED_VALUE"""),"2022-07-04T11:12:03.022Z")</f>
        <v>2022-07-04T11:12:03.022Z</v>
      </c>
    </row>
    <row r="404" spans="1:10" x14ac:dyDescent="0.2">
      <c r="A404" s="2" t="str">
        <f ca="1">IFERROR(__xludf.DUMMYFUNCTION("""COMPUTED_VALUE"""),"https://www.facebook.com/angela.romanos.14")</f>
        <v>https://www.facebook.com/angela.romanos.14</v>
      </c>
      <c r="B404" s="1" t="str">
        <f ca="1">IFERROR(__xludf.DUMMYFUNCTION("""COMPUTED_VALUE"""),"Angela Romanos")</f>
        <v>Angela Romanos</v>
      </c>
      <c r="C404" s="1" t="str">
        <f ca="1">IFERROR(__xludf.DUMMYFUNCTION("""COMPUTED_VALUE"""),"Angela")</f>
        <v>Angela</v>
      </c>
      <c r="D404" s="1" t="str">
        <f ca="1">IFERROR(__xludf.DUMMYFUNCTION("""COMPUTED_VALUE"""),"Romanos")</f>
        <v>Romanos</v>
      </c>
      <c r="E404" s="1" t="str">
        <f ca="1">IFERROR(__xludf.DUMMYFUNCTION("""COMPUTED_VALUE"""),"Maraming salamat sa pagtindig at pag panig  sa marangal at karapatdapat...")</f>
        <v>Maraming salamat sa pagtindig at pag panig  sa marangal at karapatdapat...</v>
      </c>
      <c r="F404" s="1">
        <f ca="1">IFERROR(__xludf.DUMMYFUNCTION("""COMPUTED_VALUE"""),1)</f>
        <v>1</v>
      </c>
      <c r="G404" s="1" t="str">
        <f ca="1">IFERROR(__xludf.DUMMYFUNCTION("""COMPUTED_VALUE"""),"3 mos")</f>
        <v>3 mos</v>
      </c>
      <c r="H404" s="1" t="str">
        <f ca="1">IFERROR(__xludf.DUMMYFUNCTION("""COMPUTED_VALUE"""),"comment")</f>
        <v>comment</v>
      </c>
      <c r="I404" s="2" t="str">
        <f ca="1">IFERROR(__xludf.DUMMYFUNCTION("""COMPUTED_VALUE"""),"https://www.facebook.com/rapplerdotcom/photos/a.317154781638645/5597612220259515/")</f>
        <v>https://www.facebook.com/rapplerdotcom/photos/a.317154781638645/5597612220259515/</v>
      </c>
      <c r="J404" s="1" t="str">
        <f ca="1">IFERROR(__xludf.DUMMYFUNCTION("""COMPUTED_VALUE"""),"2022-07-04T11:12:03.022Z")</f>
        <v>2022-07-04T11:12:03.022Z</v>
      </c>
    </row>
    <row r="405" spans="1:10" x14ac:dyDescent="0.2">
      <c r="A405" s="2" t="str">
        <f ca="1">IFERROR(__xludf.DUMMYFUNCTION("""COMPUTED_VALUE"""),"https://www.facebook.com/divina.callado")</f>
        <v>https://www.facebook.com/divina.callado</v>
      </c>
      <c r="B405" s="1" t="str">
        <f ca="1">IFERROR(__xludf.DUMMYFUNCTION("""COMPUTED_VALUE"""),"Divina Olanio Callado")</f>
        <v>Divina Olanio Callado</v>
      </c>
      <c r="C405" s="1" t="str">
        <f ca="1">IFERROR(__xludf.DUMMYFUNCTION("""COMPUTED_VALUE"""),"Divina")</f>
        <v>Divina</v>
      </c>
      <c r="D405" s="1" t="str">
        <f ca="1">IFERROR(__xludf.DUMMYFUNCTION("""COMPUTED_VALUE"""),"Olanio Callado")</f>
        <v>Olanio Callado</v>
      </c>
      <c r="E405" s="1" t="str">
        <f ca="1">IFERROR(__xludf.DUMMYFUNCTION("""COMPUTED_VALUE"""),"Good for you Mr Elpidio Barzaga. Mabuhay po kayo 💖")</f>
        <v>Good for you Mr Elpidio Barzaga. Mabuhay po kayo 💖</v>
      </c>
      <c r="F405" s="1"/>
      <c r="G405" s="1" t="str">
        <f ca="1">IFERROR(__xludf.DUMMYFUNCTION("""COMPUTED_VALUE"""),"3 mos")</f>
        <v>3 mos</v>
      </c>
      <c r="H405" s="1" t="str">
        <f ca="1">IFERROR(__xludf.DUMMYFUNCTION("""COMPUTED_VALUE"""),"comment")</f>
        <v>comment</v>
      </c>
      <c r="I405" s="2" t="str">
        <f ca="1">IFERROR(__xludf.DUMMYFUNCTION("""COMPUTED_VALUE"""),"https://www.facebook.com/rapplerdotcom/photos/a.317154781638645/5597612220259515/")</f>
        <v>https://www.facebook.com/rapplerdotcom/photos/a.317154781638645/5597612220259515/</v>
      </c>
      <c r="J405" s="1" t="str">
        <f ca="1">IFERROR(__xludf.DUMMYFUNCTION("""COMPUTED_VALUE"""),"2022-07-04T11:12:03.022Z")</f>
        <v>2022-07-04T11:12:03.022Z</v>
      </c>
    </row>
    <row r="406" spans="1:10" x14ac:dyDescent="0.2">
      <c r="A406" s="2" t="str">
        <f ca="1">IFERROR(__xludf.DUMMYFUNCTION("""COMPUTED_VALUE"""),"https://www.facebook.com/racquel.andres.908")</f>
        <v>https://www.facebook.com/racquel.andres.908</v>
      </c>
      <c r="B406" s="1" t="str">
        <f ca="1">IFERROR(__xludf.DUMMYFUNCTION("""COMPUTED_VALUE"""),"Racquel Andres")</f>
        <v>Racquel Andres</v>
      </c>
      <c r="C406" s="1" t="str">
        <f ca="1">IFERROR(__xludf.DUMMYFUNCTION("""COMPUTED_VALUE"""),"Racquel")</f>
        <v>Racquel</v>
      </c>
      <c r="D406" s="1" t="str">
        <f ca="1">IFERROR(__xludf.DUMMYFUNCTION("""COMPUTED_VALUE"""),"Andres")</f>
        <v>Andres</v>
      </c>
      <c r="E406" s="1" t="str">
        <f ca="1">IFERROR(__xludf.DUMMYFUNCTION("""COMPUTED_VALUE"""),"Salamat  sa supporta Cong.Barsaga..tama po ang iyong naging decision at mas marami ang kababayan mo ang pabor sa ginawa mo ..kaya sigurado pareho kayong panalo 👍🎀🎀🎀")</f>
        <v>Salamat  sa supporta Cong.Barsaga..tama po ang iyong naging decision at mas marami ang kababayan mo ang pabor sa ginawa mo ..kaya sigurado pareho kayong panalo 👍🎀🎀🎀</v>
      </c>
      <c r="F406" s="1">
        <f ca="1">IFERROR(__xludf.DUMMYFUNCTION("""COMPUTED_VALUE"""),24)</f>
        <v>24</v>
      </c>
      <c r="G406" s="1" t="str">
        <f ca="1">IFERROR(__xludf.DUMMYFUNCTION("""COMPUTED_VALUE"""),"3 mos")</f>
        <v>3 mos</v>
      </c>
      <c r="H406" s="1" t="str">
        <f ca="1">IFERROR(__xludf.DUMMYFUNCTION("""COMPUTED_VALUE"""),"comment")</f>
        <v>comment</v>
      </c>
      <c r="I406" s="2" t="str">
        <f ca="1">IFERROR(__xludf.DUMMYFUNCTION("""COMPUTED_VALUE"""),"https://www.facebook.com/rapplerdotcom/photos/a.317154781638645/5597612220259515/")</f>
        <v>https://www.facebook.com/rapplerdotcom/photos/a.317154781638645/5597612220259515/</v>
      </c>
      <c r="J406" s="1" t="str">
        <f ca="1">IFERROR(__xludf.DUMMYFUNCTION("""COMPUTED_VALUE"""),"2022-07-04T11:12:03.022Z")</f>
        <v>2022-07-04T11:12:03.022Z</v>
      </c>
    </row>
    <row r="407" spans="1:10" x14ac:dyDescent="0.2">
      <c r="A407" s="2" t="str">
        <f ca="1">IFERROR(__xludf.DUMMYFUNCTION("""COMPUTED_VALUE"""),"https://www.facebook.com/cielo.dupayamendiola")</f>
        <v>https://www.facebook.com/cielo.dupayamendiola</v>
      </c>
      <c r="B407" s="1" t="str">
        <f ca="1">IFERROR(__xludf.DUMMYFUNCTION("""COMPUTED_VALUE"""),"Cielo Dupaya Mendiola")</f>
        <v>Cielo Dupaya Mendiola</v>
      </c>
      <c r="C407" s="1" t="str">
        <f ca="1">IFERROR(__xludf.DUMMYFUNCTION("""COMPUTED_VALUE"""),"Cielo")</f>
        <v>Cielo</v>
      </c>
      <c r="D407" s="1" t="str">
        <f ca="1">IFERROR(__xludf.DUMMYFUNCTION("""COMPUTED_VALUE"""),"Dupaya Mendiola")</f>
        <v>Dupaya Mendiola</v>
      </c>
      <c r="E407" s="1" t="str">
        <f ca="1">IFERROR(__xludf.DUMMYFUNCTION("""COMPUTED_VALUE"""),"Yan ang matapang at may paninindigan! Salamat po Sir!🌷🌸🌷")</f>
        <v>Yan ang matapang at may paninindigan! Salamat po Sir!🌷🌸🌷</v>
      </c>
      <c r="F407" s="1"/>
      <c r="G407" s="1" t="str">
        <f ca="1">IFERROR(__xludf.DUMMYFUNCTION("""COMPUTED_VALUE"""),"3 mos")</f>
        <v>3 mos</v>
      </c>
      <c r="H407" s="1" t="str">
        <f ca="1">IFERROR(__xludf.DUMMYFUNCTION("""COMPUTED_VALUE"""),"comment")</f>
        <v>comment</v>
      </c>
      <c r="I407" s="2" t="str">
        <f ca="1">IFERROR(__xludf.DUMMYFUNCTION("""COMPUTED_VALUE"""),"https://www.facebook.com/rapplerdotcom/photos/a.317154781638645/5597612220259515/")</f>
        <v>https://www.facebook.com/rapplerdotcom/photos/a.317154781638645/5597612220259515/</v>
      </c>
      <c r="J407" s="1" t="str">
        <f ca="1">IFERROR(__xludf.DUMMYFUNCTION("""COMPUTED_VALUE"""),"2022-07-04T11:12:03.022Z")</f>
        <v>2022-07-04T11:12:03.022Z</v>
      </c>
    </row>
    <row r="408" spans="1:10" x14ac:dyDescent="0.2">
      <c r="A408" s="2" t="str">
        <f ca="1">IFERROR(__xludf.DUMMYFUNCTION("""COMPUTED_VALUE"""),"https://www.facebook.com/florence.sabado.7")</f>
        <v>https://www.facebook.com/florence.sabado.7</v>
      </c>
      <c r="B408" s="1" t="str">
        <f ca="1">IFERROR(__xludf.DUMMYFUNCTION("""COMPUTED_VALUE"""),"Binky Valenzuela Sabado")</f>
        <v>Binky Valenzuela Sabado</v>
      </c>
      <c r="C408" s="1" t="str">
        <f ca="1">IFERROR(__xludf.DUMMYFUNCTION("""COMPUTED_VALUE"""),"Binky")</f>
        <v>Binky</v>
      </c>
      <c r="D408" s="1" t="str">
        <f ca="1">IFERROR(__xludf.DUMMYFUNCTION("""COMPUTED_VALUE"""),"Valenzuela Sabado")</f>
        <v>Valenzuela Sabado</v>
      </c>
      <c r="E408" s="1" t="str">
        <f ca="1">IFERROR(__xludf.DUMMYFUNCTION("""COMPUTED_VALUE"""),"Salamat Po Sir Pidi.")</f>
        <v>Salamat Po Sir Pidi.</v>
      </c>
      <c r="F408" s="1"/>
      <c r="G408" s="1" t="str">
        <f ca="1">IFERROR(__xludf.DUMMYFUNCTION("""COMPUTED_VALUE"""),"3 mos")</f>
        <v>3 mos</v>
      </c>
      <c r="H408" s="1" t="str">
        <f ca="1">IFERROR(__xludf.DUMMYFUNCTION("""COMPUTED_VALUE"""),"comment")</f>
        <v>comment</v>
      </c>
      <c r="I408" s="2" t="str">
        <f ca="1">IFERROR(__xludf.DUMMYFUNCTION("""COMPUTED_VALUE"""),"https://www.facebook.com/rapplerdotcom/photos/a.317154781638645/5597612220259515/")</f>
        <v>https://www.facebook.com/rapplerdotcom/photos/a.317154781638645/5597612220259515/</v>
      </c>
      <c r="J408" s="1" t="str">
        <f ca="1">IFERROR(__xludf.DUMMYFUNCTION("""COMPUTED_VALUE"""),"2022-07-04T11:12:03.022Z")</f>
        <v>2022-07-04T11:12:03.022Z</v>
      </c>
    </row>
    <row r="409" spans="1:10" x14ac:dyDescent="0.2">
      <c r="A409" s="2" t="str">
        <f ca="1">IFERROR(__xludf.DUMMYFUNCTION("""COMPUTED_VALUE"""),"https://www.facebook.com/resi.sitjar.9")</f>
        <v>https://www.facebook.com/resi.sitjar.9</v>
      </c>
      <c r="B409" s="1" t="str">
        <f ca="1">IFERROR(__xludf.DUMMYFUNCTION("""COMPUTED_VALUE"""),"Resi Sitjar")</f>
        <v>Resi Sitjar</v>
      </c>
      <c r="C409" s="1" t="str">
        <f ca="1">IFERROR(__xludf.DUMMYFUNCTION("""COMPUTED_VALUE"""),"Resi")</f>
        <v>Resi</v>
      </c>
      <c r="D409" s="1" t="str">
        <f ca="1">IFERROR(__xludf.DUMMYFUNCTION("""COMPUTED_VALUE"""),"Sitjar")</f>
        <v>Sitjar</v>
      </c>
      <c r="E409" s="1" t="str">
        <f ca="1">IFERROR(__xludf.DUMMYFUNCTION("""COMPUTED_VALUE"""),"Saludo kami sa inyo Cong.Pidi ..")</f>
        <v>Saludo kami sa inyo Cong.Pidi ..</v>
      </c>
      <c r="F409" s="1"/>
      <c r="G409" s="1" t="str">
        <f ca="1">IFERROR(__xludf.DUMMYFUNCTION("""COMPUTED_VALUE"""),"3 mos")</f>
        <v>3 mos</v>
      </c>
      <c r="H409" s="1" t="str">
        <f ca="1">IFERROR(__xludf.DUMMYFUNCTION("""COMPUTED_VALUE"""),"comment")</f>
        <v>comment</v>
      </c>
      <c r="I409" s="2" t="str">
        <f ca="1">IFERROR(__xludf.DUMMYFUNCTION("""COMPUTED_VALUE"""),"https://www.facebook.com/rapplerdotcom/photos/a.317154781638645/5597612220259515/")</f>
        <v>https://www.facebook.com/rapplerdotcom/photos/a.317154781638645/5597612220259515/</v>
      </c>
      <c r="J409" s="1" t="str">
        <f ca="1">IFERROR(__xludf.DUMMYFUNCTION("""COMPUTED_VALUE"""),"2022-07-04T11:12:03.022Z")</f>
        <v>2022-07-04T11:12:03.022Z</v>
      </c>
    </row>
    <row r="410" spans="1:10" x14ac:dyDescent="0.2">
      <c r="A410" s="2" t="str">
        <f ca="1">IFERROR(__xludf.DUMMYFUNCTION("""COMPUTED_VALUE"""),"https://www.facebook.com/profile.php?id=100063521917527")</f>
        <v>https://www.facebook.com/profile.php?id=100063521917527</v>
      </c>
      <c r="B410" s="1" t="str">
        <f ca="1">IFERROR(__xludf.DUMMYFUNCTION("""COMPUTED_VALUE"""),"Antonio Palacio")</f>
        <v>Antonio Palacio</v>
      </c>
      <c r="C410" s="1" t="str">
        <f ca="1">IFERROR(__xludf.DUMMYFUNCTION("""COMPUTED_VALUE"""),"Antonio")</f>
        <v>Antonio</v>
      </c>
      <c r="D410" s="1" t="str">
        <f ca="1">IFERROR(__xludf.DUMMYFUNCTION("""COMPUTED_VALUE"""),"Palacio")</f>
        <v>Palacio</v>
      </c>
      <c r="E410" s="1" t="str">
        <f ca="1">IFERROR(__xludf.DUMMYFUNCTION("""COMPUTED_VALUE"""),"Godbless sa ating butihing Mayor ng Dasmariñas Mabuhay po kayo. #LetLeniLead2022")</f>
        <v>Godbless sa ating butihing Mayor ng Dasmariñas Mabuhay po kayo. #LetLeniLead2022</v>
      </c>
      <c r="F410" s="1">
        <f ca="1">IFERROR(__xludf.DUMMYFUNCTION("""COMPUTED_VALUE"""),1)</f>
        <v>1</v>
      </c>
      <c r="G410" s="1" t="str">
        <f ca="1">IFERROR(__xludf.DUMMYFUNCTION("""COMPUTED_VALUE"""),"3 mos")</f>
        <v>3 mos</v>
      </c>
      <c r="H410" s="1" t="str">
        <f ca="1">IFERROR(__xludf.DUMMYFUNCTION("""COMPUTED_VALUE"""),"comment")</f>
        <v>comment</v>
      </c>
      <c r="I410" s="2" t="str">
        <f ca="1">IFERROR(__xludf.DUMMYFUNCTION("""COMPUTED_VALUE"""),"https://www.facebook.com/rapplerdotcom/photos/a.317154781638645/5597612220259515/")</f>
        <v>https://www.facebook.com/rapplerdotcom/photos/a.317154781638645/5597612220259515/</v>
      </c>
      <c r="J410" s="1" t="str">
        <f ca="1">IFERROR(__xludf.DUMMYFUNCTION("""COMPUTED_VALUE"""),"2022-07-04T11:12:03.022Z")</f>
        <v>2022-07-04T11:12:03.022Z</v>
      </c>
    </row>
    <row r="411" spans="1:10" x14ac:dyDescent="0.2">
      <c r="A411" s="2" t="str">
        <f ca="1">IFERROR(__xludf.DUMMYFUNCTION("""COMPUTED_VALUE"""),"https://www.facebook.com/steve.tamayo.18")</f>
        <v>https://www.facebook.com/steve.tamayo.18</v>
      </c>
      <c r="B411" s="1" t="str">
        <f ca="1">IFERROR(__xludf.DUMMYFUNCTION("""COMPUTED_VALUE"""),"Steve Tamayo")</f>
        <v>Steve Tamayo</v>
      </c>
      <c r="C411" s="1" t="str">
        <f ca="1">IFERROR(__xludf.DUMMYFUNCTION("""COMPUTED_VALUE"""),"Steve")</f>
        <v>Steve</v>
      </c>
      <c r="D411" s="1" t="str">
        <f ca="1">IFERROR(__xludf.DUMMYFUNCTION("""COMPUTED_VALUE"""),"Tamayo")</f>
        <v>Tamayo</v>
      </c>
      <c r="E411" s="1" t="str">
        <f ca="1">IFERROR(__xludf.DUMMYFUNCTION("""COMPUTED_VALUE"""),"Maraming Salamat Cong sa inyong supporta sa isang #GobyernongTapatAngatBuhayLahat at makulay na #KulayRosasAngBukas")</f>
        <v>Maraming Salamat Cong sa inyong supporta sa isang #GobyernongTapatAngatBuhayLahat at makulay na #KulayRosasAngBukas</v>
      </c>
      <c r="F411" s="1">
        <f ca="1">IFERROR(__xludf.DUMMYFUNCTION("""COMPUTED_VALUE"""),20)</f>
        <v>20</v>
      </c>
      <c r="G411" s="1" t="str">
        <f ca="1">IFERROR(__xludf.DUMMYFUNCTION("""COMPUTED_VALUE"""),"3 mos")</f>
        <v>3 mos</v>
      </c>
      <c r="H411" s="1" t="str">
        <f ca="1">IFERROR(__xludf.DUMMYFUNCTION("""COMPUTED_VALUE"""),"comment")</f>
        <v>comment</v>
      </c>
      <c r="I411" s="2" t="str">
        <f ca="1">IFERROR(__xludf.DUMMYFUNCTION("""COMPUTED_VALUE"""),"https://www.facebook.com/rapplerdotcom/photos/a.317154781638645/5597612220259515/")</f>
        <v>https://www.facebook.com/rapplerdotcom/photos/a.317154781638645/5597612220259515/</v>
      </c>
      <c r="J411" s="1" t="str">
        <f ca="1">IFERROR(__xludf.DUMMYFUNCTION("""COMPUTED_VALUE"""),"2022-07-04T11:12:03.022Z")</f>
        <v>2022-07-04T11:12:03.022Z</v>
      </c>
    </row>
    <row r="412" spans="1:10" x14ac:dyDescent="0.2">
      <c r="A412" s="2" t="str">
        <f ca="1">IFERROR(__xludf.DUMMYFUNCTION("""COMPUTED_VALUE"""),"https://www.facebook.com/tirso.musa.94")</f>
        <v>https://www.facebook.com/tirso.musa.94</v>
      </c>
      <c r="B412" s="1" t="str">
        <f ca="1">IFERROR(__xludf.DUMMYFUNCTION("""COMPUTED_VALUE"""),"Tirso Musa")</f>
        <v>Tirso Musa</v>
      </c>
      <c r="C412" s="1" t="str">
        <f ca="1">IFERROR(__xludf.DUMMYFUNCTION("""COMPUTED_VALUE"""),"Tirso")</f>
        <v>Tirso</v>
      </c>
      <c r="D412" s="1" t="str">
        <f ca="1">IFERROR(__xludf.DUMMYFUNCTION("""COMPUTED_VALUE"""),"Musa")</f>
        <v>Musa</v>
      </c>
      <c r="E412" s="1" t="str">
        <f ca="1">IFERROR(__xludf.DUMMYFUNCTION("""COMPUTED_VALUE"""),"Steve Tamayo Gobyernong Ang magdidikta ay mga oligarchs. ""Salat buhay lahat""")</f>
        <v>Steve Tamayo Gobyernong Ang magdidikta ay mga oligarchs. "Salat buhay lahat"</v>
      </c>
      <c r="F412" s="1"/>
      <c r="G412" s="1" t="str">
        <f ca="1">IFERROR(__xludf.DUMMYFUNCTION("""COMPUTED_VALUE"""),"3 mos")</f>
        <v>3 mos</v>
      </c>
      <c r="H412" s="1" t="str">
        <f ca="1">IFERROR(__xludf.DUMMYFUNCTION("""COMPUTED_VALUE"""),"reply")</f>
        <v>reply</v>
      </c>
      <c r="I412" s="2" t="str">
        <f ca="1">IFERROR(__xludf.DUMMYFUNCTION("""COMPUTED_VALUE"""),"https://www.facebook.com/rapplerdotcom/photos/a.317154781638645/5597612220259515/")</f>
        <v>https://www.facebook.com/rapplerdotcom/photos/a.317154781638645/5597612220259515/</v>
      </c>
      <c r="J412" s="1" t="str">
        <f ca="1">IFERROR(__xludf.DUMMYFUNCTION("""COMPUTED_VALUE"""),"2022-07-04T11:12:03.022Z")</f>
        <v>2022-07-04T11:12:03.022Z</v>
      </c>
    </row>
    <row r="413" spans="1:10" x14ac:dyDescent="0.2">
      <c r="A413" s="2" t="str">
        <f ca="1">IFERROR(__xludf.DUMMYFUNCTION("""COMPUTED_VALUE"""),"https://www.facebook.com/menchu.gamilla")</f>
        <v>https://www.facebook.com/menchu.gamilla</v>
      </c>
      <c r="B413" s="1" t="str">
        <f ca="1">IFERROR(__xludf.DUMMYFUNCTION("""COMPUTED_VALUE"""),"Menchu Ledesma Gamilla")</f>
        <v>Menchu Ledesma Gamilla</v>
      </c>
      <c r="C413" s="1" t="str">
        <f ca="1">IFERROR(__xludf.DUMMYFUNCTION("""COMPUTED_VALUE"""),"Menchu")</f>
        <v>Menchu</v>
      </c>
      <c r="D413" s="1" t="str">
        <f ca="1">IFERROR(__xludf.DUMMYFUNCTION("""COMPUTED_VALUE"""),"Ledesma Gamilla")</f>
        <v>Ledesma Gamilla</v>
      </c>
      <c r="E413" s="1" t="str">
        <f ca="1">IFERROR(__xludf.DUMMYFUNCTION("""COMPUTED_VALUE"""),"Mabuhay po kau sa pagpili at pagtindig para sa  tama .")</f>
        <v>Mabuhay po kau sa pagpili at pagtindig para sa  tama .</v>
      </c>
      <c r="F413" s="1">
        <f ca="1">IFERROR(__xludf.DUMMYFUNCTION("""COMPUTED_VALUE"""),3)</f>
        <v>3</v>
      </c>
      <c r="G413" s="1" t="str">
        <f ca="1">IFERROR(__xludf.DUMMYFUNCTION("""COMPUTED_VALUE"""),"3 mos")</f>
        <v>3 mos</v>
      </c>
      <c r="H413" s="1" t="str">
        <f ca="1">IFERROR(__xludf.DUMMYFUNCTION("""COMPUTED_VALUE"""),"comment")</f>
        <v>comment</v>
      </c>
      <c r="I413" s="2" t="str">
        <f ca="1">IFERROR(__xludf.DUMMYFUNCTION("""COMPUTED_VALUE"""),"https://www.facebook.com/rapplerdotcom/photos/a.317154781638645/5597612220259515/")</f>
        <v>https://www.facebook.com/rapplerdotcom/photos/a.317154781638645/5597612220259515/</v>
      </c>
      <c r="J413" s="1" t="str">
        <f ca="1">IFERROR(__xludf.DUMMYFUNCTION("""COMPUTED_VALUE"""),"2022-07-04T11:12:03.022Z")</f>
        <v>2022-07-04T11:12:03.022Z</v>
      </c>
    </row>
    <row r="414" spans="1:10" x14ac:dyDescent="0.2">
      <c r="A414" s="2" t="str">
        <f ca="1">IFERROR(__xludf.DUMMYFUNCTION("""COMPUTED_VALUE"""),"https://www.facebook.com/jedmichael.ognayon")</f>
        <v>https://www.facebook.com/jedmichael.ognayon</v>
      </c>
      <c r="B414" s="1" t="str">
        <f ca="1">IFERROR(__xludf.DUMMYFUNCTION("""COMPUTED_VALUE"""),"Jed Michael Ognayon")</f>
        <v>Jed Michael Ognayon</v>
      </c>
      <c r="C414" s="1" t="str">
        <f ca="1">IFERROR(__xludf.DUMMYFUNCTION("""COMPUTED_VALUE"""),"Jed")</f>
        <v>Jed</v>
      </c>
      <c r="D414" s="1" t="str">
        <f ca="1">IFERROR(__xludf.DUMMYFUNCTION("""COMPUTED_VALUE"""),"Michael Ognayon")</f>
        <v>Michael Ognayon</v>
      </c>
      <c r="E414" s="1" t="str">
        <f ca="1">IFERROR(__xludf.DUMMYFUNCTION("""COMPUTED_VALUE"""),"Okay maraming salamat sa supporta sir")</f>
        <v>Okay maraming salamat sa supporta sir</v>
      </c>
      <c r="F414" s="1">
        <f ca="1">IFERROR(__xludf.DUMMYFUNCTION("""COMPUTED_VALUE"""),2)</f>
        <v>2</v>
      </c>
      <c r="G414" s="1" t="str">
        <f ca="1">IFERROR(__xludf.DUMMYFUNCTION("""COMPUTED_VALUE"""),"3 mos")</f>
        <v>3 mos</v>
      </c>
      <c r="H414" s="1" t="str">
        <f ca="1">IFERROR(__xludf.DUMMYFUNCTION("""COMPUTED_VALUE"""),"comment")</f>
        <v>comment</v>
      </c>
      <c r="I414" s="2" t="str">
        <f ca="1">IFERROR(__xludf.DUMMYFUNCTION("""COMPUTED_VALUE"""),"https://www.facebook.com/rapplerdotcom/photos/a.317154781638645/5597612220259515/")</f>
        <v>https://www.facebook.com/rapplerdotcom/photos/a.317154781638645/5597612220259515/</v>
      </c>
      <c r="J414" s="1" t="str">
        <f ca="1">IFERROR(__xludf.DUMMYFUNCTION("""COMPUTED_VALUE"""),"2022-07-04T11:12:03.022Z")</f>
        <v>2022-07-04T11:12:03.022Z</v>
      </c>
    </row>
    <row r="415" spans="1:10" x14ac:dyDescent="0.2">
      <c r="A415" s="2" t="str">
        <f ca="1">IFERROR(__xludf.DUMMYFUNCTION("""COMPUTED_VALUE"""),"https://www.facebook.com/noli.collao.3")</f>
        <v>https://www.facebook.com/noli.collao.3</v>
      </c>
      <c r="B415" s="1" t="str">
        <f ca="1">IFERROR(__xludf.DUMMYFUNCTION("""COMPUTED_VALUE"""),"Noli Collao")</f>
        <v>Noli Collao</v>
      </c>
      <c r="C415" s="1" t="str">
        <f ca="1">IFERROR(__xludf.DUMMYFUNCTION("""COMPUTED_VALUE"""),"Noli")</f>
        <v>Noli</v>
      </c>
      <c r="D415" s="1" t="str">
        <f ca="1">IFERROR(__xludf.DUMMYFUNCTION("""COMPUTED_VALUE"""),"Collao")</f>
        <v>Collao</v>
      </c>
      <c r="E415" s="1" t="str">
        <f ca="1">IFERROR(__xludf.DUMMYFUNCTION("""COMPUTED_VALUE"""),"Salamat Sir sa supporta  at People choice. Mabuhay ka.")</f>
        <v>Salamat Sir sa supporta  at People choice. Mabuhay ka.</v>
      </c>
      <c r="F415" s="1"/>
      <c r="G415" s="1" t="str">
        <f ca="1">IFERROR(__xludf.DUMMYFUNCTION("""COMPUTED_VALUE"""),"3 mos")</f>
        <v>3 mos</v>
      </c>
      <c r="H415" s="1" t="str">
        <f ca="1">IFERROR(__xludf.DUMMYFUNCTION("""COMPUTED_VALUE"""),"comment")</f>
        <v>comment</v>
      </c>
      <c r="I415" s="2" t="str">
        <f ca="1">IFERROR(__xludf.DUMMYFUNCTION("""COMPUTED_VALUE"""),"https://www.facebook.com/rapplerdotcom/photos/a.317154781638645/5597612220259515/")</f>
        <v>https://www.facebook.com/rapplerdotcom/photos/a.317154781638645/5597612220259515/</v>
      </c>
      <c r="J415" s="1" t="str">
        <f ca="1">IFERROR(__xludf.DUMMYFUNCTION("""COMPUTED_VALUE"""),"2022-07-04T11:12:03.022Z")</f>
        <v>2022-07-04T11:12:03.022Z</v>
      </c>
    </row>
    <row r="416" spans="1:10" x14ac:dyDescent="0.2">
      <c r="A416" s="2" t="str">
        <f ca="1">IFERROR(__xludf.DUMMYFUNCTION("""COMPUTED_VALUE"""),"https://www.facebook.com/duztinethewind")</f>
        <v>https://www.facebook.com/duztinethewind</v>
      </c>
      <c r="B416" s="1" t="str">
        <f ca="1">IFERROR(__xludf.DUMMYFUNCTION("""COMPUTED_VALUE"""),"Duz Espejo Delos Angeles")</f>
        <v>Duz Espejo Delos Angeles</v>
      </c>
      <c r="C416" s="1" t="str">
        <f ca="1">IFERROR(__xludf.DUMMYFUNCTION("""COMPUTED_VALUE"""),"Duz")</f>
        <v>Duz</v>
      </c>
      <c r="D416" s="1" t="str">
        <f ca="1">IFERROR(__xludf.DUMMYFUNCTION("""COMPUTED_VALUE"""),"Espejo Delos Angeles")</f>
        <v>Espejo Delos Angeles</v>
      </c>
      <c r="E416" s="1" t="str">
        <f ca="1">IFERROR(__xludf.DUMMYFUNCTION("""COMPUTED_VALUE"""),"Salamat sa tapang!")</f>
        <v>Salamat sa tapang!</v>
      </c>
      <c r="F416" s="1">
        <f ca="1">IFERROR(__xludf.DUMMYFUNCTION("""COMPUTED_VALUE"""),2)</f>
        <v>2</v>
      </c>
      <c r="G416" s="1" t="str">
        <f ca="1">IFERROR(__xludf.DUMMYFUNCTION("""COMPUTED_VALUE"""),"3 mos")</f>
        <v>3 mos</v>
      </c>
      <c r="H416" s="1" t="str">
        <f ca="1">IFERROR(__xludf.DUMMYFUNCTION("""COMPUTED_VALUE"""),"comment")</f>
        <v>comment</v>
      </c>
      <c r="I416" s="2" t="str">
        <f ca="1">IFERROR(__xludf.DUMMYFUNCTION("""COMPUTED_VALUE"""),"https://www.facebook.com/rapplerdotcom/photos/a.317154781638645/5597612220259515/")</f>
        <v>https://www.facebook.com/rapplerdotcom/photos/a.317154781638645/5597612220259515/</v>
      </c>
      <c r="J416" s="1" t="str">
        <f ca="1">IFERROR(__xludf.DUMMYFUNCTION("""COMPUTED_VALUE"""),"2022-07-04T11:12:03.022Z")</f>
        <v>2022-07-04T11:12:03.022Z</v>
      </c>
    </row>
    <row r="417" spans="1:10" x14ac:dyDescent="0.2">
      <c r="A417" s="2" t="str">
        <f ca="1">IFERROR(__xludf.DUMMYFUNCTION("""COMPUTED_VALUE"""),"https://www.facebook.com/profile.php?id=100073176669689")</f>
        <v>https://www.facebook.com/profile.php?id=100073176669689</v>
      </c>
      <c r="B417" s="1" t="str">
        <f ca="1">IFERROR(__xludf.DUMMYFUNCTION("""COMPUTED_VALUE"""),"Manoy Bong Lahid")</f>
        <v>Manoy Bong Lahid</v>
      </c>
      <c r="C417" s="1" t="str">
        <f ca="1">IFERROR(__xludf.DUMMYFUNCTION("""COMPUTED_VALUE"""),"Manoy")</f>
        <v>Manoy</v>
      </c>
      <c r="D417" s="1" t="str">
        <f ca="1">IFERROR(__xludf.DUMMYFUNCTION("""COMPUTED_VALUE"""),"Bong Lahid")</f>
        <v>Bong Lahid</v>
      </c>
      <c r="E417" s="1" t="str">
        <f ca="1">IFERROR(__xludf.DUMMYFUNCTION("""COMPUTED_VALUE"""),"Nice move congressman, salamat sa pagtindig, let's LeniLead in 6 years tyak maraming pilipino makinabang sa serbisyong tapat")</f>
        <v>Nice move congressman, salamat sa pagtindig, let's LeniLead in 6 years tyak maraming pilipino makinabang sa serbisyong tapat</v>
      </c>
      <c r="F417" s="1">
        <f ca="1">IFERROR(__xludf.DUMMYFUNCTION("""COMPUTED_VALUE"""),3)</f>
        <v>3</v>
      </c>
      <c r="G417" s="1" t="str">
        <f ca="1">IFERROR(__xludf.DUMMYFUNCTION("""COMPUTED_VALUE"""),"3 mos")</f>
        <v>3 mos</v>
      </c>
      <c r="H417" s="1" t="str">
        <f ca="1">IFERROR(__xludf.DUMMYFUNCTION("""COMPUTED_VALUE"""),"comment")</f>
        <v>comment</v>
      </c>
      <c r="I417" s="2" t="str">
        <f ca="1">IFERROR(__xludf.DUMMYFUNCTION("""COMPUTED_VALUE"""),"https://www.facebook.com/rapplerdotcom/photos/a.317154781638645/5597612220259515/")</f>
        <v>https://www.facebook.com/rapplerdotcom/photos/a.317154781638645/5597612220259515/</v>
      </c>
      <c r="J417" s="1" t="str">
        <f ca="1">IFERROR(__xludf.DUMMYFUNCTION("""COMPUTED_VALUE"""),"2022-07-04T11:12:03.022Z")</f>
        <v>2022-07-04T11:12:03.022Z</v>
      </c>
    </row>
    <row r="418" spans="1:10" x14ac:dyDescent="0.2">
      <c r="A418" s="2" t="str">
        <f ca="1">IFERROR(__xludf.DUMMYFUNCTION("""COMPUTED_VALUE"""),"https://www.facebook.com/cesar.d.cueva")</f>
        <v>https://www.facebook.com/cesar.d.cueva</v>
      </c>
      <c r="B418" s="1" t="str">
        <f ca="1">IFERROR(__xludf.DUMMYFUNCTION("""COMPUTED_VALUE"""),"Cesar Daganzo Cueva")</f>
        <v>Cesar Daganzo Cueva</v>
      </c>
      <c r="C418" s="1" t="str">
        <f ca="1">IFERROR(__xludf.DUMMYFUNCTION("""COMPUTED_VALUE"""),"Cesar")</f>
        <v>Cesar</v>
      </c>
      <c r="D418" s="1" t="str">
        <f ca="1">IFERROR(__xludf.DUMMYFUNCTION("""COMPUTED_VALUE"""),"Daganzo Cueva")</f>
        <v>Daganzo Cueva</v>
      </c>
      <c r="E418" s="1" t="str">
        <f ca="1">IFERROR(__xludf.DUMMYFUNCTION("""COMPUTED_VALUE"""),"Good man,Mabuhay ka Cong.Barsaga!👏👏")</f>
        <v>Good man,Mabuhay ka Cong.Barsaga!👏👏</v>
      </c>
      <c r="F418" s="1">
        <f ca="1">IFERROR(__xludf.DUMMYFUNCTION("""COMPUTED_VALUE"""),4)</f>
        <v>4</v>
      </c>
      <c r="G418" s="1" t="str">
        <f ca="1">IFERROR(__xludf.DUMMYFUNCTION("""COMPUTED_VALUE"""),"3 mos")</f>
        <v>3 mos</v>
      </c>
      <c r="H418" s="1" t="str">
        <f ca="1">IFERROR(__xludf.DUMMYFUNCTION("""COMPUTED_VALUE"""),"comment")</f>
        <v>comment</v>
      </c>
      <c r="I418" s="2" t="str">
        <f ca="1">IFERROR(__xludf.DUMMYFUNCTION("""COMPUTED_VALUE"""),"https://www.facebook.com/rapplerdotcom/photos/a.317154781638645/5597612220259515/")</f>
        <v>https://www.facebook.com/rapplerdotcom/photos/a.317154781638645/5597612220259515/</v>
      </c>
      <c r="J418" s="1" t="str">
        <f ca="1">IFERROR(__xludf.DUMMYFUNCTION("""COMPUTED_VALUE"""),"2022-07-04T11:12:03.022Z")</f>
        <v>2022-07-04T11:12:03.022Z</v>
      </c>
    </row>
    <row r="419" spans="1:10" x14ac:dyDescent="0.2">
      <c r="A419" s="2" t="str">
        <f ca="1">IFERROR(__xludf.DUMMYFUNCTION("""COMPUTED_VALUE"""),"https://www.facebook.com/miguel.lambino.75")</f>
        <v>https://www.facebook.com/miguel.lambino.75</v>
      </c>
      <c r="B419" s="1" t="str">
        <f ca="1">IFERROR(__xludf.DUMMYFUNCTION("""COMPUTED_VALUE"""),"Miguel Lambino")</f>
        <v>Miguel Lambino</v>
      </c>
      <c r="C419" s="1" t="str">
        <f ca="1">IFERROR(__xludf.DUMMYFUNCTION("""COMPUTED_VALUE"""),"Miguel")</f>
        <v>Miguel</v>
      </c>
      <c r="D419" s="1" t="str">
        <f ca="1">IFERROR(__xludf.DUMMYFUNCTION("""COMPUTED_VALUE"""),"Lambino")</f>
        <v>Lambino</v>
      </c>
      <c r="E419" s="1" t="str">
        <f ca="1">IFERROR(__xludf.DUMMYFUNCTION("""COMPUTED_VALUE"""),"Nag iisip. Matapang. Pagpalain!!!")</f>
        <v>Nag iisip. Matapang. Pagpalain!!!</v>
      </c>
      <c r="F419" s="1"/>
      <c r="G419" s="1" t="str">
        <f ca="1">IFERROR(__xludf.DUMMYFUNCTION("""COMPUTED_VALUE"""),"3 mos")</f>
        <v>3 mos</v>
      </c>
      <c r="H419" s="1" t="str">
        <f ca="1">IFERROR(__xludf.DUMMYFUNCTION("""COMPUTED_VALUE"""),"comment")</f>
        <v>comment</v>
      </c>
      <c r="I419" s="2" t="str">
        <f ca="1">IFERROR(__xludf.DUMMYFUNCTION("""COMPUTED_VALUE"""),"https://www.facebook.com/rapplerdotcom/photos/a.317154781638645/5597612220259515/")</f>
        <v>https://www.facebook.com/rapplerdotcom/photos/a.317154781638645/5597612220259515/</v>
      </c>
      <c r="J419" s="1" t="str">
        <f ca="1">IFERROR(__xludf.DUMMYFUNCTION("""COMPUTED_VALUE"""),"2022-07-04T11:12:03.022Z")</f>
        <v>2022-07-04T11:12:03.022Z</v>
      </c>
    </row>
    <row r="420" spans="1:10" x14ac:dyDescent="0.2">
      <c r="A420" s="2" t="str">
        <f ca="1">IFERROR(__xludf.DUMMYFUNCTION("""COMPUTED_VALUE"""),"https://www.facebook.com/matotubo")</f>
        <v>https://www.facebook.com/matotubo</v>
      </c>
      <c r="B420" s="1" t="str">
        <f ca="1">IFERROR(__xludf.DUMMYFUNCTION("""COMPUTED_VALUE"""),"Manolito Atotubo")</f>
        <v>Manolito Atotubo</v>
      </c>
      <c r="C420" s="1" t="str">
        <f ca="1">IFERROR(__xludf.DUMMYFUNCTION("""COMPUTED_VALUE"""),"Manolito")</f>
        <v>Manolito</v>
      </c>
      <c r="D420" s="1" t="str">
        <f ca="1">IFERROR(__xludf.DUMMYFUNCTION("""COMPUTED_VALUE"""),"Atotubo")</f>
        <v>Atotubo</v>
      </c>
      <c r="E420" s="1" t="str">
        <f ca="1">IFERROR(__xludf.DUMMYFUNCTION("""COMPUTED_VALUE"""),"At least mayroon din sa cavite na nagmamahal sa bayan na pulitiko. The likes of Revilla &amp; Remulla tainted the integrity of cavite voters. Sana never again.")</f>
        <v>At least mayroon din sa cavite na nagmamahal sa bayan na pulitiko. The likes of Revilla &amp; Remulla tainted the integrity of cavite voters. Sana never again.</v>
      </c>
      <c r="F420" s="1">
        <f ca="1">IFERROR(__xludf.DUMMYFUNCTION("""COMPUTED_VALUE"""),23)</f>
        <v>23</v>
      </c>
      <c r="G420" s="1" t="str">
        <f ca="1">IFERROR(__xludf.DUMMYFUNCTION("""COMPUTED_VALUE"""),"3 mos")</f>
        <v>3 mos</v>
      </c>
      <c r="H420" s="1" t="str">
        <f ca="1">IFERROR(__xludf.DUMMYFUNCTION("""COMPUTED_VALUE"""),"comment")</f>
        <v>comment</v>
      </c>
      <c r="I420" s="2" t="str">
        <f ca="1">IFERROR(__xludf.DUMMYFUNCTION("""COMPUTED_VALUE"""),"https://www.facebook.com/rapplerdotcom/photos/a.317154781638645/5597612220259515/")</f>
        <v>https://www.facebook.com/rapplerdotcom/photos/a.317154781638645/5597612220259515/</v>
      </c>
      <c r="J420" s="1" t="str">
        <f ca="1">IFERROR(__xludf.DUMMYFUNCTION("""COMPUTED_VALUE"""),"2022-07-04T11:12:03.022Z")</f>
        <v>2022-07-04T11:12:03.022Z</v>
      </c>
    </row>
    <row r="421" spans="1:10" x14ac:dyDescent="0.2">
      <c r="A421" s="2" t="str">
        <f ca="1">IFERROR(__xludf.DUMMYFUNCTION("""COMPUTED_VALUE"""),"https://www.facebook.com/aidalegarci")</f>
        <v>https://www.facebook.com/aidalegarci</v>
      </c>
      <c r="B421" s="1" t="str">
        <f ca="1">IFERROR(__xludf.DUMMYFUNCTION("""COMPUTED_VALUE"""),"Aidale Garcia")</f>
        <v>Aidale Garcia</v>
      </c>
      <c r="C421" s="1" t="str">
        <f ca="1">IFERROR(__xludf.DUMMYFUNCTION("""COMPUTED_VALUE"""),"Aidale")</f>
        <v>Aidale</v>
      </c>
      <c r="D421" s="1" t="str">
        <f ca="1">IFERROR(__xludf.DUMMYFUNCTION("""COMPUTED_VALUE"""),"Garcia")</f>
        <v>Garcia</v>
      </c>
      <c r="E421" s="1" t="str">
        <f ca="1">IFERROR(__xludf.DUMMYFUNCTION("""COMPUTED_VALUE"""),"Manolito Atotubo kung sa Revilla din lang palagay ko di makakahatak Ng madami Lalo nagkulong for plunder of billions")</f>
        <v>Manolito Atotubo kung sa Revilla din lang palagay ko di makakahatak Ng madami Lalo nagkulong for plunder of billions</v>
      </c>
      <c r="F421" s="1">
        <f ca="1">IFERROR(__xludf.DUMMYFUNCTION("""COMPUTED_VALUE"""),1)</f>
        <v>1</v>
      </c>
      <c r="G421" s="1" t="str">
        <f ca="1">IFERROR(__xludf.DUMMYFUNCTION("""COMPUTED_VALUE"""),"3 mos")</f>
        <v>3 mos</v>
      </c>
      <c r="H421" s="1" t="str">
        <f ca="1">IFERROR(__xludf.DUMMYFUNCTION("""COMPUTED_VALUE"""),"reply")</f>
        <v>reply</v>
      </c>
      <c r="I421" s="2" t="str">
        <f ca="1">IFERROR(__xludf.DUMMYFUNCTION("""COMPUTED_VALUE"""),"https://www.facebook.com/rapplerdotcom/photos/a.317154781638645/5597612220259515/")</f>
        <v>https://www.facebook.com/rapplerdotcom/photos/a.317154781638645/5597612220259515/</v>
      </c>
      <c r="J421" s="1" t="str">
        <f ca="1">IFERROR(__xludf.DUMMYFUNCTION("""COMPUTED_VALUE"""),"2022-07-04T11:12:03.022Z")</f>
        <v>2022-07-04T11:12:03.022Z</v>
      </c>
    </row>
    <row r="422" spans="1:10" x14ac:dyDescent="0.2">
      <c r="A422" s="2" t="str">
        <f ca="1">IFERROR(__xludf.DUMMYFUNCTION("""COMPUTED_VALUE"""),"https://www.facebook.com/merlaflores.bendicion")</f>
        <v>https://www.facebook.com/merlaflores.bendicion</v>
      </c>
      <c r="B422" s="1" t="str">
        <f ca="1">IFERROR(__xludf.DUMMYFUNCTION("""COMPUTED_VALUE"""),"Merla Flores Bendicion")</f>
        <v>Merla Flores Bendicion</v>
      </c>
      <c r="C422" s="1" t="str">
        <f ca="1">IFERROR(__xludf.DUMMYFUNCTION("""COMPUTED_VALUE"""),"Merla")</f>
        <v>Merla</v>
      </c>
      <c r="D422" s="1" t="str">
        <f ca="1">IFERROR(__xludf.DUMMYFUNCTION("""COMPUTED_VALUE"""),"Flores Bendicion")</f>
        <v>Flores Bendicion</v>
      </c>
      <c r="E422" s="1" t="str">
        <f ca="1">IFERROR(__xludf.DUMMYFUNCTION("""COMPUTED_VALUE"""),"Bravo cong. Barzaga.")</f>
        <v>Bravo cong. Barzaga.</v>
      </c>
      <c r="F422" s="1"/>
      <c r="G422" s="1" t="str">
        <f ca="1">IFERROR(__xludf.DUMMYFUNCTION("""COMPUTED_VALUE"""),"3 mos")</f>
        <v>3 mos</v>
      </c>
      <c r="H422" s="1" t="str">
        <f ca="1">IFERROR(__xludf.DUMMYFUNCTION("""COMPUTED_VALUE"""),"comment")</f>
        <v>comment</v>
      </c>
      <c r="I422" s="2" t="str">
        <f ca="1">IFERROR(__xludf.DUMMYFUNCTION("""COMPUTED_VALUE"""),"https://www.facebook.com/rapplerdotcom/photos/a.317154781638645/5597612220259515/")</f>
        <v>https://www.facebook.com/rapplerdotcom/photos/a.317154781638645/5597612220259515/</v>
      </c>
      <c r="J422" s="1" t="str">
        <f ca="1">IFERROR(__xludf.DUMMYFUNCTION("""COMPUTED_VALUE"""),"2022-07-04T11:12:03.022Z")</f>
        <v>2022-07-04T11:12:03.022Z</v>
      </c>
    </row>
    <row r="423" spans="1:10" x14ac:dyDescent="0.2">
      <c r="A423" s="2" t="str">
        <f ca="1">IFERROR(__xludf.DUMMYFUNCTION("""COMPUTED_VALUE"""),"https://www.facebook.com/mxile")</f>
        <v>https://www.facebook.com/mxile</v>
      </c>
      <c r="B423" s="1" t="str">
        <f ca="1">IFERROR(__xludf.DUMMYFUNCTION("""COMPUTED_VALUE"""),"Carl Gregorio")</f>
        <v>Carl Gregorio</v>
      </c>
      <c r="C423" s="1" t="str">
        <f ca="1">IFERROR(__xludf.DUMMYFUNCTION("""COMPUTED_VALUE"""),"Carl")</f>
        <v>Carl</v>
      </c>
      <c r="D423" s="1" t="str">
        <f ca="1">IFERROR(__xludf.DUMMYFUNCTION("""COMPUTED_VALUE"""),"Gregorio")</f>
        <v>Gregorio</v>
      </c>
      <c r="E423" s="1" t="str">
        <f ca="1">IFERROR(__xludf.DUMMYFUNCTION("""COMPUTED_VALUE"""),"Thanks for making a stand")</f>
        <v>Thanks for making a stand</v>
      </c>
      <c r="F423" s="1"/>
      <c r="G423" s="1" t="str">
        <f ca="1">IFERROR(__xludf.DUMMYFUNCTION("""COMPUTED_VALUE"""),"3 mos")</f>
        <v>3 mos</v>
      </c>
      <c r="H423" s="1" t="str">
        <f ca="1">IFERROR(__xludf.DUMMYFUNCTION("""COMPUTED_VALUE"""),"comment")</f>
        <v>comment</v>
      </c>
      <c r="I423" s="2" t="str">
        <f ca="1">IFERROR(__xludf.DUMMYFUNCTION("""COMPUTED_VALUE"""),"https://www.facebook.com/rapplerdotcom/photos/a.317154781638645/5597612220259515/")</f>
        <v>https://www.facebook.com/rapplerdotcom/photos/a.317154781638645/5597612220259515/</v>
      </c>
      <c r="J423" s="1" t="str">
        <f ca="1">IFERROR(__xludf.DUMMYFUNCTION("""COMPUTED_VALUE"""),"2022-07-04T11:12:03.022Z")</f>
        <v>2022-07-04T11:12:03.022Z</v>
      </c>
    </row>
    <row r="424" spans="1:10" x14ac:dyDescent="0.2">
      <c r="A424" s="2" t="str">
        <f ca="1">IFERROR(__xludf.DUMMYFUNCTION("""COMPUTED_VALUE"""),"https://www.facebook.com/factolerin.e")</f>
        <v>https://www.facebook.com/factolerin.e</v>
      </c>
      <c r="B424" s="1" t="str">
        <f ca="1">IFERROR(__xludf.DUMMYFUNCTION("""COMPUTED_VALUE"""),"Ishie Factolerin")</f>
        <v>Ishie Factolerin</v>
      </c>
      <c r="C424" s="1" t="str">
        <f ca="1">IFERROR(__xludf.DUMMYFUNCTION("""COMPUTED_VALUE"""),"Ishie")</f>
        <v>Ishie</v>
      </c>
      <c r="D424" s="1" t="str">
        <f ca="1">IFERROR(__xludf.DUMMYFUNCTION("""COMPUTED_VALUE"""),"Factolerin")</f>
        <v>Factolerin</v>
      </c>
      <c r="E424" s="1" t="str">
        <f ca="1">IFERROR(__xludf.DUMMYFUNCTION("""COMPUTED_VALUE"""),"salamat!")</f>
        <v>salamat!</v>
      </c>
      <c r="F424" s="1"/>
      <c r="G424" s="1" t="str">
        <f ca="1">IFERROR(__xludf.DUMMYFUNCTION("""COMPUTED_VALUE"""),"3 mos")</f>
        <v>3 mos</v>
      </c>
      <c r="H424" s="1" t="str">
        <f ca="1">IFERROR(__xludf.DUMMYFUNCTION("""COMPUTED_VALUE"""),"comment")</f>
        <v>comment</v>
      </c>
      <c r="I424" s="2" t="str">
        <f ca="1">IFERROR(__xludf.DUMMYFUNCTION("""COMPUTED_VALUE"""),"https://www.facebook.com/rapplerdotcom/photos/a.317154781638645/5597612220259515/")</f>
        <v>https://www.facebook.com/rapplerdotcom/photos/a.317154781638645/5597612220259515/</v>
      </c>
      <c r="J424" s="1" t="str">
        <f ca="1">IFERROR(__xludf.DUMMYFUNCTION("""COMPUTED_VALUE"""),"2022-07-04T11:12:03.022Z")</f>
        <v>2022-07-04T11:12:03.022Z</v>
      </c>
    </row>
    <row r="425" spans="1:10" x14ac:dyDescent="0.2">
      <c r="A425" s="2" t="str">
        <f ca="1">IFERROR(__xludf.DUMMYFUNCTION("""COMPUTED_VALUE"""),"https://www.facebook.com/josielyn.villafrancamendoza")</f>
        <v>https://www.facebook.com/josielyn.villafrancamendoza</v>
      </c>
      <c r="B425" s="1" t="str">
        <f ca="1">IFERROR(__xludf.DUMMYFUNCTION("""COMPUTED_VALUE"""),"Josielyn Villafranca-Mendoza")</f>
        <v>Josielyn Villafranca-Mendoza</v>
      </c>
      <c r="C425" s="1" t="str">
        <f ca="1">IFERROR(__xludf.DUMMYFUNCTION("""COMPUTED_VALUE"""),"Josielyn")</f>
        <v>Josielyn</v>
      </c>
      <c r="D425" s="1" t="str">
        <f ca="1">IFERROR(__xludf.DUMMYFUNCTION("""COMPUTED_VALUE"""),"Villafranca-Mendoza")</f>
        <v>Villafranca-Mendoza</v>
      </c>
      <c r="E425" s="1" t="str">
        <f ca="1">IFERROR(__xludf.DUMMYFUNCTION("""COMPUTED_VALUE"""),"Salamat po Rep. Barzaga!")</f>
        <v>Salamat po Rep. Barzaga!</v>
      </c>
      <c r="F425" s="1"/>
      <c r="G425" s="1" t="str">
        <f ca="1">IFERROR(__xludf.DUMMYFUNCTION("""COMPUTED_VALUE"""),"3 mos")</f>
        <v>3 mos</v>
      </c>
      <c r="H425" s="1" t="str">
        <f ca="1">IFERROR(__xludf.DUMMYFUNCTION("""COMPUTED_VALUE"""),"comment")</f>
        <v>comment</v>
      </c>
      <c r="I425" s="2" t="str">
        <f ca="1">IFERROR(__xludf.DUMMYFUNCTION("""COMPUTED_VALUE"""),"https://www.facebook.com/rapplerdotcom/photos/a.317154781638645/5597612220259515/")</f>
        <v>https://www.facebook.com/rapplerdotcom/photos/a.317154781638645/5597612220259515/</v>
      </c>
      <c r="J425" s="1" t="str">
        <f ca="1">IFERROR(__xludf.DUMMYFUNCTION("""COMPUTED_VALUE"""),"2022-07-04T11:12:03.022Z")</f>
        <v>2022-07-04T11:12:03.022Z</v>
      </c>
    </row>
    <row r="426" spans="1:10" x14ac:dyDescent="0.2">
      <c r="A426" s="2" t="str">
        <f ca="1">IFERROR(__xludf.DUMMYFUNCTION("""COMPUTED_VALUE"""),"https://www.facebook.com/teresita.gonzales.33865854")</f>
        <v>https://www.facebook.com/teresita.gonzales.33865854</v>
      </c>
      <c r="B426" s="1" t="str">
        <f ca="1">IFERROR(__xludf.DUMMYFUNCTION("""COMPUTED_VALUE"""),"Teresita Gonzales")</f>
        <v>Teresita Gonzales</v>
      </c>
      <c r="C426" s="1" t="str">
        <f ca="1">IFERROR(__xludf.DUMMYFUNCTION("""COMPUTED_VALUE"""),"Teresita")</f>
        <v>Teresita</v>
      </c>
      <c r="D426" s="1" t="str">
        <f ca="1">IFERROR(__xludf.DUMMYFUNCTION("""COMPUTED_VALUE"""),"Gonzales")</f>
        <v>Gonzales</v>
      </c>
      <c r="E426" s="1" t="str">
        <f ca="1">IFERROR(__xludf.DUMMYFUNCTION("""COMPUTED_VALUE"""),"salamat po Sir s TIWALA! 🙏🙏🙏")</f>
        <v>salamat po Sir s TIWALA! 🙏🙏🙏</v>
      </c>
      <c r="F426" s="1"/>
      <c r="G426" s="1" t="str">
        <f ca="1">IFERROR(__xludf.DUMMYFUNCTION("""COMPUTED_VALUE"""),"3 mos")</f>
        <v>3 mos</v>
      </c>
      <c r="H426" s="1" t="str">
        <f ca="1">IFERROR(__xludf.DUMMYFUNCTION("""COMPUTED_VALUE"""),"comment")</f>
        <v>comment</v>
      </c>
      <c r="I426" s="2" t="str">
        <f ca="1">IFERROR(__xludf.DUMMYFUNCTION("""COMPUTED_VALUE"""),"https://www.facebook.com/rapplerdotcom/photos/a.317154781638645/5597612220259515/")</f>
        <v>https://www.facebook.com/rapplerdotcom/photos/a.317154781638645/5597612220259515/</v>
      </c>
      <c r="J426" s="1" t="str">
        <f ca="1">IFERROR(__xludf.DUMMYFUNCTION("""COMPUTED_VALUE"""),"2022-07-04T11:12:03.022Z")</f>
        <v>2022-07-04T11:12:03.022Z</v>
      </c>
    </row>
    <row r="427" spans="1:10" x14ac:dyDescent="0.2">
      <c r="A427" s="2" t="str">
        <f ca="1">IFERROR(__xludf.DUMMYFUNCTION("""COMPUTED_VALUE"""),"https://www.facebook.com/rogelio.deguzman.73157")</f>
        <v>https://www.facebook.com/rogelio.deguzman.73157</v>
      </c>
      <c r="B427" s="1" t="str">
        <f ca="1">IFERROR(__xludf.DUMMYFUNCTION("""COMPUTED_VALUE"""),"Rogelio De Guzman")</f>
        <v>Rogelio De Guzman</v>
      </c>
      <c r="C427" s="1" t="str">
        <f ca="1">IFERROR(__xludf.DUMMYFUNCTION("""COMPUTED_VALUE"""),"Rogelio")</f>
        <v>Rogelio</v>
      </c>
      <c r="D427" s="1" t="str">
        <f ca="1">IFERROR(__xludf.DUMMYFUNCTION("""COMPUTED_VALUE"""),"De Guzman")</f>
        <v>De Guzman</v>
      </c>
      <c r="E427" s="1" t="str">
        <f ca="1">IFERROR(__xludf.DUMMYFUNCTION("""COMPUTED_VALUE"""),"Wag kayong nagagalit sanagbago ng desisyon")</f>
        <v>Wag kayong nagagalit sanagbago ng desisyon</v>
      </c>
      <c r="F427" s="1"/>
      <c r="G427" s="1" t="str">
        <f ca="1">IFERROR(__xludf.DUMMYFUNCTION("""COMPUTED_VALUE"""),"3 mos")</f>
        <v>3 mos</v>
      </c>
      <c r="H427" s="1" t="str">
        <f ca="1">IFERROR(__xludf.DUMMYFUNCTION("""COMPUTED_VALUE"""),"comment")</f>
        <v>comment</v>
      </c>
      <c r="I427" s="2" t="str">
        <f ca="1">IFERROR(__xludf.DUMMYFUNCTION("""COMPUTED_VALUE"""),"https://www.facebook.com/rapplerdotcom/photos/a.317154781638645/5597612220259515/")</f>
        <v>https://www.facebook.com/rapplerdotcom/photos/a.317154781638645/5597612220259515/</v>
      </c>
      <c r="J427" s="1" t="str">
        <f ca="1">IFERROR(__xludf.DUMMYFUNCTION("""COMPUTED_VALUE"""),"2022-07-04T11:12:03.022Z")</f>
        <v>2022-07-04T11:12:03.022Z</v>
      </c>
    </row>
    <row r="428" spans="1:10" x14ac:dyDescent="0.2">
      <c r="A428" s="2" t="str">
        <f ca="1">IFERROR(__xludf.DUMMYFUNCTION("""COMPUTED_VALUE"""),"https://www.facebook.com/asuncion.calayan.9")</f>
        <v>https://www.facebook.com/asuncion.calayan.9</v>
      </c>
      <c r="B428" s="1" t="str">
        <f ca="1">IFERROR(__xludf.DUMMYFUNCTION("""COMPUTED_VALUE"""),"Asuncion Obciana Calayan")</f>
        <v>Asuncion Obciana Calayan</v>
      </c>
      <c r="C428" s="1" t="str">
        <f ca="1">IFERROR(__xludf.DUMMYFUNCTION("""COMPUTED_VALUE"""),"Asuncion")</f>
        <v>Asuncion</v>
      </c>
      <c r="D428" s="1" t="str">
        <f ca="1">IFERROR(__xludf.DUMMYFUNCTION("""COMPUTED_VALUE"""),"Obciana Calayan")</f>
        <v>Obciana Calayan</v>
      </c>
      <c r="E428" s="1" t="str">
        <f ca="1">IFERROR(__xludf.DUMMYFUNCTION("""COMPUTED_VALUE"""),"Mabuhay ka po!")</f>
        <v>Mabuhay ka po!</v>
      </c>
      <c r="F428" s="1"/>
      <c r="G428" s="1" t="str">
        <f ca="1">IFERROR(__xludf.DUMMYFUNCTION("""COMPUTED_VALUE"""),"3 mos")</f>
        <v>3 mos</v>
      </c>
      <c r="H428" s="1" t="str">
        <f ca="1">IFERROR(__xludf.DUMMYFUNCTION("""COMPUTED_VALUE"""),"comment")</f>
        <v>comment</v>
      </c>
      <c r="I428" s="2" t="str">
        <f ca="1">IFERROR(__xludf.DUMMYFUNCTION("""COMPUTED_VALUE"""),"https://www.facebook.com/rapplerdotcom/photos/a.317154781638645/5597612220259515/")</f>
        <v>https://www.facebook.com/rapplerdotcom/photos/a.317154781638645/5597612220259515/</v>
      </c>
      <c r="J428" s="1" t="str">
        <f ca="1">IFERROR(__xludf.DUMMYFUNCTION("""COMPUTED_VALUE"""),"2022-07-04T11:12:03.022Z")</f>
        <v>2022-07-04T11:12:03.022Z</v>
      </c>
    </row>
    <row r="429" spans="1:10" x14ac:dyDescent="0.2">
      <c r="A429" s="2" t="str">
        <f ca="1">IFERROR(__xludf.DUMMYFUNCTION("""COMPUTED_VALUE"""),"https://www.facebook.com/profile.php?id=100074950725815")</f>
        <v>https://www.facebook.com/profile.php?id=100074950725815</v>
      </c>
      <c r="B429" s="1" t="str">
        <f ca="1">IFERROR(__xludf.DUMMYFUNCTION("""COMPUTED_VALUE"""),"Ledesma Rowelynjai")</f>
        <v>Ledesma Rowelynjai</v>
      </c>
      <c r="C429" s="1" t="str">
        <f ca="1">IFERROR(__xludf.DUMMYFUNCTION("""COMPUTED_VALUE"""),"Ledesma")</f>
        <v>Ledesma</v>
      </c>
      <c r="D429" s="1" t="str">
        <f ca="1">IFERROR(__xludf.DUMMYFUNCTION("""COMPUTED_VALUE"""),"Rowelynjai")</f>
        <v>Rowelynjai</v>
      </c>
      <c r="E429" s="1" t="str">
        <f ca="1">IFERROR(__xludf.DUMMYFUNCTION("""COMPUTED_VALUE"""),"very good matalino")</f>
        <v>very good matalino</v>
      </c>
      <c r="F429" s="1"/>
      <c r="G429" s="1" t="str">
        <f ca="1">IFERROR(__xludf.DUMMYFUNCTION("""COMPUTED_VALUE"""),"3 mos")</f>
        <v>3 mos</v>
      </c>
      <c r="H429" s="1" t="str">
        <f ca="1">IFERROR(__xludf.DUMMYFUNCTION("""COMPUTED_VALUE"""),"comment")</f>
        <v>comment</v>
      </c>
      <c r="I429" s="2" t="str">
        <f ca="1">IFERROR(__xludf.DUMMYFUNCTION("""COMPUTED_VALUE"""),"https://www.facebook.com/rapplerdotcom/photos/a.317154781638645/5597612220259515/")</f>
        <v>https://www.facebook.com/rapplerdotcom/photos/a.317154781638645/5597612220259515/</v>
      </c>
      <c r="J429" s="1" t="str">
        <f ca="1">IFERROR(__xludf.DUMMYFUNCTION("""COMPUTED_VALUE"""),"2022-07-04T11:12:03.022Z")</f>
        <v>2022-07-04T11:12:03.022Z</v>
      </c>
    </row>
    <row r="430" spans="1:10" x14ac:dyDescent="0.2">
      <c r="A430" s="2" t="str">
        <f ca="1">IFERROR(__xludf.DUMMYFUNCTION("""COMPUTED_VALUE"""),"https://www.facebook.com/budz.ky.14")</f>
        <v>https://www.facebook.com/budz.ky.14</v>
      </c>
      <c r="B430" s="1" t="str">
        <f ca="1">IFERROR(__xludf.DUMMYFUNCTION("""COMPUTED_VALUE"""),"Ruby Kristine Olaño")</f>
        <v>Ruby Kristine Olaño</v>
      </c>
      <c r="C430" s="1" t="str">
        <f ca="1">IFERROR(__xludf.DUMMYFUNCTION("""COMPUTED_VALUE"""),"Ruby")</f>
        <v>Ruby</v>
      </c>
      <c r="D430" s="1" t="str">
        <f ca="1">IFERROR(__xludf.DUMMYFUNCTION("""COMPUTED_VALUE"""),"Kristine Olaño")</f>
        <v>Kristine Olaño</v>
      </c>
      <c r="E430" s="1" t="str">
        <f ca="1">IFERROR(__xludf.DUMMYFUNCTION("""COMPUTED_VALUE"""),"That’s what you call puede naman maging uso ang pumanig sa tuwid. All we need is to inspire others.")</f>
        <v>That’s what you call puede naman maging uso ang pumanig sa tuwid. All we need is to inspire others.</v>
      </c>
      <c r="F430" s="1">
        <f ca="1">IFERROR(__xludf.DUMMYFUNCTION("""COMPUTED_VALUE"""),1)</f>
        <v>1</v>
      </c>
      <c r="G430" s="1" t="str">
        <f ca="1">IFERROR(__xludf.DUMMYFUNCTION("""COMPUTED_VALUE"""),"3 mos")</f>
        <v>3 mos</v>
      </c>
      <c r="H430" s="1" t="str">
        <f ca="1">IFERROR(__xludf.DUMMYFUNCTION("""COMPUTED_VALUE"""),"comment")</f>
        <v>comment</v>
      </c>
      <c r="I430" s="2" t="str">
        <f ca="1">IFERROR(__xludf.DUMMYFUNCTION("""COMPUTED_VALUE"""),"https://www.facebook.com/rapplerdotcom/photos/a.317154781638645/5597612220259515/")</f>
        <v>https://www.facebook.com/rapplerdotcom/photos/a.317154781638645/5597612220259515/</v>
      </c>
      <c r="J430" s="1" t="str">
        <f ca="1">IFERROR(__xludf.DUMMYFUNCTION("""COMPUTED_VALUE"""),"2022-07-04T11:12:03.022Z")</f>
        <v>2022-07-04T11:12:03.022Z</v>
      </c>
    </row>
    <row r="431" spans="1:10" x14ac:dyDescent="0.2">
      <c r="A431" s="2" t="str">
        <f ca="1">IFERROR(__xludf.DUMMYFUNCTION("""COMPUTED_VALUE"""),"https://www.facebook.com/McNolram")</f>
        <v>https://www.facebook.com/McNolram</v>
      </c>
      <c r="B431" s="1" t="str">
        <f ca="1">IFERROR(__xludf.DUMMYFUNCTION("""COMPUTED_VALUE"""),"Mc Nolram")</f>
        <v>Mc Nolram</v>
      </c>
      <c r="C431" s="1" t="str">
        <f ca="1">IFERROR(__xludf.DUMMYFUNCTION("""COMPUTED_VALUE"""),"Mc")</f>
        <v>Mc</v>
      </c>
      <c r="D431" s="1" t="str">
        <f ca="1">IFERROR(__xludf.DUMMYFUNCTION("""COMPUTED_VALUE"""),"Nolram")</f>
        <v>Nolram</v>
      </c>
      <c r="E431" s="1" t="str">
        <f ca="1">IFERROR(__xludf.DUMMYFUNCTION("""COMPUTED_VALUE"""),"NICE Cong. Pidi... salamat sa tulong mo sa akin nung namatay brother ko , kahit di mo ako kilala ng personal at ni hindi ako taga dasma.. mabuhay po kayu.")</f>
        <v>NICE Cong. Pidi... salamat sa tulong mo sa akin nung namatay brother ko , kahit di mo ako kilala ng personal at ni hindi ako taga dasma.. mabuhay po kayu.</v>
      </c>
      <c r="F431" s="1">
        <f ca="1">IFERROR(__xludf.DUMMYFUNCTION("""COMPUTED_VALUE"""),3)</f>
        <v>3</v>
      </c>
      <c r="G431" s="1" t="str">
        <f ca="1">IFERROR(__xludf.DUMMYFUNCTION("""COMPUTED_VALUE"""),"3 mos")</f>
        <v>3 mos</v>
      </c>
      <c r="H431" s="1" t="str">
        <f ca="1">IFERROR(__xludf.DUMMYFUNCTION("""COMPUTED_VALUE"""),"comment")</f>
        <v>comment</v>
      </c>
      <c r="I431" s="2" t="str">
        <f ca="1">IFERROR(__xludf.DUMMYFUNCTION("""COMPUTED_VALUE"""),"https://www.facebook.com/rapplerdotcom/photos/a.317154781638645/5597612220259515/")</f>
        <v>https://www.facebook.com/rapplerdotcom/photos/a.317154781638645/5597612220259515/</v>
      </c>
      <c r="J431" s="1" t="str">
        <f ca="1">IFERROR(__xludf.DUMMYFUNCTION("""COMPUTED_VALUE"""),"2022-07-04T11:12:03.023Z")</f>
        <v>2022-07-04T11:12:03.023Z</v>
      </c>
    </row>
    <row r="432" spans="1:10" x14ac:dyDescent="0.2">
      <c r="A432" s="2" t="str">
        <f ca="1">IFERROR(__xludf.DUMMYFUNCTION("""COMPUTED_VALUE"""),"https://www.facebook.com/michelle.delosnieves")</f>
        <v>https://www.facebook.com/michelle.delosnieves</v>
      </c>
      <c r="B432" s="1" t="str">
        <f ca="1">IFERROR(__xludf.DUMMYFUNCTION("""COMPUTED_VALUE"""),"Michelle De los Nieves")</f>
        <v>Michelle De los Nieves</v>
      </c>
      <c r="C432" s="1" t="str">
        <f ca="1">IFERROR(__xludf.DUMMYFUNCTION("""COMPUTED_VALUE"""),"Michelle")</f>
        <v>Michelle</v>
      </c>
      <c r="D432" s="1" t="str">
        <f ca="1">IFERROR(__xludf.DUMMYFUNCTION("""COMPUTED_VALUE"""),"De los Nieves")</f>
        <v>De los Nieves</v>
      </c>
      <c r="E432" s="1" t="str">
        <f ca="1">IFERROR(__xludf.DUMMYFUNCTION("""COMPUTED_VALUE"""),"Mabuhay!!!!  Tara #IpanaloNaNa10To")</f>
        <v>Mabuhay!!!!  Tara #IpanaloNaNa10To</v>
      </c>
      <c r="F432" s="1">
        <f ca="1">IFERROR(__xludf.DUMMYFUNCTION("""COMPUTED_VALUE"""),3)</f>
        <v>3</v>
      </c>
      <c r="G432" s="1" t="str">
        <f ca="1">IFERROR(__xludf.DUMMYFUNCTION("""COMPUTED_VALUE"""),"3 mos")</f>
        <v>3 mos</v>
      </c>
      <c r="H432" s="1" t="str">
        <f ca="1">IFERROR(__xludf.DUMMYFUNCTION("""COMPUTED_VALUE"""),"comment")</f>
        <v>comment</v>
      </c>
      <c r="I432" s="2" t="str">
        <f ca="1">IFERROR(__xludf.DUMMYFUNCTION("""COMPUTED_VALUE"""),"https://www.facebook.com/rapplerdotcom/photos/a.317154781638645/5597612220259515/")</f>
        <v>https://www.facebook.com/rapplerdotcom/photos/a.317154781638645/5597612220259515/</v>
      </c>
      <c r="J432" s="1" t="str">
        <f ca="1">IFERROR(__xludf.DUMMYFUNCTION("""COMPUTED_VALUE"""),"2022-07-04T11:12:03.023Z")</f>
        <v>2022-07-04T11:12:03.023Z</v>
      </c>
    </row>
    <row r="433" spans="1:10" x14ac:dyDescent="0.2">
      <c r="A433" s="2" t="str">
        <f ca="1">IFERROR(__xludf.DUMMYFUNCTION("""COMPUTED_VALUE"""),"https://www.facebook.com/jordan.santos.5667")</f>
        <v>https://www.facebook.com/jordan.santos.5667</v>
      </c>
      <c r="B433" s="1" t="str">
        <f ca="1">IFERROR(__xludf.DUMMYFUNCTION("""COMPUTED_VALUE"""),"Jordan Santos")</f>
        <v>Jordan Santos</v>
      </c>
      <c r="C433" s="1" t="str">
        <f ca="1">IFERROR(__xludf.DUMMYFUNCTION("""COMPUTED_VALUE"""),"Jordan")</f>
        <v>Jordan</v>
      </c>
      <c r="D433" s="1" t="str">
        <f ca="1">IFERROR(__xludf.DUMMYFUNCTION("""COMPUTED_VALUE"""),"Santos")</f>
        <v>Santos</v>
      </c>
      <c r="E433" s="1" t="str">
        <f ca="1">IFERROR(__xludf.DUMMYFUNCTION("""COMPUTED_VALUE"""),"⬆️ Nag-iisang Tiyak sa sanlibong Duda. Maraming Salamat po sa pagTindig! ✊🏻🌷")</f>
        <v>⬆️ Nag-iisang Tiyak sa sanlibong Duda. Maraming Salamat po sa pagTindig! ✊🏻🌷</v>
      </c>
      <c r="F433" s="1">
        <f ca="1">IFERROR(__xludf.DUMMYFUNCTION("""COMPUTED_VALUE"""),52)</f>
        <v>52</v>
      </c>
      <c r="G433" s="1" t="str">
        <f ca="1">IFERROR(__xludf.DUMMYFUNCTION("""COMPUTED_VALUE"""),"3 mos")</f>
        <v>3 mos</v>
      </c>
      <c r="H433" s="1" t="str">
        <f ca="1">IFERROR(__xludf.DUMMYFUNCTION("""COMPUTED_VALUE"""),"comment")</f>
        <v>comment</v>
      </c>
      <c r="I433" s="2" t="str">
        <f ca="1">IFERROR(__xludf.DUMMYFUNCTION("""COMPUTED_VALUE"""),"https://www.facebook.com/rapplerdotcom/photos/a.317154781638645/5597612220259515/")</f>
        <v>https://www.facebook.com/rapplerdotcom/photos/a.317154781638645/5597612220259515/</v>
      </c>
      <c r="J433" s="1" t="str">
        <f ca="1">IFERROR(__xludf.DUMMYFUNCTION("""COMPUTED_VALUE"""),"2022-07-04T11:12:03.023Z")</f>
        <v>2022-07-04T11:12:03.023Z</v>
      </c>
    </row>
    <row r="434" spans="1:10" x14ac:dyDescent="0.2">
      <c r="A434" s="2" t="str">
        <f ca="1">IFERROR(__xludf.DUMMYFUNCTION("""COMPUTED_VALUE"""),"https://www.facebook.com/iamnoelricardo")</f>
        <v>https://www.facebook.com/iamnoelricardo</v>
      </c>
      <c r="B434" s="1" t="str">
        <f ca="1">IFERROR(__xludf.DUMMYFUNCTION("""COMPUTED_VALUE"""),"Noellie RiRi")</f>
        <v>Noellie RiRi</v>
      </c>
      <c r="C434" s="1" t="str">
        <f ca="1">IFERROR(__xludf.DUMMYFUNCTION("""COMPUTED_VALUE"""),"Noellie")</f>
        <v>Noellie</v>
      </c>
      <c r="D434" s="1" t="str">
        <f ca="1">IFERROR(__xludf.DUMMYFUNCTION("""COMPUTED_VALUE"""),"RiRi")</f>
        <v>RiRi</v>
      </c>
      <c r="E434" s="1" t="str">
        <f ca="1">IFERROR(__xludf.DUMMYFUNCTION("""COMPUTED_VALUE"""),"Jordan Santos 💖")</f>
        <v>Jordan Santos 💖</v>
      </c>
      <c r="F434" s="1"/>
      <c r="G434" s="1" t="str">
        <f ca="1">IFERROR(__xludf.DUMMYFUNCTION("""COMPUTED_VALUE"""),"3 mos")</f>
        <v>3 mos</v>
      </c>
      <c r="H434" s="1" t="str">
        <f ca="1">IFERROR(__xludf.DUMMYFUNCTION("""COMPUTED_VALUE"""),"reply")</f>
        <v>reply</v>
      </c>
      <c r="I434" s="2" t="str">
        <f ca="1">IFERROR(__xludf.DUMMYFUNCTION("""COMPUTED_VALUE"""),"https://www.facebook.com/rapplerdotcom/photos/a.317154781638645/5597612220259515/")</f>
        <v>https://www.facebook.com/rapplerdotcom/photos/a.317154781638645/5597612220259515/</v>
      </c>
      <c r="J434" s="1" t="str">
        <f ca="1">IFERROR(__xludf.DUMMYFUNCTION("""COMPUTED_VALUE"""),"2022-07-04T11:12:03.023Z")</f>
        <v>2022-07-04T11:12:03.023Z</v>
      </c>
    </row>
    <row r="435" spans="1:10" x14ac:dyDescent="0.2">
      <c r="A435" s="2" t="str">
        <f ca="1">IFERROR(__xludf.DUMMYFUNCTION("""COMPUTED_VALUE"""),"https://www.facebook.com/factolerin.e")</f>
        <v>https://www.facebook.com/factolerin.e</v>
      </c>
      <c r="B435" s="1" t="str">
        <f ca="1">IFERROR(__xludf.DUMMYFUNCTION("""COMPUTED_VALUE"""),"Ishie Factolerin")</f>
        <v>Ishie Factolerin</v>
      </c>
      <c r="C435" s="1" t="str">
        <f ca="1">IFERROR(__xludf.DUMMYFUNCTION("""COMPUTED_VALUE"""),"Ishie")</f>
        <v>Ishie</v>
      </c>
      <c r="D435" s="1" t="str">
        <f ca="1">IFERROR(__xludf.DUMMYFUNCTION("""COMPUTED_VALUE"""),"Factolerin")</f>
        <v>Factolerin</v>
      </c>
      <c r="E435" s="1" t="str">
        <f ca="1">IFERROR(__xludf.DUMMYFUNCTION("""COMPUTED_VALUE"""),"up")</f>
        <v>up</v>
      </c>
      <c r="F435" s="1"/>
      <c r="G435" s="1" t="str">
        <f ca="1">IFERROR(__xludf.DUMMYFUNCTION("""COMPUTED_VALUE"""),"3 mos")</f>
        <v>3 mos</v>
      </c>
      <c r="H435" s="1" t="str">
        <f ca="1">IFERROR(__xludf.DUMMYFUNCTION("""COMPUTED_VALUE"""),"comment")</f>
        <v>comment</v>
      </c>
      <c r="I435" s="2" t="str">
        <f ca="1">IFERROR(__xludf.DUMMYFUNCTION("""COMPUTED_VALUE"""),"https://www.facebook.com/rapplerdotcom/photos/a.317154781638645/5597612220259515/")</f>
        <v>https://www.facebook.com/rapplerdotcom/photos/a.317154781638645/5597612220259515/</v>
      </c>
      <c r="J435" s="1" t="str">
        <f ca="1">IFERROR(__xludf.DUMMYFUNCTION("""COMPUTED_VALUE"""),"2022-07-04T11:12:03.023Z")</f>
        <v>2022-07-04T11:12:03.023Z</v>
      </c>
    </row>
    <row r="436" spans="1:10" x14ac:dyDescent="0.2">
      <c r="A436" s="2" t="str">
        <f ca="1">IFERROR(__xludf.DUMMYFUNCTION("""COMPUTED_VALUE"""),"https://www.facebook.com/dubchaetzu1230")</f>
        <v>https://www.facebook.com/dubchaetzu1230</v>
      </c>
      <c r="B436" s="1" t="str">
        <f ca="1">IFERROR(__xludf.DUMMYFUNCTION("""COMPUTED_VALUE"""),"Matthew Zarate")</f>
        <v>Matthew Zarate</v>
      </c>
      <c r="C436" s="1" t="str">
        <f ca="1">IFERROR(__xludf.DUMMYFUNCTION("""COMPUTED_VALUE"""),"Matthew")</f>
        <v>Matthew</v>
      </c>
      <c r="D436" s="1" t="str">
        <f ca="1">IFERROR(__xludf.DUMMYFUNCTION("""COMPUTED_VALUE"""),"Zarate")</f>
        <v>Zarate</v>
      </c>
      <c r="E436" s="1" t="str">
        <f ca="1">IFERROR(__xludf.DUMMYFUNCTION("""COMPUTED_VALUE"""),"Thank you po cong and mayora... Ewan ko na lang sa anak niyo 🙄")</f>
        <v>Thank you po cong and mayora... Ewan ko na lang sa anak niyo 🙄</v>
      </c>
      <c r="F436" s="1">
        <f ca="1">IFERROR(__xludf.DUMMYFUNCTION("""COMPUTED_VALUE"""),1)</f>
        <v>1</v>
      </c>
      <c r="G436" s="1" t="str">
        <f ca="1">IFERROR(__xludf.DUMMYFUNCTION("""COMPUTED_VALUE"""),"3 mos")</f>
        <v>3 mos</v>
      </c>
      <c r="H436" s="1" t="str">
        <f ca="1">IFERROR(__xludf.DUMMYFUNCTION("""COMPUTED_VALUE"""),"comment")</f>
        <v>comment</v>
      </c>
      <c r="I436" s="2" t="str">
        <f ca="1">IFERROR(__xludf.DUMMYFUNCTION("""COMPUTED_VALUE"""),"https://www.facebook.com/rapplerdotcom/photos/a.317154781638645/5597612220259515/")</f>
        <v>https://www.facebook.com/rapplerdotcom/photos/a.317154781638645/5597612220259515/</v>
      </c>
      <c r="J436" s="1" t="str">
        <f ca="1">IFERROR(__xludf.DUMMYFUNCTION("""COMPUTED_VALUE"""),"2022-07-04T11:12:03.023Z")</f>
        <v>2022-07-04T11:12:03.023Z</v>
      </c>
    </row>
    <row r="437" spans="1:10" x14ac:dyDescent="0.2">
      <c r="A437" s="2" t="str">
        <f ca="1">IFERROR(__xludf.DUMMYFUNCTION("""COMPUTED_VALUE"""),"https://www.facebook.com/jonel.c.sandiego")</f>
        <v>https://www.facebook.com/jonel.c.sandiego</v>
      </c>
      <c r="B437" s="1" t="str">
        <f ca="1">IFERROR(__xludf.DUMMYFUNCTION("""COMPUTED_VALUE"""),"Lenoj Onirac Ogeidnas")</f>
        <v>Lenoj Onirac Ogeidnas</v>
      </c>
      <c r="C437" s="1" t="str">
        <f ca="1">IFERROR(__xludf.DUMMYFUNCTION("""COMPUTED_VALUE"""),"Lenoj")</f>
        <v>Lenoj</v>
      </c>
      <c r="D437" s="1" t="str">
        <f ca="1">IFERROR(__xludf.DUMMYFUNCTION("""COMPUTED_VALUE"""),"Onirac Ogeidnas")</f>
        <v>Onirac Ogeidnas</v>
      </c>
      <c r="E437" s="1" t="str">
        <f ca="1">IFERROR(__xludf.DUMMYFUNCTION("""COMPUTED_VALUE"""),"SalAmat")</f>
        <v>SalAmat</v>
      </c>
      <c r="F437" s="1"/>
      <c r="G437" s="1" t="str">
        <f ca="1">IFERROR(__xludf.DUMMYFUNCTION("""COMPUTED_VALUE"""),"3 mos")</f>
        <v>3 mos</v>
      </c>
      <c r="H437" s="1" t="str">
        <f ca="1">IFERROR(__xludf.DUMMYFUNCTION("""COMPUTED_VALUE"""),"comment")</f>
        <v>comment</v>
      </c>
      <c r="I437" s="2" t="str">
        <f ca="1">IFERROR(__xludf.DUMMYFUNCTION("""COMPUTED_VALUE"""),"https://www.facebook.com/rapplerdotcom/photos/a.317154781638645/5597612220259515/")</f>
        <v>https://www.facebook.com/rapplerdotcom/photos/a.317154781638645/5597612220259515/</v>
      </c>
      <c r="J437" s="1" t="str">
        <f ca="1">IFERROR(__xludf.DUMMYFUNCTION("""COMPUTED_VALUE"""),"2022-07-04T11:12:03.023Z")</f>
        <v>2022-07-04T11:12:03.023Z</v>
      </c>
    </row>
    <row r="438" spans="1:10" x14ac:dyDescent="0.2">
      <c r="A438" s="2" t="str">
        <f ca="1">IFERROR(__xludf.DUMMYFUNCTION("""COMPUTED_VALUE"""),"https://www.facebook.com/factolerin.e")</f>
        <v>https://www.facebook.com/factolerin.e</v>
      </c>
      <c r="B438" s="1" t="str">
        <f ca="1">IFERROR(__xludf.DUMMYFUNCTION("""COMPUTED_VALUE"""),"Ishie Factolerin")</f>
        <v>Ishie Factolerin</v>
      </c>
      <c r="C438" s="1" t="str">
        <f ca="1">IFERROR(__xludf.DUMMYFUNCTION("""COMPUTED_VALUE"""),"Ishie")</f>
        <v>Ishie</v>
      </c>
      <c r="D438" s="1" t="str">
        <f ca="1">IFERROR(__xludf.DUMMYFUNCTION("""COMPUTED_VALUE"""),"Factolerin")</f>
        <v>Factolerin</v>
      </c>
      <c r="E438" s="1" t="str">
        <f ca="1">IFERROR(__xludf.DUMMYFUNCTION("""COMPUTED_VALUE"""),"up")</f>
        <v>up</v>
      </c>
      <c r="F438" s="1"/>
      <c r="G438" s="1" t="str">
        <f ca="1">IFERROR(__xludf.DUMMYFUNCTION("""COMPUTED_VALUE"""),"3 mos")</f>
        <v>3 mos</v>
      </c>
      <c r="H438" s="1" t="str">
        <f ca="1">IFERROR(__xludf.DUMMYFUNCTION("""COMPUTED_VALUE"""),"comment")</f>
        <v>comment</v>
      </c>
      <c r="I438" s="2" t="str">
        <f ca="1">IFERROR(__xludf.DUMMYFUNCTION("""COMPUTED_VALUE"""),"https://www.facebook.com/rapplerdotcom/photos/a.317154781638645/5597612220259515/")</f>
        <v>https://www.facebook.com/rapplerdotcom/photos/a.317154781638645/5597612220259515/</v>
      </c>
      <c r="J438" s="1" t="str">
        <f ca="1">IFERROR(__xludf.DUMMYFUNCTION("""COMPUTED_VALUE"""),"2022-07-04T11:12:03.023Z")</f>
        <v>2022-07-04T11:12:03.023Z</v>
      </c>
    </row>
    <row r="439" spans="1:10" x14ac:dyDescent="0.2">
      <c r="A439" s="2" t="str">
        <f ca="1">IFERROR(__xludf.DUMMYFUNCTION("""COMPUTED_VALUE"""),"https://www.facebook.com/factolerin.e")</f>
        <v>https://www.facebook.com/factolerin.e</v>
      </c>
      <c r="B439" s="1" t="str">
        <f ca="1">IFERROR(__xludf.DUMMYFUNCTION("""COMPUTED_VALUE"""),"Ishie Factolerin")</f>
        <v>Ishie Factolerin</v>
      </c>
      <c r="C439" s="1" t="str">
        <f ca="1">IFERROR(__xludf.DUMMYFUNCTION("""COMPUTED_VALUE"""),"Ishie")</f>
        <v>Ishie</v>
      </c>
      <c r="D439" s="1" t="str">
        <f ca="1">IFERROR(__xludf.DUMMYFUNCTION("""COMPUTED_VALUE"""),"Factolerin")</f>
        <v>Factolerin</v>
      </c>
      <c r="E439" s="1" t="str">
        <f ca="1">IFERROR(__xludf.DUMMYFUNCTION("""COMPUTED_VALUE"""),"up")</f>
        <v>up</v>
      </c>
      <c r="F439" s="1"/>
      <c r="G439" s="1" t="str">
        <f ca="1">IFERROR(__xludf.DUMMYFUNCTION("""COMPUTED_VALUE"""),"3 mos")</f>
        <v>3 mos</v>
      </c>
      <c r="H439" s="1" t="str">
        <f ca="1">IFERROR(__xludf.DUMMYFUNCTION("""COMPUTED_VALUE"""),"comment")</f>
        <v>comment</v>
      </c>
      <c r="I439" s="2" t="str">
        <f ca="1">IFERROR(__xludf.DUMMYFUNCTION("""COMPUTED_VALUE"""),"https://www.facebook.com/rapplerdotcom/photos/a.317154781638645/5597612220259515/")</f>
        <v>https://www.facebook.com/rapplerdotcom/photos/a.317154781638645/5597612220259515/</v>
      </c>
      <c r="J439" s="1" t="str">
        <f ca="1">IFERROR(__xludf.DUMMYFUNCTION("""COMPUTED_VALUE"""),"2022-07-04T11:12:03.023Z")</f>
        <v>2022-07-04T11:12:03.023Z</v>
      </c>
    </row>
    <row r="440" spans="1:10" x14ac:dyDescent="0.2">
      <c r="A440" s="2" t="str">
        <f ca="1">IFERROR(__xludf.DUMMYFUNCTION("""COMPUTED_VALUE"""),"https://www.facebook.com/factolerin.e")</f>
        <v>https://www.facebook.com/factolerin.e</v>
      </c>
      <c r="B440" s="1" t="str">
        <f ca="1">IFERROR(__xludf.DUMMYFUNCTION("""COMPUTED_VALUE"""),"Ishie Factolerin")</f>
        <v>Ishie Factolerin</v>
      </c>
      <c r="C440" s="1" t="str">
        <f ca="1">IFERROR(__xludf.DUMMYFUNCTION("""COMPUTED_VALUE"""),"Ishie")</f>
        <v>Ishie</v>
      </c>
      <c r="D440" s="1" t="str">
        <f ca="1">IFERROR(__xludf.DUMMYFUNCTION("""COMPUTED_VALUE"""),"Factolerin")</f>
        <v>Factolerin</v>
      </c>
      <c r="E440" s="1" t="str">
        <f ca="1">IFERROR(__xludf.DUMMYFUNCTION("""COMPUTED_VALUE"""),"up")</f>
        <v>up</v>
      </c>
      <c r="F440" s="1"/>
      <c r="G440" s="1" t="str">
        <f ca="1">IFERROR(__xludf.DUMMYFUNCTION("""COMPUTED_VALUE"""),"3 mos")</f>
        <v>3 mos</v>
      </c>
      <c r="H440" s="1" t="str">
        <f ca="1">IFERROR(__xludf.DUMMYFUNCTION("""COMPUTED_VALUE"""),"comment")</f>
        <v>comment</v>
      </c>
      <c r="I440" s="2" t="str">
        <f ca="1">IFERROR(__xludf.DUMMYFUNCTION("""COMPUTED_VALUE"""),"https://www.facebook.com/rapplerdotcom/photos/a.317154781638645/5597612220259515/")</f>
        <v>https://www.facebook.com/rapplerdotcom/photos/a.317154781638645/5597612220259515/</v>
      </c>
      <c r="J440" s="1" t="str">
        <f ca="1">IFERROR(__xludf.DUMMYFUNCTION("""COMPUTED_VALUE"""),"2022-07-04T11:12:03.023Z")</f>
        <v>2022-07-04T11:12:03.023Z</v>
      </c>
    </row>
    <row r="441" spans="1:10" x14ac:dyDescent="0.2">
      <c r="A441" s="2" t="str">
        <f ca="1">IFERROR(__xludf.DUMMYFUNCTION("""COMPUTED_VALUE"""),"https://www.facebook.com/debbie.garcia.71216141")</f>
        <v>https://www.facebook.com/debbie.garcia.71216141</v>
      </c>
      <c r="B441" s="1" t="str">
        <f ca="1">IFERROR(__xludf.DUMMYFUNCTION("""COMPUTED_VALUE"""),"Debbie Garcia")</f>
        <v>Debbie Garcia</v>
      </c>
      <c r="C441" s="1" t="str">
        <f ca="1">IFERROR(__xludf.DUMMYFUNCTION("""COMPUTED_VALUE"""),"Debbie")</f>
        <v>Debbie</v>
      </c>
      <c r="D441" s="1" t="str">
        <f ca="1">IFERROR(__xludf.DUMMYFUNCTION("""COMPUTED_VALUE"""),"Garcia")</f>
        <v>Garcia</v>
      </c>
      <c r="E441" s="1" t="str">
        <f ca="1">IFERROR(__xludf.DUMMYFUNCTION("""COMPUTED_VALUE"""),"Laban sir💗💗💗💗✊✊✊✊🙏🙏🙏🙏")</f>
        <v>Laban sir💗💗💗💗✊✊✊✊🙏🙏🙏🙏</v>
      </c>
      <c r="F441" s="1"/>
      <c r="G441" s="1" t="str">
        <f ca="1">IFERROR(__xludf.DUMMYFUNCTION("""COMPUTED_VALUE"""),"3 mos")</f>
        <v>3 mos</v>
      </c>
      <c r="H441" s="1" t="str">
        <f ca="1">IFERROR(__xludf.DUMMYFUNCTION("""COMPUTED_VALUE"""),"comment")</f>
        <v>comment</v>
      </c>
      <c r="I441" s="2" t="str">
        <f ca="1">IFERROR(__xludf.DUMMYFUNCTION("""COMPUTED_VALUE"""),"https://www.facebook.com/rapplerdotcom/photos/a.317154781638645/5597612220259515/")</f>
        <v>https://www.facebook.com/rapplerdotcom/photos/a.317154781638645/5597612220259515/</v>
      </c>
      <c r="J441" s="1" t="str">
        <f ca="1">IFERROR(__xludf.DUMMYFUNCTION("""COMPUTED_VALUE"""),"2022-07-04T11:12:03.023Z")</f>
        <v>2022-07-04T11:12:03.023Z</v>
      </c>
    </row>
    <row r="442" spans="1:10" x14ac:dyDescent="0.2">
      <c r="A442" s="2" t="str">
        <f ca="1">IFERROR(__xludf.DUMMYFUNCTION("""COMPUTED_VALUE"""),"https://www.facebook.com/profile.php?id=100009913030847")</f>
        <v>https://www.facebook.com/profile.php?id=100009913030847</v>
      </c>
      <c r="B442" s="1" t="str">
        <f ca="1">IFERROR(__xludf.DUMMYFUNCTION("""COMPUTED_VALUE"""),"Jimmy Lagunda")</f>
        <v>Jimmy Lagunda</v>
      </c>
      <c r="C442" s="1" t="str">
        <f ca="1">IFERROR(__xludf.DUMMYFUNCTION("""COMPUTED_VALUE"""),"Jimmy")</f>
        <v>Jimmy</v>
      </c>
      <c r="D442" s="1" t="str">
        <f ca="1">IFERROR(__xludf.DUMMYFUNCTION("""COMPUTED_VALUE"""),"Lagunda")</f>
        <v>Lagunda</v>
      </c>
      <c r="E442" s="1" t="str">
        <f ca="1">IFERROR(__xludf.DUMMYFUNCTION("""COMPUTED_VALUE"""),"Mabuhay k")</f>
        <v>Mabuhay k</v>
      </c>
      <c r="F442" s="1"/>
      <c r="G442" s="1" t="str">
        <f ca="1">IFERROR(__xludf.DUMMYFUNCTION("""COMPUTED_VALUE"""),"3 mos")</f>
        <v>3 mos</v>
      </c>
      <c r="H442" s="1" t="str">
        <f ca="1">IFERROR(__xludf.DUMMYFUNCTION("""COMPUTED_VALUE"""),"comment")</f>
        <v>comment</v>
      </c>
      <c r="I442" s="2" t="str">
        <f ca="1">IFERROR(__xludf.DUMMYFUNCTION("""COMPUTED_VALUE"""),"https://www.facebook.com/rapplerdotcom/photos/a.317154781638645/5597612220259515/")</f>
        <v>https://www.facebook.com/rapplerdotcom/photos/a.317154781638645/5597612220259515/</v>
      </c>
      <c r="J442" s="1" t="str">
        <f ca="1">IFERROR(__xludf.DUMMYFUNCTION("""COMPUTED_VALUE"""),"2022-07-04T11:12:03.023Z")</f>
        <v>2022-07-04T11:12:03.023Z</v>
      </c>
    </row>
    <row r="443" spans="1:10" x14ac:dyDescent="0.2">
      <c r="A443" s="2" t="str">
        <f ca="1">IFERROR(__xludf.DUMMYFUNCTION("""COMPUTED_VALUE"""),"https://www.facebook.com/dean.loreto")</f>
        <v>https://www.facebook.com/dean.loreto</v>
      </c>
      <c r="B443" s="1" t="str">
        <f ca="1">IFERROR(__xludf.DUMMYFUNCTION("""COMPUTED_VALUE"""),"Dean Loreto")</f>
        <v>Dean Loreto</v>
      </c>
      <c r="C443" s="1" t="str">
        <f ca="1">IFERROR(__xludf.DUMMYFUNCTION("""COMPUTED_VALUE"""),"Dean")</f>
        <v>Dean</v>
      </c>
      <c r="D443" s="1" t="str">
        <f ca="1">IFERROR(__xludf.DUMMYFUNCTION("""COMPUTED_VALUE"""),"Loreto")</f>
        <v>Loreto</v>
      </c>
      <c r="E443" s="1" t="str">
        <f ca="1">IFERROR(__xludf.DUMMYFUNCTION("""COMPUTED_VALUE"""),"Prinsipyo ba o need ng boto?")</f>
        <v>Prinsipyo ba o need ng boto?</v>
      </c>
      <c r="F443" s="1"/>
      <c r="G443" s="1" t="str">
        <f ca="1">IFERROR(__xludf.DUMMYFUNCTION("""COMPUTED_VALUE"""),"3 mos")</f>
        <v>3 mos</v>
      </c>
      <c r="H443" s="1" t="str">
        <f ca="1">IFERROR(__xludf.DUMMYFUNCTION("""COMPUTED_VALUE"""),"comment")</f>
        <v>comment</v>
      </c>
      <c r="I443" s="2" t="str">
        <f ca="1">IFERROR(__xludf.DUMMYFUNCTION("""COMPUTED_VALUE"""),"https://www.facebook.com/rapplerdotcom/photos/a.317154781638645/5597612220259515/")</f>
        <v>https://www.facebook.com/rapplerdotcom/photos/a.317154781638645/5597612220259515/</v>
      </c>
      <c r="J443" s="1" t="str">
        <f ca="1">IFERROR(__xludf.DUMMYFUNCTION("""COMPUTED_VALUE"""),"2022-07-04T11:12:03.023Z")</f>
        <v>2022-07-04T11:12:03.023Z</v>
      </c>
    </row>
    <row r="444" spans="1:10" x14ac:dyDescent="0.2">
      <c r="A444" s="2" t="str">
        <f ca="1">IFERROR(__xludf.DUMMYFUNCTION("""COMPUTED_VALUE"""),"https://www.facebook.com/ricardo.arayata")</f>
        <v>https://www.facebook.com/ricardo.arayata</v>
      </c>
      <c r="B444" s="1" t="str">
        <f ca="1">IFERROR(__xludf.DUMMYFUNCTION("""COMPUTED_VALUE"""),"Ricardo Arayata")</f>
        <v>Ricardo Arayata</v>
      </c>
      <c r="C444" s="1" t="str">
        <f ca="1">IFERROR(__xludf.DUMMYFUNCTION("""COMPUTED_VALUE"""),"Ricardo")</f>
        <v>Ricardo</v>
      </c>
      <c r="D444" s="1" t="str">
        <f ca="1">IFERROR(__xludf.DUMMYFUNCTION("""COMPUTED_VALUE"""),"Arayata")</f>
        <v>Arayata</v>
      </c>
      <c r="E444" s="1" t="str">
        <f ca="1">IFERROR(__xludf.DUMMYFUNCTION("""COMPUTED_VALUE"""),"Umpisa na ng pag talon ng political party or alliances 😊.  Isang sign ito na mas malakas ang partidong sinapian.")</f>
        <v>Umpisa na ng pag talon ng political party or alliances 😊.  Isang sign ito na mas malakas ang partidong sinapian.</v>
      </c>
      <c r="F444" s="1"/>
      <c r="G444" s="1" t="str">
        <f ca="1">IFERROR(__xludf.DUMMYFUNCTION("""COMPUTED_VALUE"""),"3 mos")</f>
        <v>3 mos</v>
      </c>
      <c r="H444" s="1" t="str">
        <f ca="1">IFERROR(__xludf.DUMMYFUNCTION("""COMPUTED_VALUE"""),"comment")</f>
        <v>comment</v>
      </c>
      <c r="I444" s="2" t="str">
        <f ca="1">IFERROR(__xludf.DUMMYFUNCTION("""COMPUTED_VALUE"""),"https://www.facebook.com/rapplerdotcom/photos/a.317154781638645/5597612220259515/")</f>
        <v>https://www.facebook.com/rapplerdotcom/photos/a.317154781638645/5597612220259515/</v>
      </c>
      <c r="J444" s="1" t="str">
        <f ca="1">IFERROR(__xludf.DUMMYFUNCTION("""COMPUTED_VALUE"""),"2022-07-04T11:12:03.023Z")</f>
        <v>2022-07-04T11:12:03.023Z</v>
      </c>
    </row>
    <row r="445" spans="1:10" x14ac:dyDescent="0.2">
      <c r="A445" s="2" t="str">
        <f ca="1">IFERROR(__xludf.DUMMYFUNCTION("""COMPUTED_VALUE"""),"https://www.facebook.com/rey.magsayo.399")</f>
        <v>https://www.facebook.com/rey.magsayo.399</v>
      </c>
      <c r="B445" s="1" t="str">
        <f ca="1">IFERROR(__xludf.DUMMYFUNCTION("""COMPUTED_VALUE"""),"Rey Magsayo")</f>
        <v>Rey Magsayo</v>
      </c>
      <c r="C445" s="1" t="str">
        <f ca="1">IFERROR(__xludf.DUMMYFUNCTION("""COMPUTED_VALUE"""),"Rey")</f>
        <v>Rey</v>
      </c>
      <c r="D445" s="1" t="str">
        <f ca="1">IFERROR(__xludf.DUMMYFUNCTION("""COMPUTED_VALUE"""),"Magsayo")</f>
        <v>Magsayo</v>
      </c>
      <c r="E445" s="1" t="str">
        <f ca="1">IFERROR(__xludf.DUMMYFUNCTION("""COMPUTED_VALUE"""),"Balimbing🤣🤣🤣🤣🤣")</f>
        <v>Balimbing🤣🤣🤣🤣🤣</v>
      </c>
      <c r="F445" s="1">
        <f ca="1">IFERROR(__xludf.DUMMYFUNCTION("""COMPUTED_VALUE"""),1)</f>
        <v>1</v>
      </c>
      <c r="G445" s="1" t="str">
        <f ca="1">IFERROR(__xludf.DUMMYFUNCTION("""COMPUTED_VALUE"""),"3 mos")</f>
        <v>3 mos</v>
      </c>
      <c r="H445" s="1" t="str">
        <f ca="1">IFERROR(__xludf.DUMMYFUNCTION("""COMPUTED_VALUE"""),"comment")</f>
        <v>comment</v>
      </c>
      <c r="I445" s="2" t="str">
        <f ca="1">IFERROR(__xludf.DUMMYFUNCTION("""COMPUTED_VALUE"""),"https://www.facebook.com/rapplerdotcom/photos/a.317154781638645/5597612220259515/")</f>
        <v>https://www.facebook.com/rapplerdotcom/photos/a.317154781638645/5597612220259515/</v>
      </c>
      <c r="J445" s="1" t="str">
        <f ca="1">IFERROR(__xludf.DUMMYFUNCTION("""COMPUTED_VALUE"""),"2022-07-04T11:12:03.023Z")</f>
        <v>2022-07-04T11:12:03.023Z</v>
      </c>
    </row>
    <row r="446" spans="1:10" x14ac:dyDescent="0.2">
      <c r="A446" s="2" t="str">
        <f ca="1">IFERROR(__xludf.DUMMYFUNCTION("""COMPUTED_VALUE"""),"https://www.facebook.com/gladys.lazo.31")</f>
        <v>https://www.facebook.com/gladys.lazo.31</v>
      </c>
      <c r="B446" s="1" t="str">
        <f ca="1">IFERROR(__xludf.DUMMYFUNCTION("""COMPUTED_VALUE"""),"Lazo Gladys")</f>
        <v>Lazo Gladys</v>
      </c>
      <c r="C446" s="1" t="str">
        <f ca="1">IFERROR(__xludf.DUMMYFUNCTION("""COMPUTED_VALUE"""),"Lazo")</f>
        <v>Lazo</v>
      </c>
      <c r="D446" s="1" t="str">
        <f ca="1">IFERROR(__xludf.DUMMYFUNCTION("""COMPUTED_VALUE"""),"Gladys")</f>
        <v>Gladys</v>
      </c>
      <c r="E446" s="1" t="str">
        <f ca="1">IFERROR(__xludf.DUMMYFUNCTION("""COMPUTED_VALUE"""),"Junvic and Boying left  the group. Sana HINDI lng playing safe ang pamilya nila.")</f>
        <v>Junvic and Boying left  the group. Sana HINDI lng playing safe ang pamilya nila.</v>
      </c>
      <c r="F446" s="1">
        <f ca="1">IFERROR(__xludf.DUMMYFUNCTION("""COMPUTED_VALUE"""),1)</f>
        <v>1</v>
      </c>
      <c r="G446" s="1" t="str">
        <f ca="1">IFERROR(__xludf.DUMMYFUNCTION("""COMPUTED_VALUE"""),"3 mos")</f>
        <v>3 mos</v>
      </c>
      <c r="H446" s="1" t="str">
        <f ca="1">IFERROR(__xludf.DUMMYFUNCTION("""COMPUTED_VALUE"""),"comment")</f>
        <v>comment</v>
      </c>
      <c r="I446" s="2" t="str">
        <f ca="1">IFERROR(__xludf.DUMMYFUNCTION("""COMPUTED_VALUE"""),"https://www.facebook.com/rapplerdotcom/photos/a.317154781638645/5597612220259515/")</f>
        <v>https://www.facebook.com/rapplerdotcom/photos/a.317154781638645/5597612220259515/</v>
      </c>
      <c r="J446" s="1" t="str">
        <f ca="1">IFERROR(__xludf.DUMMYFUNCTION("""COMPUTED_VALUE"""),"2022-07-04T11:12:03.023Z")</f>
        <v>2022-07-04T11:12:03.023Z</v>
      </c>
    </row>
    <row r="447" spans="1:10" x14ac:dyDescent="0.2">
      <c r="A447" s="2" t="str">
        <f ca="1">IFERROR(__xludf.DUMMYFUNCTION("""COMPUTED_VALUE"""),"https://www.facebook.com/profile.php?id=100010227300304")</f>
        <v>https://www.facebook.com/profile.php?id=100010227300304</v>
      </c>
      <c r="B447" s="1" t="str">
        <f ca="1">IFERROR(__xludf.DUMMYFUNCTION("""COMPUTED_VALUE"""),"Ador Cabalbag")</f>
        <v>Ador Cabalbag</v>
      </c>
      <c r="C447" s="1" t="str">
        <f ca="1">IFERROR(__xludf.DUMMYFUNCTION("""COMPUTED_VALUE"""),"Ador")</f>
        <v>Ador</v>
      </c>
      <c r="D447" s="1" t="str">
        <f ca="1">IFERROR(__xludf.DUMMYFUNCTION("""COMPUTED_VALUE"""),"Cabalbag")</f>
        <v>Cabalbag</v>
      </c>
      <c r="E447" s="1" t="str">
        <f ca="1">IFERROR(__xludf.DUMMYFUNCTION("""COMPUTED_VALUE"""),"Lazo Gladys ung anak nya na si Kiko Barzaga ay apologist. Siguro parang may divide din sa family nila, maliban sa fragmentation sa NUP.")</f>
        <v>Lazo Gladys ung anak nya na si Kiko Barzaga ay apologist. Siguro parang may divide din sa family nila, maliban sa fragmentation sa NUP.</v>
      </c>
      <c r="F447" s="1"/>
      <c r="G447" s="1" t="str">
        <f ca="1">IFERROR(__xludf.DUMMYFUNCTION("""COMPUTED_VALUE"""),"3 mos")</f>
        <v>3 mos</v>
      </c>
      <c r="H447" s="1" t="str">
        <f ca="1">IFERROR(__xludf.DUMMYFUNCTION("""COMPUTED_VALUE"""),"reply")</f>
        <v>reply</v>
      </c>
      <c r="I447" s="2" t="str">
        <f ca="1">IFERROR(__xludf.DUMMYFUNCTION("""COMPUTED_VALUE"""),"https://www.facebook.com/rapplerdotcom/photos/a.317154781638645/5597612220259515/")</f>
        <v>https://www.facebook.com/rapplerdotcom/photos/a.317154781638645/5597612220259515/</v>
      </c>
      <c r="J447" s="1" t="str">
        <f ca="1">IFERROR(__xludf.DUMMYFUNCTION("""COMPUTED_VALUE"""),"2022-07-04T11:12:03.023Z")</f>
        <v>2022-07-04T11:12:03.023Z</v>
      </c>
    </row>
    <row r="448" spans="1:10" x14ac:dyDescent="0.2">
      <c r="A448" s="2" t="str">
        <f ca="1">IFERROR(__xludf.DUMMYFUNCTION("""COMPUTED_VALUE"""),"https://www.facebook.com/profile.php?id=100009810850262")</f>
        <v>https://www.facebook.com/profile.php?id=100009810850262</v>
      </c>
      <c r="B448" s="1" t="str">
        <f ca="1">IFERROR(__xludf.DUMMYFUNCTION("""COMPUTED_VALUE"""),"Nelson Concepcion")</f>
        <v>Nelson Concepcion</v>
      </c>
      <c r="C448" s="1" t="str">
        <f ca="1">IFERROR(__xludf.DUMMYFUNCTION("""COMPUTED_VALUE"""),"Nelson")</f>
        <v>Nelson</v>
      </c>
      <c r="D448" s="1" t="str">
        <f ca="1">IFERROR(__xludf.DUMMYFUNCTION("""COMPUTED_VALUE"""),"Concepcion")</f>
        <v>Concepcion</v>
      </c>
      <c r="E448" s="1" t="str">
        <f ca="1">IFERROR(__xludf.DUMMYFUNCTION("""COMPUTED_VALUE"""),"May mali ata, ang ""Magkaisa o Unity"" napupunta sa sa Pink😂🤣😂")</f>
        <v>May mali ata, ang "Magkaisa o Unity" napupunta sa sa Pink😂🤣😂</v>
      </c>
      <c r="F448" s="1"/>
      <c r="G448" s="1" t="str">
        <f ca="1">IFERROR(__xludf.DUMMYFUNCTION("""COMPUTED_VALUE"""),"3 mos")</f>
        <v>3 mos</v>
      </c>
      <c r="H448" s="1" t="str">
        <f ca="1">IFERROR(__xludf.DUMMYFUNCTION("""COMPUTED_VALUE"""),"comment")</f>
        <v>comment</v>
      </c>
      <c r="I448" s="2" t="str">
        <f ca="1">IFERROR(__xludf.DUMMYFUNCTION("""COMPUTED_VALUE"""),"https://www.facebook.com/rapplerdotcom/photos/a.317154781638645/5597612220259515/")</f>
        <v>https://www.facebook.com/rapplerdotcom/photos/a.317154781638645/5597612220259515/</v>
      </c>
      <c r="J448" s="1" t="str">
        <f ca="1">IFERROR(__xludf.DUMMYFUNCTION("""COMPUTED_VALUE"""),"2022-07-04T11:12:03.023Z")</f>
        <v>2022-07-04T11:12:03.023Z</v>
      </c>
    </row>
    <row r="449" spans="1:10" x14ac:dyDescent="0.2">
      <c r="A449" s="2" t="str">
        <f ca="1">IFERROR(__xludf.DUMMYFUNCTION("""COMPUTED_VALUE"""),"https://www.facebook.com/nextnehszph")</f>
        <v>https://www.facebook.com/nextnehszph</v>
      </c>
      <c r="B449" s="1" t="str">
        <f ca="1">IFERROR(__xludf.DUMMYFUNCTION("""COMPUTED_VALUE"""),"Nehsz Gi")</f>
        <v>Nehsz Gi</v>
      </c>
      <c r="C449" s="1" t="str">
        <f ca="1">IFERROR(__xludf.DUMMYFUNCTION("""COMPUTED_VALUE"""),"Nehsz")</f>
        <v>Nehsz</v>
      </c>
      <c r="D449" s="1" t="str">
        <f ca="1">IFERROR(__xludf.DUMMYFUNCTION("""COMPUTED_VALUE"""),"Gi")</f>
        <v>Gi</v>
      </c>
      <c r="E449" s="1" t="str">
        <f ca="1">IFERROR(__xludf.DUMMYFUNCTION("""COMPUTED_VALUE"""),"Kamusta po ung anak nyong konsi na walang plataporma 🌷🤘")</f>
        <v>Kamusta po ung anak nyong konsi na walang plataporma 🌷🤘</v>
      </c>
      <c r="F449" s="1"/>
      <c r="G449" s="1" t="str">
        <f ca="1">IFERROR(__xludf.DUMMYFUNCTION("""COMPUTED_VALUE"""),"3 mos")</f>
        <v>3 mos</v>
      </c>
      <c r="H449" s="1" t="str">
        <f ca="1">IFERROR(__xludf.DUMMYFUNCTION("""COMPUTED_VALUE"""),"comment")</f>
        <v>comment</v>
      </c>
      <c r="I449" s="2" t="str">
        <f ca="1">IFERROR(__xludf.DUMMYFUNCTION("""COMPUTED_VALUE"""),"https://www.facebook.com/rapplerdotcom/photos/a.317154781638645/5597612220259515/")</f>
        <v>https://www.facebook.com/rapplerdotcom/photos/a.317154781638645/5597612220259515/</v>
      </c>
      <c r="J449" s="1" t="str">
        <f ca="1">IFERROR(__xludf.DUMMYFUNCTION("""COMPUTED_VALUE"""),"2022-07-04T11:12:03.023Z")</f>
        <v>2022-07-04T11:12:03.023Z</v>
      </c>
    </row>
    <row r="450" spans="1:10" x14ac:dyDescent="0.2">
      <c r="A450" s="2" t="str">
        <f ca="1">IFERROR(__xludf.DUMMYFUNCTION("""COMPUTED_VALUE"""),"https://www.facebook.com/bmarichue")</f>
        <v>https://www.facebook.com/bmarichue</v>
      </c>
      <c r="B450" s="1" t="str">
        <f ca="1">IFERROR(__xludf.DUMMYFUNCTION("""COMPUTED_VALUE"""),"Marichu Bartolaba")</f>
        <v>Marichu Bartolaba</v>
      </c>
      <c r="C450" s="1" t="str">
        <f ca="1">IFERROR(__xludf.DUMMYFUNCTION("""COMPUTED_VALUE"""),"Marichu")</f>
        <v>Marichu</v>
      </c>
      <c r="D450" s="1" t="str">
        <f ca="1">IFERROR(__xludf.DUMMYFUNCTION("""COMPUTED_VALUE"""),"Bartolaba")</f>
        <v>Bartolaba</v>
      </c>
      <c r="E450" s="1" t="str">
        <f ca="1">IFERROR(__xludf.DUMMYFUNCTION("""COMPUTED_VALUE"""),"Zero vote for UniThieves and Duwag!")</f>
        <v>Zero vote for UniThieves and Duwag!</v>
      </c>
      <c r="F450" s="1">
        <f ca="1">IFERROR(__xludf.DUMMYFUNCTION("""COMPUTED_VALUE"""),47)</f>
        <v>47</v>
      </c>
      <c r="G450" s="1" t="str">
        <f ca="1">IFERROR(__xludf.DUMMYFUNCTION("""COMPUTED_VALUE"""),"3 mos")</f>
        <v>3 mos</v>
      </c>
      <c r="H450" s="1" t="str">
        <f ca="1">IFERROR(__xludf.DUMMYFUNCTION("""COMPUTED_VALUE"""),"comment")</f>
        <v>comment</v>
      </c>
      <c r="I450" s="2" t="str">
        <f ca="1">IFERROR(__xludf.DUMMYFUNCTION("""COMPUTED_VALUE"""),"https://www.facebook.com/rapplerdotcom/photos/a.317154781638645/5597592673594803/")</f>
        <v>https://www.facebook.com/rapplerdotcom/photos/a.317154781638645/5597592673594803/</v>
      </c>
      <c r="J450" s="1" t="str">
        <f ca="1">IFERROR(__xludf.DUMMYFUNCTION("""COMPUTED_VALUE"""),"2022-07-04T11:12:52.612Z")</f>
        <v>2022-07-04T11:12:52.612Z</v>
      </c>
    </row>
    <row r="451" spans="1:10" x14ac:dyDescent="0.2">
      <c r="A451" s="2" t="str">
        <f ca="1">IFERROR(__xludf.DUMMYFUNCTION("""COMPUTED_VALUE"""),"https://www.facebook.com/ninovincent.dbollino.3")</f>
        <v>https://www.facebook.com/ninovincent.dbollino.3</v>
      </c>
      <c r="B451" s="1" t="str">
        <f ca="1">IFERROR(__xludf.DUMMYFUNCTION("""COMPUTED_VALUE"""),"Nino Vincent DBollino")</f>
        <v>Nino Vincent DBollino</v>
      </c>
      <c r="C451" s="1" t="str">
        <f ca="1">IFERROR(__xludf.DUMMYFUNCTION("""COMPUTED_VALUE"""),"Nino")</f>
        <v>Nino</v>
      </c>
      <c r="D451" s="1" t="str">
        <f ca="1">IFERROR(__xludf.DUMMYFUNCTION("""COMPUTED_VALUE"""),"Vincent DBollino")</f>
        <v>Vincent DBollino</v>
      </c>
      <c r="E451" s="1" t="str">
        <f ca="1">IFERROR(__xludf.DUMMYFUNCTION("""COMPUTED_VALUE"""),"Marichu Bartolaba zero impossible KAAYO madam.💪🇵🇭✌️")</f>
        <v>Marichu Bartolaba zero impossible KAAYO madam.💪🇵🇭✌️</v>
      </c>
      <c r="F451" s="1">
        <f ca="1">IFERROR(__xludf.DUMMYFUNCTION("""COMPUTED_VALUE"""),1)</f>
        <v>1</v>
      </c>
      <c r="G451" s="1" t="str">
        <f ca="1">IFERROR(__xludf.DUMMYFUNCTION("""COMPUTED_VALUE"""),"3 mos")</f>
        <v>3 mos</v>
      </c>
      <c r="H451" s="1" t="str">
        <f ca="1">IFERROR(__xludf.DUMMYFUNCTION("""COMPUTED_VALUE"""),"reply")</f>
        <v>reply</v>
      </c>
      <c r="I451" s="2" t="str">
        <f ca="1">IFERROR(__xludf.DUMMYFUNCTION("""COMPUTED_VALUE"""),"https://www.facebook.com/rapplerdotcom/photos/a.317154781638645/5597592673594803/")</f>
        <v>https://www.facebook.com/rapplerdotcom/photos/a.317154781638645/5597592673594803/</v>
      </c>
      <c r="J451" s="1" t="str">
        <f ca="1">IFERROR(__xludf.DUMMYFUNCTION("""COMPUTED_VALUE"""),"2022-07-04T11:12:52.612Z")</f>
        <v>2022-07-04T11:12:52.612Z</v>
      </c>
    </row>
    <row r="452" spans="1:10" x14ac:dyDescent="0.2">
      <c r="A452" s="2" t="str">
        <f ca="1">IFERROR(__xludf.DUMMYFUNCTION("""COMPUTED_VALUE"""),"https://www.facebook.com/tony.deguzman.104")</f>
        <v>https://www.facebook.com/tony.deguzman.104</v>
      </c>
      <c r="B452" s="1" t="str">
        <f ca="1">IFERROR(__xludf.DUMMYFUNCTION("""COMPUTED_VALUE"""),"Tony de Guzman")</f>
        <v>Tony de Guzman</v>
      </c>
      <c r="C452" s="1" t="str">
        <f ca="1">IFERROR(__xludf.DUMMYFUNCTION("""COMPUTED_VALUE"""),"Tony")</f>
        <v>Tony</v>
      </c>
      <c r="D452" s="1" t="str">
        <f ca="1">IFERROR(__xludf.DUMMYFUNCTION("""COMPUTED_VALUE"""),"de Guzman")</f>
        <v>de Guzman</v>
      </c>
      <c r="E452" s="1" t="str">
        <f ca="1">IFERROR(__xludf.DUMMYFUNCTION("""COMPUTED_VALUE"""),"Marichu Bartolaba may naduwag din kagabi kay prof. Carlos,😂😂😂😂")</f>
        <v>Marichu Bartolaba may naduwag din kagabi kay prof. Carlos,😂😂😂😂</v>
      </c>
      <c r="F452" s="1">
        <f ca="1">IFERROR(__xludf.DUMMYFUNCTION("""COMPUTED_VALUE"""),1)</f>
        <v>1</v>
      </c>
      <c r="G452" s="1" t="str">
        <f ca="1">IFERROR(__xludf.DUMMYFUNCTION("""COMPUTED_VALUE"""),"3 mos")</f>
        <v>3 mos</v>
      </c>
      <c r="H452" s="1" t="str">
        <f ca="1">IFERROR(__xludf.DUMMYFUNCTION("""COMPUTED_VALUE"""),"reply")</f>
        <v>reply</v>
      </c>
      <c r="I452" s="2" t="str">
        <f ca="1">IFERROR(__xludf.DUMMYFUNCTION("""COMPUTED_VALUE"""),"https://www.facebook.com/rapplerdotcom/photos/a.317154781638645/5597592673594803/")</f>
        <v>https://www.facebook.com/rapplerdotcom/photos/a.317154781638645/5597592673594803/</v>
      </c>
      <c r="J452" s="1" t="str">
        <f ca="1">IFERROR(__xludf.DUMMYFUNCTION("""COMPUTED_VALUE"""),"2022-07-04T11:12:52.612Z")</f>
        <v>2022-07-04T11:12:52.612Z</v>
      </c>
    </row>
    <row r="453" spans="1:10" x14ac:dyDescent="0.2">
      <c r="A453" s="2" t="str">
        <f ca="1">IFERROR(__xludf.DUMMYFUNCTION("""COMPUTED_VALUE"""),"https://www.facebook.com/Jackbullmastiff")</f>
        <v>https://www.facebook.com/Jackbullmastiff</v>
      </c>
      <c r="B453" s="1" t="str">
        <f ca="1">IFERROR(__xludf.DUMMYFUNCTION("""COMPUTED_VALUE"""),"Mann E. Tingpusi")</f>
        <v>Mann E. Tingpusi</v>
      </c>
      <c r="C453" s="1" t="str">
        <f ca="1">IFERROR(__xludf.DUMMYFUNCTION("""COMPUTED_VALUE"""),"Mann")</f>
        <v>Mann</v>
      </c>
      <c r="D453" s="1" t="str">
        <f ca="1">IFERROR(__xludf.DUMMYFUNCTION("""COMPUTED_VALUE"""),"E. Tingpusi")</f>
        <v>E. Tingpusi</v>
      </c>
      <c r="E453" s="1" t="str">
        <f ca="1">IFERROR(__xludf.DUMMYFUNCTION("""COMPUTED_VALUE"""),"ingat sa celpon at wallets paalala lng 500h kapalit sayang..")</f>
        <v>ingat sa celpon at wallets paalala lng 500h kapalit sayang..</v>
      </c>
      <c r="F453" s="1">
        <f ca="1">IFERROR(__xludf.DUMMYFUNCTION("""COMPUTED_VALUE"""),4)</f>
        <v>4</v>
      </c>
      <c r="G453" s="1" t="str">
        <f ca="1">IFERROR(__xludf.DUMMYFUNCTION("""COMPUTED_VALUE"""),"3 mos")</f>
        <v>3 mos</v>
      </c>
      <c r="H453" s="1" t="str">
        <f ca="1">IFERROR(__xludf.DUMMYFUNCTION("""COMPUTED_VALUE"""),"reply")</f>
        <v>reply</v>
      </c>
      <c r="I453" s="2" t="str">
        <f ca="1">IFERROR(__xludf.DUMMYFUNCTION("""COMPUTED_VALUE"""),"https://www.facebook.com/rapplerdotcom/photos/a.317154781638645/5597592673594803/")</f>
        <v>https://www.facebook.com/rapplerdotcom/photos/a.317154781638645/5597592673594803/</v>
      </c>
      <c r="J453" s="1" t="str">
        <f ca="1">IFERROR(__xludf.DUMMYFUNCTION("""COMPUTED_VALUE"""),"2022-07-04T11:12:52.612Z")</f>
        <v>2022-07-04T11:12:52.612Z</v>
      </c>
    </row>
    <row r="454" spans="1:10" x14ac:dyDescent="0.2">
      <c r="A454" s="2" t="str">
        <f ca="1">IFERROR(__xludf.DUMMYFUNCTION("""COMPUTED_VALUE"""),"https://www.facebook.com/profile.php?id=100076074789897")</f>
        <v>https://www.facebook.com/profile.php?id=100076074789897</v>
      </c>
      <c r="B454" s="1" t="str">
        <f ca="1">IFERROR(__xludf.DUMMYFUNCTION("""COMPUTED_VALUE"""),"Jesie Lanie")</f>
        <v>Jesie Lanie</v>
      </c>
      <c r="C454" s="1" t="str">
        <f ca="1">IFERROR(__xludf.DUMMYFUNCTION("""COMPUTED_VALUE"""),"Jesie")</f>
        <v>Jesie</v>
      </c>
      <c r="D454" s="1" t="str">
        <f ca="1">IFERROR(__xludf.DUMMYFUNCTION("""COMPUTED_VALUE"""),"Lanie")</f>
        <v>Lanie</v>
      </c>
      <c r="E454" s="1" t="str">
        <f ca="1">IFERROR(__xludf.DUMMYFUNCTION("""COMPUTED_VALUE"""),"Marichu Bartolaba puro kayo zero vote, halatang walang alam sa dynamics  Sino ulit ang duwag?")</f>
        <v>Marichu Bartolaba puro kayo zero vote, halatang walang alam sa dynamics  Sino ulit ang duwag?</v>
      </c>
      <c r="F454" s="1">
        <f ca="1">IFERROR(__xludf.DUMMYFUNCTION("""COMPUTED_VALUE"""),1)</f>
        <v>1</v>
      </c>
      <c r="G454" s="1" t="str">
        <f ca="1">IFERROR(__xludf.DUMMYFUNCTION("""COMPUTED_VALUE"""),"3 mos")</f>
        <v>3 mos</v>
      </c>
      <c r="H454" s="1" t="str">
        <f ca="1">IFERROR(__xludf.DUMMYFUNCTION("""COMPUTED_VALUE"""),"reply")</f>
        <v>reply</v>
      </c>
      <c r="I454" s="2" t="str">
        <f ca="1">IFERROR(__xludf.DUMMYFUNCTION("""COMPUTED_VALUE"""),"https://www.facebook.com/rapplerdotcom/photos/a.317154781638645/5597592673594803/")</f>
        <v>https://www.facebook.com/rapplerdotcom/photos/a.317154781638645/5597592673594803/</v>
      </c>
      <c r="J454" s="1" t="str">
        <f ca="1">IFERROR(__xludf.DUMMYFUNCTION("""COMPUTED_VALUE"""),"2022-07-04T11:12:52.612Z")</f>
        <v>2022-07-04T11:12:52.612Z</v>
      </c>
    </row>
    <row r="455" spans="1:10" x14ac:dyDescent="0.2">
      <c r="A455" s="2" t="str">
        <f ca="1">IFERROR(__xludf.DUMMYFUNCTION("""COMPUTED_VALUE"""),"https://www.facebook.com/jeanette6881")</f>
        <v>https://www.facebook.com/jeanette6881</v>
      </c>
      <c r="B455" s="1" t="str">
        <f ca="1">IFERROR(__xludf.DUMMYFUNCTION("""COMPUTED_VALUE"""),"Tejano Anette")</f>
        <v>Tejano Anette</v>
      </c>
      <c r="C455" s="1" t="str">
        <f ca="1">IFERROR(__xludf.DUMMYFUNCTION("""COMPUTED_VALUE"""),"Tejano")</f>
        <v>Tejano</v>
      </c>
      <c r="D455" s="1" t="str">
        <f ca="1">IFERROR(__xludf.DUMMYFUNCTION("""COMPUTED_VALUE"""),"Anette")</f>
        <v>Anette</v>
      </c>
      <c r="E455" s="1" t="str">
        <f ca="1">IFERROR(__xludf.DUMMYFUNCTION("""COMPUTED_VALUE"""),"Marichu Bartolaba yong ngang kampo.niyo ang duwag")</f>
        <v>Marichu Bartolaba yong ngang kampo.niyo ang duwag</v>
      </c>
      <c r="F455" s="1"/>
      <c r="G455" s="1" t="str">
        <f ca="1">IFERROR(__xludf.DUMMYFUNCTION("""COMPUTED_VALUE"""),"3 mos")</f>
        <v>3 mos</v>
      </c>
      <c r="H455" s="1" t="str">
        <f ca="1">IFERROR(__xludf.DUMMYFUNCTION("""COMPUTED_VALUE"""),"reply")</f>
        <v>reply</v>
      </c>
      <c r="I455" s="2" t="str">
        <f ca="1">IFERROR(__xludf.DUMMYFUNCTION("""COMPUTED_VALUE"""),"https://www.facebook.com/rapplerdotcom/photos/a.317154781638645/5597592673594803/")</f>
        <v>https://www.facebook.com/rapplerdotcom/photos/a.317154781638645/5597592673594803/</v>
      </c>
      <c r="J455" s="1" t="str">
        <f ca="1">IFERROR(__xludf.DUMMYFUNCTION("""COMPUTED_VALUE"""),"2022-07-04T11:12:52.612Z")</f>
        <v>2022-07-04T11:12:52.612Z</v>
      </c>
    </row>
    <row r="456" spans="1:10" x14ac:dyDescent="0.2">
      <c r="A456" s="2" t="str">
        <f ca="1">IFERROR(__xludf.DUMMYFUNCTION("""COMPUTED_VALUE"""),"https://www.facebook.com/jeth17")</f>
        <v>https://www.facebook.com/jeth17</v>
      </c>
      <c r="B456" s="1" t="str">
        <f ca="1">IFERROR(__xludf.DUMMYFUNCTION("""COMPUTED_VALUE"""),"Jeth Nabuya")</f>
        <v>Jeth Nabuya</v>
      </c>
      <c r="C456" s="1" t="str">
        <f ca="1">IFERROR(__xludf.DUMMYFUNCTION("""COMPUTED_VALUE"""),"Jeth")</f>
        <v>Jeth</v>
      </c>
      <c r="D456" s="1" t="str">
        <f ca="1">IFERROR(__xludf.DUMMYFUNCTION("""COMPUTED_VALUE"""),"Nabuya")</f>
        <v>Nabuya</v>
      </c>
      <c r="E456" s="1" t="str">
        <f ca="1">IFERROR(__xludf.DUMMYFUNCTION("""COMPUTED_VALUE"""),"Marichu Bartolaba talaga ba? 😂😂")</f>
        <v>Marichu Bartolaba talaga ba? 😂😂</v>
      </c>
      <c r="F456" s="1"/>
      <c r="G456" s="1" t="str">
        <f ca="1">IFERROR(__xludf.DUMMYFUNCTION("""COMPUTED_VALUE"""),"3 mos")</f>
        <v>3 mos</v>
      </c>
      <c r="H456" s="1" t="str">
        <f ca="1">IFERROR(__xludf.DUMMYFUNCTION("""COMPUTED_VALUE"""),"reply")</f>
        <v>reply</v>
      </c>
      <c r="I456" s="2" t="str">
        <f ca="1">IFERROR(__xludf.DUMMYFUNCTION("""COMPUTED_VALUE"""),"https://www.facebook.com/rapplerdotcom/photos/a.317154781638645/5597592673594803/")</f>
        <v>https://www.facebook.com/rapplerdotcom/photos/a.317154781638645/5597592673594803/</v>
      </c>
      <c r="J456" s="1" t="str">
        <f ca="1">IFERROR(__xludf.DUMMYFUNCTION("""COMPUTED_VALUE"""),"2022-07-04T11:12:52.612Z")</f>
        <v>2022-07-04T11:12:52.612Z</v>
      </c>
    </row>
    <row r="457" spans="1:10" x14ac:dyDescent="0.2">
      <c r="A457" s="2" t="str">
        <f ca="1">IFERROR(__xludf.DUMMYFUNCTION("""COMPUTED_VALUE"""),"https://www.facebook.com/profile.php?id=100078911753810")</f>
        <v>https://www.facebook.com/profile.php?id=100078911753810</v>
      </c>
      <c r="B457" s="1" t="str">
        <f ca="1">IFERROR(__xludf.DUMMYFUNCTION("""COMPUTED_VALUE"""),"Asyong Aksaya")</f>
        <v>Asyong Aksaya</v>
      </c>
      <c r="C457" s="1" t="str">
        <f ca="1">IFERROR(__xludf.DUMMYFUNCTION("""COMPUTED_VALUE"""),"Asyong")</f>
        <v>Asyong</v>
      </c>
      <c r="D457" s="1" t="str">
        <f ca="1">IFERROR(__xludf.DUMMYFUNCTION("""COMPUTED_VALUE"""),"Aksaya")</f>
        <v>Aksaya</v>
      </c>
      <c r="E457" s="1" t="str">
        <f ca="1">IFERROR(__xludf.DUMMYFUNCTION("""COMPUTED_VALUE"""),"Marichu Bartolaba mukha mo")</f>
        <v>Marichu Bartolaba mukha mo</v>
      </c>
      <c r="F457" s="1"/>
      <c r="G457" s="1" t="str">
        <f ca="1">IFERROR(__xludf.DUMMYFUNCTION("""COMPUTED_VALUE"""),"3 mos")</f>
        <v>3 mos</v>
      </c>
      <c r="H457" s="1" t="str">
        <f ca="1">IFERROR(__xludf.DUMMYFUNCTION("""COMPUTED_VALUE"""),"reply")</f>
        <v>reply</v>
      </c>
      <c r="I457" s="2" t="str">
        <f ca="1">IFERROR(__xludf.DUMMYFUNCTION("""COMPUTED_VALUE"""),"https://www.facebook.com/rapplerdotcom/photos/a.317154781638645/5597592673594803/")</f>
        <v>https://www.facebook.com/rapplerdotcom/photos/a.317154781638645/5597592673594803/</v>
      </c>
      <c r="J457" s="1" t="str">
        <f ca="1">IFERROR(__xludf.DUMMYFUNCTION("""COMPUTED_VALUE"""),"2022-07-04T11:12:52.612Z")</f>
        <v>2022-07-04T11:12:52.612Z</v>
      </c>
    </row>
    <row r="458" spans="1:10" x14ac:dyDescent="0.2">
      <c r="A458" s="2" t="str">
        <f ca="1">IFERROR(__xludf.DUMMYFUNCTION("""COMPUTED_VALUE"""),"https://www.facebook.com/jantenmoto")</f>
        <v>https://www.facebook.com/jantenmoto</v>
      </c>
      <c r="B458" s="1" t="str">
        <f ca="1">IFERROR(__xludf.DUMMYFUNCTION("""COMPUTED_VALUE"""),"Marlon Rondero Concepcion")</f>
        <v>Marlon Rondero Concepcion</v>
      </c>
      <c r="C458" s="1" t="str">
        <f ca="1">IFERROR(__xludf.DUMMYFUNCTION("""COMPUTED_VALUE"""),"Marlon")</f>
        <v>Marlon</v>
      </c>
      <c r="D458" s="1" t="str">
        <f ca="1">IFERROR(__xludf.DUMMYFUNCTION("""COMPUTED_VALUE"""),"Rondero Concepcion")</f>
        <v>Rondero Concepcion</v>
      </c>
      <c r="E458" s="1" t="str">
        <f ca="1">IFERROR(__xludf.DUMMYFUNCTION("""COMPUTED_VALUE"""),"ingatan ang mga wallet at cellphones niyo")</f>
        <v>ingatan ang mga wallet at cellphones niyo</v>
      </c>
      <c r="F458" s="1">
        <f ca="1">IFERROR(__xludf.DUMMYFUNCTION("""COMPUTED_VALUE"""),39)</f>
        <v>39</v>
      </c>
      <c r="G458" s="1" t="str">
        <f ca="1">IFERROR(__xludf.DUMMYFUNCTION("""COMPUTED_VALUE"""),"3 mos")</f>
        <v>3 mos</v>
      </c>
      <c r="H458" s="1" t="str">
        <f ca="1">IFERROR(__xludf.DUMMYFUNCTION("""COMPUTED_VALUE"""),"comment")</f>
        <v>comment</v>
      </c>
      <c r="I458" s="2" t="str">
        <f ca="1">IFERROR(__xludf.DUMMYFUNCTION("""COMPUTED_VALUE"""),"https://www.facebook.com/rapplerdotcom/photos/a.317154781638645/5597592673594803/")</f>
        <v>https://www.facebook.com/rapplerdotcom/photos/a.317154781638645/5597592673594803/</v>
      </c>
      <c r="J458" s="1" t="str">
        <f ca="1">IFERROR(__xludf.DUMMYFUNCTION("""COMPUTED_VALUE"""),"2022-07-04T11:12:52.612Z")</f>
        <v>2022-07-04T11:12:52.612Z</v>
      </c>
    </row>
    <row r="459" spans="1:10" x14ac:dyDescent="0.2">
      <c r="A459" s="2" t="str">
        <f ca="1">IFERROR(__xludf.DUMMYFUNCTION("""COMPUTED_VALUE"""),"https://www.facebook.com/christian.vicente.104")</f>
        <v>https://www.facebook.com/christian.vicente.104</v>
      </c>
      <c r="B459" s="1" t="str">
        <f ca="1">IFERROR(__xludf.DUMMYFUNCTION("""COMPUTED_VALUE"""),"Christian Vicente")</f>
        <v>Christian Vicente</v>
      </c>
      <c r="C459" s="1" t="str">
        <f ca="1">IFERROR(__xludf.DUMMYFUNCTION("""COMPUTED_VALUE"""),"Christian")</f>
        <v>Christian</v>
      </c>
      <c r="D459" s="1" t="str">
        <f ca="1">IFERROR(__xludf.DUMMYFUNCTION("""COMPUTED_VALUE"""),"Vicente")</f>
        <v>Vicente</v>
      </c>
      <c r="E459" s="1" t="str">
        <f ca="1">IFERROR(__xludf.DUMMYFUNCTION("""COMPUTED_VALUE"""),"Marlon Rondero Concepcion wag mo ikumpara lugar nyu dito sa amin! mas maraming mandurukot jan sa inyu kumpara sa lugar namin! ahahahaha")</f>
        <v>Marlon Rondero Concepcion wag mo ikumpara lugar nyu dito sa amin! mas maraming mandurukot jan sa inyu kumpara sa lugar namin! ahahahaha</v>
      </c>
      <c r="F459" s="1">
        <f ca="1">IFERROR(__xludf.DUMMYFUNCTION("""COMPUTED_VALUE"""),4)</f>
        <v>4</v>
      </c>
      <c r="G459" s="1" t="str">
        <f ca="1">IFERROR(__xludf.DUMMYFUNCTION("""COMPUTED_VALUE"""),"3 mos")</f>
        <v>3 mos</v>
      </c>
      <c r="H459" s="1" t="str">
        <f ca="1">IFERROR(__xludf.DUMMYFUNCTION("""COMPUTED_VALUE"""),"reply")</f>
        <v>reply</v>
      </c>
      <c r="I459" s="2" t="str">
        <f ca="1">IFERROR(__xludf.DUMMYFUNCTION("""COMPUTED_VALUE"""),"https://www.facebook.com/rapplerdotcom/photos/a.317154781638645/5597592673594803/")</f>
        <v>https://www.facebook.com/rapplerdotcom/photos/a.317154781638645/5597592673594803/</v>
      </c>
      <c r="J459" s="1" t="str">
        <f ca="1">IFERROR(__xludf.DUMMYFUNCTION("""COMPUTED_VALUE"""),"2022-07-04T11:12:52.612Z")</f>
        <v>2022-07-04T11:12:52.612Z</v>
      </c>
    </row>
    <row r="460" spans="1:10" x14ac:dyDescent="0.2">
      <c r="A460" s="2" t="str">
        <f ca="1">IFERROR(__xludf.DUMMYFUNCTION("""COMPUTED_VALUE"""),"https://www.facebook.com/angelitoljaojr")</f>
        <v>https://www.facebook.com/angelitoljaojr</v>
      </c>
      <c r="B460" s="1" t="str">
        <f ca="1">IFERROR(__xludf.DUMMYFUNCTION("""COMPUTED_VALUE"""),"Angelito Jao Jr.")</f>
        <v>Angelito Jao Jr.</v>
      </c>
      <c r="C460" s="1" t="str">
        <f ca="1">IFERROR(__xludf.DUMMYFUNCTION("""COMPUTED_VALUE"""),"Angelito")</f>
        <v>Angelito</v>
      </c>
      <c r="D460" s="1" t="str">
        <f ca="1">IFERROR(__xludf.DUMMYFUNCTION("""COMPUTED_VALUE"""),"Jao Jr.")</f>
        <v>Jao Jr.</v>
      </c>
      <c r="E460" s="1" t="str">
        <f ca="1">IFERROR(__xludf.DUMMYFUNCTION("""COMPUTED_VALUE"""),"Marlon Rondero Concepcion pre di makakatulong yang mga ganyang comment unless UNITEAM talaga ang pinaglalaban mo")</f>
        <v>Marlon Rondero Concepcion pre di makakatulong yang mga ganyang comment unless UNITEAM talaga ang pinaglalaban mo</v>
      </c>
      <c r="F460" s="1">
        <f ca="1">IFERROR(__xludf.DUMMYFUNCTION("""COMPUTED_VALUE"""),1)</f>
        <v>1</v>
      </c>
      <c r="G460" s="1" t="str">
        <f ca="1">IFERROR(__xludf.DUMMYFUNCTION("""COMPUTED_VALUE"""),"3 mos")</f>
        <v>3 mos</v>
      </c>
      <c r="H460" s="1" t="str">
        <f ca="1">IFERROR(__xludf.DUMMYFUNCTION("""COMPUTED_VALUE"""),"reply")</f>
        <v>reply</v>
      </c>
      <c r="I460" s="2" t="str">
        <f ca="1">IFERROR(__xludf.DUMMYFUNCTION("""COMPUTED_VALUE"""),"https://www.facebook.com/rapplerdotcom/photos/a.317154781638645/5597592673594803/")</f>
        <v>https://www.facebook.com/rapplerdotcom/photos/a.317154781638645/5597592673594803/</v>
      </c>
      <c r="J460" s="1" t="str">
        <f ca="1">IFERROR(__xludf.DUMMYFUNCTION("""COMPUTED_VALUE"""),"2022-07-04T11:12:52.612Z")</f>
        <v>2022-07-04T11:12:52.612Z</v>
      </c>
    </row>
    <row r="461" spans="1:10" x14ac:dyDescent="0.2">
      <c r="A461" s="2" t="str">
        <f ca="1">IFERROR(__xludf.DUMMYFUNCTION("""COMPUTED_VALUE"""),"https://www.facebook.com/jheilynn.paz")</f>
        <v>https://www.facebook.com/jheilynn.paz</v>
      </c>
      <c r="B461" s="1" t="str">
        <f ca="1">IFERROR(__xludf.DUMMYFUNCTION("""COMPUTED_VALUE"""),"Jonalyn Castro Paz Rubenecia")</f>
        <v>Jonalyn Castro Paz Rubenecia</v>
      </c>
      <c r="C461" s="1" t="str">
        <f ca="1">IFERROR(__xludf.DUMMYFUNCTION("""COMPUTED_VALUE"""),"Jonalyn")</f>
        <v>Jonalyn</v>
      </c>
      <c r="D461" s="1" t="str">
        <f ca="1">IFERROR(__xludf.DUMMYFUNCTION("""COMPUTED_VALUE"""),"Castro Paz Rubenecia")</f>
        <v>Castro Paz Rubenecia</v>
      </c>
      <c r="E461" s="1" t="str">
        <f ca="1">IFERROR(__xludf.DUMMYFUNCTION("""COMPUTED_VALUE"""),"Marlon Rondero Concepcion ingatan mo sarili mo.. Baka mamaya masagasaan ka..")</f>
        <v>Marlon Rondero Concepcion ingatan mo sarili mo.. Baka mamaya masagasaan ka..</v>
      </c>
      <c r="F461" s="1">
        <f ca="1">IFERROR(__xludf.DUMMYFUNCTION("""COMPUTED_VALUE"""),2)</f>
        <v>2</v>
      </c>
      <c r="G461" s="1" t="str">
        <f ca="1">IFERROR(__xludf.DUMMYFUNCTION("""COMPUTED_VALUE"""),"3 mos")</f>
        <v>3 mos</v>
      </c>
      <c r="H461" s="1" t="str">
        <f ca="1">IFERROR(__xludf.DUMMYFUNCTION("""COMPUTED_VALUE"""),"reply")</f>
        <v>reply</v>
      </c>
      <c r="I461" s="2" t="str">
        <f ca="1">IFERROR(__xludf.DUMMYFUNCTION("""COMPUTED_VALUE"""),"https://www.facebook.com/rapplerdotcom/photos/a.317154781638645/5597592673594803/")</f>
        <v>https://www.facebook.com/rapplerdotcom/photos/a.317154781638645/5597592673594803/</v>
      </c>
      <c r="J461" s="1" t="str">
        <f ca="1">IFERROR(__xludf.DUMMYFUNCTION("""COMPUTED_VALUE"""),"2022-07-04T11:12:52.612Z")</f>
        <v>2022-07-04T11:12:52.612Z</v>
      </c>
    </row>
    <row r="462" spans="1:10" x14ac:dyDescent="0.2">
      <c r="A462" s="2" t="str">
        <f ca="1">IFERROR(__xludf.DUMMYFUNCTION("""COMPUTED_VALUE"""),"https://www.facebook.com/paul.a.estrada.5")</f>
        <v>https://www.facebook.com/paul.a.estrada.5</v>
      </c>
      <c r="B462" s="1" t="str">
        <f ca="1">IFERROR(__xludf.DUMMYFUNCTION("""COMPUTED_VALUE"""),"Paul A. Estrada")</f>
        <v>Paul A. Estrada</v>
      </c>
      <c r="C462" s="1" t="str">
        <f ca="1">IFERROR(__xludf.DUMMYFUNCTION("""COMPUTED_VALUE"""),"Paul")</f>
        <v>Paul</v>
      </c>
      <c r="D462" s="1" t="str">
        <f ca="1">IFERROR(__xludf.DUMMYFUNCTION("""COMPUTED_VALUE"""),"A. Estrada")</f>
        <v>A. Estrada</v>
      </c>
      <c r="E462" s="1" t="str">
        <f ca="1">IFERROR(__xludf.DUMMYFUNCTION("""COMPUTED_VALUE"""),"Mabuti pa ito'ng mga supporters ng uni-team sa gensan at cotabato, may poise, relaxed &amp; full of confidence sa sinusuportahan nila. Sa camanava para'ng mga pinakawalan sa gubat pati tarpulin kayang takpan ang amazon jungle sa brazil sa laki, para bulagin k"&amp;"a sa pagmumukha ni tarzan &amp; jane.")</f>
        <v>Mabuti pa ito'ng mga supporters ng uni-team sa gensan at cotabato, may poise, relaxed &amp; full of confidence sa sinusuportahan nila. Sa camanava para'ng mga pinakawalan sa gubat pati tarpulin kayang takpan ang amazon jungle sa brazil sa laki, para bulagin ka sa pagmumukha ni tarzan &amp; jane.</v>
      </c>
      <c r="F462" s="1">
        <f ca="1">IFERROR(__xludf.DUMMYFUNCTION("""COMPUTED_VALUE"""),16)</f>
        <v>16</v>
      </c>
      <c r="G462" s="1" t="str">
        <f ca="1">IFERROR(__xludf.DUMMYFUNCTION("""COMPUTED_VALUE"""),"3 mos")</f>
        <v>3 mos</v>
      </c>
      <c r="H462" s="1" t="str">
        <f ca="1">IFERROR(__xludf.DUMMYFUNCTION("""COMPUTED_VALUE"""),"comment")</f>
        <v>comment</v>
      </c>
      <c r="I462" s="2" t="str">
        <f ca="1">IFERROR(__xludf.DUMMYFUNCTION("""COMPUTED_VALUE"""),"https://www.facebook.com/rapplerdotcom/photos/a.317154781638645/5597592673594803/")</f>
        <v>https://www.facebook.com/rapplerdotcom/photos/a.317154781638645/5597592673594803/</v>
      </c>
      <c r="J462" s="1" t="str">
        <f ca="1">IFERROR(__xludf.DUMMYFUNCTION("""COMPUTED_VALUE"""),"2022-07-04T11:12:52.612Z")</f>
        <v>2022-07-04T11:12:52.612Z</v>
      </c>
    </row>
    <row r="463" spans="1:10" x14ac:dyDescent="0.2">
      <c r="A463" s="2" t="str">
        <f ca="1">IFERROR(__xludf.DUMMYFUNCTION("""COMPUTED_VALUE"""),"https://www.facebook.com/geobert.osma")</f>
        <v>https://www.facebook.com/geobert.osma</v>
      </c>
      <c r="B463" s="1" t="str">
        <f ca="1">IFERROR(__xludf.DUMMYFUNCTION("""COMPUTED_VALUE"""),"Geobert Osma")</f>
        <v>Geobert Osma</v>
      </c>
      <c r="C463" s="1" t="str">
        <f ca="1">IFERROR(__xludf.DUMMYFUNCTION("""COMPUTED_VALUE"""),"Geobert")</f>
        <v>Geobert</v>
      </c>
      <c r="D463" s="1" t="str">
        <f ca="1">IFERROR(__xludf.DUMMYFUNCTION("""COMPUTED_VALUE"""),"Osma")</f>
        <v>Osma</v>
      </c>
      <c r="E463" s="1" t="str">
        <f ca="1">IFERROR(__xludf.DUMMYFUNCTION("""COMPUTED_VALUE"""),"Paul A. Estrada Sinasabi mong nonsense?")</f>
        <v>Paul A. Estrada Sinasabi mong nonsense?</v>
      </c>
      <c r="F463" s="1">
        <f ca="1">IFERROR(__xludf.DUMMYFUNCTION("""COMPUTED_VALUE"""),2)</f>
        <v>2</v>
      </c>
      <c r="G463" s="1" t="str">
        <f ca="1">IFERROR(__xludf.DUMMYFUNCTION("""COMPUTED_VALUE"""),"3 mos")</f>
        <v>3 mos</v>
      </c>
      <c r="H463" s="1" t="str">
        <f ca="1">IFERROR(__xludf.DUMMYFUNCTION("""COMPUTED_VALUE"""),"reply")</f>
        <v>reply</v>
      </c>
      <c r="I463" s="2" t="str">
        <f ca="1">IFERROR(__xludf.DUMMYFUNCTION("""COMPUTED_VALUE"""),"https://www.facebook.com/rapplerdotcom/photos/a.317154781638645/5597592673594803/")</f>
        <v>https://www.facebook.com/rapplerdotcom/photos/a.317154781638645/5597592673594803/</v>
      </c>
      <c r="J463" s="1" t="str">
        <f ca="1">IFERROR(__xludf.DUMMYFUNCTION("""COMPUTED_VALUE"""),"2022-07-04T11:12:52.612Z")</f>
        <v>2022-07-04T11:12:52.612Z</v>
      </c>
    </row>
    <row r="464" spans="1:10" x14ac:dyDescent="0.2">
      <c r="A464" s="2" t="str">
        <f ca="1">IFERROR(__xludf.DUMMYFUNCTION("""COMPUTED_VALUE"""),"https://www.facebook.com/ven.el.9")</f>
        <v>https://www.facebook.com/ven.el.9</v>
      </c>
      <c r="B464" s="1" t="str">
        <f ca="1">IFERROR(__xludf.DUMMYFUNCTION("""COMPUTED_VALUE"""),"Ramos Nomer")</f>
        <v>Ramos Nomer</v>
      </c>
      <c r="C464" s="1" t="str">
        <f ca="1">IFERROR(__xludf.DUMMYFUNCTION("""COMPUTED_VALUE"""),"Ramos")</f>
        <v>Ramos</v>
      </c>
      <c r="D464" s="1" t="str">
        <f ca="1">IFERROR(__xludf.DUMMYFUNCTION("""COMPUTED_VALUE"""),"Nomer")</f>
        <v>Nomer</v>
      </c>
      <c r="E464" s="1" t="str">
        <f ca="1">IFERROR(__xludf.DUMMYFUNCTION("""COMPUTED_VALUE"""),"Para kang idol mo, di ma intindihan sinasabi.")</f>
        <v>Para kang idol mo, di ma intindihan sinasabi.</v>
      </c>
      <c r="F464" s="1">
        <f ca="1">IFERROR(__xludf.DUMMYFUNCTION("""COMPUTED_VALUE"""),10)</f>
        <v>10</v>
      </c>
      <c r="G464" s="1" t="str">
        <f ca="1">IFERROR(__xludf.DUMMYFUNCTION("""COMPUTED_VALUE"""),"3 mos")</f>
        <v>3 mos</v>
      </c>
      <c r="H464" s="1" t="str">
        <f ca="1">IFERROR(__xludf.DUMMYFUNCTION("""COMPUTED_VALUE"""),"reply")</f>
        <v>reply</v>
      </c>
      <c r="I464" s="2" t="str">
        <f ca="1">IFERROR(__xludf.DUMMYFUNCTION("""COMPUTED_VALUE"""),"https://www.facebook.com/rapplerdotcom/photos/a.317154781638645/5597592673594803/")</f>
        <v>https://www.facebook.com/rapplerdotcom/photos/a.317154781638645/5597592673594803/</v>
      </c>
      <c r="J464" s="1" t="str">
        <f ca="1">IFERROR(__xludf.DUMMYFUNCTION("""COMPUTED_VALUE"""),"2022-07-04T11:12:52.612Z")</f>
        <v>2022-07-04T11:12:52.612Z</v>
      </c>
    </row>
    <row r="465" spans="1:10" x14ac:dyDescent="0.2">
      <c r="A465" s="2" t="str">
        <f ca="1">IFERROR(__xludf.DUMMYFUNCTION("""COMPUTED_VALUE"""),"https://www.facebook.com/jonathan.sajo")</f>
        <v>https://www.facebook.com/jonathan.sajo</v>
      </c>
      <c r="B465" s="1" t="str">
        <f ca="1">IFERROR(__xludf.DUMMYFUNCTION("""COMPUTED_VALUE"""),"Jonathan Sajo")</f>
        <v>Jonathan Sajo</v>
      </c>
      <c r="C465" s="1" t="str">
        <f ca="1">IFERROR(__xludf.DUMMYFUNCTION("""COMPUTED_VALUE"""),"Jonathan")</f>
        <v>Jonathan</v>
      </c>
      <c r="D465" s="1" t="str">
        <f ca="1">IFERROR(__xludf.DUMMYFUNCTION("""COMPUTED_VALUE"""),"Sajo")</f>
        <v>Sajo</v>
      </c>
      <c r="E465" s="1" t="str">
        <f ca="1">IFERROR(__xludf.DUMMYFUNCTION("""COMPUTED_VALUE"""),"Geobert Osma kulang sa coke iba2 na sinasabi..")</f>
        <v>Geobert Osma kulang sa coke iba2 na sinasabi..</v>
      </c>
      <c r="F465" s="1">
        <f ca="1">IFERROR(__xludf.DUMMYFUNCTION("""COMPUTED_VALUE"""),1)</f>
        <v>1</v>
      </c>
      <c r="G465" s="1" t="str">
        <f ca="1">IFERROR(__xludf.DUMMYFUNCTION("""COMPUTED_VALUE"""),"3 mos")</f>
        <v>3 mos</v>
      </c>
      <c r="H465" s="1" t="str">
        <f ca="1">IFERROR(__xludf.DUMMYFUNCTION("""COMPUTED_VALUE"""),"reply")</f>
        <v>reply</v>
      </c>
      <c r="I465" s="2" t="str">
        <f ca="1">IFERROR(__xludf.DUMMYFUNCTION("""COMPUTED_VALUE"""),"https://www.facebook.com/rapplerdotcom/photos/a.317154781638645/5597592673594803/")</f>
        <v>https://www.facebook.com/rapplerdotcom/photos/a.317154781638645/5597592673594803/</v>
      </c>
      <c r="J465" s="1" t="str">
        <f ca="1">IFERROR(__xludf.DUMMYFUNCTION("""COMPUTED_VALUE"""),"2022-07-04T11:12:52.612Z")</f>
        <v>2022-07-04T11:12:52.612Z</v>
      </c>
    </row>
    <row r="466" spans="1:10" x14ac:dyDescent="0.2">
      <c r="A466" s="2" t="str">
        <f ca="1">IFERROR(__xludf.DUMMYFUNCTION("""COMPUTED_VALUE"""),"https://www.facebook.com/emeterio.sarvilla")</f>
        <v>https://www.facebook.com/emeterio.sarvilla</v>
      </c>
      <c r="B466" s="1" t="str">
        <f ca="1">IFERROR(__xludf.DUMMYFUNCTION("""COMPUTED_VALUE"""),"Emeterio Sarvilla")</f>
        <v>Emeterio Sarvilla</v>
      </c>
      <c r="C466" s="1" t="str">
        <f ca="1">IFERROR(__xludf.DUMMYFUNCTION("""COMPUTED_VALUE"""),"Emeterio")</f>
        <v>Emeterio</v>
      </c>
      <c r="D466" s="1" t="str">
        <f ca="1">IFERROR(__xludf.DUMMYFUNCTION("""COMPUTED_VALUE"""),"Sarvilla")</f>
        <v>Sarvilla</v>
      </c>
      <c r="E466" s="1" t="str">
        <f ca="1">IFERROR(__xludf.DUMMYFUNCTION("""COMPUTED_VALUE"""),"Paul A. Estrada GORILLA NG AMAZON NAGSASALITA NA.")</f>
        <v>Paul A. Estrada GORILLA NG AMAZON NAGSASALITA NA.</v>
      </c>
      <c r="F466" s="1"/>
      <c r="G466" s="1" t="str">
        <f ca="1">IFERROR(__xludf.DUMMYFUNCTION("""COMPUTED_VALUE"""),"3 mos")</f>
        <v>3 mos</v>
      </c>
      <c r="H466" s="1" t="str">
        <f ca="1">IFERROR(__xludf.DUMMYFUNCTION("""COMPUTED_VALUE"""),"reply")</f>
        <v>reply</v>
      </c>
      <c r="I466" s="2" t="str">
        <f ca="1">IFERROR(__xludf.DUMMYFUNCTION("""COMPUTED_VALUE"""),"https://www.facebook.com/rapplerdotcom/photos/a.317154781638645/5597592673594803/")</f>
        <v>https://www.facebook.com/rapplerdotcom/photos/a.317154781638645/5597592673594803/</v>
      </c>
      <c r="J466" s="1" t="str">
        <f ca="1">IFERROR(__xludf.DUMMYFUNCTION("""COMPUTED_VALUE"""),"2022-07-04T11:12:52.612Z")</f>
        <v>2022-07-04T11:12:52.612Z</v>
      </c>
    </row>
    <row r="467" spans="1:10" x14ac:dyDescent="0.2">
      <c r="A467" s="2" t="str">
        <f ca="1">IFERROR(__xludf.DUMMYFUNCTION("""COMPUTED_VALUE"""),"https://www.facebook.com/khali.gab")</f>
        <v>https://www.facebook.com/khali.gab</v>
      </c>
      <c r="B467" s="1" t="str">
        <f ca="1">IFERROR(__xludf.DUMMYFUNCTION("""COMPUTED_VALUE"""),"Bangon Pinas")</f>
        <v>Bangon Pinas</v>
      </c>
      <c r="C467" s="1" t="str">
        <f ca="1">IFERROR(__xludf.DUMMYFUNCTION("""COMPUTED_VALUE"""),"Bangon")</f>
        <v>Bangon</v>
      </c>
      <c r="D467" s="1" t="str">
        <f ca="1">IFERROR(__xludf.DUMMYFUNCTION("""COMPUTED_VALUE"""),"Pinas")</f>
        <v>Pinas</v>
      </c>
      <c r="E467" s="1" t="str">
        <f ca="1">IFERROR(__xludf.DUMMYFUNCTION("""COMPUTED_VALUE"""),"Paul A. Estrada walang Bus na naghakot :D puro private cars at pwede pa makisakay mga walang masakyan :D")</f>
        <v>Paul A. Estrada walang Bus na naghakot :D puro private cars at pwede pa makisakay mga walang masakyan :D</v>
      </c>
      <c r="F467" s="1">
        <f ca="1">IFERROR(__xludf.DUMMYFUNCTION("""COMPUTED_VALUE"""),2)</f>
        <v>2</v>
      </c>
      <c r="G467" s="1" t="str">
        <f ca="1">IFERROR(__xludf.DUMMYFUNCTION("""COMPUTED_VALUE"""),"3 mos")</f>
        <v>3 mos</v>
      </c>
      <c r="H467" s="1" t="str">
        <f ca="1">IFERROR(__xludf.DUMMYFUNCTION("""COMPUTED_VALUE"""),"reply")</f>
        <v>reply</v>
      </c>
      <c r="I467" s="2" t="str">
        <f ca="1">IFERROR(__xludf.DUMMYFUNCTION("""COMPUTED_VALUE"""),"https://www.facebook.com/rapplerdotcom/photos/a.317154781638645/5597592673594803/")</f>
        <v>https://www.facebook.com/rapplerdotcom/photos/a.317154781638645/5597592673594803/</v>
      </c>
      <c r="J467" s="1" t="str">
        <f ca="1">IFERROR(__xludf.DUMMYFUNCTION("""COMPUTED_VALUE"""),"2022-07-04T11:12:52.612Z")</f>
        <v>2022-07-04T11:12:52.612Z</v>
      </c>
    </row>
    <row r="468" spans="1:10" x14ac:dyDescent="0.2">
      <c r="A468" s="2" t="str">
        <f ca="1">IFERROR(__xludf.DUMMYFUNCTION("""COMPUTED_VALUE"""),"https://www.facebook.com/jaredhdown")</f>
        <v>https://www.facebook.com/jaredhdown</v>
      </c>
      <c r="B468" s="1" t="str">
        <f ca="1">IFERROR(__xludf.DUMMYFUNCTION("""COMPUTED_VALUE"""),"John Edward Castillo")</f>
        <v>John Edward Castillo</v>
      </c>
      <c r="C468" s="1" t="str">
        <f ca="1">IFERROR(__xludf.DUMMYFUNCTION("""COMPUTED_VALUE"""),"John")</f>
        <v>John</v>
      </c>
      <c r="D468" s="1" t="str">
        <f ca="1">IFERROR(__xludf.DUMMYFUNCTION("""COMPUTED_VALUE"""),"Edward Castillo")</f>
        <v>Edward Castillo</v>
      </c>
      <c r="E468" s="1" t="str">
        <f ca="1">IFERROR(__xludf.DUMMYFUNCTION("""COMPUTED_VALUE"""),"Paul A. Estrada pag inggit, PINK IT!")</f>
        <v>Paul A. Estrada pag inggit, PINK IT!</v>
      </c>
      <c r="F468" s="1">
        <f ca="1">IFERROR(__xludf.DUMMYFUNCTION("""COMPUTED_VALUE"""),2)</f>
        <v>2</v>
      </c>
      <c r="G468" s="1" t="str">
        <f ca="1">IFERROR(__xludf.DUMMYFUNCTION("""COMPUTED_VALUE"""),"3 mos")</f>
        <v>3 mos</v>
      </c>
      <c r="H468" s="1" t="str">
        <f ca="1">IFERROR(__xludf.DUMMYFUNCTION("""COMPUTED_VALUE"""),"reply")</f>
        <v>reply</v>
      </c>
      <c r="I468" s="2" t="str">
        <f ca="1">IFERROR(__xludf.DUMMYFUNCTION("""COMPUTED_VALUE"""),"https://www.facebook.com/rapplerdotcom/photos/a.317154781638645/5597592673594803/")</f>
        <v>https://www.facebook.com/rapplerdotcom/photos/a.317154781638645/5597592673594803/</v>
      </c>
      <c r="J468" s="1" t="str">
        <f ca="1">IFERROR(__xludf.DUMMYFUNCTION("""COMPUTED_VALUE"""),"2022-07-04T11:12:52.612Z")</f>
        <v>2022-07-04T11:12:52.612Z</v>
      </c>
    </row>
    <row r="469" spans="1:10" x14ac:dyDescent="0.2">
      <c r="A469" s="2" t="str">
        <f ca="1">IFERROR(__xludf.DUMMYFUNCTION("""COMPUTED_VALUE"""),"https://www.facebook.com/zayn.zee.16")</f>
        <v>https://www.facebook.com/zayn.zee.16</v>
      </c>
      <c r="B469" s="1" t="str">
        <f ca="1">IFERROR(__xludf.DUMMYFUNCTION("""COMPUTED_VALUE"""),"Xyren Zayn")</f>
        <v>Xyren Zayn</v>
      </c>
      <c r="C469" s="1" t="str">
        <f ca="1">IFERROR(__xludf.DUMMYFUNCTION("""COMPUTED_VALUE"""),"Xyren")</f>
        <v>Xyren</v>
      </c>
      <c r="D469" s="1" t="str">
        <f ca="1">IFERROR(__xludf.DUMMYFUNCTION("""COMPUTED_VALUE"""),"Zayn")</f>
        <v>Zayn</v>
      </c>
      <c r="E469" s="1" t="str">
        <f ca="1">IFERROR(__xludf.DUMMYFUNCTION("""COMPUTED_VALUE"""),"Paul A. Estrada yan nmn ung parang npipilitan lng! whats wrong guys??di pa ngssmula pro prang gusto nyo ng mtapos agad??😂😂😂 pg proud supporters kayo dpat full of energy&amp;excitemnt!😀 tulad nong mga KAKAMPINKS!😂")</f>
        <v>Paul A. Estrada yan nmn ung parang npipilitan lng! whats wrong guys??di pa ngssmula pro prang gusto nyo ng mtapos agad??😂😂😂 pg proud supporters kayo dpat full of energy&amp;excitemnt!😀 tulad nong mga KAKAMPINKS!😂</v>
      </c>
      <c r="F469" s="1">
        <f ca="1">IFERROR(__xludf.DUMMYFUNCTION("""COMPUTED_VALUE"""),4)</f>
        <v>4</v>
      </c>
      <c r="G469" s="1" t="str">
        <f ca="1">IFERROR(__xludf.DUMMYFUNCTION("""COMPUTED_VALUE"""),"3 mos")</f>
        <v>3 mos</v>
      </c>
      <c r="H469" s="1" t="str">
        <f ca="1">IFERROR(__xludf.DUMMYFUNCTION("""COMPUTED_VALUE"""),"reply")</f>
        <v>reply</v>
      </c>
      <c r="I469" s="2" t="str">
        <f ca="1">IFERROR(__xludf.DUMMYFUNCTION("""COMPUTED_VALUE"""),"https://www.facebook.com/rapplerdotcom/photos/a.317154781638645/5597592673594803/")</f>
        <v>https://www.facebook.com/rapplerdotcom/photos/a.317154781638645/5597592673594803/</v>
      </c>
      <c r="J469" s="1" t="str">
        <f ca="1">IFERROR(__xludf.DUMMYFUNCTION("""COMPUTED_VALUE"""),"2022-07-04T11:12:52.612Z")</f>
        <v>2022-07-04T11:12:52.612Z</v>
      </c>
    </row>
    <row r="470" spans="1:10" x14ac:dyDescent="0.2">
      <c r="A470" s="2" t="str">
        <f ca="1">IFERROR(__xludf.DUMMYFUNCTION("""COMPUTED_VALUE"""),"https://www.facebook.com/denshaw.rios")</f>
        <v>https://www.facebook.com/denshaw.rios</v>
      </c>
      <c r="B470" s="1" t="str">
        <f ca="1">IFERROR(__xludf.DUMMYFUNCTION("""COMPUTED_VALUE"""),"Denshaw Rios")</f>
        <v>Denshaw Rios</v>
      </c>
      <c r="C470" s="1" t="str">
        <f ca="1">IFERROR(__xludf.DUMMYFUNCTION("""COMPUTED_VALUE"""),"Denshaw")</f>
        <v>Denshaw</v>
      </c>
      <c r="D470" s="1" t="str">
        <f ca="1">IFERROR(__xludf.DUMMYFUNCTION("""COMPUTED_VALUE"""),"Rios")</f>
        <v>Rios</v>
      </c>
      <c r="E470" s="1" t="str">
        <f ca="1">IFERROR(__xludf.DUMMYFUNCTION("""COMPUTED_VALUE"""),"Paul A. Estrada tabogo ka lang talaga. 🤣")</f>
        <v>Paul A. Estrada tabogo ka lang talaga. 🤣</v>
      </c>
      <c r="F470" s="1"/>
      <c r="G470" s="1" t="str">
        <f ca="1">IFERROR(__xludf.DUMMYFUNCTION("""COMPUTED_VALUE"""),"3 mos")</f>
        <v>3 mos</v>
      </c>
      <c r="H470" s="1" t="str">
        <f ca="1">IFERROR(__xludf.DUMMYFUNCTION("""COMPUTED_VALUE"""),"reply")</f>
        <v>reply</v>
      </c>
      <c r="I470" s="2" t="str">
        <f ca="1">IFERROR(__xludf.DUMMYFUNCTION("""COMPUTED_VALUE"""),"https://www.facebook.com/rapplerdotcom/photos/a.317154781638645/5597592673594803/")</f>
        <v>https://www.facebook.com/rapplerdotcom/photos/a.317154781638645/5597592673594803/</v>
      </c>
      <c r="J470" s="1" t="str">
        <f ca="1">IFERROR(__xludf.DUMMYFUNCTION("""COMPUTED_VALUE"""),"2022-07-04T11:12:52.612Z")</f>
        <v>2022-07-04T11:12:52.612Z</v>
      </c>
    </row>
    <row r="471" spans="1:10" x14ac:dyDescent="0.2">
      <c r="A471" s="2" t="str">
        <f ca="1">IFERROR(__xludf.DUMMYFUNCTION("""COMPUTED_VALUE"""),"https://www.facebook.com/iamlegend41")</f>
        <v>https://www.facebook.com/iamlegend41</v>
      </c>
      <c r="B471" s="1" t="str">
        <f ca="1">IFERROR(__xludf.DUMMYFUNCTION("""COMPUTED_VALUE"""),"Alvin San Luis")</f>
        <v>Alvin San Luis</v>
      </c>
      <c r="C471" s="1" t="str">
        <f ca="1">IFERROR(__xludf.DUMMYFUNCTION("""COMPUTED_VALUE"""),"Alvin")</f>
        <v>Alvin</v>
      </c>
      <c r="D471" s="1" t="str">
        <f ca="1">IFERROR(__xludf.DUMMYFUNCTION("""COMPUTED_VALUE"""),"San Luis")</f>
        <v>San Luis</v>
      </c>
      <c r="E471" s="1" t="str">
        <f ca="1">IFERROR(__xludf.DUMMYFUNCTION("""COMPUTED_VALUE"""),"Paul A. Estrada hindi ba tulad nun nag atuhan.ng upuan😂")</f>
        <v>Paul A. Estrada hindi ba tulad nun nag atuhan.ng upuan😂</v>
      </c>
      <c r="F471" s="1"/>
      <c r="G471" s="1" t="str">
        <f ca="1">IFERROR(__xludf.DUMMYFUNCTION("""COMPUTED_VALUE"""),"3 mos")</f>
        <v>3 mos</v>
      </c>
      <c r="H471" s="1" t="str">
        <f ca="1">IFERROR(__xludf.DUMMYFUNCTION("""COMPUTED_VALUE"""),"reply")</f>
        <v>reply</v>
      </c>
      <c r="I471" s="2" t="str">
        <f ca="1">IFERROR(__xludf.DUMMYFUNCTION("""COMPUTED_VALUE"""),"https://www.facebook.com/rapplerdotcom/photos/a.317154781638645/5597592673594803/")</f>
        <v>https://www.facebook.com/rapplerdotcom/photos/a.317154781638645/5597592673594803/</v>
      </c>
      <c r="J471" s="1" t="str">
        <f ca="1">IFERROR(__xludf.DUMMYFUNCTION("""COMPUTED_VALUE"""),"2022-07-04T11:12:52.612Z")</f>
        <v>2022-07-04T11:12:52.612Z</v>
      </c>
    </row>
    <row r="472" spans="1:10" x14ac:dyDescent="0.2">
      <c r="A472" s="2" t="str">
        <f ca="1">IFERROR(__xludf.DUMMYFUNCTION("""COMPUTED_VALUE"""),"https://www.facebook.com/jun.osorio.12")</f>
        <v>https://www.facebook.com/jun.osorio.12</v>
      </c>
      <c r="B472" s="1" t="str">
        <f ca="1">IFERROR(__xludf.DUMMYFUNCTION("""COMPUTED_VALUE"""),"Os Minnow-i")</f>
        <v>Os Minnow-i</v>
      </c>
      <c r="C472" s="1" t="str">
        <f ca="1">IFERROR(__xludf.DUMMYFUNCTION("""COMPUTED_VALUE"""),"Os")</f>
        <v>Os</v>
      </c>
      <c r="D472" s="1" t="str">
        <f ca="1">IFERROR(__xludf.DUMMYFUNCTION("""COMPUTED_VALUE"""),"Minnow-i")</f>
        <v>Minnow-i</v>
      </c>
      <c r="E472" s="1" t="str">
        <f ca="1">IFERROR(__xludf.DUMMYFUNCTION("""COMPUTED_VALUE"""),"Paul A. Estrada bakit andun k. O baka naman nakipanuod k. Enjoy nuh. Sarap maging Kakampink")</f>
        <v>Paul A. Estrada bakit andun k. O baka naman nakipanuod k. Enjoy nuh. Sarap maging Kakampink</v>
      </c>
      <c r="F472" s="1">
        <f ca="1">IFERROR(__xludf.DUMMYFUNCTION("""COMPUTED_VALUE"""),1)</f>
        <v>1</v>
      </c>
      <c r="G472" s="1" t="str">
        <f ca="1">IFERROR(__xludf.DUMMYFUNCTION("""COMPUTED_VALUE"""),"3 mos")</f>
        <v>3 mos</v>
      </c>
      <c r="H472" s="1" t="str">
        <f ca="1">IFERROR(__xludf.DUMMYFUNCTION("""COMPUTED_VALUE"""),"reply")</f>
        <v>reply</v>
      </c>
      <c r="I472" s="2" t="str">
        <f ca="1">IFERROR(__xludf.DUMMYFUNCTION("""COMPUTED_VALUE"""),"https://www.facebook.com/rapplerdotcom/photos/a.317154781638645/5597592673594803/")</f>
        <v>https://www.facebook.com/rapplerdotcom/photos/a.317154781638645/5597592673594803/</v>
      </c>
      <c r="J472" s="1" t="str">
        <f ca="1">IFERROR(__xludf.DUMMYFUNCTION("""COMPUTED_VALUE"""),"2022-07-04T11:12:52.612Z")</f>
        <v>2022-07-04T11:12:52.612Z</v>
      </c>
    </row>
    <row r="473" spans="1:10" x14ac:dyDescent="0.2">
      <c r="A473" s="2" t="str">
        <f ca="1">IFERROR(__xludf.DUMMYFUNCTION("""COMPUTED_VALUE"""),"https://www.facebook.com/marcial.acbang")</f>
        <v>https://www.facebook.com/marcial.acbang</v>
      </c>
      <c r="B473" s="1" t="str">
        <f ca="1">IFERROR(__xludf.DUMMYFUNCTION("""COMPUTED_VALUE"""),"Marcial P. Acbang")</f>
        <v>Marcial P. Acbang</v>
      </c>
      <c r="C473" s="1" t="str">
        <f ca="1">IFERROR(__xludf.DUMMYFUNCTION("""COMPUTED_VALUE"""),"Marcial")</f>
        <v>Marcial</v>
      </c>
      <c r="D473" s="1" t="str">
        <f ca="1">IFERROR(__xludf.DUMMYFUNCTION("""COMPUTED_VALUE"""),"P. Acbang")</f>
        <v>P. Acbang</v>
      </c>
      <c r="E473" s="1" t="str">
        <f ca="1">IFERROR(__xludf.DUMMYFUNCTION("""COMPUTED_VALUE"""),"Ngiwi Ann plus monobloc in on the air. Yon ang latest!")</f>
        <v>Ngiwi Ann plus monobloc in on the air. Yon ang latest!</v>
      </c>
      <c r="F473" s="1"/>
      <c r="G473" s="1" t="str">
        <f ca="1">IFERROR(__xludf.DUMMYFUNCTION("""COMPUTED_VALUE"""),"3 mos")</f>
        <v>3 mos</v>
      </c>
      <c r="H473" s="1" t="str">
        <f ca="1">IFERROR(__xludf.DUMMYFUNCTION("""COMPUTED_VALUE"""),"reply")</f>
        <v>reply</v>
      </c>
      <c r="I473" s="2" t="str">
        <f ca="1">IFERROR(__xludf.DUMMYFUNCTION("""COMPUTED_VALUE"""),"https://www.facebook.com/rapplerdotcom/photos/a.317154781638645/5597592673594803/")</f>
        <v>https://www.facebook.com/rapplerdotcom/photos/a.317154781638645/5597592673594803/</v>
      </c>
      <c r="J473" s="1" t="str">
        <f ca="1">IFERROR(__xludf.DUMMYFUNCTION("""COMPUTED_VALUE"""),"2022-07-04T11:12:52.612Z")</f>
        <v>2022-07-04T11:12:52.612Z</v>
      </c>
    </row>
    <row r="474" spans="1:10" x14ac:dyDescent="0.2">
      <c r="A474" s="2" t="str">
        <f ca="1">IFERROR(__xludf.DUMMYFUNCTION("""COMPUTED_VALUE"""),"https://www.facebook.com/einavanie")</f>
        <v>https://www.facebook.com/einavanie</v>
      </c>
      <c r="B474" s="1" t="str">
        <f ca="1">IFERROR(__xludf.DUMMYFUNCTION("""COMPUTED_VALUE"""),"Einavanie Bonga")</f>
        <v>Einavanie Bonga</v>
      </c>
      <c r="C474" s="1" t="str">
        <f ca="1">IFERROR(__xludf.DUMMYFUNCTION("""COMPUTED_VALUE"""),"Einavanie")</f>
        <v>Einavanie</v>
      </c>
      <c r="D474" s="1" t="str">
        <f ca="1">IFERROR(__xludf.DUMMYFUNCTION("""COMPUTED_VALUE"""),"Bonga")</f>
        <v>Bonga</v>
      </c>
      <c r="E474" s="1" t="str">
        <f ca="1">IFERROR(__xludf.DUMMYFUNCTION("""COMPUTED_VALUE"""),"Nakakahiya sumoporta sa may bahid ng Corruption at Ill Gotten Wealth mga Kababayan ko. Sana pag isipan nyo yan.")</f>
        <v>Nakakahiya sumoporta sa may bahid ng Corruption at Ill Gotten Wealth mga Kababayan ko. Sana pag isipan nyo yan.</v>
      </c>
      <c r="F474" s="1">
        <f ca="1">IFERROR(__xludf.DUMMYFUNCTION("""COMPUTED_VALUE"""),16)</f>
        <v>16</v>
      </c>
      <c r="G474" s="1" t="str">
        <f ca="1">IFERROR(__xludf.DUMMYFUNCTION("""COMPUTED_VALUE"""),"3 mos")</f>
        <v>3 mos</v>
      </c>
      <c r="H474" s="1" t="str">
        <f ca="1">IFERROR(__xludf.DUMMYFUNCTION("""COMPUTED_VALUE"""),"comment")</f>
        <v>comment</v>
      </c>
      <c r="I474" s="2" t="str">
        <f ca="1">IFERROR(__xludf.DUMMYFUNCTION("""COMPUTED_VALUE"""),"https://www.facebook.com/rapplerdotcom/photos/a.317154781638645/5597592673594803/")</f>
        <v>https://www.facebook.com/rapplerdotcom/photos/a.317154781638645/5597592673594803/</v>
      </c>
      <c r="J474" s="1" t="str">
        <f ca="1">IFERROR(__xludf.DUMMYFUNCTION("""COMPUTED_VALUE"""),"2022-07-04T11:12:52.612Z")</f>
        <v>2022-07-04T11:12:52.612Z</v>
      </c>
    </row>
    <row r="475" spans="1:10" x14ac:dyDescent="0.2">
      <c r="A475" s="2" t="str">
        <f ca="1">IFERROR(__xludf.DUMMYFUNCTION("""COMPUTED_VALUE"""),"https://www.facebook.com/rechellgastardo.gordonas")</f>
        <v>https://www.facebook.com/rechellgastardo.gordonas</v>
      </c>
      <c r="B475" s="1" t="str">
        <f ca="1">IFERROR(__xludf.DUMMYFUNCTION("""COMPUTED_VALUE"""),"Re Chell")</f>
        <v>Re Chell</v>
      </c>
      <c r="C475" s="1" t="str">
        <f ca="1">IFERROR(__xludf.DUMMYFUNCTION("""COMPUTED_VALUE"""),"Re")</f>
        <v>Re</v>
      </c>
      <c r="D475" s="1" t="str">
        <f ca="1">IFERROR(__xludf.DUMMYFUNCTION("""COMPUTED_VALUE"""),"Chell")</f>
        <v>Chell</v>
      </c>
      <c r="E475" s="1" t="str">
        <f ca="1">IFERROR(__xludf.DUMMYFUNCTION("""COMPUTED_VALUE"""),"Einavanie Bonga agree")</f>
        <v>Einavanie Bonga agree</v>
      </c>
      <c r="F475" s="1">
        <f ca="1">IFERROR(__xludf.DUMMYFUNCTION("""COMPUTED_VALUE"""),1)</f>
        <v>1</v>
      </c>
      <c r="G475" s="1" t="str">
        <f ca="1">IFERROR(__xludf.DUMMYFUNCTION("""COMPUTED_VALUE"""),"3 mos")</f>
        <v>3 mos</v>
      </c>
      <c r="H475" s="1" t="str">
        <f ca="1">IFERROR(__xludf.DUMMYFUNCTION("""COMPUTED_VALUE"""),"reply")</f>
        <v>reply</v>
      </c>
      <c r="I475" s="2" t="str">
        <f ca="1">IFERROR(__xludf.DUMMYFUNCTION("""COMPUTED_VALUE"""),"https://www.facebook.com/rapplerdotcom/photos/a.317154781638645/5597592673594803/")</f>
        <v>https://www.facebook.com/rapplerdotcom/photos/a.317154781638645/5597592673594803/</v>
      </c>
      <c r="J475" s="1" t="str">
        <f ca="1">IFERROR(__xludf.DUMMYFUNCTION("""COMPUTED_VALUE"""),"2022-07-04T11:12:52.612Z")</f>
        <v>2022-07-04T11:12:52.612Z</v>
      </c>
    </row>
    <row r="476" spans="1:10" x14ac:dyDescent="0.2">
      <c r="A476" s="2" t="str">
        <f ca="1">IFERROR(__xludf.DUMMYFUNCTION("""COMPUTED_VALUE"""),"https://www.facebook.com/profile.php?id=100076074789897")</f>
        <v>https://www.facebook.com/profile.php?id=100076074789897</v>
      </c>
      <c r="B476" s="1" t="str">
        <f ca="1">IFERROR(__xludf.DUMMYFUNCTION("""COMPUTED_VALUE"""),"Jesie Lanie")</f>
        <v>Jesie Lanie</v>
      </c>
      <c r="C476" s="1" t="str">
        <f ca="1">IFERROR(__xludf.DUMMYFUNCTION("""COMPUTED_VALUE"""),"Jesie")</f>
        <v>Jesie</v>
      </c>
      <c r="D476" s="1" t="str">
        <f ca="1">IFERROR(__xludf.DUMMYFUNCTION("""COMPUTED_VALUE"""),"Lanie")</f>
        <v>Lanie</v>
      </c>
      <c r="E476" s="1" t="str">
        <f ca="1">IFERROR(__xludf.DUMMYFUNCTION("""COMPUTED_VALUE"""),"Einavanie Bonga nakakahiya sumuporta sa kandidatong hinahayaang masira ang pamilya sa ngalan ng pulitika")</f>
        <v>Einavanie Bonga nakakahiya sumuporta sa kandidatong hinahayaang masira ang pamilya sa ngalan ng pulitika</v>
      </c>
      <c r="F476" s="1">
        <f ca="1">IFERROR(__xludf.DUMMYFUNCTION("""COMPUTED_VALUE"""),3)</f>
        <v>3</v>
      </c>
      <c r="G476" s="1" t="str">
        <f ca="1">IFERROR(__xludf.DUMMYFUNCTION("""COMPUTED_VALUE"""),"3 mos")</f>
        <v>3 mos</v>
      </c>
      <c r="H476" s="1" t="str">
        <f ca="1">IFERROR(__xludf.DUMMYFUNCTION("""COMPUTED_VALUE"""),"reply")</f>
        <v>reply</v>
      </c>
      <c r="I476" s="2" t="str">
        <f ca="1">IFERROR(__xludf.DUMMYFUNCTION("""COMPUTED_VALUE"""),"https://www.facebook.com/rapplerdotcom/photos/a.317154781638645/5597592673594803/")</f>
        <v>https://www.facebook.com/rapplerdotcom/photos/a.317154781638645/5597592673594803/</v>
      </c>
      <c r="J476" s="1" t="str">
        <f ca="1">IFERROR(__xludf.DUMMYFUNCTION("""COMPUTED_VALUE"""),"2022-07-04T11:12:52.612Z")</f>
        <v>2022-07-04T11:12:52.612Z</v>
      </c>
    </row>
    <row r="477" spans="1:10" x14ac:dyDescent="0.2">
      <c r="A477" s="2" t="str">
        <f ca="1">IFERROR(__xludf.DUMMYFUNCTION("""COMPUTED_VALUE"""),"https://www.facebook.com/profile.php?id=100075263366177")</f>
        <v>https://www.facebook.com/profile.php?id=100075263366177</v>
      </c>
      <c r="B477" s="1" t="str">
        <f ca="1">IFERROR(__xludf.DUMMYFUNCTION("""COMPUTED_VALUE"""),"Ebeth Quinto")</f>
        <v>Ebeth Quinto</v>
      </c>
      <c r="C477" s="1" t="str">
        <f ca="1">IFERROR(__xludf.DUMMYFUNCTION("""COMPUTED_VALUE"""),"Ebeth")</f>
        <v>Ebeth</v>
      </c>
      <c r="D477" s="1" t="str">
        <f ca="1">IFERROR(__xludf.DUMMYFUNCTION("""COMPUTED_VALUE"""),"Quinto")</f>
        <v>Quinto</v>
      </c>
      <c r="E477" s="1" t="str">
        <f ca="1">IFERROR(__xludf.DUMMYFUNCTION("""COMPUTED_VALUE"""),"Kawawang kabataan, walang Alam itulong sa bayan")</f>
        <v>Kawawang kabataan, walang Alam itulong sa bayan</v>
      </c>
      <c r="F477" s="1">
        <f ca="1">IFERROR(__xludf.DUMMYFUNCTION("""COMPUTED_VALUE"""),6)</f>
        <v>6</v>
      </c>
      <c r="G477" s="1" t="str">
        <f ca="1">IFERROR(__xludf.DUMMYFUNCTION("""COMPUTED_VALUE"""),"3 mos")</f>
        <v>3 mos</v>
      </c>
      <c r="H477" s="1" t="str">
        <f ca="1">IFERROR(__xludf.DUMMYFUNCTION("""COMPUTED_VALUE"""),"comment")</f>
        <v>comment</v>
      </c>
      <c r="I477" s="2" t="str">
        <f ca="1">IFERROR(__xludf.DUMMYFUNCTION("""COMPUTED_VALUE"""),"https://www.facebook.com/rapplerdotcom/photos/a.317154781638645/5597592673594803/")</f>
        <v>https://www.facebook.com/rapplerdotcom/photos/a.317154781638645/5597592673594803/</v>
      </c>
      <c r="J477" s="1" t="str">
        <f ca="1">IFERROR(__xludf.DUMMYFUNCTION("""COMPUTED_VALUE"""),"2022-07-04T11:12:52.612Z")</f>
        <v>2022-07-04T11:12:52.612Z</v>
      </c>
    </row>
    <row r="478" spans="1:10" x14ac:dyDescent="0.2">
      <c r="A478" s="2" t="str">
        <f ca="1">IFERROR(__xludf.DUMMYFUNCTION("""COMPUTED_VALUE"""),"https://www.facebook.com/joe.biro.1840")</f>
        <v>https://www.facebook.com/joe.biro.1840</v>
      </c>
      <c r="B478" s="1" t="str">
        <f ca="1">IFERROR(__xludf.DUMMYFUNCTION("""COMPUTED_VALUE"""),"Joe Biro")</f>
        <v>Joe Biro</v>
      </c>
      <c r="C478" s="1" t="str">
        <f ca="1">IFERROR(__xludf.DUMMYFUNCTION("""COMPUTED_VALUE"""),"Joe")</f>
        <v>Joe</v>
      </c>
      <c r="D478" s="1" t="str">
        <f ca="1">IFERROR(__xludf.DUMMYFUNCTION("""COMPUTED_VALUE"""),"Biro")</f>
        <v>Biro</v>
      </c>
      <c r="E478" s="1" t="str">
        <f ca="1">IFERROR(__xludf.DUMMYFUNCTION("""COMPUTED_VALUE"""),"Good. They have a chance to meet their chosen leaders.")</f>
        <v>Good. They have a chance to meet their chosen leaders.</v>
      </c>
      <c r="F478" s="1">
        <f ca="1">IFERROR(__xludf.DUMMYFUNCTION("""COMPUTED_VALUE"""),8)</f>
        <v>8</v>
      </c>
      <c r="G478" s="1" t="str">
        <f ca="1">IFERROR(__xludf.DUMMYFUNCTION("""COMPUTED_VALUE"""),"3 mos")</f>
        <v>3 mos</v>
      </c>
      <c r="H478" s="1" t="str">
        <f ca="1">IFERROR(__xludf.DUMMYFUNCTION("""COMPUTED_VALUE"""),"comment")</f>
        <v>comment</v>
      </c>
      <c r="I478" s="2" t="str">
        <f ca="1">IFERROR(__xludf.DUMMYFUNCTION("""COMPUTED_VALUE"""),"https://www.facebook.com/rapplerdotcom/photos/a.317154781638645/5597592673594803/")</f>
        <v>https://www.facebook.com/rapplerdotcom/photos/a.317154781638645/5597592673594803/</v>
      </c>
      <c r="J478" s="1" t="str">
        <f ca="1">IFERROR(__xludf.DUMMYFUNCTION("""COMPUTED_VALUE"""),"2022-07-04T11:12:52.612Z")</f>
        <v>2022-07-04T11:12:52.612Z</v>
      </c>
    </row>
    <row r="479" spans="1:10" x14ac:dyDescent="0.2">
      <c r="A479" s="2" t="str">
        <f ca="1">IFERROR(__xludf.DUMMYFUNCTION("""COMPUTED_VALUE"""),"https://www.facebook.com/joseangelo.ong")</f>
        <v>https://www.facebook.com/joseangelo.ong</v>
      </c>
      <c r="B479" s="1" t="str">
        <f ca="1">IFERROR(__xludf.DUMMYFUNCTION("""COMPUTED_VALUE"""),"Jose Angelo Estor Ong")</f>
        <v>Jose Angelo Estor Ong</v>
      </c>
      <c r="C479" s="1" t="str">
        <f ca="1">IFERROR(__xludf.DUMMYFUNCTION("""COMPUTED_VALUE"""),"Jose")</f>
        <v>Jose</v>
      </c>
      <c r="D479" s="1" t="str">
        <f ca="1">IFERROR(__xludf.DUMMYFUNCTION("""COMPUTED_VALUE"""),"Angelo Estor Ong")</f>
        <v>Angelo Estor Ong</v>
      </c>
      <c r="E479" s="1" t="str">
        <f ca="1">IFERROR(__xludf.DUMMYFUNCTION("""COMPUTED_VALUE"""),"🤬🤮 yan ang Unithieves.")</f>
        <v>🤬🤮 yan ang Unithieves.</v>
      </c>
      <c r="F479" s="1">
        <f ca="1">IFERROR(__xludf.DUMMYFUNCTION("""COMPUTED_VALUE"""),9)</f>
        <v>9</v>
      </c>
      <c r="G479" s="1" t="str">
        <f ca="1">IFERROR(__xludf.DUMMYFUNCTION("""COMPUTED_VALUE"""),"3 mos")</f>
        <v>3 mos</v>
      </c>
      <c r="H479" s="1" t="str">
        <f ca="1">IFERROR(__xludf.DUMMYFUNCTION("""COMPUTED_VALUE"""),"comment")</f>
        <v>comment</v>
      </c>
      <c r="I479" s="2" t="str">
        <f ca="1">IFERROR(__xludf.DUMMYFUNCTION("""COMPUTED_VALUE"""),"https://www.facebook.com/rapplerdotcom/photos/a.317154781638645/5597592673594803/")</f>
        <v>https://www.facebook.com/rapplerdotcom/photos/a.317154781638645/5597592673594803/</v>
      </c>
      <c r="J479" s="1" t="str">
        <f ca="1">IFERROR(__xludf.DUMMYFUNCTION("""COMPUTED_VALUE"""),"2022-07-04T11:12:52.612Z")</f>
        <v>2022-07-04T11:12:52.612Z</v>
      </c>
    </row>
    <row r="480" spans="1:10" x14ac:dyDescent="0.2">
      <c r="A480" s="2" t="str">
        <f ca="1">IFERROR(__xludf.DUMMYFUNCTION("""COMPUTED_VALUE"""),"https://www.facebook.com/rubysegurado.daculan")</f>
        <v>https://www.facebook.com/rubysegurado.daculan</v>
      </c>
      <c r="B480" s="1" t="str">
        <f ca="1">IFERROR(__xludf.DUMMYFUNCTION("""COMPUTED_VALUE"""),"Ruby Segurado Daculan")</f>
        <v>Ruby Segurado Daculan</v>
      </c>
      <c r="C480" s="1" t="str">
        <f ca="1">IFERROR(__xludf.DUMMYFUNCTION("""COMPUTED_VALUE"""),"Ruby")</f>
        <v>Ruby</v>
      </c>
      <c r="D480" s="1" t="str">
        <f ca="1">IFERROR(__xludf.DUMMYFUNCTION("""COMPUTED_VALUE"""),"Segurado Daculan")</f>
        <v>Segurado Daculan</v>
      </c>
      <c r="E480" s="1" t="str">
        <f ca="1">IFERROR(__xludf.DUMMYFUNCTION("""COMPUTED_VALUE"""),"Jose Angelo Estor Ong hindi nyo lang matanggap na kahit taga gensan kami part ng mindanao,pero ang support namin para kay UNITEAM....may kanya kanya tayong gusto kaya respetohin natin ang bawat isa,,,hintayin nalang natin ang may 9...at doon malalaman nat"&amp;"in ang tinadhana....may the best candidates win,,,in Gods will...God bless boy...")</f>
        <v>Jose Angelo Estor Ong hindi nyo lang matanggap na kahit taga gensan kami part ng mindanao,pero ang support namin para kay UNITEAM....may kanya kanya tayong gusto kaya respetohin natin ang bawat isa,,,hintayin nalang natin ang may 9...at doon malalaman natin ang tinadhana....may the best candidates win,,,in Gods will...God bless boy...</v>
      </c>
      <c r="F480" s="1">
        <f ca="1">IFERROR(__xludf.DUMMYFUNCTION("""COMPUTED_VALUE"""),6)</f>
        <v>6</v>
      </c>
      <c r="G480" s="1" t="str">
        <f ca="1">IFERROR(__xludf.DUMMYFUNCTION("""COMPUTED_VALUE"""),"3 mos")</f>
        <v>3 mos</v>
      </c>
      <c r="H480" s="1" t="str">
        <f ca="1">IFERROR(__xludf.DUMMYFUNCTION("""COMPUTED_VALUE"""),"reply")</f>
        <v>reply</v>
      </c>
      <c r="I480" s="2" t="str">
        <f ca="1">IFERROR(__xludf.DUMMYFUNCTION("""COMPUTED_VALUE"""),"https://www.facebook.com/rapplerdotcom/photos/a.317154781638645/5597592673594803/")</f>
        <v>https://www.facebook.com/rapplerdotcom/photos/a.317154781638645/5597592673594803/</v>
      </c>
      <c r="J480" s="1" t="str">
        <f ca="1">IFERROR(__xludf.DUMMYFUNCTION("""COMPUTED_VALUE"""),"2022-07-04T11:12:52.612Z")</f>
        <v>2022-07-04T11:12:52.612Z</v>
      </c>
    </row>
    <row r="481" spans="1:10" x14ac:dyDescent="0.2">
      <c r="A481" s="2" t="str">
        <f ca="1">IFERROR(__xludf.DUMMYFUNCTION("""COMPUTED_VALUE"""),"https://www.facebook.com/shirben.bensurto")</f>
        <v>https://www.facebook.com/shirben.bensurto</v>
      </c>
      <c r="B481" s="1" t="str">
        <f ca="1">IFERROR(__xludf.DUMMYFUNCTION("""COMPUTED_VALUE"""),"Shirben Damaso Bensurto")</f>
        <v>Shirben Damaso Bensurto</v>
      </c>
      <c r="C481" s="1" t="str">
        <f ca="1">IFERROR(__xludf.DUMMYFUNCTION("""COMPUTED_VALUE"""),"Shirben")</f>
        <v>Shirben</v>
      </c>
      <c r="D481" s="1" t="str">
        <f ca="1">IFERROR(__xludf.DUMMYFUNCTION("""COMPUTED_VALUE"""),"Damaso Bensurto")</f>
        <v>Damaso Bensurto</v>
      </c>
      <c r="E481" s="1" t="str">
        <f ca="1">IFERROR(__xludf.DUMMYFUNCTION("""COMPUTED_VALUE"""),"Mga 1million to na crowd 💪💪💪")</f>
        <v>Mga 1million to na crowd 💪💪💪</v>
      </c>
      <c r="F481" s="1">
        <f ca="1">IFERROR(__xludf.DUMMYFUNCTION("""COMPUTED_VALUE"""),8)</f>
        <v>8</v>
      </c>
      <c r="G481" s="1" t="str">
        <f ca="1">IFERROR(__xludf.DUMMYFUNCTION("""COMPUTED_VALUE"""),"3 mos")</f>
        <v>3 mos</v>
      </c>
      <c r="H481" s="1" t="str">
        <f ca="1">IFERROR(__xludf.DUMMYFUNCTION("""COMPUTED_VALUE"""),"comment")</f>
        <v>comment</v>
      </c>
      <c r="I481" s="2" t="str">
        <f ca="1">IFERROR(__xludf.DUMMYFUNCTION("""COMPUTED_VALUE"""),"https://www.facebook.com/rapplerdotcom/photos/a.317154781638645/5597592673594803/")</f>
        <v>https://www.facebook.com/rapplerdotcom/photos/a.317154781638645/5597592673594803/</v>
      </c>
      <c r="J481" s="1" t="str">
        <f ca="1">IFERROR(__xludf.DUMMYFUNCTION("""COMPUTED_VALUE"""),"2022-07-04T11:12:52.612Z")</f>
        <v>2022-07-04T11:12:52.612Z</v>
      </c>
    </row>
    <row r="482" spans="1:10" x14ac:dyDescent="0.2">
      <c r="A482" s="2" t="str">
        <f ca="1">IFERROR(__xludf.DUMMYFUNCTION("""COMPUTED_VALUE"""),"https://www.facebook.com/christian.vicente.104")</f>
        <v>https://www.facebook.com/christian.vicente.104</v>
      </c>
      <c r="B482" s="1" t="str">
        <f ca="1">IFERROR(__xludf.DUMMYFUNCTION("""COMPUTED_VALUE"""),"Christian Vicente")</f>
        <v>Christian Vicente</v>
      </c>
      <c r="C482" s="1" t="str">
        <f ca="1">IFERROR(__xludf.DUMMYFUNCTION("""COMPUTED_VALUE"""),"Christian")</f>
        <v>Christian</v>
      </c>
      <c r="D482" s="1" t="str">
        <f ca="1">IFERROR(__xludf.DUMMYFUNCTION("""COMPUTED_VALUE"""),"Vicente")</f>
        <v>Vicente</v>
      </c>
      <c r="E482" s="1" t="str">
        <f ca="1">IFERROR(__xludf.DUMMYFUNCTION("""COMPUTED_VALUE"""),"Shirben Damaso Bensurto true!")</f>
        <v>Shirben Damaso Bensurto true!</v>
      </c>
      <c r="F482" s="1"/>
      <c r="G482" s="1" t="str">
        <f ca="1">IFERROR(__xludf.DUMMYFUNCTION("""COMPUTED_VALUE"""),"3 mos")</f>
        <v>3 mos</v>
      </c>
      <c r="H482" s="1" t="str">
        <f ca="1">IFERROR(__xludf.DUMMYFUNCTION("""COMPUTED_VALUE"""),"reply")</f>
        <v>reply</v>
      </c>
      <c r="I482" s="2" t="str">
        <f ca="1">IFERROR(__xludf.DUMMYFUNCTION("""COMPUTED_VALUE"""),"https://www.facebook.com/rapplerdotcom/photos/a.317154781638645/5597592673594803/")</f>
        <v>https://www.facebook.com/rapplerdotcom/photos/a.317154781638645/5597592673594803/</v>
      </c>
      <c r="J482" s="1" t="str">
        <f ca="1">IFERROR(__xludf.DUMMYFUNCTION("""COMPUTED_VALUE"""),"2022-07-04T11:12:52.612Z")</f>
        <v>2022-07-04T11:12:52.612Z</v>
      </c>
    </row>
    <row r="483" spans="1:10" x14ac:dyDescent="0.2">
      <c r="A483" s="2" t="str">
        <f ca="1">IFERROR(__xludf.DUMMYFUNCTION("""COMPUTED_VALUE"""),"https://www.facebook.com/silvino.lingan")</f>
        <v>https://www.facebook.com/silvino.lingan</v>
      </c>
      <c r="B483" s="1" t="str">
        <f ca="1">IFERROR(__xludf.DUMMYFUNCTION("""COMPUTED_VALUE"""),"Silvino Lingan")</f>
        <v>Silvino Lingan</v>
      </c>
      <c r="C483" s="1" t="str">
        <f ca="1">IFERROR(__xludf.DUMMYFUNCTION("""COMPUTED_VALUE"""),"Silvino")</f>
        <v>Silvino</v>
      </c>
      <c r="D483" s="1" t="str">
        <f ca="1">IFERROR(__xludf.DUMMYFUNCTION("""COMPUTED_VALUE"""),"Lingan")</f>
        <v>Lingan</v>
      </c>
      <c r="E483" s="1" t="str">
        <f ca="1">IFERROR(__xludf.DUMMYFUNCTION("""COMPUTED_VALUE"""),"Shirben Damaso Bensurto 203 billions na crowd yan")</f>
        <v>Shirben Damaso Bensurto 203 billions na crowd yan</v>
      </c>
      <c r="F483" s="1">
        <f ca="1">IFERROR(__xludf.DUMMYFUNCTION("""COMPUTED_VALUE"""),7)</f>
        <v>7</v>
      </c>
      <c r="G483" s="1" t="str">
        <f ca="1">IFERROR(__xludf.DUMMYFUNCTION("""COMPUTED_VALUE"""),"3 mos")</f>
        <v>3 mos</v>
      </c>
      <c r="H483" s="1" t="str">
        <f ca="1">IFERROR(__xludf.DUMMYFUNCTION("""COMPUTED_VALUE"""),"reply")</f>
        <v>reply</v>
      </c>
      <c r="I483" s="2" t="str">
        <f ca="1">IFERROR(__xludf.DUMMYFUNCTION("""COMPUTED_VALUE"""),"https://www.facebook.com/rapplerdotcom/photos/a.317154781638645/5597592673594803/")</f>
        <v>https://www.facebook.com/rapplerdotcom/photos/a.317154781638645/5597592673594803/</v>
      </c>
      <c r="J483" s="1" t="str">
        <f ca="1">IFERROR(__xludf.DUMMYFUNCTION("""COMPUTED_VALUE"""),"2022-07-04T11:12:52.612Z")</f>
        <v>2022-07-04T11:12:52.612Z</v>
      </c>
    </row>
    <row r="484" spans="1:10" x14ac:dyDescent="0.2">
      <c r="A484" s="2" t="str">
        <f ca="1">IFERROR(__xludf.DUMMYFUNCTION("""COMPUTED_VALUE"""),"https://www.facebook.com/jun.pereo")</f>
        <v>https://www.facebook.com/jun.pereo</v>
      </c>
      <c r="B484" s="1" t="str">
        <f ca="1">IFERROR(__xludf.DUMMYFUNCTION("""COMPUTED_VALUE"""),"Jay Penia")</f>
        <v>Jay Penia</v>
      </c>
      <c r="C484" s="1" t="str">
        <f ca="1">IFERROR(__xludf.DUMMYFUNCTION("""COMPUTED_VALUE"""),"Jay")</f>
        <v>Jay</v>
      </c>
      <c r="D484" s="1" t="str">
        <f ca="1">IFERROR(__xludf.DUMMYFUNCTION("""COMPUTED_VALUE"""),"Penia")</f>
        <v>Penia</v>
      </c>
      <c r="E484" s="1" t="str">
        <f ca="1">IFERROR(__xludf.DUMMYFUNCTION("""COMPUTED_VALUE"""),"Wag magmukhang 500 pesos isipin nyo ang kinabukasan nyo")</f>
        <v>Wag magmukhang 500 pesos isipin nyo ang kinabukasan nyo</v>
      </c>
      <c r="F484" s="1">
        <f ca="1">IFERROR(__xludf.DUMMYFUNCTION("""COMPUTED_VALUE"""),20)</f>
        <v>20</v>
      </c>
      <c r="G484" s="1" t="str">
        <f ca="1">IFERROR(__xludf.DUMMYFUNCTION("""COMPUTED_VALUE"""),"3 mos")</f>
        <v>3 mos</v>
      </c>
      <c r="H484" s="1" t="str">
        <f ca="1">IFERROR(__xludf.DUMMYFUNCTION("""COMPUTED_VALUE"""),"comment")</f>
        <v>comment</v>
      </c>
      <c r="I484" s="2" t="str">
        <f ca="1">IFERROR(__xludf.DUMMYFUNCTION("""COMPUTED_VALUE"""),"https://www.facebook.com/rapplerdotcom/photos/a.317154781638645/5597592673594803/")</f>
        <v>https://www.facebook.com/rapplerdotcom/photos/a.317154781638645/5597592673594803/</v>
      </c>
      <c r="J484" s="1" t="str">
        <f ca="1">IFERROR(__xludf.DUMMYFUNCTION("""COMPUTED_VALUE"""),"2022-07-04T11:12:52.612Z")</f>
        <v>2022-07-04T11:12:52.612Z</v>
      </c>
    </row>
    <row r="485" spans="1:10" x14ac:dyDescent="0.2">
      <c r="A485" s="2" t="str">
        <f ca="1">IFERROR(__xludf.DUMMYFUNCTION("""COMPUTED_VALUE"""),"https://www.facebook.com/christian.vicente.104")</f>
        <v>https://www.facebook.com/christian.vicente.104</v>
      </c>
      <c r="B485" s="1" t="str">
        <f ca="1">IFERROR(__xludf.DUMMYFUNCTION("""COMPUTED_VALUE"""),"Christian Vicente")</f>
        <v>Christian Vicente</v>
      </c>
      <c r="C485" s="1" t="str">
        <f ca="1">IFERROR(__xludf.DUMMYFUNCTION("""COMPUTED_VALUE"""),"Christian")</f>
        <v>Christian</v>
      </c>
      <c r="D485" s="1" t="str">
        <f ca="1">IFERROR(__xludf.DUMMYFUNCTION("""COMPUTED_VALUE"""),"Vicente")</f>
        <v>Vicente</v>
      </c>
      <c r="E485" s="1" t="str">
        <f ca="1">IFERROR(__xludf.DUMMYFUNCTION("""COMPUTED_VALUE"""),"Jun Pereo ahahahaha.. iyakin")</f>
        <v>Jun Pereo ahahahaha.. iyakin</v>
      </c>
      <c r="F485" s="1"/>
      <c r="G485" s="1" t="str">
        <f ca="1">IFERROR(__xludf.DUMMYFUNCTION("""COMPUTED_VALUE"""),"3 mos")</f>
        <v>3 mos</v>
      </c>
      <c r="H485" s="1" t="str">
        <f ca="1">IFERROR(__xludf.DUMMYFUNCTION("""COMPUTED_VALUE"""),"reply")</f>
        <v>reply</v>
      </c>
      <c r="I485" s="2" t="str">
        <f ca="1">IFERROR(__xludf.DUMMYFUNCTION("""COMPUTED_VALUE"""),"https://www.facebook.com/rapplerdotcom/photos/a.317154781638645/5597592673594803/")</f>
        <v>https://www.facebook.com/rapplerdotcom/photos/a.317154781638645/5597592673594803/</v>
      </c>
      <c r="J485" s="1" t="str">
        <f ca="1">IFERROR(__xludf.DUMMYFUNCTION("""COMPUTED_VALUE"""),"2022-07-04T11:12:52.612Z")</f>
        <v>2022-07-04T11:12:52.612Z</v>
      </c>
    </row>
    <row r="486" spans="1:10" x14ac:dyDescent="0.2">
      <c r="A486" s="2" t="str">
        <f ca="1">IFERROR(__xludf.DUMMYFUNCTION("""COMPUTED_VALUE"""),"https://www.facebook.com/miriam.muro.52")</f>
        <v>https://www.facebook.com/miriam.muro.52</v>
      </c>
      <c r="B486" s="1" t="str">
        <f ca="1">IFERROR(__xludf.DUMMYFUNCTION("""COMPUTED_VALUE"""),"Mimi Mimi")</f>
        <v>Mimi Mimi</v>
      </c>
      <c r="C486" s="1" t="str">
        <f ca="1">IFERROR(__xludf.DUMMYFUNCTION("""COMPUTED_VALUE"""),"Mimi")</f>
        <v>Mimi</v>
      </c>
      <c r="D486" s="1" t="str">
        <f ca="1">IFERROR(__xludf.DUMMYFUNCTION("""COMPUTED_VALUE"""),"Mimi")</f>
        <v>Mimi</v>
      </c>
      <c r="E486" s="1" t="str">
        <f ca="1">IFERROR(__xludf.DUMMYFUNCTION("""COMPUTED_VALUE"""),"Mimi Mimi")</f>
        <v>Mimi Mimi</v>
      </c>
      <c r="F486" s="1">
        <f ca="1">IFERROR(__xludf.DUMMYFUNCTION("""COMPUTED_VALUE"""),2)</f>
        <v>2</v>
      </c>
      <c r="G486" s="1" t="str">
        <f ca="1">IFERROR(__xludf.DUMMYFUNCTION("""COMPUTED_VALUE"""),"3 mos")</f>
        <v>3 mos</v>
      </c>
      <c r="H486" s="1" t="str">
        <f ca="1">IFERROR(__xludf.DUMMYFUNCTION("""COMPUTED_VALUE"""),"comment")</f>
        <v>comment</v>
      </c>
      <c r="I486" s="2" t="str">
        <f ca="1">IFERROR(__xludf.DUMMYFUNCTION("""COMPUTED_VALUE"""),"https://www.facebook.com/rapplerdotcom/photos/a.317154781638645/5597592673594803/")</f>
        <v>https://www.facebook.com/rapplerdotcom/photos/a.317154781638645/5597592673594803/</v>
      </c>
      <c r="J486" s="1" t="str">
        <f ca="1">IFERROR(__xludf.DUMMYFUNCTION("""COMPUTED_VALUE"""),"2022-07-04T11:12:52.612Z")</f>
        <v>2022-07-04T11:12:52.612Z</v>
      </c>
    </row>
    <row r="487" spans="1:10" x14ac:dyDescent="0.2">
      <c r="A487" s="2" t="str">
        <f ca="1">IFERROR(__xludf.DUMMYFUNCTION("""COMPUTED_VALUE"""),"https://www.facebook.com/virgilio.panolino")</f>
        <v>https://www.facebook.com/virgilio.panolino</v>
      </c>
      <c r="B487" s="1" t="str">
        <f ca="1">IFERROR(__xludf.DUMMYFUNCTION("""COMPUTED_VALUE"""),"Bong Amar Panolino")</f>
        <v>Bong Amar Panolino</v>
      </c>
      <c r="C487" s="1" t="str">
        <f ca="1">IFERROR(__xludf.DUMMYFUNCTION("""COMPUTED_VALUE"""),"Bong")</f>
        <v>Bong</v>
      </c>
      <c r="D487" s="1" t="str">
        <f ca="1">IFERROR(__xludf.DUMMYFUNCTION("""COMPUTED_VALUE"""),"Amar Panolino")</f>
        <v>Amar Panolino</v>
      </c>
      <c r="E487" s="1" t="str">
        <f ca="1">IFERROR(__xludf.DUMMYFUNCTION("""COMPUTED_VALUE"""),"Andyan na si Machiavellian.")</f>
        <v>Andyan na si Machiavellian.</v>
      </c>
      <c r="F487" s="1">
        <f ca="1">IFERROR(__xludf.DUMMYFUNCTION("""COMPUTED_VALUE"""),3)</f>
        <v>3</v>
      </c>
      <c r="G487" s="1" t="str">
        <f ca="1">IFERROR(__xludf.DUMMYFUNCTION("""COMPUTED_VALUE"""),"3 mos")</f>
        <v>3 mos</v>
      </c>
      <c r="H487" s="1" t="str">
        <f ca="1">IFERROR(__xludf.DUMMYFUNCTION("""COMPUTED_VALUE"""),"comment")</f>
        <v>comment</v>
      </c>
      <c r="I487" s="2" t="str">
        <f ca="1">IFERROR(__xludf.DUMMYFUNCTION("""COMPUTED_VALUE"""),"https://www.facebook.com/rapplerdotcom/photos/a.317154781638645/5597592673594803/")</f>
        <v>https://www.facebook.com/rapplerdotcom/photos/a.317154781638645/5597592673594803/</v>
      </c>
      <c r="J487" s="1" t="str">
        <f ca="1">IFERROR(__xludf.DUMMYFUNCTION("""COMPUTED_VALUE"""),"2022-07-04T11:12:52.612Z")</f>
        <v>2022-07-04T11:12:52.612Z</v>
      </c>
    </row>
    <row r="488" spans="1:10" x14ac:dyDescent="0.2">
      <c r="A488" s="2" t="str">
        <f ca="1">IFERROR(__xludf.DUMMYFUNCTION("""COMPUTED_VALUE"""),"https://www.facebook.com/chris.posiquit.3")</f>
        <v>https://www.facebook.com/chris.posiquit.3</v>
      </c>
      <c r="B488" s="1" t="str">
        <f ca="1">IFERROR(__xludf.DUMMYFUNCTION("""COMPUTED_VALUE"""),"Chris Posiquit")</f>
        <v>Chris Posiquit</v>
      </c>
      <c r="C488" s="1" t="str">
        <f ca="1">IFERROR(__xludf.DUMMYFUNCTION("""COMPUTED_VALUE"""),"Chris")</f>
        <v>Chris</v>
      </c>
      <c r="D488" s="1" t="str">
        <f ca="1">IFERROR(__xludf.DUMMYFUNCTION("""COMPUTED_VALUE"""),"Posiquit")</f>
        <v>Posiquit</v>
      </c>
      <c r="E488" s="1" t="str">
        <f ca="1">IFERROR(__xludf.DUMMYFUNCTION("""COMPUTED_VALUE"""),"Barya lng mga Yan sa mga kakampink dyan sa GenSan.")</f>
        <v>Barya lng mga Yan sa mga kakampink dyan sa GenSan.</v>
      </c>
      <c r="F488" s="1">
        <f ca="1">IFERROR(__xludf.DUMMYFUNCTION("""COMPUTED_VALUE"""),3)</f>
        <v>3</v>
      </c>
      <c r="G488" s="1" t="str">
        <f ca="1">IFERROR(__xludf.DUMMYFUNCTION("""COMPUTED_VALUE"""),"3 mos")</f>
        <v>3 mos</v>
      </c>
      <c r="H488" s="1" t="str">
        <f ca="1">IFERROR(__xludf.DUMMYFUNCTION("""COMPUTED_VALUE"""),"comment")</f>
        <v>comment</v>
      </c>
      <c r="I488" s="2" t="str">
        <f ca="1">IFERROR(__xludf.DUMMYFUNCTION("""COMPUTED_VALUE"""),"https://www.facebook.com/rapplerdotcom/photos/a.317154781638645/5597592673594803/")</f>
        <v>https://www.facebook.com/rapplerdotcom/photos/a.317154781638645/5597592673594803/</v>
      </c>
      <c r="J488" s="1" t="str">
        <f ca="1">IFERROR(__xludf.DUMMYFUNCTION("""COMPUTED_VALUE"""),"2022-07-04T11:12:52.612Z")</f>
        <v>2022-07-04T11:12:52.612Z</v>
      </c>
    </row>
    <row r="489" spans="1:10" x14ac:dyDescent="0.2">
      <c r="A489" s="2" t="str">
        <f ca="1">IFERROR(__xludf.DUMMYFUNCTION("""COMPUTED_VALUE"""),"https://www.facebook.com/profile.php?id=100040658171991")</f>
        <v>https://www.facebook.com/profile.php?id=100040658171991</v>
      </c>
      <c r="B489" s="1" t="str">
        <f ca="1">IFERROR(__xludf.DUMMYFUNCTION("""COMPUTED_VALUE"""),"Ben Jammin")</f>
        <v>Ben Jammin</v>
      </c>
      <c r="C489" s="1" t="str">
        <f ca="1">IFERROR(__xludf.DUMMYFUNCTION("""COMPUTED_VALUE"""),"Ben")</f>
        <v>Ben</v>
      </c>
      <c r="D489" s="1" t="str">
        <f ca="1">IFERROR(__xludf.DUMMYFUNCTION("""COMPUTED_VALUE"""),"Jammin")</f>
        <v>Jammin</v>
      </c>
      <c r="E489" s="1" t="str">
        <f ca="1">IFERROR(__xludf.DUMMYFUNCTION("""COMPUTED_VALUE"""),"Ben Jammin")</f>
        <v>Ben Jammin</v>
      </c>
      <c r="F489" s="1">
        <f ca="1">IFERROR(__xludf.DUMMYFUNCTION("""COMPUTED_VALUE"""),13)</f>
        <v>13</v>
      </c>
      <c r="G489" s="1" t="str">
        <f ca="1">IFERROR(__xludf.DUMMYFUNCTION("""COMPUTED_VALUE"""),"3 mos")</f>
        <v>3 mos</v>
      </c>
      <c r="H489" s="1" t="str">
        <f ca="1">IFERROR(__xludf.DUMMYFUNCTION("""COMPUTED_VALUE"""),"comment")</f>
        <v>comment</v>
      </c>
      <c r="I489" s="2" t="str">
        <f ca="1">IFERROR(__xludf.DUMMYFUNCTION("""COMPUTED_VALUE"""),"https://www.facebook.com/rapplerdotcom/photos/a.317154781638645/5597592673594803/")</f>
        <v>https://www.facebook.com/rapplerdotcom/photos/a.317154781638645/5597592673594803/</v>
      </c>
      <c r="J489" s="1" t="str">
        <f ca="1">IFERROR(__xludf.DUMMYFUNCTION("""COMPUTED_VALUE"""),"2022-07-04T11:12:52.612Z")</f>
        <v>2022-07-04T11:12:52.612Z</v>
      </c>
    </row>
    <row r="490" spans="1:10" x14ac:dyDescent="0.2">
      <c r="A490" s="2" t="str">
        <f ca="1">IFERROR(__xludf.DUMMYFUNCTION("""COMPUTED_VALUE"""),"https://www.facebook.com/sylvz.serranoadona")</f>
        <v>https://www.facebook.com/sylvz.serranoadona</v>
      </c>
      <c r="B490" s="1" t="str">
        <f ca="1">IFERROR(__xludf.DUMMYFUNCTION("""COMPUTED_VALUE"""),"Syl Via")</f>
        <v>Syl Via</v>
      </c>
      <c r="C490" s="1" t="str">
        <f ca="1">IFERROR(__xludf.DUMMYFUNCTION("""COMPUTED_VALUE"""),"Syl")</f>
        <v>Syl</v>
      </c>
      <c r="D490" s="1" t="str">
        <f ca="1">IFERROR(__xludf.DUMMYFUNCTION("""COMPUTED_VALUE"""),"Via")</f>
        <v>Via</v>
      </c>
      <c r="E490" s="1" t="str">
        <f ca="1">IFERROR(__xludf.DUMMYFUNCTION("""COMPUTED_VALUE"""),"Vote for Pacquio instead of unithieves")</f>
        <v>Vote for Pacquio instead of unithieves</v>
      </c>
      <c r="F490" s="1">
        <f ca="1">IFERROR(__xludf.DUMMYFUNCTION("""COMPUTED_VALUE"""),32)</f>
        <v>32</v>
      </c>
      <c r="G490" s="1" t="str">
        <f ca="1">IFERROR(__xludf.DUMMYFUNCTION("""COMPUTED_VALUE"""),"3 mos")</f>
        <v>3 mos</v>
      </c>
      <c r="H490" s="1" t="str">
        <f ca="1">IFERROR(__xludf.DUMMYFUNCTION("""COMPUTED_VALUE"""),"comment")</f>
        <v>comment</v>
      </c>
      <c r="I490" s="2" t="str">
        <f ca="1">IFERROR(__xludf.DUMMYFUNCTION("""COMPUTED_VALUE"""),"https://www.facebook.com/rapplerdotcom/photos/a.317154781638645/5597592673594803/")</f>
        <v>https://www.facebook.com/rapplerdotcom/photos/a.317154781638645/5597592673594803/</v>
      </c>
      <c r="J490" s="1" t="str">
        <f ca="1">IFERROR(__xludf.DUMMYFUNCTION("""COMPUTED_VALUE"""),"2022-07-04T11:12:52.612Z")</f>
        <v>2022-07-04T11:12:52.612Z</v>
      </c>
    </row>
    <row r="491" spans="1:10" x14ac:dyDescent="0.2">
      <c r="A491" s="2" t="str">
        <f ca="1">IFERROR(__xludf.DUMMYFUNCTION("""COMPUTED_VALUE"""),"https://www.facebook.com/shirley.narra")</f>
        <v>https://www.facebook.com/shirley.narra</v>
      </c>
      <c r="B491" s="1" t="str">
        <f ca="1">IFERROR(__xludf.DUMMYFUNCTION("""COMPUTED_VALUE"""),"Shirley Payas Narra")</f>
        <v>Shirley Payas Narra</v>
      </c>
      <c r="C491" s="1" t="str">
        <f ca="1">IFERROR(__xludf.DUMMYFUNCTION("""COMPUTED_VALUE"""),"Shirley")</f>
        <v>Shirley</v>
      </c>
      <c r="D491" s="1" t="str">
        <f ca="1">IFERROR(__xludf.DUMMYFUNCTION("""COMPUTED_VALUE"""),"Payas Narra")</f>
        <v>Payas Narra</v>
      </c>
      <c r="E491" s="1" t="str">
        <f ca="1">IFERROR(__xludf.DUMMYFUNCTION("""COMPUTED_VALUE"""),"Syl Via Sa inyo na c Pacquiao🤣")</f>
        <v>Syl Via Sa inyo na c Pacquiao🤣</v>
      </c>
      <c r="F491" s="1">
        <f ca="1">IFERROR(__xludf.DUMMYFUNCTION("""COMPUTED_VALUE"""),2)</f>
        <v>2</v>
      </c>
      <c r="G491" s="1" t="str">
        <f ca="1">IFERROR(__xludf.DUMMYFUNCTION("""COMPUTED_VALUE"""),"3 mos")</f>
        <v>3 mos</v>
      </c>
      <c r="H491" s="1" t="str">
        <f ca="1">IFERROR(__xludf.DUMMYFUNCTION("""COMPUTED_VALUE"""),"reply")</f>
        <v>reply</v>
      </c>
      <c r="I491" s="2" t="str">
        <f ca="1">IFERROR(__xludf.DUMMYFUNCTION("""COMPUTED_VALUE"""),"https://www.facebook.com/rapplerdotcom/photos/a.317154781638645/5597592673594803/")</f>
        <v>https://www.facebook.com/rapplerdotcom/photos/a.317154781638645/5597592673594803/</v>
      </c>
      <c r="J491" s="1" t="str">
        <f ca="1">IFERROR(__xludf.DUMMYFUNCTION("""COMPUTED_VALUE"""),"2022-07-04T11:12:52.612Z")</f>
        <v>2022-07-04T11:12:52.612Z</v>
      </c>
    </row>
    <row r="492" spans="1:10" x14ac:dyDescent="0.2">
      <c r="A492" s="2" t="str">
        <f ca="1">IFERROR(__xludf.DUMMYFUNCTION("""COMPUTED_VALUE"""),"https://www.facebook.com/profile.php?id=100070422307214")</f>
        <v>https://www.facebook.com/profile.php?id=100070422307214</v>
      </c>
      <c r="B492" s="1" t="str">
        <f ca="1">IFERROR(__xludf.DUMMYFUNCTION("""COMPUTED_VALUE"""),"Norlyn Joyce Ganio")</f>
        <v>Norlyn Joyce Ganio</v>
      </c>
      <c r="C492" s="1" t="str">
        <f ca="1">IFERROR(__xludf.DUMMYFUNCTION("""COMPUTED_VALUE"""),"Norlyn")</f>
        <v>Norlyn</v>
      </c>
      <c r="D492" s="1" t="str">
        <f ca="1">IFERROR(__xludf.DUMMYFUNCTION("""COMPUTED_VALUE"""),"Joyce Ganio")</f>
        <v>Joyce Ganio</v>
      </c>
      <c r="E492" s="1" t="str">
        <f ca="1">IFERROR(__xludf.DUMMYFUNCTION("""COMPUTED_VALUE"""),"🤮")</f>
        <v>🤮</v>
      </c>
      <c r="F492" s="1"/>
      <c r="G492" s="1" t="str">
        <f ca="1">IFERROR(__xludf.DUMMYFUNCTION("""COMPUTED_VALUE"""),"3 mos")</f>
        <v>3 mos</v>
      </c>
      <c r="H492" s="1" t="str">
        <f ca="1">IFERROR(__xludf.DUMMYFUNCTION("""COMPUTED_VALUE"""),"reply")</f>
        <v>reply</v>
      </c>
      <c r="I492" s="2" t="str">
        <f ca="1">IFERROR(__xludf.DUMMYFUNCTION("""COMPUTED_VALUE"""),"https://www.facebook.com/rapplerdotcom/photos/a.317154781638645/5597592673594803/")</f>
        <v>https://www.facebook.com/rapplerdotcom/photos/a.317154781638645/5597592673594803/</v>
      </c>
      <c r="J492" s="1" t="str">
        <f ca="1">IFERROR(__xludf.DUMMYFUNCTION("""COMPUTED_VALUE"""),"2022-07-04T11:12:52.612Z")</f>
        <v>2022-07-04T11:12:52.612Z</v>
      </c>
    </row>
    <row r="493" spans="1:10" x14ac:dyDescent="0.2">
      <c r="A493" s="2" t="str">
        <f ca="1">IFERROR(__xludf.DUMMYFUNCTION("""COMPUTED_VALUE"""),"https://www.facebook.com/christian.vicente.104")</f>
        <v>https://www.facebook.com/christian.vicente.104</v>
      </c>
      <c r="B493" s="1" t="str">
        <f ca="1">IFERROR(__xludf.DUMMYFUNCTION("""COMPUTED_VALUE"""),"Christian Vicente")</f>
        <v>Christian Vicente</v>
      </c>
      <c r="C493" s="1" t="str">
        <f ca="1">IFERROR(__xludf.DUMMYFUNCTION("""COMPUTED_VALUE"""),"Christian")</f>
        <v>Christian</v>
      </c>
      <c r="D493" s="1" t="str">
        <f ca="1">IFERROR(__xludf.DUMMYFUNCTION("""COMPUTED_VALUE"""),"Vicente")</f>
        <v>Vicente</v>
      </c>
      <c r="E493" s="1" t="str">
        <f ca="1">IFERROR(__xludf.DUMMYFUNCTION("""COMPUTED_VALUE"""),"Syl Via vote for 2 joints! its organic! dont panic! hahaha")</f>
        <v>Syl Via vote for 2 joints! its organic! dont panic! hahaha</v>
      </c>
      <c r="F493" s="1">
        <f ca="1">IFERROR(__xludf.DUMMYFUNCTION("""COMPUTED_VALUE"""),1)</f>
        <v>1</v>
      </c>
      <c r="G493" s="1" t="str">
        <f ca="1">IFERROR(__xludf.DUMMYFUNCTION("""COMPUTED_VALUE"""),"3 mos")</f>
        <v>3 mos</v>
      </c>
      <c r="H493" s="1" t="str">
        <f ca="1">IFERROR(__xludf.DUMMYFUNCTION("""COMPUTED_VALUE"""),"reply")</f>
        <v>reply</v>
      </c>
      <c r="I493" s="2" t="str">
        <f ca="1">IFERROR(__xludf.DUMMYFUNCTION("""COMPUTED_VALUE"""),"https://www.facebook.com/rapplerdotcom/photos/a.317154781638645/5597592673594803/")</f>
        <v>https://www.facebook.com/rapplerdotcom/photos/a.317154781638645/5597592673594803/</v>
      </c>
      <c r="J493" s="1" t="str">
        <f ca="1">IFERROR(__xludf.DUMMYFUNCTION("""COMPUTED_VALUE"""),"2022-07-04T11:12:52.612Z")</f>
        <v>2022-07-04T11:12:52.612Z</v>
      </c>
    </row>
    <row r="494" spans="1:10" x14ac:dyDescent="0.2">
      <c r="A494" s="2" t="str">
        <f ca="1">IFERROR(__xludf.DUMMYFUNCTION("""COMPUTED_VALUE"""),"https://www.facebook.com/lina.are.712")</f>
        <v>https://www.facebook.com/lina.are.712</v>
      </c>
      <c r="B494" s="1" t="str">
        <f ca="1">IFERROR(__xludf.DUMMYFUNCTION("""COMPUTED_VALUE"""),"Lina Are")</f>
        <v>Lina Are</v>
      </c>
      <c r="C494" s="1" t="str">
        <f ca="1">IFERROR(__xludf.DUMMYFUNCTION("""COMPUTED_VALUE"""),"Lina")</f>
        <v>Lina</v>
      </c>
      <c r="D494" s="1" t="str">
        <f ca="1">IFERROR(__xludf.DUMMYFUNCTION("""COMPUTED_VALUE"""),"Are")</f>
        <v>Are</v>
      </c>
      <c r="E494" s="1" t="str">
        <f ca="1">IFERROR(__xludf.DUMMYFUNCTION("""COMPUTED_VALUE"""),"Lina Are")</f>
        <v>Lina Are</v>
      </c>
      <c r="F494" s="1">
        <f ca="1">IFERROR(__xludf.DUMMYFUNCTION("""COMPUTED_VALUE"""),1)</f>
        <v>1</v>
      </c>
      <c r="G494" s="1" t="str">
        <f ca="1">IFERROR(__xludf.DUMMYFUNCTION("""COMPUTED_VALUE"""),"3 mos")</f>
        <v>3 mos</v>
      </c>
      <c r="H494" s="1" t="str">
        <f ca="1">IFERROR(__xludf.DUMMYFUNCTION("""COMPUTED_VALUE"""),"comment")</f>
        <v>comment</v>
      </c>
      <c r="I494" s="2" t="str">
        <f ca="1">IFERROR(__xludf.DUMMYFUNCTION("""COMPUTED_VALUE"""),"https://www.facebook.com/rapplerdotcom/photos/a.317154781638645/5597592673594803/")</f>
        <v>https://www.facebook.com/rapplerdotcom/photos/a.317154781638645/5597592673594803/</v>
      </c>
      <c r="J494" s="1" t="str">
        <f ca="1">IFERROR(__xludf.DUMMYFUNCTION("""COMPUTED_VALUE"""),"2022-07-04T11:12:52.612Z")</f>
        <v>2022-07-04T11:12:52.612Z</v>
      </c>
    </row>
    <row r="495" spans="1:10" x14ac:dyDescent="0.2">
      <c r="A495" s="2" t="str">
        <f ca="1">IFERROR(__xludf.DUMMYFUNCTION("""COMPUTED_VALUE"""),"https://www.facebook.com/marlene.deximo")</f>
        <v>https://www.facebook.com/marlene.deximo</v>
      </c>
      <c r="B495" s="1" t="str">
        <f ca="1">IFERROR(__xludf.DUMMYFUNCTION("""COMPUTED_VALUE"""),"Marlene Deximo")</f>
        <v>Marlene Deximo</v>
      </c>
      <c r="C495" s="1" t="str">
        <f ca="1">IFERROR(__xludf.DUMMYFUNCTION("""COMPUTED_VALUE"""),"Marlene")</f>
        <v>Marlene</v>
      </c>
      <c r="D495" s="1" t="str">
        <f ca="1">IFERROR(__xludf.DUMMYFUNCTION("""COMPUTED_VALUE"""),"Deximo")</f>
        <v>Deximo</v>
      </c>
      <c r="E495" s="1" t="str">
        <f ca="1">IFERROR(__xludf.DUMMYFUNCTION("""COMPUTED_VALUE"""),"Bbmsara 2022")</f>
        <v>Bbmsara 2022</v>
      </c>
      <c r="F495" s="1"/>
      <c r="G495" s="1" t="str">
        <f ca="1">IFERROR(__xludf.DUMMYFUNCTION("""COMPUTED_VALUE"""),"3 mos")</f>
        <v>3 mos</v>
      </c>
      <c r="H495" s="1" t="str">
        <f ca="1">IFERROR(__xludf.DUMMYFUNCTION("""COMPUTED_VALUE"""),"comment")</f>
        <v>comment</v>
      </c>
      <c r="I495" s="2" t="str">
        <f ca="1">IFERROR(__xludf.DUMMYFUNCTION("""COMPUTED_VALUE"""),"https://www.facebook.com/rapplerdotcom/photos/a.317154781638645/5597592673594803/")</f>
        <v>https://www.facebook.com/rapplerdotcom/photos/a.317154781638645/5597592673594803/</v>
      </c>
      <c r="J495" s="1" t="str">
        <f ca="1">IFERROR(__xludf.DUMMYFUNCTION("""COMPUTED_VALUE"""),"2022-07-04T11:12:52.612Z")</f>
        <v>2022-07-04T11:12:52.612Z</v>
      </c>
    </row>
    <row r="496" spans="1:10" x14ac:dyDescent="0.2">
      <c r="A496" s="2" t="str">
        <f ca="1">IFERROR(__xludf.DUMMYFUNCTION("""COMPUTED_VALUE"""),"https://www.facebook.com/saturnino.m.zamora")</f>
        <v>https://www.facebook.com/saturnino.m.zamora</v>
      </c>
      <c r="B496" s="1" t="str">
        <f ca="1">IFERROR(__xludf.DUMMYFUNCTION("""COMPUTED_VALUE"""),"Saturnino M. Zamora")</f>
        <v>Saturnino M. Zamora</v>
      </c>
      <c r="C496" s="1" t="str">
        <f ca="1">IFERROR(__xludf.DUMMYFUNCTION("""COMPUTED_VALUE"""),"Saturnino")</f>
        <v>Saturnino</v>
      </c>
      <c r="D496" s="1" t="str">
        <f ca="1">IFERROR(__xludf.DUMMYFUNCTION("""COMPUTED_VALUE"""),"M. Zamora")</f>
        <v>M. Zamora</v>
      </c>
      <c r="E496" s="1" t="str">
        <f ca="1">IFERROR(__xludf.DUMMYFUNCTION("""COMPUTED_VALUE"""),"Ingat kayo kay Gadon 😄😄")</f>
        <v>Ingat kayo kay Gadon 😄😄</v>
      </c>
      <c r="F496" s="1">
        <f ca="1">IFERROR(__xludf.DUMMYFUNCTION("""COMPUTED_VALUE"""),1)</f>
        <v>1</v>
      </c>
      <c r="G496" s="1" t="str">
        <f ca="1">IFERROR(__xludf.DUMMYFUNCTION("""COMPUTED_VALUE"""),"3 mos")</f>
        <v>3 mos</v>
      </c>
      <c r="H496" s="1" t="str">
        <f ca="1">IFERROR(__xludf.DUMMYFUNCTION("""COMPUTED_VALUE"""),"comment")</f>
        <v>comment</v>
      </c>
      <c r="I496" s="2" t="str">
        <f ca="1">IFERROR(__xludf.DUMMYFUNCTION("""COMPUTED_VALUE"""),"https://www.facebook.com/rapplerdotcom/photos/a.317154781638645/5597592673594803/")</f>
        <v>https://www.facebook.com/rapplerdotcom/photos/a.317154781638645/5597592673594803/</v>
      </c>
      <c r="J496" s="1" t="str">
        <f ca="1">IFERROR(__xludf.DUMMYFUNCTION("""COMPUTED_VALUE"""),"2022-07-04T11:12:52.612Z")</f>
        <v>2022-07-04T11:12:52.612Z</v>
      </c>
    </row>
    <row r="497" spans="1:10" x14ac:dyDescent="0.2">
      <c r="A497" s="2" t="str">
        <f ca="1">IFERROR(__xludf.DUMMYFUNCTION("""COMPUTED_VALUE"""),"https://www.facebook.com/profile.php?id=100001458259598")</f>
        <v>https://www.facebook.com/profile.php?id=100001458259598</v>
      </c>
      <c r="B497" s="1" t="str">
        <f ca="1">IFERROR(__xludf.DUMMYFUNCTION("""COMPUTED_VALUE"""),"Andres DeLeon")</f>
        <v>Andres DeLeon</v>
      </c>
      <c r="C497" s="1" t="str">
        <f ca="1">IFERROR(__xludf.DUMMYFUNCTION("""COMPUTED_VALUE"""),"Andres")</f>
        <v>Andres</v>
      </c>
      <c r="D497" s="1" t="str">
        <f ca="1">IFERROR(__xludf.DUMMYFUNCTION("""COMPUTED_VALUE"""),"DeLeon")</f>
        <v>DeLeon</v>
      </c>
      <c r="E497" s="1" t="str">
        <f ca="1">IFERROR(__xludf.DUMMYFUNCTION("""COMPUTED_VALUE"""),"Ang Dami nila punung Puno Ang kalye. Wala ng madaanan.")</f>
        <v>Ang Dami nila punung Puno Ang kalye. Wala ng madaanan.</v>
      </c>
      <c r="F497" s="1"/>
      <c r="G497" s="1" t="str">
        <f ca="1">IFERROR(__xludf.DUMMYFUNCTION("""COMPUTED_VALUE"""),"3 mos")</f>
        <v>3 mos</v>
      </c>
      <c r="H497" s="1" t="str">
        <f ca="1">IFERROR(__xludf.DUMMYFUNCTION("""COMPUTED_VALUE"""),"comment")</f>
        <v>comment</v>
      </c>
      <c r="I497" s="2" t="str">
        <f ca="1">IFERROR(__xludf.DUMMYFUNCTION("""COMPUTED_VALUE"""),"https://www.facebook.com/rapplerdotcom/photos/a.317154781638645/5597592673594803/")</f>
        <v>https://www.facebook.com/rapplerdotcom/photos/a.317154781638645/5597592673594803/</v>
      </c>
      <c r="J497" s="1" t="str">
        <f ca="1">IFERROR(__xludf.DUMMYFUNCTION("""COMPUTED_VALUE"""),"2022-07-04T11:12:52.612Z")</f>
        <v>2022-07-04T11:12:52.612Z</v>
      </c>
    </row>
    <row r="498" spans="1:10" x14ac:dyDescent="0.2">
      <c r="A498" s="2" t="str">
        <f ca="1">IFERROR(__xludf.DUMMYFUNCTION("""COMPUTED_VALUE"""),"https://www.facebook.com/bagumbayan")</f>
        <v>https://www.facebook.com/bagumbayan</v>
      </c>
      <c r="B498" s="1" t="str">
        <f ca="1">IFERROR(__xludf.DUMMYFUNCTION("""COMPUTED_VALUE"""),"Crippy Baizas")</f>
        <v>Crippy Baizas</v>
      </c>
      <c r="C498" s="1" t="str">
        <f ca="1">IFERROR(__xludf.DUMMYFUNCTION("""COMPUTED_VALUE"""),"Crippy")</f>
        <v>Crippy</v>
      </c>
      <c r="D498" s="1" t="str">
        <f ca="1">IFERROR(__xludf.DUMMYFUNCTION("""COMPUTED_VALUE"""),"Baizas")</f>
        <v>Baizas</v>
      </c>
      <c r="E498" s="1" t="str">
        <f ca="1">IFERROR(__xludf.DUMMYFUNCTION("""COMPUTED_VALUE"""),"🤮🤮🤮")</f>
        <v>🤮🤮🤮</v>
      </c>
      <c r="F498" s="1"/>
      <c r="G498" s="1" t="str">
        <f ca="1">IFERROR(__xludf.DUMMYFUNCTION("""COMPUTED_VALUE"""),"3 mos")</f>
        <v>3 mos</v>
      </c>
      <c r="H498" s="1" t="str">
        <f ca="1">IFERROR(__xludf.DUMMYFUNCTION("""COMPUTED_VALUE"""),"comment")</f>
        <v>comment</v>
      </c>
      <c r="I498" s="2" t="str">
        <f ca="1">IFERROR(__xludf.DUMMYFUNCTION("""COMPUTED_VALUE"""),"https://www.facebook.com/rapplerdotcom/photos/a.317154781638645/5597592673594803/")</f>
        <v>https://www.facebook.com/rapplerdotcom/photos/a.317154781638645/5597592673594803/</v>
      </c>
      <c r="J498" s="1" t="str">
        <f ca="1">IFERROR(__xludf.DUMMYFUNCTION("""COMPUTED_VALUE"""),"2022-07-04T11:12:52.612Z")</f>
        <v>2022-07-04T11:12:52.612Z</v>
      </c>
    </row>
    <row r="499" spans="1:10" x14ac:dyDescent="0.2">
      <c r="A499" s="2" t="str">
        <f ca="1">IFERROR(__xludf.DUMMYFUNCTION("""COMPUTED_VALUE"""),"https://www.facebook.com/kelcinRam")</f>
        <v>https://www.facebook.com/kelcinRam</v>
      </c>
      <c r="B499" s="1" t="str">
        <f ca="1">IFERROR(__xludf.DUMMYFUNCTION("""COMPUTED_VALUE"""),"Nickel Cala")</f>
        <v>Nickel Cala</v>
      </c>
      <c r="C499" s="1" t="str">
        <f ca="1">IFERROR(__xludf.DUMMYFUNCTION("""COMPUTED_VALUE"""),"Nickel")</f>
        <v>Nickel</v>
      </c>
      <c r="D499" s="1" t="str">
        <f ca="1">IFERROR(__xludf.DUMMYFUNCTION("""COMPUTED_VALUE"""),"Cala")</f>
        <v>Cala</v>
      </c>
      <c r="E499" s="1" t="str">
        <f ca="1">IFERROR(__xludf.DUMMYFUNCTION("""COMPUTED_VALUE"""),"🤮🤮🤮🤮🤮🤮🤮🤮🤮")</f>
        <v>🤮🤮🤮🤮🤮🤮🤮🤮🤮</v>
      </c>
      <c r="F499" s="1">
        <f ca="1">IFERROR(__xludf.DUMMYFUNCTION("""COMPUTED_VALUE"""),2)</f>
        <v>2</v>
      </c>
      <c r="G499" s="1" t="str">
        <f ca="1">IFERROR(__xludf.DUMMYFUNCTION("""COMPUTED_VALUE"""),"3 mos")</f>
        <v>3 mos</v>
      </c>
      <c r="H499" s="1" t="str">
        <f ca="1">IFERROR(__xludf.DUMMYFUNCTION("""COMPUTED_VALUE"""),"comment")</f>
        <v>comment</v>
      </c>
      <c r="I499" s="2" t="str">
        <f ca="1">IFERROR(__xludf.DUMMYFUNCTION("""COMPUTED_VALUE"""),"https://www.facebook.com/rapplerdotcom/photos/a.317154781638645/5597592673594803/")</f>
        <v>https://www.facebook.com/rapplerdotcom/photos/a.317154781638645/5597592673594803/</v>
      </c>
      <c r="J499" s="1" t="str">
        <f ca="1">IFERROR(__xludf.DUMMYFUNCTION("""COMPUTED_VALUE"""),"2022-07-04T11:12:52.612Z")</f>
        <v>2022-07-04T11:12:52.612Z</v>
      </c>
    </row>
    <row r="500" spans="1:10" x14ac:dyDescent="0.2">
      <c r="A500" s="2" t="str">
        <f ca="1">IFERROR(__xludf.DUMMYFUNCTION("""COMPUTED_VALUE"""),"https://www.facebook.com/jun.abordo.94")</f>
        <v>https://www.facebook.com/jun.abordo.94</v>
      </c>
      <c r="B500" s="1" t="str">
        <f ca="1">IFERROR(__xludf.DUMMYFUNCTION("""COMPUTED_VALUE"""),"Jun Abordo")</f>
        <v>Jun Abordo</v>
      </c>
      <c r="C500" s="1" t="str">
        <f ca="1">IFERROR(__xludf.DUMMYFUNCTION("""COMPUTED_VALUE"""),"Jun")</f>
        <v>Jun</v>
      </c>
      <c r="D500" s="1" t="str">
        <f ca="1">IFERROR(__xludf.DUMMYFUNCTION("""COMPUTED_VALUE"""),"Abordo")</f>
        <v>Abordo</v>
      </c>
      <c r="E500" s="1" t="str">
        <f ca="1">IFERROR(__xludf.DUMMYFUNCTION("""COMPUTED_VALUE"""),"Mag social distancing pa kayo para lalong maraming tingnan tapos pa photo shot pa natin db masaya")</f>
        <v>Mag social distancing pa kayo para lalong maraming tingnan tapos pa photo shot pa natin db masaya</v>
      </c>
      <c r="F500" s="1"/>
      <c r="G500" s="1" t="str">
        <f ca="1">IFERROR(__xludf.DUMMYFUNCTION("""COMPUTED_VALUE"""),"3 mos")</f>
        <v>3 mos</v>
      </c>
      <c r="H500" s="1" t="str">
        <f ca="1">IFERROR(__xludf.DUMMYFUNCTION("""COMPUTED_VALUE"""),"comment")</f>
        <v>comment</v>
      </c>
      <c r="I500" s="2" t="str">
        <f ca="1">IFERROR(__xludf.DUMMYFUNCTION("""COMPUTED_VALUE"""),"https://www.facebook.com/rapplerdotcom/photos/a.317154781638645/5597592673594803/")</f>
        <v>https://www.facebook.com/rapplerdotcom/photos/a.317154781638645/5597592673594803/</v>
      </c>
      <c r="J500" s="1" t="str">
        <f ca="1">IFERROR(__xludf.DUMMYFUNCTION("""COMPUTED_VALUE"""),"2022-07-04T11:12:52.612Z")</f>
        <v>2022-07-04T11:12:52.612Z</v>
      </c>
    </row>
    <row r="501" spans="1:10" x14ac:dyDescent="0.2">
      <c r="A501" s="2" t="str">
        <f ca="1">IFERROR(__xludf.DUMMYFUNCTION("""COMPUTED_VALUE"""),"https://www.facebook.com/profile.php?id=100071214034177")</f>
        <v>https://www.facebook.com/profile.php?id=100071214034177</v>
      </c>
      <c r="B501" s="1" t="str">
        <f ca="1">IFERROR(__xludf.DUMMYFUNCTION("""COMPUTED_VALUE"""),"Shak Shooka")</f>
        <v>Shak Shooka</v>
      </c>
      <c r="C501" s="1" t="str">
        <f ca="1">IFERROR(__xludf.DUMMYFUNCTION("""COMPUTED_VALUE"""),"Shak")</f>
        <v>Shak</v>
      </c>
      <c r="D501" s="1" t="str">
        <f ca="1">IFERROR(__xludf.DUMMYFUNCTION("""COMPUTED_VALUE"""),"Shooka")</f>
        <v>Shooka</v>
      </c>
      <c r="E501" s="1" t="str">
        <f ca="1">IFERROR(__xludf.DUMMYFUNCTION("""COMPUTED_VALUE"""),"Jusko maawa kyo sa mga sarili nyo.🤣")</f>
        <v>Jusko maawa kyo sa mga sarili nyo.🤣</v>
      </c>
      <c r="F501" s="1"/>
      <c r="G501" s="1" t="str">
        <f ca="1">IFERROR(__xludf.DUMMYFUNCTION("""COMPUTED_VALUE"""),"3 mos")</f>
        <v>3 mos</v>
      </c>
      <c r="H501" s="1" t="str">
        <f ca="1">IFERROR(__xludf.DUMMYFUNCTION("""COMPUTED_VALUE"""),"comment")</f>
        <v>comment</v>
      </c>
      <c r="I501" s="2" t="str">
        <f ca="1">IFERROR(__xludf.DUMMYFUNCTION("""COMPUTED_VALUE"""),"https://www.facebook.com/rapplerdotcom/photos/a.317154781638645/5597592673594803/")</f>
        <v>https://www.facebook.com/rapplerdotcom/photos/a.317154781638645/5597592673594803/</v>
      </c>
      <c r="J501" s="1" t="str">
        <f ca="1">IFERROR(__xludf.DUMMYFUNCTION("""COMPUTED_VALUE"""),"2022-07-04T11:12:52.613Z")</f>
        <v>2022-07-04T11:12:52.613Z</v>
      </c>
    </row>
    <row r="502" spans="1:10" x14ac:dyDescent="0.2">
      <c r="A502" s="2" t="str">
        <f ca="1">IFERROR(__xludf.DUMMYFUNCTION("""COMPUTED_VALUE"""),"https://www.facebook.com/profile.php?id=100074718165514")</f>
        <v>https://www.facebook.com/profile.php?id=100074718165514</v>
      </c>
      <c r="B502" s="1" t="str">
        <f ca="1">IFERROR(__xludf.DUMMYFUNCTION("""COMPUTED_VALUE"""),"Froilan Maranga")</f>
        <v>Froilan Maranga</v>
      </c>
      <c r="C502" s="1" t="str">
        <f ca="1">IFERROR(__xludf.DUMMYFUNCTION("""COMPUTED_VALUE"""),"Froilan")</f>
        <v>Froilan</v>
      </c>
      <c r="D502" s="1" t="str">
        <f ca="1">IFERROR(__xludf.DUMMYFUNCTION("""COMPUTED_VALUE"""),"Maranga")</f>
        <v>Maranga</v>
      </c>
      <c r="E502" s="1" t="str">
        <f ca="1">IFERROR(__xludf.DUMMYFUNCTION("""COMPUTED_VALUE"""),"Hahaha mas marami pa ang taga ibang bayan kiysa taga gensan hahahakot pa more😂😂😂😂")</f>
        <v>Hahaha mas marami pa ang taga ibang bayan kiysa taga gensan hahahakot pa more😂😂😂😂</v>
      </c>
      <c r="F502" s="1"/>
      <c r="G502" s="1" t="str">
        <f ca="1">IFERROR(__xludf.DUMMYFUNCTION("""COMPUTED_VALUE"""),"3 mos")</f>
        <v>3 mos</v>
      </c>
      <c r="H502" s="1" t="str">
        <f ca="1">IFERROR(__xludf.DUMMYFUNCTION("""COMPUTED_VALUE"""),"comment")</f>
        <v>comment</v>
      </c>
      <c r="I502" s="2" t="str">
        <f ca="1">IFERROR(__xludf.DUMMYFUNCTION("""COMPUTED_VALUE"""),"https://www.facebook.com/rapplerdotcom/photos/a.317154781638645/5597592673594803/")</f>
        <v>https://www.facebook.com/rapplerdotcom/photos/a.317154781638645/5597592673594803/</v>
      </c>
      <c r="J502" s="1" t="str">
        <f ca="1">IFERROR(__xludf.DUMMYFUNCTION("""COMPUTED_VALUE"""),"2022-07-04T11:12:52.613Z")</f>
        <v>2022-07-04T11:12:52.613Z</v>
      </c>
    </row>
    <row r="503" spans="1:10" x14ac:dyDescent="0.2">
      <c r="A503" s="2" t="str">
        <f ca="1">IFERROR(__xludf.DUMMYFUNCTION("""COMPUTED_VALUE"""),"https://www.facebook.com/profile.php?id=100079476013075")</f>
        <v>https://www.facebook.com/profile.php?id=100079476013075</v>
      </c>
      <c r="B503" s="1" t="str">
        <f ca="1">IFERROR(__xludf.DUMMYFUNCTION("""COMPUTED_VALUE"""),"Kayleni Angat Buhaylahat")</f>
        <v>Kayleni Angat Buhaylahat</v>
      </c>
      <c r="C503" s="1" t="str">
        <f ca="1">IFERROR(__xludf.DUMMYFUNCTION("""COMPUTED_VALUE"""),"Kayleni")</f>
        <v>Kayleni</v>
      </c>
      <c r="D503" s="1" t="str">
        <f ca="1">IFERROR(__xludf.DUMMYFUNCTION("""COMPUTED_VALUE"""),"Angat Buhaylahat")</f>
        <v>Angat Buhaylahat</v>
      </c>
      <c r="E503" s="1" t="str">
        <f ca="1">IFERROR(__xludf.DUMMYFUNCTION("""COMPUTED_VALUE"""),"Kayleni Angat Buhaylahat")</f>
        <v>Kayleni Angat Buhaylahat</v>
      </c>
      <c r="F503" s="1">
        <f ca="1">IFERROR(__xludf.DUMMYFUNCTION("""COMPUTED_VALUE"""),5)</f>
        <v>5</v>
      </c>
      <c r="G503" s="1" t="str">
        <f ca="1">IFERROR(__xludf.DUMMYFUNCTION("""COMPUTED_VALUE"""),"3 mos")</f>
        <v>3 mos</v>
      </c>
      <c r="H503" s="1" t="str">
        <f ca="1">IFERROR(__xludf.DUMMYFUNCTION("""COMPUTED_VALUE"""),"comment")</f>
        <v>comment</v>
      </c>
      <c r="I503" s="2" t="str">
        <f ca="1">IFERROR(__xludf.DUMMYFUNCTION("""COMPUTED_VALUE"""),"https://www.facebook.com/rapplerdotcom/photos/a.317154781638645/5597592673594803/")</f>
        <v>https://www.facebook.com/rapplerdotcom/photos/a.317154781638645/5597592673594803/</v>
      </c>
      <c r="J503" s="1" t="str">
        <f ca="1">IFERROR(__xludf.DUMMYFUNCTION("""COMPUTED_VALUE"""),"2022-07-04T11:12:52.613Z")</f>
        <v>2022-07-04T11:12:52.613Z</v>
      </c>
    </row>
    <row r="504" spans="1:10" x14ac:dyDescent="0.2">
      <c r="A504" s="2" t="str">
        <f ca="1">IFERROR(__xludf.DUMMYFUNCTION("""COMPUTED_VALUE"""),"https://www.facebook.com/profile.php?id=100079476013075")</f>
        <v>https://www.facebook.com/profile.php?id=100079476013075</v>
      </c>
      <c r="B504" s="1" t="str">
        <f ca="1">IFERROR(__xludf.DUMMYFUNCTION("""COMPUTED_VALUE"""),"Kayleni Angat Buhaylahat")</f>
        <v>Kayleni Angat Buhaylahat</v>
      </c>
      <c r="C504" s="1" t="str">
        <f ca="1">IFERROR(__xludf.DUMMYFUNCTION("""COMPUTED_VALUE"""),"Kayleni")</f>
        <v>Kayleni</v>
      </c>
      <c r="D504" s="1" t="str">
        <f ca="1">IFERROR(__xludf.DUMMYFUNCTION("""COMPUTED_VALUE"""),"Angat Buhaylahat")</f>
        <v>Angat Buhaylahat</v>
      </c>
      <c r="E504" s="1" t="str">
        <f ca="1">IFERROR(__xludf.DUMMYFUNCTION("""COMPUTED_VALUE"""),"Kayleni Angat Buhaylahat")</f>
        <v>Kayleni Angat Buhaylahat</v>
      </c>
      <c r="F504" s="1">
        <f ca="1">IFERROR(__xludf.DUMMYFUNCTION("""COMPUTED_VALUE"""),9)</f>
        <v>9</v>
      </c>
      <c r="G504" s="1" t="str">
        <f ca="1">IFERROR(__xludf.DUMMYFUNCTION("""COMPUTED_VALUE"""),"3 mos")</f>
        <v>3 mos</v>
      </c>
      <c r="H504" s="1" t="str">
        <f ca="1">IFERROR(__xludf.DUMMYFUNCTION("""COMPUTED_VALUE"""),"comment")</f>
        <v>comment</v>
      </c>
      <c r="I504" s="2" t="str">
        <f ca="1">IFERROR(__xludf.DUMMYFUNCTION("""COMPUTED_VALUE"""),"https://www.facebook.com/rapplerdotcom/photos/a.317154781638645/5597592673594803/")</f>
        <v>https://www.facebook.com/rapplerdotcom/photos/a.317154781638645/5597592673594803/</v>
      </c>
      <c r="J504" s="1" t="str">
        <f ca="1">IFERROR(__xludf.DUMMYFUNCTION("""COMPUTED_VALUE"""),"2022-07-04T11:12:52.613Z")</f>
        <v>2022-07-04T11:12:52.613Z</v>
      </c>
    </row>
    <row r="505" spans="1:10" x14ac:dyDescent="0.2">
      <c r="A505" s="2" t="str">
        <f ca="1">IFERROR(__xludf.DUMMYFUNCTION("""COMPUTED_VALUE"""),"https://www.facebook.com/jenelyn.balili.31")</f>
        <v>https://www.facebook.com/jenelyn.balili.31</v>
      </c>
      <c r="B505" s="1" t="str">
        <f ca="1">IFERROR(__xludf.DUMMYFUNCTION("""COMPUTED_VALUE"""),"Jenny Alvarado")</f>
        <v>Jenny Alvarado</v>
      </c>
      <c r="C505" s="1" t="str">
        <f ca="1">IFERROR(__xludf.DUMMYFUNCTION("""COMPUTED_VALUE"""),"Jenny")</f>
        <v>Jenny</v>
      </c>
      <c r="D505" s="1" t="str">
        <f ca="1">IFERROR(__xludf.DUMMYFUNCTION("""COMPUTED_VALUE"""),"Alvarado")</f>
        <v>Alvarado</v>
      </c>
      <c r="E505" s="1" t="str">
        <f ca="1">IFERROR(__xludf.DUMMYFUNCTION("""COMPUTED_VALUE"""),"❤❤❤💚💚💚")</f>
        <v>❤❤❤💚💚💚</v>
      </c>
      <c r="F505" s="1">
        <f ca="1">IFERROR(__xludf.DUMMYFUNCTION("""COMPUTED_VALUE"""),3)</f>
        <v>3</v>
      </c>
      <c r="G505" s="1" t="str">
        <f ca="1">IFERROR(__xludf.DUMMYFUNCTION("""COMPUTED_VALUE"""),"3 mos")</f>
        <v>3 mos</v>
      </c>
      <c r="H505" s="1" t="str">
        <f ca="1">IFERROR(__xludf.DUMMYFUNCTION("""COMPUTED_VALUE"""),"comment")</f>
        <v>comment</v>
      </c>
      <c r="I505" s="2" t="str">
        <f ca="1">IFERROR(__xludf.DUMMYFUNCTION("""COMPUTED_VALUE"""),"https://www.facebook.com/rapplerdotcom/photos/a.317154781638645/5597592673594803/")</f>
        <v>https://www.facebook.com/rapplerdotcom/photos/a.317154781638645/5597592673594803/</v>
      </c>
      <c r="J505" s="1" t="str">
        <f ca="1">IFERROR(__xludf.DUMMYFUNCTION("""COMPUTED_VALUE"""),"2022-07-04T11:12:52.613Z")</f>
        <v>2022-07-04T11:12:52.613Z</v>
      </c>
    </row>
    <row r="506" spans="1:10" x14ac:dyDescent="0.2">
      <c r="A506" s="2" t="str">
        <f ca="1">IFERROR(__xludf.DUMMYFUNCTION("""COMPUTED_VALUE"""),"https://www.facebook.com/recel.romero.18")</f>
        <v>https://www.facebook.com/recel.romero.18</v>
      </c>
      <c r="B506" s="1" t="str">
        <f ca="1">IFERROR(__xludf.DUMMYFUNCTION("""COMPUTED_VALUE"""),"Recel Romero")</f>
        <v>Recel Romero</v>
      </c>
      <c r="C506" s="1" t="str">
        <f ca="1">IFERROR(__xludf.DUMMYFUNCTION("""COMPUTED_VALUE"""),"Recel")</f>
        <v>Recel</v>
      </c>
      <c r="D506" s="1" t="str">
        <f ca="1">IFERROR(__xludf.DUMMYFUNCTION("""COMPUTED_VALUE"""),"Romero")</f>
        <v>Romero</v>
      </c>
      <c r="E506" s="1" t="str">
        <f ca="1">IFERROR(__xludf.DUMMYFUNCTION("""COMPUTED_VALUE"""),"❤️💚✌️👊🇵🇭")</f>
        <v>❤️💚✌️👊🇵🇭</v>
      </c>
      <c r="F506" s="1">
        <f ca="1">IFERROR(__xludf.DUMMYFUNCTION("""COMPUTED_VALUE"""),4)</f>
        <v>4</v>
      </c>
      <c r="G506" s="1" t="str">
        <f ca="1">IFERROR(__xludf.DUMMYFUNCTION("""COMPUTED_VALUE"""),"3 mos")</f>
        <v>3 mos</v>
      </c>
      <c r="H506" s="1" t="str">
        <f ca="1">IFERROR(__xludf.DUMMYFUNCTION("""COMPUTED_VALUE"""),"comment")</f>
        <v>comment</v>
      </c>
      <c r="I506" s="2" t="str">
        <f ca="1">IFERROR(__xludf.DUMMYFUNCTION("""COMPUTED_VALUE"""),"https://www.facebook.com/rapplerdotcom/photos/a.317154781638645/5597592673594803/")</f>
        <v>https://www.facebook.com/rapplerdotcom/photos/a.317154781638645/5597592673594803/</v>
      </c>
      <c r="J506" s="1" t="str">
        <f ca="1">IFERROR(__xludf.DUMMYFUNCTION("""COMPUTED_VALUE"""),"2022-07-04T11:12:52.613Z")</f>
        <v>2022-07-04T11:12:52.613Z</v>
      </c>
    </row>
    <row r="507" spans="1:10" x14ac:dyDescent="0.2">
      <c r="A507" s="2" t="str">
        <f ca="1">IFERROR(__xludf.DUMMYFUNCTION("""COMPUTED_VALUE"""),"https://www.facebook.com/rndllbailey")</f>
        <v>https://www.facebook.com/rndllbailey</v>
      </c>
      <c r="B507" s="1" t="str">
        <f ca="1">IFERROR(__xludf.DUMMYFUNCTION("""COMPUTED_VALUE"""),"Randall Bailey")</f>
        <v>Randall Bailey</v>
      </c>
      <c r="C507" s="1" t="str">
        <f ca="1">IFERROR(__xludf.DUMMYFUNCTION("""COMPUTED_VALUE"""),"Randall")</f>
        <v>Randall</v>
      </c>
      <c r="D507" s="1" t="str">
        <f ca="1">IFERROR(__xludf.DUMMYFUNCTION("""COMPUTED_VALUE"""),"Bailey")</f>
        <v>Bailey</v>
      </c>
      <c r="E507" s="1" t="str">
        <f ca="1">IFERROR(__xludf.DUMMYFUNCTION("""COMPUTED_VALUE"""),"kala ko ba ayaw niyo sa lobo 😅")</f>
        <v>kala ko ba ayaw niyo sa lobo 😅</v>
      </c>
      <c r="F507" s="1"/>
      <c r="G507" s="1" t="str">
        <f ca="1">IFERROR(__xludf.DUMMYFUNCTION("""COMPUTED_VALUE"""),"3 mos")</f>
        <v>3 mos</v>
      </c>
      <c r="H507" s="1" t="str">
        <f ca="1">IFERROR(__xludf.DUMMYFUNCTION("""COMPUTED_VALUE"""),"comment")</f>
        <v>comment</v>
      </c>
      <c r="I507" s="2" t="str">
        <f ca="1">IFERROR(__xludf.DUMMYFUNCTION("""COMPUTED_VALUE"""),"https://www.facebook.com/rapplerdotcom/photos/a.317154781638645/5597592673594803/")</f>
        <v>https://www.facebook.com/rapplerdotcom/photos/a.317154781638645/5597592673594803/</v>
      </c>
      <c r="J507" s="1" t="str">
        <f ca="1">IFERROR(__xludf.DUMMYFUNCTION("""COMPUTED_VALUE"""),"2022-07-04T11:12:52.613Z")</f>
        <v>2022-07-04T11:12:52.613Z</v>
      </c>
    </row>
    <row r="508" spans="1:10" x14ac:dyDescent="0.2">
      <c r="A508" s="2" t="str">
        <f ca="1">IFERROR(__xludf.DUMMYFUNCTION("""COMPUTED_VALUE"""),"https://www.facebook.com/abaco.charrie.3")</f>
        <v>https://www.facebook.com/abaco.charrie.3</v>
      </c>
      <c r="B508" s="1" t="str">
        <f ca="1">IFERROR(__xludf.DUMMYFUNCTION("""COMPUTED_VALUE"""),"Abaco Charrie")</f>
        <v>Abaco Charrie</v>
      </c>
      <c r="C508" s="1" t="str">
        <f ca="1">IFERROR(__xludf.DUMMYFUNCTION("""COMPUTED_VALUE"""),"Abaco")</f>
        <v>Abaco</v>
      </c>
      <c r="D508" s="1" t="str">
        <f ca="1">IFERROR(__xludf.DUMMYFUNCTION("""COMPUTED_VALUE"""),"Charrie")</f>
        <v>Charrie</v>
      </c>
      <c r="E508" s="1" t="str">
        <f ca="1">IFERROR(__xludf.DUMMYFUNCTION("""COMPUTED_VALUE"""),"❤❤❤💚💚💚")</f>
        <v>❤❤❤💚💚💚</v>
      </c>
      <c r="F508" s="1"/>
      <c r="G508" s="1" t="str">
        <f ca="1">IFERROR(__xludf.DUMMYFUNCTION("""COMPUTED_VALUE"""),"3 mos")</f>
        <v>3 mos</v>
      </c>
      <c r="H508" s="1" t="str">
        <f ca="1">IFERROR(__xludf.DUMMYFUNCTION("""COMPUTED_VALUE"""),"comment")</f>
        <v>comment</v>
      </c>
      <c r="I508" s="2" t="str">
        <f ca="1">IFERROR(__xludf.DUMMYFUNCTION("""COMPUTED_VALUE"""),"https://www.facebook.com/rapplerdotcom/photos/a.317154781638645/5597592673594803/")</f>
        <v>https://www.facebook.com/rapplerdotcom/photos/a.317154781638645/5597592673594803/</v>
      </c>
      <c r="J508" s="1" t="str">
        <f ca="1">IFERROR(__xludf.DUMMYFUNCTION("""COMPUTED_VALUE"""),"2022-07-04T11:12:52.613Z")</f>
        <v>2022-07-04T11:12:52.613Z</v>
      </c>
    </row>
    <row r="509" spans="1:10" x14ac:dyDescent="0.2">
      <c r="A509" s="2" t="str">
        <f ca="1">IFERROR(__xludf.DUMMYFUNCTION("""COMPUTED_VALUE"""),"https://www.facebook.com/erwin.aquino.5249349")</f>
        <v>https://www.facebook.com/erwin.aquino.5249349</v>
      </c>
      <c r="B509" s="1" t="str">
        <f ca="1">IFERROR(__xludf.DUMMYFUNCTION("""COMPUTED_VALUE"""),"Erwin Aquino")</f>
        <v>Erwin Aquino</v>
      </c>
      <c r="C509" s="1" t="str">
        <f ca="1">IFERROR(__xludf.DUMMYFUNCTION("""COMPUTED_VALUE"""),"Erwin")</f>
        <v>Erwin</v>
      </c>
      <c r="D509" s="1" t="str">
        <f ca="1">IFERROR(__xludf.DUMMYFUNCTION("""COMPUTED_VALUE"""),"Aquino")</f>
        <v>Aquino</v>
      </c>
      <c r="E509" s="1" t="str">
        <f ca="1">IFERROR(__xludf.DUMMYFUNCTION("""COMPUTED_VALUE"""),"Hakot dito Bayad doon 😂😂")</f>
        <v>Hakot dito Bayad doon 😂😂</v>
      </c>
      <c r="F509" s="1"/>
      <c r="G509" s="1" t="str">
        <f ca="1">IFERROR(__xludf.DUMMYFUNCTION("""COMPUTED_VALUE"""),"3 mos")</f>
        <v>3 mos</v>
      </c>
      <c r="H509" s="1" t="str">
        <f ca="1">IFERROR(__xludf.DUMMYFUNCTION("""COMPUTED_VALUE"""),"comment")</f>
        <v>comment</v>
      </c>
      <c r="I509" s="2" t="str">
        <f ca="1">IFERROR(__xludf.DUMMYFUNCTION("""COMPUTED_VALUE"""),"https://www.facebook.com/rapplerdotcom/photos/a.317154781638645/5597592673594803/")</f>
        <v>https://www.facebook.com/rapplerdotcom/photos/a.317154781638645/5597592673594803/</v>
      </c>
      <c r="J509" s="1" t="str">
        <f ca="1">IFERROR(__xludf.DUMMYFUNCTION("""COMPUTED_VALUE"""),"2022-07-04T11:12:52.613Z")</f>
        <v>2022-07-04T11:12:52.613Z</v>
      </c>
    </row>
    <row r="510" spans="1:10" x14ac:dyDescent="0.2">
      <c r="A510" s="2" t="str">
        <f ca="1">IFERROR(__xludf.DUMMYFUNCTION("""COMPUTED_VALUE"""),"https://www.facebook.com/jun.osorio.12")</f>
        <v>https://www.facebook.com/jun.osorio.12</v>
      </c>
      <c r="B510" s="1" t="str">
        <f ca="1">IFERROR(__xludf.DUMMYFUNCTION("""COMPUTED_VALUE"""),"Os Minnow-i")</f>
        <v>Os Minnow-i</v>
      </c>
      <c r="C510" s="1" t="str">
        <f ca="1">IFERROR(__xludf.DUMMYFUNCTION("""COMPUTED_VALUE"""),"Os")</f>
        <v>Os</v>
      </c>
      <c r="D510" s="1" t="str">
        <f ca="1">IFERROR(__xludf.DUMMYFUNCTION("""COMPUTED_VALUE"""),"Minnow-i")</f>
        <v>Minnow-i</v>
      </c>
      <c r="E510" s="1" t="str">
        <f ca="1">IFERROR(__xludf.DUMMYFUNCTION("""COMPUTED_VALUE"""),"Ngayon lang ako nakakita n pagkatapos kang nakawan magawa mo pang i-welcome yung batugan")</f>
        <v>Ngayon lang ako nakakita n pagkatapos kang nakawan magawa mo pang i-welcome yung batugan</v>
      </c>
      <c r="F510" s="1"/>
      <c r="G510" s="1" t="str">
        <f ca="1">IFERROR(__xludf.DUMMYFUNCTION("""COMPUTED_VALUE"""),"3 mos")</f>
        <v>3 mos</v>
      </c>
      <c r="H510" s="1" t="str">
        <f ca="1">IFERROR(__xludf.DUMMYFUNCTION("""COMPUTED_VALUE"""),"comment")</f>
        <v>comment</v>
      </c>
      <c r="I510" s="2" t="str">
        <f ca="1">IFERROR(__xludf.DUMMYFUNCTION("""COMPUTED_VALUE"""),"https://www.facebook.com/rapplerdotcom/photos/a.317154781638645/5597592673594803/")</f>
        <v>https://www.facebook.com/rapplerdotcom/photos/a.317154781638645/5597592673594803/</v>
      </c>
      <c r="J510" s="1" t="str">
        <f ca="1">IFERROR(__xludf.DUMMYFUNCTION("""COMPUTED_VALUE"""),"2022-07-04T11:12:52.613Z")</f>
        <v>2022-07-04T11:12:52.613Z</v>
      </c>
    </row>
    <row r="511" spans="1:10" x14ac:dyDescent="0.2">
      <c r="A511" s="2" t="str">
        <f ca="1">IFERROR(__xludf.DUMMYFUNCTION("""COMPUTED_VALUE"""),"https://www.facebook.com/profile.php?id=100078787512312")</f>
        <v>https://www.facebook.com/profile.php?id=100078787512312</v>
      </c>
      <c r="B511" s="1" t="str">
        <f ca="1">IFERROR(__xludf.DUMMYFUNCTION("""COMPUTED_VALUE"""),"Lanie Feir Gabot Baniaga")</f>
        <v>Lanie Feir Gabot Baniaga</v>
      </c>
      <c r="C511" s="1" t="str">
        <f ca="1">IFERROR(__xludf.DUMMYFUNCTION("""COMPUTED_VALUE"""),"Lanie")</f>
        <v>Lanie</v>
      </c>
      <c r="D511" s="1" t="str">
        <f ca="1">IFERROR(__xludf.DUMMYFUNCTION("""COMPUTED_VALUE"""),"Feir Gabot Baniaga")</f>
        <v>Feir Gabot Baniaga</v>
      </c>
      <c r="E511" s="1" t="str">
        <f ca="1">IFERROR(__xludf.DUMMYFUNCTION("""COMPUTED_VALUE"""),"Magbatuhan nalang kayo ng upuan😂")</f>
        <v>Magbatuhan nalang kayo ng upuan😂</v>
      </c>
      <c r="F511" s="1">
        <f ca="1">IFERROR(__xludf.DUMMYFUNCTION("""COMPUTED_VALUE"""),1)</f>
        <v>1</v>
      </c>
      <c r="G511" s="1" t="str">
        <f ca="1">IFERROR(__xludf.DUMMYFUNCTION("""COMPUTED_VALUE"""),"3 mos")</f>
        <v>3 mos</v>
      </c>
      <c r="H511" s="1" t="str">
        <f ca="1">IFERROR(__xludf.DUMMYFUNCTION("""COMPUTED_VALUE"""),"comment")</f>
        <v>comment</v>
      </c>
      <c r="I511" s="2" t="str">
        <f ca="1">IFERROR(__xludf.DUMMYFUNCTION("""COMPUTED_VALUE"""),"https://www.facebook.com/rapplerdotcom/photos/a.317154781638645/5597592673594803/")</f>
        <v>https://www.facebook.com/rapplerdotcom/photos/a.317154781638645/5597592673594803/</v>
      </c>
      <c r="J511" s="1" t="str">
        <f ca="1">IFERROR(__xludf.DUMMYFUNCTION("""COMPUTED_VALUE"""),"2022-07-04T11:12:52.613Z")</f>
        <v>2022-07-04T11:12:52.613Z</v>
      </c>
    </row>
    <row r="512" spans="1:10" x14ac:dyDescent="0.2">
      <c r="A512" s="2" t="str">
        <f ca="1">IFERROR(__xludf.DUMMYFUNCTION("""COMPUTED_VALUE"""),"https://www.facebook.com/gary.garcia.357")</f>
        <v>https://www.facebook.com/gary.garcia.357</v>
      </c>
      <c r="B512" s="1" t="str">
        <f ca="1">IFERROR(__xludf.DUMMYFUNCTION("""COMPUTED_VALUE"""),"Gary Garcia")</f>
        <v>Gary Garcia</v>
      </c>
      <c r="C512" s="1" t="str">
        <f ca="1">IFERROR(__xludf.DUMMYFUNCTION("""COMPUTED_VALUE"""),"Gary")</f>
        <v>Gary</v>
      </c>
      <c r="D512" s="1" t="str">
        <f ca="1">IFERROR(__xludf.DUMMYFUNCTION("""COMPUTED_VALUE"""),"Garcia")</f>
        <v>Garcia</v>
      </c>
      <c r="E512" s="1" t="str">
        <f ca="1">IFERROR(__xludf.DUMMYFUNCTION("""COMPUTED_VALUE"""),"BAGONG PILIPINAS, BAGONG MUKHA #7 #4")</f>
        <v>BAGONG PILIPINAS, BAGONG MUKHA #7 #4</v>
      </c>
      <c r="F512" s="1"/>
      <c r="G512" s="1" t="str">
        <f ca="1">IFERROR(__xludf.DUMMYFUNCTION("""COMPUTED_VALUE"""),"3 mos")</f>
        <v>3 mos</v>
      </c>
      <c r="H512" s="1" t="str">
        <f ca="1">IFERROR(__xludf.DUMMYFUNCTION("""COMPUTED_VALUE"""),"comment")</f>
        <v>comment</v>
      </c>
      <c r="I512" s="2" t="str">
        <f ca="1">IFERROR(__xludf.DUMMYFUNCTION("""COMPUTED_VALUE"""),"https://www.facebook.com/rapplerdotcom/photos/a.317154781638645/5597592673594803/")</f>
        <v>https://www.facebook.com/rapplerdotcom/photos/a.317154781638645/5597592673594803/</v>
      </c>
      <c r="J512" s="1" t="str">
        <f ca="1">IFERROR(__xludf.DUMMYFUNCTION("""COMPUTED_VALUE"""),"2022-07-04T11:12:52.613Z")</f>
        <v>2022-07-04T11:12:52.613Z</v>
      </c>
    </row>
    <row r="513" spans="1:10" x14ac:dyDescent="0.2">
      <c r="A513" s="2" t="str">
        <f ca="1">IFERROR(__xludf.DUMMYFUNCTION("""COMPUTED_VALUE"""),"https://www.facebook.com/jose.a.bautista.98")</f>
        <v>https://www.facebook.com/jose.a.bautista.98</v>
      </c>
      <c r="B513" s="1" t="str">
        <f ca="1">IFERROR(__xludf.DUMMYFUNCTION("""COMPUTED_VALUE"""),"Wito Bautista")</f>
        <v>Wito Bautista</v>
      </c>
      <c r="C513" s="1" t="str">
        <f ca="1">IFERROR(__xludf.DUMMYFUNCTION("""COMPUTED_VALUE"""),"Wito")</f>
        <v>Wito</v>
      </c>
      <c r="D513" s="1" t="str">
        <f ca="1">IFERROR(__xludf.DUMMYFUNCTION("""COMPUTED_VALUE"""),"Bautista")</f>
        <v>Bautista</v>
      </c>
      <c r="E513" s="1" t="str">
        <f ca="1">IFERROR(__xludf.DUMMYFUNCTION("""COMPUTED_VALUE"""),"🤮")</f>
        <v>🤮</v>
      </c>
      <c r="F513" s="1"/>
      <c r="G513" s="1" t="str">
        <f ca="1">IFERROR(__xludf.DUMMYFUNCTION("""COMPUTED_VALUE"""),"3 mos")</f>
        <v>3 mos</v>
      </c>
      <c r="H513" s="1" t="str">
        <f ca="1">IFERROR(__xludf.DUMMYFUNCTION("""COMPUTED_VALUE"""),"comment")</f>
        <v>comment</v>
      </c>
      <c r="I513" s="2" t="str">
        <f ca="1">IFERROR(__xludf.DUMMYFUNCTION("""COMPUTED_VALUE"""),"https://www.facebook.com/rapplerdotcom/photos/a.317154781638645/5597592673594803/")</f>
        <v>https://www.facebook.com/rapplerdotcom/photos/a.317154781638645/5597592673594803/</v>
      </c>
      <c r="J513" s="1" t="str">
        <f ca="1">IFERROR(__xludf.DUMMYFUNCTION("""COMPUTED_VALUE"""),"2022-07-04T11:12:52.613Z")</f>
        <v>2022-07-04T11:12:52.613Z</v>
      </c>
    </row>
    <row r="514" spans="1:10" x14ac:dyDescent="0.2">
      <c r="A514" s="2" t="str">
        <f ca="1">IFERROR(__xludf.DUMMYFUNCTION("""COMPUTED_VALUE"""),"https://www.facebook.com/kimshie.artocilla")</f>
        <v>https://www.facebook.com/kimshie.artocilla</v>
      </c>
      <c r="B514" s="1" t="str">
        <f ca="1">IFERROR(__xludf.DUMMYFUNCTION("""COMPUTED_VALUE"""),"Nene Vilma Torstensen")</f>
        <v>Nene Vilma Torstensen</v>
      </c>
      <c r="C514" s="1" t="str">
        <f ca="1">IFERROR(__xludf.DUMMYFUNCTION("""COMPUTED_VALUE"""),"Nene")</f>
        <v>Nene</v>
      </c>
      <c r="D514" s="1" t="str">
        <f ca="1">IFERROR(__xludf.DUMMYFUNCTION("""COMPUTED_VALUE"""),"Vilma Torstensen")</f>
        <v>Vilma Torstensen</v>
      </c>
      <c r="E514" s="1" t="str">
        <f ca="1">IFERROR(__xludf.DUMMYFUNCTION("""COMPUTED_VALUE"""),"Ang daming idiot sa Pinas.")</f>
        <v>Ang daming idiot sa Pinas.</v>
      </c>
      <c r="F514" s="1"/>
      <c r="G514" s="1" t="str">
        <f ca="1">IFERROR(__xludf.DUMMYFUNCTION("""COMPUTED_VALUE"""),"3 mos")</f>
        <v>3 mos</v>
      </c>
      <c r="H514" s="1" t="str">
        <f ca="1">IFERROR(__xludf.DUMMYFUNCTION("""COMPUTED_VALUE"""),"comment")</f>
        <v>comment</v>
      </c>
      <c r="I514" s="2" t="str">
        <f ca="1">IFERROR(__xludf.DUMMYFUNCTION("""COMPUTED_VALUE"""),"https://www.facebook.com/rapplerdotcom/photos/a.317154781638645/5597592673594803/")</f>
        <v>https://www.facebook.com/rapplerdotcom/photos/a.317154781638645/5597592673594803/</v>
      </c>
      <c r="J514" s="1" t="str">
        <f ca="1">IFERROR(__xludf.DUMMYFUNCTION("""COMPUTED_VALUE"""),"2022-07-04T11:12:52.613Z")</f>
        <v>2022-07-04T11:12:52.613Z</v>
      </c>
    </row>
    <row r="515" spans="1:10" x14ac:dyDescent="0.2">
      <c r="A515" s="2" t="str">
        <f ca="1">IFERROR(__xludf.DUMMYFUNCTION("""COMPUTED_VALUE"""),"https://www.facebook.com/omar.morales.14203")</f>
        <v>https://www.facebook.com/omar.morales.14203</v>
      </c>
      <c r="B515" s="1" t="str">
        <f ca="1">IFERROR(__xludf.DUMMYFUNCTION("""COMPUTED_VALUE"""),"Omar Morales")</f>
        <v>Omar Morales</v>
      </c>
      <c r="C515" s="1" t="str">
        <f ca="1">IFERROR(__xludf.DUMMYFUNCTION("""COMPUTED_VALUE"""),"Omar")</f>
        <v>Omar</v>
      </c>
      <c r="D515" s="1" t="str">
        <f ca="1">IFERROR(__xludf.DUMMYFUNCTION("""COMPUTED_VALUE"""),"Morales")</f>
        <v>Morales</v>
      </c>
      <c r="E515" s="1" t="str">
        <f ca="1">IFERROR(__xludf.DUMMYFUNCTION("""COMPUTED_VALUE"""),"Single pile.. Para mukhang marami...")</f>
        <v>Single pile.. Para mukhang marami...</v>
      </c>
      <c r="F515" s="1">
        <f ca="1">IFERROR(__xludf.DUMMYFUNCTION("""COMPUTED_VALUE"""),5)</f>
        <v>5</v>
      </c>
      <c r="G515" s="1" t="str">
        <f ca="1">IFERROR(__xludf.DUMMYFUNCTION("""COMPUTED_VALUE"""),"3 mos")</f>
        <v>3 mos</v>
      </c>
      <c r="H515" s="1" t="str">
        <f ca="1">IFERROR(__xludf.DUMMYFUNCTION("""COMPUTED_VALUE"""),"comment")</f>
        <v>comment</v>
      </c>
      <c r="I515" s="2" t="str">
        <f ca="1">IFERROR(__xludf.DUMMYFUNCTION("""COMPUTED_VALUE"""),"https://www.facebook.com/rapplerdotcom/photos/a.317154781638645/5597592673594803/")</f>
        <v>https://www.facebook.com/rapplerdotcom/photos/a.317154781638645/5597592673594803/</v>
      </c>
      <c r="J515" s="1" t="str">
        <f ca="1">IFERROR(__xludf.DUMMYFUNCTION("""COMPUTED_VALUE"""),"2022-07-04T11:12:52.613Z")</f>
        <v>2022-07-04T11:12:52.613Z</v>
      </c>
    </row>
    <row r="516" spans="1:10" x14ac:dyDescent="0.2">
      <c r="A516" s="2" t="str">
        <f ca="1">IFERROR(__xludf.DUMMYFUNCTION("""COMPUTED_VALUE"""),"https://www.facebook.com/aldus.grey2")</f>
        <v>https://www.facebook.com/aldus.grey2</v>
      </c>
      <c r="B516" s="1" t="str">
        <f ca="1">IFERROR(__xludf.DUMMYFUNCTION("""COMPUTED_VALUE"""),"Aldus Grey")</f>
        <v>Aldus Grey</v>
      </c>
      <c r="C516" s="1" t="str">
        <f ca="1">IFERROR(__xludf.DUMMYFUNCTION("""COMPUTED_VALUE"""),"Aldus")</f>
        <v>Aldus</v>
      </c>
      <c r="D516" s="1" t="str">
        <f ca="1">IFERROR(__xludf.DUMMYFUNCTION("""COMPUTED_VALUE"""),"Grey")</f>
        <v>Grey</v>
      </c>
      <c r="E516" s="1" t="str">
        <f ca="1">IFERROR(__xludf.DUMMYFUNCTION("""COMPUTED_VALUE"""),"ANG ALAMAT NG PUTING SOBRE..")</f>
        <v>ANG ALAMAT NG PUTING SOBRE..</v>
      </c>
      <c r="F516" s="1"/>
      <c r="G516" s="1" t="str">
        <f ca="1">IFERROR(__xludf.DUMMYFUNCTION("""COMPUTED_VALUE"""),"3 mos")</f>
        <v>3 mos</v>
      </c>
      <c r="H516" s="1" t="str">
        <f ca="1">IFERROR(__xludf.DUMMYFUNCTION("""COMPUTED_VALUE"""),"comment")</f>
        <v>comment</v>
      </c>
      <c r="I516" s="2" t="str">
        <f ca="1">IFERROR(__xludf.DUMMYFUNCTION("""COMPUTED_VALUE"""),"https://www.facebook.com/rapplerdotcom/photos/a.317154781638645/5597592673594803/")</f>
        <v>https://www.facebook.com/rapplerdotcom/photos/a.317154781638645/5597592673594803/</v>
      </c>
      <c r="J516" s="1" t="str">
        <f ca="1">IFERROR(__xludf.DUMMYFUNCTION("""COMPUTED_VALUE"""),"2022-07-04T11:12:52.613Z")</f>
        <v>2022-07-04T11:12:52.613Z</v>
      </c>
    </row>
    <row r="517" spans="1:10" x14ac:dyDescent="0.2">
      <c r="A517" s="2" t="str">
        <f ca="1">IFERROR(__xludf.DUMMYFUNCTION("""COMPUTED_VALUE"""),"https://www.facebook.com/ivan.mercadoii")</f>
        <v>https://www.facebook.com/ivan.mercadoii</v>
      </c>
      <c r="B517" s="1" t="str">
        <f ca="1">IFERROR(__xludf.DUMMYFUNCTION("""COMPUTED_VALUE"""),"Ivan Carlos Ivan")</f>
        <v>Ivan Carlos Ivan</v>
      </c>
      <c r="C517" s="1" t="str">
        <f ca="1">IFERROR(__xludf.DUMMYFUNCTION("""COMPUTED_VALUE"""),"Ivan")</f>
        <v>Ivan</v>
      </c>
      <c r="D517" s="1" t="str">
        <f ca="1">IFERROR(__xludf.DUMMYFUNCTION("""COMPUTED_VALUE"""),"Carlos Ivan")</f>
        <v>Carlos Ivan</v>
      </c>
      <c r="E517" s="1" t="str">
        <f ca="1">IFERROR(__xludf.DUMMYFUNCTION("""COMPUTED_VALUE"""),"sabagay walang pasok ang beerhaus ngayon")</f>
        <v>sabagay walang pasok ang beerhaus ngayon</v>
      </c>
      <c r="F517" s="1">
        <f ca="1">IFERROR(__xludf.DUMMYFUNCTION("""COMPUTED_VALUE"""),14)</f>
        <v>14</v>
      </c>
      <c r="G517" s="1" t="str">
        <f ca="1">IFERROR(__xludf.DUMMYFUNCTION("""COMPUTED_VALUE"""),"3 mos")</f>
        <v>3 mos</v>
      </c>
      <c r="H517" s="1" t="str">
        <f ca="1">IFERROR(__xludf.DUMMYFUNCTION("""COMPUTED_VALUE"""),"comment")</f>
        <v>comment</v>
      </c>
      <c r="I517" s="2" t="str">
        <f ca="1">IFERROR(__xludf.DUMMYFUNCTION("""COMPUTED_VALUE"""),"https://www.facebook.com/rapplerdotcom/photos/a.317154781638645/5597592673594803/")</f>
        <v>https://www.facebook.com/rapplerdotcom/photos/a.317154781638645/5597592673594803/</v>
      </c>
      <c r="J517" s="1" t="str">
        <f ca="1">IFERROR(__xludf.DUMMYFUNCTION("""COMPUTED_VALUE"""),"2022-07-04T11:12:52.613Z")</f>
        <v>2022-07-04T11:12:52.613Z</v>
      </c>
    </row>
    <row r="518" spans="1:10" x14ac:dyDescent="0.2">
      <c r="A518" s="2" t="str">
        <f ca="1">IFERROR(__xludf.DUMMYFUNCTION("""COMPUTED_VALUE"""),"https://www.facebook.com/angelitoljaojr")</f>
        <v>https://www.facebook.com/angelitoljaojr</v>
      </c>
      <c r="B518" s="1" t="str">
        <f ca="1">IFERROR(__xludf.DUMMYFUNCTION("""COMPUTED_VALUE"""),"Angelito Jao Jr.")</f>
        <v>Angelito Jao Jr.</v>
      </c>
      <c r="C518" s="1" t="str">
        <f ca="1">IFERROR(__xludf.DUMMYFUNCTION("""COMPUTED_VALUE"""),"Angelito")</f>
        <v>Angelito</v>
      </c>
      <c r="D518" s="1" t="str">
        <f ca="1">IFERROR(__xludf.DUMMYFUNCTION("""COMPUTED_VALUE"""),"Jao Jr.")</f>
        <v>Jao Jr.</v>
      </c>
      <c r="E518" s="1" t="str">
        <f ca="1">IFERROR(__xludf.DUMMYFUNCTION("""COMPUTED_VALUE"""),"Ivan Ivan Ivan they need to be convinced not mocked.")</f>
        <v>Ivan Ivan Ivan they need to be convinced not mocked.</v>
      </c>
      <c r="F518" s="1">
        <f ca="1">IFERROR(__xludf.DUMMYFUNCTION("""COMPUTED_VALUE"""),2)</f>
        <v>2</v>
      </c>
      <c r="G518" s="1" t="str">
        <f ca="1">IFERROR(__xludf.DUMMYFUNCTION("""COMPUTED_VALUE"""),"3 mos")</f>
        <v>3 mos</v>
      </c>
      <c r="H518" s="1" t="str">
        <f ca="1">IFERROR(__xludf.DUMMYFUNCTION("""COMPUTED_VALUE"""),"reply")</f>
        <v>reply</v>
      </c>
      <c r="I518" s="2" t="str">
        <f ca="1">IFERROR(__xludf.DUMMYFUNCTION("""COMPUTED_VALUE"""),"https://www.facebook.com/rapplerdotcom/photos/a.317154781638645/5597592673594803/")</f>
        <v>https://www.facebook.com/rapplerdotcom/photos/a.317154781638645/5597592673594803/</v>
      </c>
      <c r="J518" s="1" t="str">
        <f ca="1">IFERROR(__xludf.DUMMYFUNCTION("""COMPUTED_VALUE"""),"2022-07-04T11:12:52.613Z")</f>
        <v>2022-07-04T11:12:52.613Z</v>
      </c>
    </row>
    <row r="519" spans="1:10" x14ac:dyDescent="0.2">
      <c r="A519" s="2" t="str">
        <f ca="1">IFERROR(__xludf.DUMMYFUNCTION("""COMPUTED_VALUE"""),"https://www.facebook.com/profile.php?id=100052175882688")</f>
        <v>https://www.facebook.com/profile.php?id=100052175882688</v>
      </c>
      <c r="B519" s="1" t="str">
        <f ca="1">IFERROR(__xludf.DUMMYFUNCTION("""COMPUTED_VALUE"""),"Angela Santiago")</f>
        <v>Angela Santiago</v>
      </c>
      <c r="C519" s="1" t="str">
        <f ca="1">IFERROR(__xludf.DUMMYFUNCTION("""COMPUTED_VALUE"""),"Angela")</f>
        <v>Angela</v>
      </c>
      <c r="D519" s="1" t="str">
        <f ca="1">IFERROR(__xludf.DUMMYFUNCTION("""COMPUTED_VALUE"""),"Santiago")</f>
        <v>Santiago</v>
      </c>
      <c r="E519" s="1" t="str">
        <f ca="1">IFERROR(__xludf.DUMMYFUNCTION("""COMPUTED_VALUE"""),"Bato bato pick?")</f>
        <v>Bato bato pick?</v>
      </c>
      <c r="F519" s="1">
        <f ca="1">IFERROR(__xludf.DUMMYFUNCTION("""COMPUTED_VALUE"""),2)</f>
        <v>2</v>
      </c>
      <c r="G519" s="1" t="str">
        <f ca="1">IFERROR(__xludf.DUMMYFUNCTION("""COMPUTED_VALUE"""),"3 mos")</f>
        <v>3 mos</v>
      </c>
      <c r="H519" s="1" t="str">
        <f ca="1">IFERROR(__xludf.DUMMYFUNCTION("""COMPUTED_VALUE"""),"comment")</f>
        <v>comment</v>
      </c>
      <c r="I519" s="2" t="str">
        <f ca="1">IFERROR(__xludf.DUMMYFUNCTION("""COMPUTED_VALUE"""),"https://www.facebook.com/rapplerdotcom/photos/a.317154781638645/5597592673594803/")</f>
        <v>https://www.facebook.com/rapplerdotcom/photos/a.317154781638645/5597592673594803/</v>
      </c>
      <c r="J519" s="1" t="str">
        <f ca="1">IFERROR(__xludf.DUMMYFUNCTION("""COMPUTED_VALUE"""),"2022-07-04T11:12:52.613Z")</f>
        <v>2022-07-04T11:12:52.613Z</v>
      </c>
    </row>
    <row r="520" spans="1:10" x14ac:dyDescent="0.2">
      <c r="A520" s="2" t="str">
        <f ca="1">IFERROR(__xludf.DUMMYFUNCTION("""COMPUTED_VALUE"""),"https://www.facebook.com/danielle.jacque.5")</f>
        <v>https://www.facebook.com/danielle.jacque.5</v>
      </c>
      <c r="B520" s="1" t="str">
        <f ca="1">IFERROR(__xludf.DUMMYFUNCTION("""COMPUTED_VALUE"""),"Danielle Jacque")</f>
        <v>Danielle Jacque</v>
      </c>
      <c r="C520" s="1" t="str">
        <f ca="1">IFERROR(__xludf.DUMMYFUNCTION("""COMPUTED_VALUE"""),"Danielle")</f>
        <v>Danielle</v>
      </c>
      <c r="D520" s="1" t="str">
        <f ca="1">IFERROR(__xludf.DUMMYFUNCTION("""COMPUTED_VALUE"""),"Jacque")</f>
        <v>Jacque</v>
      </c>
      <c r="E520" s="1" t="str">
        <f ca="1">IFERROR(__xludf.DUMMYFUNCTION("""COMPUTED_VALUE"""),"Danielle Jacque")</f>
        <v>Danielle Jacque</v>
      </c>
      <c r="F520" s="1">
        <f ca="1">IFERROR(__xludf.DUMMYFUNCTION("""COMPUTED_VALUE"""),2)</f>
        <v>2</v>
      </c>
      <c r="G520" s="1" t="str">
        <f ca="1">IFERROR(__xludf.DUMMYFUNCTION("""COMPUTED_VALUE"""),"3 mos")</f>
        <v>3 mos</v>
      </c>
      <c r="H520" s="1" t="str">
        <f ca="1">IFERROR(__xludf.DUMMYFUNCTION("""COMPUTED_VALUE"""),"comment")</f>
        <v>comment</v>
      </c>
      <c r="I520" s="2" t="str">
        <f ca="1">IFERROR(__xludf.DUMMYFUNCTION("""COMPUTED_VALUE"""),"https://www.facebook.com/rapplerdotcom/photos/a.317154781638645/5597592673594803/")</f>
        <v>https://www.facebook.com/rapplerdotcom/photos/a.317154781638645/5597592673594803/</v>
      </c>
      <c r="J520" s="1" t="str">
        <f ca="1">IFERROR(__xludf.DUMMYFUNCTION("""COMPUTED_VALUE"""),"2022-07-04T11:12:52.613Z")</f>
        <v>2022-07-04T11:12:52.613Z</v>
      </c>
    </row>
    <row r="521" spans="1:10" x14ac:dyDescent="0.2">
      <c r="A521" s="2" t="str">
        <f ca="1">IFERROR(__xludf.DUMMYFUNCTION("""COMPUTED_VALUE"""),"https://www.facebook.com/angelitoljaojr")</f>
        <v>https://www.facebook.com/angelitoljaojr</v>
      </c>
      <c r="B521" s="1" t="str">
        <f ca="1">IFERROR(__xludf.DUMMYFUNCTION("""COMPUTED_VALUE"""),"Angelito Jao Jr.")</f>
        <v>Angelito Jao Jr.</v>
      </c>
      <c r="C521" s="1" t="str">
        <f ca="1">IFERROR(__xludf.DUMMYFUNCTION("""COMPUTED_VALUE"""),"Angelito")</f>
        <v>Angelito</v>
      </c>
      <c r="D521" s="1" t="str">
        <f ca="1">IFERROR(__xludf.DUMMYFUNCTION("""COMPUTED_VALUE"""),"Jao Jr.")</f>
        <v>Jao Jr.</v>
      </c>
      <c r="E521" s="1" t="str">
        <f ca="1">IFERROR(__xludf.DUMMYFUNCTION("""COMPUTED_VALUE"""),"Danielle Jacque you mocking other people ain't gonna help")</f>
        <v>Danielle Jacque you mocking other people ain't gonna help</v>
      </c>
      <c r="F521" s="1">
        <f ca="1">IFERROR(__xludf.DUMMYFUNCTION("""COMPUTED_VALUE"""),1)</f>
        <v>1</v>
      </c>
      <c r="G521" s="1" t="str">
        <f ca="1">IFERROR(__xludf.DUMMYFUNCTION("""COMPUTED_VALUE"""),"3 mos")</f>
        <v>3 mos</v>
      </c>
      <c r="H521" s="1" t="str">
        <f ca="1">IFERROR(__xludf.DUMMYFUNCTION("""COMPUTED_VALUE"""),"reply")</f>
        <v>reply</v>
      </c>
      <c r="I521" s="2" t="str">
        <f ca="1">IFERROR(__xludf.DUMMYFUNCTION("""COMPUTED_VALUE"""),"https://www.facebook.com/rapplerdotcom/photos/a.317154781638645/5597592673594803/")</f>
        <v>https://www.facebook.com/rapplerdotcom/photos/a.317154781638645/5597592673594803/</v>
      </c>
      <c r="J521" s="1" t="str">
        <f ca="1">IFERROR(__xludf.DUMMYFUNCTION("""COMPUTED_VALUE"""),"2022-07-04T11:12:52.613Z")</f>
        <v>2022-07-04T11:12:52.613Z</v>
      </c>
    </row>
    <row r="522" spans="1:10" x14ac:dyDescent="0.2">
      <c r="A522" s="2" t="str">
        <f ca="1">IFERROR(__xludf.DUMMYFUNCTION("""COMPUTED_VALUE"""),"https://www.facebook.com/danielle.jacque.5")</f>
        <v>https://www.facebook.com/danielle.jacque.5</v>
      </c>
      <c r="B522" s="1" t="str">
        <f ca="1">IFERROR(__xludf.DUMMYFUNCTION("""COMPUTED_VALUE"""),"Danielle Jacque")</f>
        <v>Danielle Jacque</v>
      </c>
      <c r="C522" s="1" t="str">
        <f ca="1">IFERROR(__xludf.DUMMYFUNCTION("""COMPUTED_VALUE"""),"Danielle")</f>
        <v>Danielle</v>
      </c>
      <c r="D522" s="1" t="str">
        <f ca="1">IFERROR(__xludf.DUMMYFUNCTION("""COMPUTED_VALUE"""),"Jacque")</f>
        <v>Jacque</v>
      </c>
      <c r="E522" s="1" t="str">
        <f ca="1">IFERROR(__xludf.DUMMYFUNCTION("""COMPUTED_VALUE"""),"Angelito Jao Jr.")</f>
        <v>Angelito Jao Jr.</v>
      </c>
      <c r="F522" s="1">
        <f ca="1">IFERROR(__xludf.DUMMYFUNCTION("""COMPUTED_VALUE"""),3)</f>
        <v>3</v>
      </c>
      <c r="G522" s="1" t="str">
        <f ca="1">IFERROR(__xludf.DUMMYFUNCTION("""COMPUTED_VALUE"""),"3 mos")</f>
        <v>3 mos</v>
      </c>
      <c r="H522" s="1" t="str">
        <f ca="1">IFERROR(__xludf.DUMMYFUNCTION("""COMPUTED_VALUE"""),"reply")</f>
        <v>reply</v>
      </c>
      <c r="I522" s="2" t="str">
        <f ca="1">IFERROR(__xludf.DUMMYFUNCTION("""COMPUTED_VALUE"""),"https://www.facebook.com/rapplerdotcom/photos/a.317154781638645/5597592673594803/")</f>
        <v>https://www.facebook.com/rapplerdotcom/photos/a.317154781638645/5597592673594803/</v>
      </c>
      <c r="J522" s="1" t="str">
        <f ca="1">IFERROR(__xludf.DUMMYFUNCTION("""COMPUTED_VALUE"""),"2022-07-04T11:12:52.613Z")</f>
        <v>2022-07-04T11:12:52.613Z</v>
      </c>
    </row>
    <row r="523" spans="1:10" x14ac:dyDescent="0.2">
      <c r="A523" s="2" t="str">
        <f ca="1">IFERROR(__xludf.DUMMYFUNCTION("""COMPUTED_VALUE"""),"https://www.facebook.com/angelitoljaojr")</f>
        <v>https://www.facebook.com/angelitoljaojr</v>
      </c>
      <c r="B523" s="1" t="str">
        <f ca="1">IFERROR(__xludf.DUMMYFUNCTION("""COMPUTED_VALUE"""),"Angelito Jao Jr.")</f>
        <v>Angelito Jao Jr.</v>
      </c>
      <c r="C523" s="1" t="str">
        <f ca="1">IFERROR(__xludf.DUMMYFUNCTION("""COMPUTED_VALUE"""),"Angelito")</f>
        <v>Angelito</v>
      </c>
      <c r="D523" s="1" t="str">
        <f ca="1">IFERROR(__xludf.DUMMYFUNCTION("""COMPUTED_VALUE"""),"Jao Jr.")</f>
        <v>Jao Jr.</v>
      </c>
      <c r="E523" s="1" t="str">
        <f ca="1">IFERROR(__xludf.DUMMYFUNCTION("""COMPUTED_VALUE"""),"Danielle Jacque sugo ka malamang ng uniteam para Mangmock.")</f>
        <v>Danielle Jacque sugo ka malamang ng uniteam para Mangmock.</v>
      </c>
      <c r="F523" s="1">
        <f ca="1">IFERROR(__xludf.DUMMYFUNCTION("""COMPUTED_VALUE"""),1)</f>
        <v>1</v>
      </c>
      <c r="G523" s="1" t="str">
        <f ca="1">IFERROR(__xludf.DUMMYFUNCTION("""COMPUTED_VALUE"""),"3 mos")</f>
        <v>3 mos</v>
      </c>
      <c r="H523" s="1" t="str">
        <f ca="1">IFERROR(__xludf.DUMMYFUNCTION("""COMPUTED_VALUE"""),"reply")</f>
        <v>reply</v>
      </c>
      <c r="I523" s="2" t="str">
        <f ca="1">IFERROR(__xludf.DUMMYFUNCTION("""COMPUTED_VALUE"""),"https://www.facebook.com/rapplerdotcom/photos/a.317154781638645/5597592673594803/")</f>
        <v>https://www.facebook.com/rapplerdotcom/photos/a.317154781638645/5597592673594803/</v>
      </c>
      <c r="J523" s="1" t="str">
        <f ca="1">IFERROR(__xludf.DUMMYFUNCTION("""COMPUTED_VALUE"""),"2022-07-04T11:12:52.613Z")</f>
        <v>2022-07-04T11:12:52.613Z</v>
      </c>
    </row>
    <row r="524" spans="1:10" x14ac:dyDescent="0.2">
      <c r="A524" s="2" t="str">
        <f ca="1">IFERROR(__xludf.DUMMYFUNCTION("""COMPUTED_VALUE"""),"https://www.facebook.com/danielle.jacque.5")</f>
        <v>https://www.facebook.com/danielle.jacque.5</v>
      </c>
      <c r="B524" s="1" t="str">
        <f ca="1">IFERROR(__xludf.DUMMYFUNCTION("""COMPUTED_VALUE"""),"Danielle Jacque")</f>
        <v>Danielle Jacque</v>
      </c>
      <c r="C524" s="1" t="str">
        <f ca="1">IFERROR(__xludf.DUMMYFUNCTION("""COMPUTED_VALUE"""),"Danielle")</f>
        <v>Danielle</v>
      </c>
      <c r="D524" s="1" t="str">
        <f ca="1">IFERROR(__xludf.DUMMYFUNCTION("""COMPUTED_VALUE"""),"Jacque")</f>
        <v>Jacque</v>
      </c>
      <c r="E524" s="1" t="str">
        <f ca="1">IFERROR(__xludf.DUMMYFUNCTION("""COMPUTED_VALUE"""),"Angelito Jao Jr. UniWHAT?!?")</f>
        <v>Angelito Jao Jr. UniWHAT?!?</v>
      </c>
      <c r="F524" s="1">
        <f ca="1">IFERROR(__xludf.DUMMYFUNCTION("""COMPUTED_VALUE"""),1)</f>
        <v>1</v>
      </c>
      <c r="G524" s="1" t="str">
        <f ca="1">IFERROR(__xludf.DUMMYFUNCTION("""COMPUTED_VALUE"""),"3 mos")</f>
        <v>3 mos</v>
      </c>
      <c r="H524" s="1" t="str">
        <f ca="1">IFERROR(__xludf.DUMMYFUNCTION("""COMPUTED_VALUE"""),"reply")</f>
        <v>reply</v>
      </c>
      <c r="I524" s="2" t="str">
        <f ca="1">IFERROR(__xludf.DUMMYFUNCTION("""COMPUTED_VALUE"""),"https://www.facebook.com/rapplerdotcom/photos/a.317154781638645/5597592673594803/")</f>
        <v>https://www.facebook.com/rapplerdotcom/photos/a.317154781638645/5597592673594803/</v>
      </c>
      <c r="J524" s="1" t="str">
        <f ca="1">IFERROR(__xludf.DUMMYFUNCTION("""COMPUTED_VALUE"""),"2022-07-04T11:12:52.613Z")</f>
        <v>2022-07-04T11:12:52.613Z</v>
      </c>
    </row>
    <row r="525" spans="1:10" x14ac:dyDescent="0.2">
      <c r="A525" s="2" t="str">
        <f ca="1">IFERROR(__xludf.DUMMYFUNCTION("""COMPUTED_VALUE"""),"https://www.facebook.com/julia.seminio")</f>
        <v>https://www.facebook.com/julia.seminio</v>
      </c>
      <c r="B525" s="1" t="str">
        <f ca="1">IFERROR(__xludf.DUMMYFUNCTION("""COMPUTED_VALUE"""),"Julia Seminio")</f>
        <v>Julia Seminio</v>
      </c>
      <c r="C525" s="1" t="str">
        <f ca="1">IFERROR(__xludf.DUMMYFUNCTION("""COMPUTED_VALUE"""),"Julia")</f>
        <v>Julia</v>
      </c>
      <c r="D525" s="1" t="str">
        <f ca="1">IFERROR(__xludf.DUMMYFUNCTION("""COMPUTED_VALUE"""),"Seminio")</f>
        <v>Seminio</v>
      </c>
      <c r="E525" s="1" t="str">
        <f ca="1">IFERROR(__xludf.DUMMYFUNCTION("""COMPUTED_VALUE"""),"You're on the right tract")</f>
        <v>You're on the right tract</v>
      </c>
      <c r="F525" s="1">
        <f ca="1">IFERROR(__xludf.DUMMYFUNCTION("""COMPUTED_VALUE"""),9)</f>
        <v>9</v>
      </c>
      <c r="G525" s="1" t="str">
        <f ca="1">IFERROR(__xludf.DUMMYFUNCTION("""COMPUTED_VALUE"""),"3 mos")</f>
        <v>3 mos</v>
      </c>
      <c r="H525" s="1" t="str">
        <f ca="1">IFERROR(__xludf.DUMMYFUNCTION("""COMPUTED_VALUE"""),"comment")</f>
        <v>comment</v>
      </c>
      <c r="I525"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25" s="1" t="str">
        <f ca="1">IFERROR(__xludf.DUMMYFUNCTION("""COMPUTED_VALUE"""),"2022-07-04T11:13:18.701Z")</f>
        <v>2022-07-04T11:13:18.701Z</v>
      </c>
    </row>
    <row r="526" spans="1:10" x14ac:dyDescent="0.2">
      <c r="A526" s="2" t="str">
        <f ca="1">IFERROR(__xludf.DUMMYFUNCTION("""COMPUTED_VALUE"""),"https://www.facebook.com/profile.php?id=100011366202531")</f>
        <v>https://www.facebook.com/profile.php?id=100011366202531</v>
      </c>
      <c r="B526" s="1" t="str">
        <f ca="1">IFERROR(__xludf.DUMMYFUNCTION("""COMPUTED_VALUE"""),"Francis Abel")</f>
        <v>Francis Abel</v>
      </c>
      <c r="C526" s="1" t="str">
        <f ca="1">IFERROR(__xludf.DUMMYFUNCTION("""COMPUTED_VALUE"""),"Francis")</f>
        <v>Francis</v>
      </c>
      <c r="D526" s="1" t="str">
        <f ca="1">IFERROR(__xludf.DUMMYFUNCTION("""COMPUTED_VALUE"""),"Abel")</f>
        <v>Abel</v>
      </c>
      <c r="E526" s="1" t="str">
        <f ca="1">IFERROR(__xludf.DUMMYFUNCTION("""COMPUTED_VALUE"""),"Naman! 💞🌷Several more others coming... Hindi ka naman pwedeng tumindig sa mali...")</f>
        <v>Naman! 💞🌷Several more others coming... Hindi ka naman pwedeng tumindig sa mali...</v>
      </c>
      <c r="F526" s="1">
        <f ca="1">IFERROR(__xludf.DUMMYFUNCTION("""COMPUTED_VALUE"""),3)</f>
        <v>3</v>
      </c>
      <c r="G526" s="1" t="str">
        <f ca="1">IFERROR(__xludf.DUMMYFUNCTION("""COMPUTED_VALUE"""),"3 mos")</f>
        <v>3 mos</v>
      </c>
      <c r="H526" s="1" t="str">
        <f ca="1">IFERROR(__xludf.DUMMYFUNCTION("""COMPUTED_VALUE"""),"comment")</f>
        <v>comment</v>
      </c>
      <c r="I526"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26" s="1" t="str">
        <f ca="1">IFERROR(__xludf.DUMMYFUNCTION("""COMPUTED_VALUE"""),"2022-07-04T11:13:18.702Z")</f>
        <v>2022-07-04T11:13:18.702Z</v>
      </c>
    </row>
    <row r="527" spans="1:10" x14ac:dyDescent="0.2">
      <c r="A527" s="2" t="str">
        <f ca="1">IFERROR(__xludf.DUMMYFUNCTION("""COMPUTED_VALUE"""),"https://www.facebook.com/edna.morita")</f>
        <v>https://www.facebook.com/edna.morita</v>
      </c>
      <c r="B527" s="1" t="str">
        <f ca="1">IFERROR(__xludf.DUMMYFUNCTION("""COMPUTED_VALUE"""),"Edna Robesa Morita")</f>
        <v>Edna Robesa Morita</v>
      </c>
      <c r="C527" s="1" t="str">
        <f ca="1">IFERROR(__xludf.DUMMYFUNCTION("""COMPUTED_VALUE"""),"Edna")</f>
        <v>Edna</v>
      </c>
      <c r="D527" s="1" t="str">
        <f ca="1">IFERROR(__xludf.DUMMYFUNCTION("""COMPUTED_VALUE"""),"Robesa Morita")</f>
        <v>Robesa Morita</v>
      </c>
      <c r="E527" s="1" t="str">
        <f ca="1">IFERROR(__xludf.DUMMYFUNCTION("""COMPUTED_VALUE"""),"Praying for more enlightened supporters! 🙏🏼🙏🏼🙏🏼 #RoadToRosasNaBukas")</f>
        <v>Praying for more enlightened supporters! 🙏🏼🙏🏼🙏🏼 #RoadToRosasNaBukas</v>
      </c>
      <c r="F527" s="1">
        <f ca="1">IFERROR(__xludf.DUMMYFUNCTION("""COMPUTED_VALUE"""),15)</f>
        <v>15</v>
      </c>
      <c r="G527" s="1" t="str">
        <f ca="1">IFERROR(__xludf.DUMMYFUNCTION("""COMPUTED_VALUE"""),"3 mos")</f>
        <v>3 mos</v>
      </c>
      <c r="H527" s="1" t="str">
        <f ca="1">IFERROR(__xludf.DUMMYFUNCTION("""COMPUTED_VALUE"""),"comment")</f>
        <v>comment</v>
      </c>
      <c r="I527"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27" s="1" t="str">
        <f ca="1">IFERROR(__xludf.DUMMYFUNCTION("""COMPUTED_VALUE"""),"2022-07-04T11:13:18.702Z")</f>
        <v>2022-07-04T11:13:18.702Z</v>
      </c>
    </row>
    <row r="528" spans="1:10" x14ac:dyDescent="0.2">
      <c r="A528" s="2" t="str">
        <f ca="1">IFERROR(__xludf.DUMMYFUNCTION("""COMPUTED_VALUE"""),"https://www.facebook.com/marc.sagad.1")</f>
        <v>https://www.facebook.com/marc.sagad.1</v>
      </c>
      <c r="B528" s="1" t="str">
        <f ca="1">IFERROR(__xludf.DUMMYFUNCTION("""COMPUTED_VALUE"""),"Marc Sagad")</f>
        <v>Marc Sagad</v>
      </c>
      <c r="C528" s="1" t="str">
        <f ca="1">IFERROR(__xludf.DUMMYFUNCTION("""COMPUTED_VALUE"""),"Marc")</f>
        <v>Marc</v>
      </c>
      <c r="D528" s="1" t="str">
        <f ca="1">IFERROR(__xludf.DUMMYFUNCTION("""COMPUTED_VALUE"""),"Sagad")</f>
        <v>Sagad</v>
      </c>
      <c r="E528" s="1" t="str">
        <f ca="1">IFERROR(__xludf.DUMMYFUNCTION("""COMPUTED_VALUE"""),"#LeniForPresident2022  #LeniKiko2022  #AngatBuhayLahat  #TrillanesForSenator2022  #LeilaDeLima2022  #ChelDioknoSaSenado  #NeriColmenares  #RisaHontiveros2022  #DickGordon  #TeddyBaguilatForSenator")</f>
        <v>#LeniForPresident2022  #LeniKiko2022  #AngatBuhayLahat  #TrillanesForSenator2022  #LeilaDeLima2022  #ChelDioknoSaSenado  #NeriColmenares  #RisaHontiveros2022  #DickGordon  #TeddyBaguilatForSenator</v>
      </c>
      <c r="F528" s="1">
        <f ca="1">IFERROR(__xludf.DUMMYFUNCTION("""COMPUTED_VALUE"""),10)</f>
        <v>10</v>
      </c>
      <c r="G528" s="1" t="str">
        <f ca="1">IFERROR(__xludf.DUMMYFUNCTION("""COMPUTED_VALUE"""),"3 mos")</f>
        <v>3 mos</v>
      </c>
      <c r="H528" s="1" t="str">
        <f ca="1">IFERROR(__xludf.DUMMYFUNCTION("""COMPUTED_VALUE"""),"comment")</f>
        <v>comment</v>
      </c>
      <c r="I528"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28" s="1" t="str">
        <f ca="1">IFERROR(__xludf.DUMMYFUNCTION("""COMPUTED_VALUE"""),"2022-07-04T11:13:18.702Z")</f>
        <v>2022-07-04T11:13:18.702Z</v>
      </c>
    </row>
    <row r="529" spans="1:10" x14ac:dyDescent="0.2">
      <c r="A529" s="2" t="str">
        <f ca="1">IFERROR(__xludf.DUMMYFUNCTION("""COMPUTED_VALUE"""),"https://www.facebook.com/molinoqueensrowlenikikosupporters")</f>
        <v>https://www.facebook.com/molinoqueensrowlenikikosupporters</v>
      </c>
      <c r="B529" s="1" t="str">
        <f ca="1">IFERROR(__xludf.DUMMYFUNCTION("""COMPUTED_VALUE"""),"Radikal Magmahal Para Sa Pilipinas")</f>
        <v>Radikal Magmahal Para Sa Pilipinas</v>
      </c>
      <c r="C529" s="1" t="str">
        <f ca="1">IFERROR(__xludf.DUMMYFUNCTION("""COMPUTED_VALUE"""),"Radikal")</f>
        <v>Radikal</v>
      </c>
      <c r="D529" s="1" t="str">
        <f ca="1">IFERROR(__xludf.DUMMYFUNCTION("""COMPUTED_VALUE"""),"Magmahal Para Sa Pilipinas")</f>
        <v>Magmahal Para Sa Pilipinas</v>
      </c>
      <c r="E529" s="1" t="str">
        <f ca="1">IFERROR(__xludf.DUMMYFUNCTION("""COMPUTED_VALUE"""),"Salamat sa mga tumindig at patuloy na lumalaban para sa bawat pamilyang Pilipino   #LeniRobredoForPresident2022  #LetLeniKikoLead2022   #RosasAngKulayNgBukas   #GobyernongTapatAngatBuhayLahat #IpanaloNa10To  #HindiKamiBayad")</f>
        <v>Salamat sa mga tumindig at patuloy na lumalaban para sa bawat pamilyang Pilipino   #LeniRobredoForPresident2022  #LetLeniKikoLead2022   #RosasAngKulayNgBukas   #GobyernongTapatAngatBuhayLahat #IpanaloNa10To  #HindiKamiBayad</v>
      </c>
      <c r="F529" s="1">
        <f ca="1">IFERROR(__xludf.DUMMYFUNCTION("""COMPUTED_VALUE"""),1)</f>
        <v>1</v>
      </c>
      <c r="G529" s="1" t="str">
        <f ca="1">IFERROR(__xludf.DUMMYFUNCTION("""COMPUTED_VALUE"""),"3 mos")</f>
        <v>3 mos</v>
      </c>
      <c r="H529" s="1" t="str">
        <f ca="1">IFERROR(__xludf.DUMMYFUNCTION("""COMPUTED_VALUE"""),"comment")</f>
        <v>comment</v>
      </c>
      <c r="I529"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29" s="1" t="str">
        <f ca="1">IFERROR(__xludf.DUMMYFUNCTION("""COMPUTED_VALUE"""),"2022-07-04T11:13:18.702Z")</f>
        <v>2022-07-04T11:13:18.702Z</v>
      </c>
    </row>
    <row r="530" spans="1:10" x14ac:dyDescent="0.2">
      <c r="A530" s="2" t="str">
        <f ca="1">IFERROR(__xludf.DUMMYFUNCTION("""COMPUTED_VALUE"""),"https://www.facebook.com/jening.martinez")</f>
        <v>https://www.facebook.com/jening.martinez</v>
      </c>
      <c r="B530" s="1" t="str">
        <f ca="1">IFERROR(__xludf.DUMMYFUNCTION("""COMPUTED_VALUE"""),"Jenine Cayetano Magcalayo Martinez")</f>
        <v>Jenine Cayetano Magcalayo Martinez</v>
      </c>
      <c r="C530" s="1" t="str">
        <f ca="1">IFERROR(__xludf.DUMMYFUNCTION("""COMPUTED_VALUE"""),"Jenine")</f>
        <v>Jenine</v>
      </c>
      <c r="D530" s="1" t="str">
        <f ca="1">IFERROR(__xludf.DUMMYFUNCTION("""COMPUTED_VALUE"""),"Cayetano Magcalayo Martinez")</f>
        <v>Cayetano Magcalayo Martinez</v>
      </c>
      <c r="E530" s="1" t="str">
        <f ca="1">IFERROR(__xludf.DUMMYFUNCTION("""COMPUTED_VALUE"""),"Let's always pray  🙏🙏 💯🇵🇭 🏩 keep the faith 🙏🏩🇵🇭 good things come in our country")</f>
        <v>Let's always pray  🙏🙏 💯🇵🇭 🏩 keep the faith 🙏🏩🇵🇭 good things come in our country</v>
      </c>
      <c r="F530" s="1">
        <f ca="1">IFERROR(__xludf.DUMMYFUNCTION("""COMPUTED_VALUE"""),12)</f>
        <v>12</v>
      </c>
      <c r="G530" s="1" t="str">
        <f ca="1">IFERROR(__xludf.DUMMYFUNCTION("""COMPUTED_VALUE"""),"3 mos")</f>
        <v>3 mos</v>
      </c>
      <c r="H530" s="1" t="str">
        <f ca="1">IFERROR(__xludf.DUMMYFUNCTION("""COMPUTED_VALUE"""),"comment")</f>
        <v>comment</v>
      </c>
      <c r="I530"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30" s="1" t="str">
        <f ca="1">IFERROR(__xludf.DUMMYFUNCTION("""COMPUTED_VALUE"""),"2022-07-04T11:13:18.702Z")</f>
        <v>2022-07-04T11:13:18.702Z</v>
      </c>
    </row>
    <row r="531" spans="1:10" x14ac:dyDescent="0.2">
      <c r="A531" s="2" t="str">
        <f ca="1">IFERROR(__xludf.DUMMYFUNCTION("""COMPUTED_VALUE"""),"https://www.facebook.com/danilomorales.dan")</f>
        <v>https://www.facebook.com/danilomorales.dan</v>
      </c>
      <c r="B531" s="1" t="str">
        <f ca="1">IFERROR(__xludf.DUMMYFUNCTION("""COMPUTED_VALUE"""),"Danilo Morales Dan")</f>
        <v>Danilo Morales Dan</v>
      </c>
      <c r="C531" s="1" t="str">
        <f ca="1">IFERROR(__xludf.DUMMYFUNCTION("""COMPUTED_VALUE"""),"Danilo")</f>
        <v>Danilo</v>
      </c>
      <c r="D531" s="1" t="str">
        <f ca="1">IFERROR(__xludf.DUMMYFUNCTION("""COMPUTED_VALUE"""),"Morales Dan")</f>
        <v>Morales Dan</v>
      </c>
      <c r="E531" s="1" t="str">
        <f ca="1">IFERROR(__xludf.DUMMYFUNCTION("""COMPUTED_VALUE"""),"GOOD MOVE ....MAHIRAP OPAGKATIWALA ANG ISANG BANSA SA ISANG TAONG  PANGIWI NGIWI ....GISING ....PILIPINAS")</f>
        <v>GOOD MOVE ....MAHIRAP OPAGKATIWALA ANG ISANG BANSA SA ISANG TAONG  PANGIWI NGIWI ....GISING ....PILIPINAS</v>
      </c>
      <c r="F531" s="1">
        <f ca="1">IFERROR(__xludf.DUMMYFUNCTION("""COMPUTED_VALUE"""),2)</f>
        <v>2</v>
      </c>
      <c r="G531" s="1" t="str">
        <f ca="1">IFERROR(__xludf.DUMMYFUNCTION("""COMPUTED_VALUE"""),"3 mos")</f>
        <v>3 mos</v>
      </c>
      <c r="H531" s="1" t="str">
        <f ca="1">IFERROR(__xludf.DUMMYFUNCTION("""COMPUTED_VALUE"""),"comment")</f>
        <v>comment</v>
      </c>
      <c r="I531"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31" s="1" t="str">
        <f ca="1">IFERROR(__xludf.DUMMYFUNCTION("""COMPUTED_VALUE"""),"2022-07-04T11:13:18.702Z")</f>
        <v>2022-07-04T11:13:18.702Z</v>
      </c>
    </row>
    <row r="532" spans="1:10" x14ac:dyDescent="0.2">
      <c r="A532" s="2" t="str">
        <f ca="1">IFERROR(__xludf.DUMMYFUNCTION("""COMPUTED_VALUE"""),"https://www.facebook.com/lou.vega.16")</f>
        <v>https://www.facebook.com/lou.vega.16</v>
      </c>
      <c r="B532" s="1" t="str">
        <f ca="1">IFERROR(__xludf.DUMMYFUNCTION("""COMPUTED_VALUE"""),"Iza Belmonte")</f>
        <v>Iza Belmonte</v>
      </c>
      <c r="C532" s="1" t="str">
        <f ca="1">IFERROR(__xludf.DUMMYFUNCTION("""COMPUTED_VALUE"""),"Iza")</f>
        <v>Iza</v>
      </c>
      <c r="D532" s="1" t="str">
        <f ca="1">IFERROR(__xludf.DUMMYFUNCTION("""COMPUTED_VALUE"""),"Belmonte")</f>
        <v>Belmonte</v>
      </c>
      <c r="E532" s="1" t="str">
        <f ca="1">IFERROR(__xludf.DUMMYFUNCTION("""COMPUTED_VALUE"""),"Danilo Morales Dan karamahin ka sana")</f>
        <v>Danilo Morales Dan karamahin ka sana</v>
      </c>
      <c r="F532" s="1"/>
      <c r="G532" s="1" t="str">
        <f ca="1">IFERROR(__xludf.DUMMYFUNCTION("""COMPUTED_VALUE"""),"3 mos")</f>
        <v>3 mos</v>
      </c>
      <c r="H532" s="1" t="str">
        <f ca="1">IFERROR(__xludf.DUMMYFUNCTION("""COMPUTED_VALUE"""),"reply")</f>
        <v>reply</v>
      </c>
      <c r="I532"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32" s="1" t="str">
        <f ca="1">IFERROR(__xludf.DUMMYFUNCTION("""COMPUTED_VALUE"""),"2022-07-04T11:13:18.702Z")</f>
        <v>2022-07-04T11:13:18.702Z</v>
      </c>
    </row>
    <row r="533" spans="1:10" x14ac:dyDescent="0.2">
      <c r="A533" s="2" t="str">
        <f ca="1">IFERROR(__xludf.DUMMYFUNCTION("""COMPUTED_VALUE"""),"https://www.facebook.com/danilomorales.dan")</f>
        <v>https://www.facebook.com/danilomorales.dan</v>
      </c>
      <c r="B533" s="1" t="str">
        <f ca="1">IFERROR(__xludf.DUMMYFUNCTION("""COMPUTED_VALUE"""),"Danilo Morales Dan")</f>
        <v>Danilo Morales Dan</v>
      </c>
      <c r="C533" s="1" t="str">
        <f ca="1">IFERROR(__xludf.DUMMYFUNCTION("""COMPUTED_VALUE"""),"Danilo")</f>
        <v>Danilo</v>
      </c>
      <c r="D533" s="1" t="str">
        <f ca="1">IFERROR(__xludf.DUMMYFUNCTION("""COMPUTED_VALUE"""),"Morales Dan")</f>
        <v>Morales Dan</v>
      </c>
      <c r="E533" s="1" t="str">
        <f ca="1">IFERROR(__xludf.DUMMYFUNCTION("""COMPUTED_VALUE"""),"Iza Belmonte IKAW BA IPAGKAKATIWALA MO ANG MGA ANAK MO SA ISANG TAONG PANGIWI NGIWI ??? SABI NGA NI DUTERTE NAG DI DROGA ??? TANONG LNG ...")</f>
        <v>Iza Belmonte IKAW BA IPAGKAKATIWALA MO ANG MGA ANAK MO SA ISANG TAONG PANGIWI NGIWI ??? SABI NGA NI DUTERTE NAG DI DROGA ??? TANONG LNG ...</v>
      </c>
      <c r="F533" s="1"/>
      <c r="G533" s="1" t="str">
        <f ca="1">IFERROR(__xludf.DUMMYFUNCTION("""COMPUTED_VALUE"""),"3 mos")</f>
        <v>3 mos</v>
      </c>
      <c r="H533" s="1" t="str">
        <f ca="1">IFERROR(__xludf.DUMMYFUNCTION("""COMPUTED_VALUE"""),"reply")</f>
        <v>reply</v>
      </c>
      <c r="I533"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33" s="1" t="str">
        <f ca="1">IFERROR(__xludf.DUMMYFUNCTION("""COMPUTED_VALUE"""),"2022-07-04T11:13:18.702Z")</f>
        <v>2022-07-04T11:13:18.702Z</v>
      </c>
    </row>
    <row r="534" spans="1:10" x14ac:dyDescent="0.2">
      <c r="A534" s="2" t="str">
        <f ca="1">IFERROR(__xludf.DUMMYFUNCTION("""COMPUTED_VALUE"""),"https://www.facebook.com/noli.palmero")</f>
        <v>https://www.facebook.com/noli.palmero</v>
      </c>
      <c r="B534" s="1" t="str">
        <f ca="1">IFERROR(__xludf.DUMMYFUNCTION("""COMPUTED_VALUE"""),"Noli Palmero")</f>
        <v>Noli Palmero</v>
      </c>
      <c r="C534" s="1" t="str">
        <f ca="1">IFERROR(__xludf.DUMMYFUNCTION("""COMPUTED_VALUE"""),"Noli")</f>
        <v>Noli</v>
      </c>
      <c r="D534" s="1" t="str">
        <f ca="1">IFERROR(__xludf.DUMMYFUNCTION("""COMPUTED_VALUE"""),"Palmero")</f>
        <v>Palmero</v>
      </c>
      <c r="E534" s="1" t="str">
        <f ca="1">IFERROR(__xludf.DUMMYFUNCTION("""COMPUTED_VALUE"""),"DApat ganyan isipan ng mga politiko sa ating bansa, kapag me bahid ng mali...wag nang kampihan!")</f>
        <v>DApat ganyan isipan ng mga politiko sa ating bansa, kapag me bahid ng mali...wag nang kampihan!</v>
      </c>
      <c r="F534" s="1"/>
      <c r="G534" s="1" t="str">
        <f ca="1">IFERROR(__xludf.DUMMYFUNCTION("""COMPUTED_VALUE"""),"3 mos")</f>
        <v>3 mos</v>
      </c>
      <c r="H534" s="1" t="str">
        <f ca="1">IFERROR(__xludf.DUMMYFUNCTION("""COMPUTED_VALUE"""),"comment")</f>
        <v>comment</v>
      </c>
      <c r="I534"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34" s="1" t="str">
        <f ca="1">IFERROR(__xludf.DUMMYFUNCTION("""COMPUTED_VALUE"""),"2022-07-04T11:13:18.702Z")</f>
        <v>2022-07-04T11:13:18.702Z</v>
      </c>
    </row>
    <row r="535" spans="1:10" x14ac:dyDescent="0.2">
      <c r="A535" s="2" t="str">
        <f ca="1">IFERROR(__xludf.DUMMYFUNCTION("""COMPUTED_VALUE"""),"https://www.facebook.com/dionisio.salmorin")</f>
        <v>https://www.facebook.com/dionisio.salmorin</v>
      </c>
      <c r="B535" s="1" t="str">
        <f ca="1">IFERROR(__xludf.DUMMYFUNCTION("""COMPUTED_VALUE"""),"Dondon Salmorin")</f>
        <v>Dondon Salmorin</v>
      </c>
      <c r="C535" s="1" t="str">
        <f ca="1">IFERROR(__xludf.DUMMYFUNCTION("""COMPUTED_VALUE"""),"Dondon")</f>
        <v>Dondon</v>
      </c>
      <c r="D535" s="1" t="str">
        <f ca="1">IFERROR(__xludf.DUMMYFUNCTION("""COMPUTED_VALUE"""),"Salmorin")</f>
        <v>Salmorin</v>
      </c>
      <c r="E535" s="1" t="str">
        <f ca="1">IFERROR(__xludf.DUMMYFUNCTION("""COMPUTED_VALUE"""),"Ang mga TAO kilala man o Hindi mayaman man o mahirap PINIPILI nila Ang mas KARAPAT DAPAT at may utak para Mamuno sa PILIPINAS upang mabago Ang NAKARAAN at KASALUKUYAN para mabago Ang KINABUKASAN nating MAMAYAN at MAKAMTAN Ang KAHALAGAHAN Ng ating IPINAGLA"&amp;"LABAN👍👍🌷🌷🌷🌷🌷🌷🇵🇭🇵🇭🇵🇭🇵🇭🇵🇭")</f>
        <v>Ang mga TAO kilala man o Hindi mayaman man o mahirap PINIPILI nila Ang mas KARAPAT DAPAT at may utak para Mamuno sa PILIPINAS upang mabago Ang NAKARAAN at KASALUKUYAN para mabago Ang KINABUKASAN nating MAMAYAN at MAKAMTAN Ang KAHALAGAHAN Ng ating IPINAGLALABAN👍👍🌷🌷🌷🌷🌷🌷🇵🇭🇵🇭🇵🇭🇵🇭🇵🇭</v>
      </c>
      <c r="F535" s="1">
        <f ca="1">IFERROR(__xludf.DUMMYFUNCTION("""COMPUTED_VALUE"""),6)</f>
        <v>6</v>
      </c>
      <c r="G535" s="1" t="str">
        <f ca="1">IFERROR(__xludf.DUMMYFUNCTION("""COMPUTED_VALUE"""),"3 mos")</f>
        <v>3 mos</v>
      </c>
      <c r="H535" s="1" t="str">
        <f ca="1">IFERROR(__xludf.DUMMYFUNCTION("""COMPUTED_VALUE"""),"comment")</f>
        <v>comment</v>
      </c>
      <c r="I535"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35" s="1" t="str">
        <f ca="1">IFERROR(__xludf.DUMMYFUNCTION("""COMPUTED_VALUE"""),"2022-07-04T11:13:18.702Z")</f>
        <v>2022-07-04T11:13:18.702Z</v>
      </c>
    </row>
    <row r="536" spans="1:10" x14ac:dyDescent="0.2">
      <c r="A536" s="2" t="str">
        <f ca="1">IFERROR(__xludf.DUMMYFUNCTION("""COMPUTED_VALUE"""),"https://www.facebook.com/marissa.cadacio")</f>
        <v>https://www.facebook.com/marissa.cadacio</v>
      </c>
      <c r="B536" s="1" t="str">
        <f ca="1">IFERROR(__xludf.DUMMYFUNCTION("""COMPUTED_VALUE"""),"Marissa Cadacio Long")</f>
        <v>Marissa Cadacio Long</v>
      </c>
      <c r="C536" s="1" t="str">
        <f ca="1">IFERROR(__xludf.DUMMYFUNCTION("""COMPUTED_VALUE"""),"Marissa")</f>
        <v>Marissa</v>
      </c>
      <c r="D536" s="1" t="str">
        <f ca="1">IFERROR(__xludf.DUMMYFUNCTION("""COMPUTED_VALUE"""),"Cadacio Long")</f>
        <v>Cadacio Long</v>
      </c>
      <c r="E536" s="1" t="str">
        <f ca="1">IFERROR(__xludf.DUMMYFUNCTION("""COMPUTED_VALUE"""),"Yep that's the right term good conscience. 👍")</f>
        <v>Yep that's the right term good conscience. 👍</v>
      </c>
      <c r="F536" s="1">
        <f ca="1">IFERROR(__xludf.DUMMYFUNCTION("""COMPUTED_VALUE"""),5)</f>
        <v>5</v>
      </c>
      <c r="G536" s="1" t="str">
        <f ca="1">IFERROR(__xludf.DUMMYFUNCTION("""COMPUTED_VALUE"""),"3 mos")</f>
        <v>3 mos</v>
      </c>
      <c r="H536" s="1" t="str">
        <f ca="1">IFERROR(__xludf.DUMMYFUNCTION("""COMPUTED_VALUE"""),"comment")</f>
        <v>comment</v>
      </c>
      <c r="I536"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36" s="1" t="str">
        <f ca="1">IFERROR(__xludf.DUMMYFUNCTION("""COMPUTED_VALUE"""),"2022-07-04T11:13:18.702Z")</f>
        <v>2022-07-04T11:13:18.702Z</v>
      </c>
    </row>
    <row r="537" spans="1:10" x14ac:dyDescent="0.2">
      <c r="A537" s="2" t="str">
        <f ca="1">IFERROR(__xludf.DUMMYFUNCTION("""COMPUTED_VALUE"""),"https://www.facebook.com/chelle.alvarez.581")</f>
        <v>https://www.facebook.com/chelle.alvarez.581</v>
      </c>
      <c r="B537" s="1" t="str">
        <f ca="1">IFERROR(__xludf.DUMMYFUNCTION("""COMPUTED_VALUE"""),"Mitchel Alvarez")</f>
        <v>Mitchel Alvarez</v>
      </c>
      <c r="C537" s="1" t="str">
        <f ca="1">IFERROR(__xludf.DUMMYFUNCTION("""COMPUTED_VALUE"""),"Mitchel")</f>
        <v>Mitchel</v>
      </c>
      <c r="D537" s="1" t="str">
        <f ca="1">IFERROR(__xludf.DUMMYFUNCTION("""COMPUTED_VALUE"""),"Alvarez")</f>
        <v>Alvarez</v>
      </c>
      <c r="E537" s="1" t="str">
        <f ca="1">IFERROR(__xludf.DUMMYFUNCTION("""COMPUTED_VALUE"""),"fear of the Lord is the foundation of true knowledge, but fool's despise wisdom and discipline...(Proverbs1:7)")</f>
        <v>fear of the Lord is the foundation of true knowledge, but fool's despise wisdom and discipline...(Proverbs1:7)</v>
      </c>
      <c r="F537" s="1"/>
      <c r="G537" s="1" t="str">
        <f ca="1">IFERROR(__xludf.DUMMYFUNCTION("""COMPUTED_VALUE"""),"3 mos")</f>
        <v>3 mos</v>
      </c>
      <c r="H537" s="1" t="str">
        <f ca="1">IFERROR(__xludf.DUMMYFUNCTION("""COMPUTED_VALUE"""),"comment")</f>
        <v>comment</v>
      </c>
      <c r="I537"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37" s="1" t="str">
        <f ca="1">IFERROR(__xludf.DUMMYFUNCTION("""COMPUTED_VALUE"""),"2022-07-04T11:13:18.702Z")</f>
        <v>2022-07-04T11:13:18.702Z</v>
      </c>
    </row>
    <row r="538" spans="1:10" x14ac:dyDescent="0.2">
      <c r="A538" s="2" t="str">
        <f ca="1">IFERROR(__xludf.DUMMYFUNCTION("""COMPUTED_VALUE"""),"https://www.facebook.com/ed.tangarcia")</f>
        <v>https://www.facebook.com/ed.tangarcia</v>
      </c>
      <c r="B538" s="1" t="str">
        <f ca="1">IFERROR(__xludf.DUMMYFUNCTION("""COMPUTED_VALUE"""),"Ed Tan Garcia")</f>
        <v>Ed Tan Garcia</v>
      </c>
      <c r="C538" s="1" t="str">
        <f ca="1">IFERROR(__xludf.DUMMYFUNCTION("""COMPUTED_VALUE"""),"Ed")</f>
        <v>Ed</v>
      </c>
      <c r="D538" s="1" t="str">
        <f ca="1">IFERROR(__xludf.DUMMYFUNCTION("""COMPUTED_VALUE"""),"Tan Garcia")</f>
        <v>Tan Garcia</v>
      </c>
      <c r="E538" s="1" t="str">
        <f ca="1">IFERROR(__xludf.DUMMYFUNCTION("""COMPUTED_VALUE"""),"#KulayRosasAngBukas")</f>
        <v>#KulayRosasAngBukas</v>
      </c>
      <c r="F538" s="1">
        <f ca="1">IFERROR(__xludf.DUMMYFUNCTION("""COMPUTED_VALUE"""),1)</f>
        <v>1</v>
      </c>
      <c r="G538" s="1" t="str">
        <f ca="1">IFERROR(__xludf.DUMMYFUNCTION("""COMPUTED_VALUE"""),"3 mos")</f>
        <v>3 mos</v>
      </c>
      <c r="H538" s="1" t="str">
        <f ca="1">IFERROR(__xludf.DUMMYFUNCTION("""COMPUTED_VALUE"""),"comment")</f>
        <v>comment</v>
      </c>
      <c r="I538"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38" s="1" t="str">
        <f ca="1">IFERROR(__xludf.DUMMYFUNCTION("""COMPUTED_VALUE"""),"2022-07-04T11:13:18.702Z")</f>
        <v>2022-07-04T11:13:18.702Z</v>
      </c>
    </row>
    <row r="539" spans="1:10" x14ac:dyDescent="0.2">
      <c r="A539" s="2" t="str">
        <f ca="1">IFERROR(__xludf.DUMMYFUNCTION("""COMPUTED_VALUE"""),"https://www.facebook.com/ruben.mallari")</f>
        <v>https://www.facebook.com/ruben.mallari</v>
      </c>
      <c r="B539" s="1" t="str">
        <f ca="1">IFERROR(__xludf.DUMMYFUNCTION("""COMPUTED_VALUE"""),"RuBen Mallari")</f>
        <v>RuBen Mallari</v>
      </c>
      <c r="C539" s="1" t="str">
        <f ca="1">IFERROR(__xludf.DUMMYFUNCTION("""COMPUTED_VALUE"""),"RuBen")</f>
        <v>RuBen</v>
      </c>
      <c r="D539" s="1" t="str">
        <f ca="1">IFERROR(__xludf.DUMMYFUNCTION("""COMPUTED_VALUE"""),"Mallari")</f>
        <v>Mallari</v>
      </c>
      <c r="E539" s="1" t="str">
        <f ca="1">IFERROR(__xludf.DUMMYFUNCTION("""COMPUTED_VALUE"""),"#GobyernongTapatAngatBuhayLahat  😊😘😍")</f>
        <v>#GobyernongTapatAngatBuhayLahat  😊😘😍</v>
      </c>
      <c r="F539" s="1">
        <f ca="1">IFERROR(__xludf.DUMMYFUNCTION("""COMPUTED_VALUE"""),3)</f>
        <v>3</v>
      </c>
      <c r="G539" s="1" t="str">
        <f ca="1">IFERROR(__xludf.DUMMYFUNCTION("""COMPUTED_VALUE"""),"3 mos")</f>
        <v>3 mos</v>
      </c>
      <c r="H539" s="1" t="str">
        <f ca="1">IFERROR(__xludf.DUMMYFUNCTION("""COMPUTED_VALUE"""),"comment")</f>
        <v>comment</v>
      </c>
      <c r="I539"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39" s="1" t="str">
        <f ca="1">IFERROR(__xludf.DUMMYFUNCTION("""COMPUTED_VALUE"""),"2022-07-04T11:13:18.702Z")</f>
        <v>2022-07-04T11:13:18.702Z</v>
      </c>
    </row>
    <row r="540" spans="1:10" x14ac:dyDescent="0.2">
      <c r="A540" s="2" t="str">
        <f ca="1">IFERROR(__xludf.DUMMYFUNCTION("""COMPUTED_VALUE"""),"https://www.facebook.com/eddie.llanora")</f>
        <v>https://www.facebook.com/eddie.llanora</v>
      </c>
      <c r="B540" s="1" t="str">
        <f ca="1">IFERROR(__xludf.DUMMYFUNCTION("""COMPUTED_VALUE"""),"Eddie Llanora")</f>
        <v>Eddie Llanora</v>
      </c>
      <c r="C540" s="1" t="str">
        <f ca="1">IFERROR(__xludf.DUMMYFUNCTION("""COMPUTED_VALUE"""),"Eddie")</f>
        <v>Eddie</v>
      </c>
      <c r="D540" s="1" t="str">
        <f ca="1">IFERROR(__xludf.DUMMYFUNCTION("""COMPUTED_VALUE"""),"Llanora")</f>
        <v>Llanora</v>
      </c>
      <c r="E540" s="1" t="str">
        <f ca="1">IFERROR(__xludf.DUMMYFUNCTION("""COMPUTED_VALUE"""),"#AngatBuhayLahat  #LeniKiko2022  #CaMaNaVaIsPink")</f>
        <v>#AngatBuhayLahat  #LeniKiko2022  #CaMaNaVaIsPink</v>
      </c>
      <c r="F540" s="1">
        <f ca="1">IFERROR(__xludf.DUMMYFUNCTION("""COMPUTED_VALUE"""),1)</f>
        <v>1</v>
      </c>
      <c r="G540" s="1" t="str">
        <f ca="1">IFERROR(__xludf.DUMMYFUNCTION("""COMPUTED_VALUE"""),"3 mos")</f>
        <v>3 mos</v>
      </c>
      <c r="H540" s="1" t="str">
        <f ca="1">IFERROR(__xludf.DUMMYFUNCTION("""COMPUTED_VALUE"""),"comment")</f>
        <v>comment</v>
      </c>
      <c r="I540"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40" s="1" t="str">
        <f ca="1">IFERROR(__xludf.DUMMYFUNCTION("""COMPUTED_VALUE"""),"2022-07-04T11:13:18.702Z")</f>
        <v>2022-07-04T11:13:18.702Z</v>
      </c>
    </row>
    <row r="541" spans="1:10" x14ac:dyDescent="0.2">
      <c r="A541" s="2" t="str">
        <f ca="1">IFERROR(__xludf.DUMMYFUNCTION("""COMPUTED_VALUE"""),"https://www.facebook.com/elgar.veril")</f>
        <v>https://www.facebook.com/elgar.veril</v>
      </c>
      <c r="B541" s="1" t="str">
        <f ca="1">IFERROR(__xludf.DUMMYFUNCTION("""COMPUTED_VALUE"""),"El-gar Lirev")</f>
        <v>El-gar Lirev</v>
      </c>
      <c r="C541" s="1" t="str">
        <f ca="1">IFERROR(__xludf.DUMMYFUNCTION("""COMPUTED_VALUE"""),"El-gar")</f>
        <v>El-gar</v>
      </c>
      <c r="D541" s="1" t="str">
        <f ca="1">IFERROR(__xludf.DUMMYFUNCTION("""COMPUTED_VALUE"""),"Lirev")</f>
        <v>Lirev</v>
      </c>
      <c r="E541" s="1" t="str">
        <f ca="1">IFERROR(__xludf.DUMMYFUNCTION("""COMPUTED_VALUE"""),"#LetLeniLead2022")</f>
        <v>#LetLeniLead2022</v>
      </c>
      <c r="F541" s="1">
        <f ca="1">IFERROR(__xludf.DUMMYFUNCTION("""COMPUTED_VALUE"""),1)</f>
        <v>1</v>
      </c>
      <c r="G541" s="1" t="str">
        <f ca="1">IFERROR(__xludf.DUMMYFUNCTION("""COMPUTED_VALUE"""),"3 mos")</f>
        <v>3 mos</v>
      </c>
      <c r="H541" s="1" t="str">
        <f ca="1">IFERROR(__xludf.DUMMYFUNCTION("""COMPUTED_VALUE"""),"comment")</f>
        <v>comment</v>
      </c>
      <c r="I541"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41" s="1" t="str">
        <f ca="1">IFERROR(__xludf.DUMMYFUNCTION("""COMPUTED_VALUE"""),"2022-07-04T11:13:18.702Z")</f>
        <v>2022-07-04T11:13:18.702Z</v>
      </c>
    </row>
    <row r="542" spans="1:10" x14ac:dyDescent="0.2">
      <c r="A542" s="2" t="str">
        <f ca="1">IFERROR(__xludf.DUMMYFUNCTION("""COMPUTED_VALUE"""),"https://www.facebook.com/profile.php?id=100028593196825")</f>
        <v>https://www.facebook.com/profile.php?id=100028593196825</v>
      </c>
      <c r="B542" s="1" t="str">
        <f ca="1">IFERROR(__xludf.DUMMYFUNCTION("""COMPUTED_VALUE"""),"Edgardo Flores")</f>
        <v>Edgardo Flores</v>
      </c>
      <c r="C542" s="1" t="str">
        <f ca="1">IFERROR(__xludf.DUMMYFUNCTION("""COMPUTED_VALUE"""),"Edgardo")</f>
        <v>Edgardo</v>
      </c>
      <c r="D542" s="1" t="str">
        <f ca="1">IFERROR(__xludf.DUMMYFUNCTION("""COMPUTED_VALUE"""),"Flores")</f>
        <v>Flores</v>
      </c>
      <c r="E542" s="1" t="str">
        <f ca="1">IFERROR(__xludf.DUMMYFUNCTION("""COMPUTED_VALUE"""),"Walk in the light not in darkness for God will lift those are wise.")</f>
        <v>Walk in the light not in darkness for God will lift those are wise.</v>
      </c>
      <c r="F542" s="1"/>
      <c r="G542" s="1" t="str">
        <f ca="1">IFERROR(__xludf.DUMMYFUNCTION("""COMPUTED_VALUE"""),"3 mos")</f>
        <v>3 mos</v>
      </c>
      <c r="H542" s="1" t="str">
        <f ca="1">IFERROR(__xludf.DUMMYFUNCTION("""COMPUTED_VALUE"""),"comment")</f>
        <v>comment</v>
      </c>
      <c r="I542"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42" s="1" t="str">
        <f ca="1">IFERROR(__xludf.DUMMYFUNCTION("""COMPUTED_VALUE"""),"2022-07-04T11:13:18.702Z")</f>
        <v>2022-07-04T11:13:18.702Z</v>
      </c>
    </row>
    <row r="543" spans="1:10" x14ac:dyDescent="0.2">
      <c r="A543" s="2" t="str">
        <f ca="1">IFERROR(__xludf.DUMMYFUNCTION("""COMPUTED_VALUE"""),"https://www.facebook.com/einavanie")</f>
        <v>https://www.facebook.com/einavanie</v>
      </c>
      <c r="B543" s="1" t="str">
        <f ca="1">IFERROR(__xludf.DUMMYFUNCTION("""COMPUTED_VALUE"""),"Einavanie Bonga")</f>
        <v>Einavanie Bonga</v>
      </c>
      <c r="C543" s="1" t="str">
        <f ca="1">IFERROR(__xludf.DUMMYFUNCTION("""COMPUTED_VALUE"""),"Einavanie")</f>
        <v>Einavanie</v>
      </c>
      <c r="D543" s="1" t="str">
        <f ca="1">IFERROR(__xludf.DUMMYFUNCTION("""COMPUTED_VALUE"""),"Bonga")</f>
        <v>Bonga</v>
      </c>
      <c r="E543" s="1" t="str">
        <f ca="1">IFERROR(__xludf.DUMMYFUNCTION("""COMPUTED_VALUE"""),"True Unity. Thank you Kakampinks Public Servanta.")</f>
        <v>True Unity. Thank you Kakampinks Public Servanta.</v>
      </c>
      <c r="F543" s="1"/>
      <c r="G543" s="1" t="str">
        <f ca="1">IFERROR(__xludf.DUMMYFUNCTION("""COMPUTED_VALUE"""),"3 mos")</f>
        <v>3 mos</v>
      </c>
      <c r="H543" s="1" t="str">
        <f ca="1">IFERROR(__xludf.DUMMYFUNCTION("""COMPUTED_VALUE"""),"comment")</f>
        <v>comment</v>
      </c>
      <c r="I543"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43" s="1" t="str">
        <f ca="1">IFERROR(__xludf.DUMMYFUNCTION("""COMPUTED_VALUE"""),"2022-07-04T11:13:18.702Z")</f>
        <v>2022-07-04T11:13:18.702Z</v>
      </c>
    </row>
    <row r="544" spans="1:10" x14ac:dyDescent="0.2">
      <c r="A544" s="2" t="str">
        <f ca="1">IFERROR(__xludf.DUMMYFUNCTION("""COMPUTED_VALUE"""),"https://www.facebook.com/jhazy30")</f>
        <v>https://www.facebook.com/jhazy30</v>
      </c>
      <c r="B544" s="1" t="str">
        <f ca="1">IFERROR(__xludf.DUMMYFUNCTION("""COMPUTED_VALUE"""),"Jassy Arbasto Duarte")</f>
        <v>Jassy Arbasto Duarte</v>
      </c>
      <c r="C544" s="1" t="str">
        <f ca="1">IFERROR(__xludf.DUMMYFUNCTION("""COMPUTED_VALUE"""),"Jassy")</f>
        <v>Jassy</v>
      </c>
      <c r="D544" s="1" t="str">
        <f ca="1">IFERROR(__xludf.DUMMYFUNCTION("""COMPUTED_VALUE"""),"Arbasto Duarte")</f>
        <v>Arbasto Duarte</v>
      </c>
      <c r="E544" s="1" t="str">
        <f ca="1">IFERROR(__xludf.DUMMYFUNCTION("""COMPUTED_VALUE"""),"#GobernongTapatAngatBuhayLahat #LeniKikoAllTheWay #transparencymatters  #RadicalMagmahal")</f>
        <v>#GobernongTapatAngatBuhayLahat #LeniKikoAllTheWay #transparencymatters  #RadicalMagmahal</v>
      </c>
      <c r="F544" s="1">
        <f ca="1">IFERROR(__xludf.DUMMYFUNCTION("""COMPUTED_VALUE"""),2)</f>
        <v>2</v>
      </c>
      <c r="G544" s="1" t="str">
        <f ca="1">IFERROR(__xludf.DUMMYFUNCTION("""COMPUTED_VALUE"""),"3 mos")</f>
        <v>3 mos</v>
      </c>
      <c r="H544" s="1" t="str">
        <f ca="1">IFERROR(__xludf.DUMMYFUNCTION("""COMPUTED_VALUE"""),"comment")</f>
        <v>comment</v>
      </c>
      <c r="I544"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44" s="1" t="str">
        <f ca="1">IFERROR(__xludf.DUMMYFUNCTION("""COMPUTED_VALUE"""),"2022-07-04T11:13:18.702Z")</f>
        <v>2022-07-04T11:13:18.702Z</v>
      </c>
    </row>
    <row r="545" spans="1:10" x14ac:dyDescent="0.2">
      <c r="A545" s="2" t="str">
        <f ca="1">IFERROR(__xludf.DUMMYFUNCTION("""COMPUTED_VALUE"""),"https://www.facebook.com/beng.decastro")</f>
        <v>https://www.facebook.com/beng.decastro</v>
      </c>
      <c r="B545" s="1" t="str">
        <f ca="1">IFERROR(__xludf.DUMMYFUNCTION("""COMPUTED_VALUE"""),"Beng Sitjar De Castro")</f>
        <v>Beng Sitjar De Castro</v>
      </c>
      <c r="C545" s="1" t="str">
        <f ca="1">IFERROR(__xludf.DUMMYFUNCTION("""COMPUTED_VALUE"""),"Beng")</f>
        <v>Beng</v>
      </c>
      <c r="D545" s="1" t="str">
        <f ca="1">IFERROR(__xludf.DUMMYFUNCTION("""COMPUTED_VALUE"""),"Sitjar De Castro")</f>
        <v>Sitjar De Castro</v>
      </c>
      <c r="E545" s="1" t="str">
        <f ca="1">IFERROR(__xludf.DUMMYFUNCTION("""COMPUTED_VALUE"""),"Beng Sitjar De Castro")</f>
        <v>Beng Sitjar De Castro</v>
      </c>
      <c r="F545" s="1">
        <f ca="1">IFERROR(__xludf.DUMMYFUNCTION("""COMPUTED_VALUE"""),2)</f>
        <v>2</v>
      </c>
      <c r="G545" s="1" t="str">
        <f ca="1">IFERROR(__xludf.DUMMYFUNCTION("""COMPUTED_VALUE"""),"3 mos")</f>
        <v>3 mos</v>
      </c>
      <c r="H545" s="1" t="str">
        <f ca="1">IFERROR(__xludf.DUMMYFUNCTION("""COMPUTED_VALUE"""),"comment")</f>
        <v>comment</v>
      </c>
      <c r="I545"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45" s="1" t="str">
        <f ca="1">IFERROR(__xludf.DUMMYFUNCTION("""COMPUTED_VALUE"""),"2022-07-04T11:13:18.702Z")</f>
        <v>2022-07-04T11:13:18.702Z</v>
      </c>
    </row>
    <row r="546" spans="1:10" x14ac:dyDescent="0.2">
      <c r="A546" s="2" t="str">
        <f ca="1">IFERROR(__xludf.DUMMYFUNCTION("""COMPUTED_VALUE"""),"https://www.facebook.com/beng.decastro")</f>
        <v>https://www.facebook.com/beng.decastro</v>
      </c>
      <c r="B546" s="1" t="str">
        <f ca="1">IFERROR(__xludf.DUMMYFUNCTION("""COMPUTED_VALUE"""),"Beng Sitjar De Castro")</f>
        <v>Beng Sitjar De Castro</v>
      </c>
      <c r="C546" s="1" t="str">
        <f ca="1">IFERROR(__xludf.DUMMYFUNCTION("""COMPUTED_VALUE"""),"Beng")</f>
        <v>Beng</v>
      </c>
      <c r="D546" s="1" t="str">
        <f ca="1">IFERROR(__xludf.DUMMYFUNCTION("""COMPUTED_VALUE"""),"Sitjar De Castro")</f>
        <v>Sitjar De Castro</v>
      </c>
      <c r="E546" s="1" t="str">
        <f ca="1">IFERROR(__xludf.DUMMYFUNCTION("""COMPUTED_VALUE"""),"Beng Sitjar De Castro")</f>
        <v>Beng Sitjar De Castro</v>
      </c>
      <c r="F546" s="1">
        <f ca="1">IFERROR(__xludf.DUMMYFUNCTION("""COMPUTED_VALUE"""),2)</f>
        <v>2</v>
      </c>
      <c r="G546" s="1" t="str">
        <f ca="1">IFERROR(__xludf.DUMMYFUNCTION("""COMPUTED_VALUE"""),"3 mos")</f>
        <v>3 mos</v>
      </c>
      <c r="H546" s="1" t="str">
        <f ca="1">IFERROR(__xludf.DUMMYFUNCTION("""COMPUTED_VALUE"""),"comment")</f>
        <v>comment</v>
      </c>
      <c r="I546"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46" s="1" t="str">
        <f ca="1">IFERROR(__xludf.DUMMYFUNCTION("""COMPUTED_VALUE"""),"2022-07-04T11:13:18.702Z")</f>
        <v>2022-07-04T11:13:18.702Z</v>
      </c>
    </row>
    <row r="547" spans="1:10" x14ac:dyDescent="0.2">
      <c r="A547" s="2" t="str">
        <f ca="1">IFERROR(__xludf.DUMMYFUNCTION("""COMPUTED_VALUE"""),"https://www.facebook.com/beng.decastro")</f>
        <v>https://www.facebook.com/beng.decastro</v>
      </c>
      <c r="B547" s="1" t="str">
        <f ca="1">IFERROR(__xludf.DUMMYFUNCTION("""COMPUTED_VALUE"""),"Beng Sitjar De Castro")</f>
        <v>Beng Sitjar De Castro</v>
      </c>
      <c r="C547" s="1" t="str">
        <f ca="1">IFERROR(__xludf.DUMMYFUNCTION("""COMPUTED_VALUE"""),"Beng")</f>
        <v>Beng</v>
      </c>
      <c r="D547" s="1" t="str">
        <f ca="1">IFERROR(__xludf.DUMMYFUNCTION("""COMPUTED_VALUE"""),"Sitjar De Castro")</f>
        <v>Sitjar De Castro</v>
      </c>
      <c r="E547" s="1" t="str">
        <f ca="1">IFERROR(__xludf.DUMMYFUNCTION("""COMPUTED_VALUE"""),"Beng Sitjar De Castro")</f>
        <v>Beng Sitjar De Castro</v>
      </c>
      <c r="F547" s="1"/>
      <c r="G547" s="1" t="str">
        <f ca="1">IFERROR(__xludf.DUMMYFUNCTION("""COMPUTED_VALUE"""),"3 mos")</f>
        <v>3 mos</v>
      </c>
      <c r="H547" s="1" t="str">
        <f ca="1">IFERROR(__xludf.DUMMYFUNCTION("""COMPUTED_VALUE"""),"comment")</f>
        <v>comment</v>
      </c>
      <c r="I547"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47" s="1" t="str">
        <f ca="1">IFERROR(__xludf.DUMMYFUNCTION("""COMPUTED_VALUE"""),"2022-07-04T11:13:18.702Z")</f>
        <v>2022-07-04T11:13:18.702Z</v>
      </c>
    </row>
    <row r="548" spans="1:10" x14ac:dyDescent="0.2">
      <c r="A548" s="2" t="str">
        <f ca="1">IFERROR(__xludf.DUMMYFUNCTION("""COMPUTED_VALUE"""),"https://www.facebook.com/beng.decastro")</f>
        <v>https://www.facebook.com/beng.decastro</v>
      </c>
      <c r="B548" s="1" t="str">
        <f ca="1">IFERROR(__xludf.DUMMYFUNCTION("""COMPUTED_VALUE"""),"Beng Sitjar De Castro")</f>
        <v>Beng Sitjar De Castro</v>
      </c>
      <c r="C548" s="1" t="str">
        <f ca="1">IFERROR(__xludf.DUMMYFUNCTION("""COMPUTED_VALUE"""),"Beng")</f>
        <v>Beng</v>
      </c>
      <c r="D548" s="1" t="str">
        <f ca="1">IFERROR(__xludf.DUMMYFUNCTION("""COMPUTED_VALUE"""),"Sitjar De Castro")</f>
        <v>Sitjar De Castro</v>
      </c>
      <c r="E548" s="1" t="str">
        <f ca="1">IFERROR(__xludf.DUMMYFUNCTION("""COMPUTED_VALUE"""),"Beng Sitjar De Castro")</f>
        <v>Beng Sitjar De Castro</v>
      </c>
      <c r="F548" s="1">
        <f ca="1">IFERROR(__xludf.DUMMYFUNCTION("""COMPUTED_VALUE"""),3)</f>
        <v>3</v>
      </c>
      <c r="G548" s="1" t="str">
        <f ca="1">IFERROR(__xludf.DUMMYFUNCTION("""COMPUTED_VALUE"""),"3 mos")</f>
        <v>3 mos</v>
      </c>
      <c r="H548" s="1" t="str">
        <f ca="1">IFERROR(__xludf.DUMMYFUNCTION("""COMPUTED_VALUE"""),"comment")</f>
        <v>comment</v>
      </c>
      <c r="I548"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48" s="1" t="str">
        <f ca="1">IFERROR(__xludf.DUMMYFUNCTION("""COMPUTED_VALUE"""),"2022-07-04T11:13:18.702Z")</f>
        <v>2022-07-04T11:13:18.702Z</v>
      </c>
    </row>
    <row r="549" spans="1:10" x14ac:dyDescent="0.2">
      <c r="A549" s="2" t="str">
        <f ca="1">IFERROR(__xludf.DUMMYFUNCTION("""COMPUTED_VALUE"""),"https://www.facebook.com/belen.palambiano")</f>
        <v>https://www.facebook.com/belen.palambiano</v>
      </c>
      <c r="B549" s="1" t="str">
        <f ca="1">IFERROR(__xludf.DUMMYFUNCTION("""COMPUTED_VALUE"""),"Belen Palambiano")</f>
        <v>Belen Palambiano</v>
      </c>
      <c r="C549" s="1" t="str">
        <f ca="1">IFERROR(__xludf.DUMMYFUNCTION("""COMPUTED_VALUE"""),"Belen")</f>
        <v>Belen</v>
      </c>
      <c r="D549" s="1" t="str">
        <f ca="1">IFERROR(__xludf.DUMMYFUNCTION("""COMPUTED_VALUE"""),"Palambiano")</f>
        <v>Palambiano</v>
      </c>
      <c r="E549" s="1" t="str">
        <f ca="1">IFERROR(__xludf.DUMMYFUNCTION("""COMPUTED_VALUE"""),"salamat.naman madami na ang nabubuksan ang mga mata...📛🏩💒💌🙏🏩💒💌📛🏩💒💒 ipanali natin ito....")</f>
        <v>salamat.naman madami na ang nabubuksan ang mga mata...📛🏩💒💌🙏🏩💒💌📛🏩💒💒 ipanali natin ito....</v>
      </c>
      <c r="F549" s="1"/>
      <c r="G549" s="1" t="str">
        <f ca="1">IFERROR(__xludf.DUMMYFUNCTION("""COMPUTED_VALUE"""),"3 mos")</f>
        <v>3 mos</v>
      </c>
      <c r="H549" s="1" t="str">
        <f ca="1">IFERROR(__xludf.DUMMYFUNCTION("""COMPUTED_VALUE"""),"comment")</f>
        <v>comment</v>
      </c>
      <c r="I549"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49" s="1" t="str">
        <f ca="1">IFERROR(__xludf.DUMMYFUNCTION("""COMPUTED_VALUE"""),"2022-07-04T11:13:18.702Z")</f>
        <v>2022-07-04T11:13:18.702Z</v>
      </c>
    </row>
    <row r="550" spans="1:10" x14ac:dyDescent="0.2">
      <c r="A550" s="2" t="str">
        <f ca="1">IFERROR(__xludf.DUMMYFUNCTION("""COMPUTED_VALUE"""),"https://www.facebook.com/virginia.bongalosa")</f>
        <v>https://www.facebook.com/virginia.bongalosa</v>
      </c>
      <c r="B550" s="1" t="str">
        <f ca="1">IFERROR(__xludf.DUMMYFUNCTION("""COMPUTED_VALUE"""),"Virginia Bongalosa")</f>
        <v>Virginia Bongalosa</v>
      </c>
      <c r="C550" s="1" t="str">
        <f ca="1">IFERROR(__xludf.DUMMYFUNCTION("""COMPUTED_VALUE"""),"Virginia")</f>
        <v>Virginia</v>
      </c>
      <c r="D550" s="1" t="str">
        <f ca="1">IFERROR(__xludf.DUMMYFUNCTION("""COMPUTED_VALUE"""),"Bongalosa")</f>
        <v>Bongalosa</v>
      </c>
      <c r="E550" s="1" t="str">
        <f ca="1">IFERROR(__xludf.DUMMYFUNCTION("""COMPUTED_VALUE"""),"#GobyernongTapatAngatBuhayLahat #LetLeniLead2022 #LeniKiko2022")</f>
        <v>#GobyernongTapatAngatBuhayLahat #LetLeniLead2022 #LeniKiko2022</v>
      </c>
      <c r="F550" s="1">
        <f ca="1">IFERROR(__xludf.DUMMYFUNCTION("""COMPUTED_VALUE"""),2)</f>
        <v>2</v>
      </c>
      <c r="G550" s="1" t="str">
        <f ca="1">IFERROR(__xludf.DUMMYFUNCTION("""COMPUTED_VALUE"""),"3 mos")</f>
        <v>3 mos</v>
      </c>
      <c r="H550" s="1" t="str">
        <f ca="1">IFERROR(__xludf.DUMMYFUNCTION("""COMPUTED_VALUE"""),"comment")</f>
        <v>comment</v>
      </c>
      <c r="I550"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50" s="1" t="str">
        <f ca="1">IFERROR(__xludf.DUMMYFUNCTION("""COMPUTED_VALUE"""),"2022-07-04T11:13:18.702Z")</f>
        <v>2022-07-04T11:13:18.702Z</v>
      </c>
    </row>
    <row r="551" spans="1:10" x14ac:dyDescent="0.2">
      <c r="A551" s="2" t="str">
        <f ca="1">IFERROR(__xludf.DUMMYFUNCTION("""COMPUTED_VALUE"""),"https://www.facebook.com/dulce.jainarmakinano")</f>
        <v>https://www.facebook.com/dulce.jainarmakinano</v>
      </c>
      <c r="B551" s="1" t="str">
        <f ca="1">IFERROR(__xludf.DUMMYFUNCTION("""COMPUTED_VALUE"""),"Eclud Onanikam")</f>
        <v>Eclud Onanikam</v>
      </c>
      <c r="C551" s="1" t="str">
        <f ca="1">IFERROR(__xludf.DUMMYFUNCTION("""COMPUTED_VALUE"""),"Eclud")</f>
        <v>Eclud</v>
      </c>
      <c r="D551" s="1" t="str">
        <f ca="1">IFERROR(__xludf.DUMMYFUNCTION("""COMPUTED_VALUE"""),"Onanikam")</f>
        <v>Onanikam</v>
      </c>
      <c r="E551" s="1" t="str">
        <f ca="1">IFERROR(__xludf.DUMMYFUNCTION("""COMPUTED_VALUE"""),"#LeniKiko2022  #GobyernongTapatAngatBuhayLahat  #MasRadikalAngMagmahal")</f>
        <v>#LeniKiko2022  #GobyernongTapatAngatBuhayLahat  #MasRadikalAngMagmahal</v>
      </c>
      <c r="F551" s="1">
        <f ca="1">IFERROR(__xludf.DUMMYFUNCTION("""COMPUTED_VALUE"""),3)</f>
        <v>3</v>
      </c>
      <c r="G551" s="1" t="str">
        <f ca="1">IFERROR(__xludf.DUMMYFUNCTION("""COMPUTED_VALUE"""),"3 mos")</f>
        <v>3 mos</v>
      </c>
      <c r="H551" s="1" t="str">
        <f ca="1">IFERROR(__xludf.DUMMYFUNCTION("""COMPUTED_VALUE"""),"comment")</f>
        <v>comment</v>
      </c>
      <c r="I551"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51" s="1" t="str">
        <f ca="1">IFERROR(__xludf.DUMMYFUNCTION("""COMPUTED_VALUE"""),"2022-07-04T11:13:18.702Z")</f>
        <v>2022-07-04T11:13:18.702Z</v>
      </c>
    </row>
    <row r="552" spans="1:10" x14ac:dyDescent="0.2">
      <c r="A552" s="2" t="str">
        <f ca="1">IFERROR(__xludf.DUMMYFUNCTION("""COMPUTED_VALUE"""),"https://www.facebook.com/beng.decastro")</f>
        <v>https://www.facebook.com/beng.decastro</v>
      </c>
      <c r="B552" s="1" t="str">
        <f ca="1">IFERROR(__xludf.DUMMYFUNCTION("""COMPUTED_VALUE"""),"Beng Sitjar De Castro")</f>
        <v>Beng Sitjar De Castro</v>
      </c>
      <c r="C552" s="1" t="str">
        <f ca="1">IFERROR(__xludf.DUMMYFUNCTION("""COMPUTED_VALUE"""),"Beng")</f>
        <v>Beng</v>
      </c>
      <c r="D552" s="1" t="str">
        <f ca="1">IFERROR(__xludf.DUMMYFUNCTION("""COMPUTED_VALUE"""),"Sitjar De Castro")</f>
        <v>Sitjar De Castro</v>
      </c>
      <c r="E552" s="1" t="str">
        <f ca="1">IFERROR(__xludf.DUMMYFUNCTION("""COMPUTED_VALUE"""),"Beng Sitjar De Castro")</f>
        <v>Beng Sitjar De Castro</v>
      </c>
      <c r="F552" s="1">
        <f ca="1">IFERROR(__xludf.DUMMYFUNCTION("""COMPUTED_VALUE"""),1)</f>
        <v>1</v>
      </c>
      <c r="G552" s="1" t="str">
        <f ca="1">IFERROR(__xludf.DUMMYFUNCTION("""COMPUTED_VALUE"""),"3 mos")</f>
        <v>3 mos</v>
      </c>
      <c r="H552" s="1" t="str">
        <f ca="1">IFERROR(__xludf.DUMMYFUNCTION("""COMPUTED_VALUE"""),"comment")</f>
        <v>comment</v>
      </c>
      <c r="I552"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52" s="1" t="str">
        <f ca="1">IFERROR(__xludf.DUMMYFUNCTION("""COMPUTED_VALUE"""),"2022-07-04T11:13:18.702Z")</f>
        <v>2022-07-04T11:13:18.702Z</v>
      </c>
    </row>
    <row r="553" spans="1:10" x14ac:dyDescent="0.2">
      <c r="A553" s="2" t="str">
        <f ca="1">IFERROR(__xludf.DUMMYFUNCTION("""COMPUTED_VALUE"""),"https://www.facebook.com/beng.decastro")</f>
        <v>https://www.facebook.com/beng.decastro</v>
      </c>
      <c r="B553" s="1" t="str">
        <f ca="1">IFERROR(__xludf.DUMMYFUNCTION("""COMPUTED_VALUE"""),"Beng Sitjar De Castro")</f>
        <v>Beng Sitjar De Castro</v>
      </c>
      <c r="C553" s="1" t="str">
        <f ca="1">IFERROR(__xludf.DUMMYFUNCTION("""COMPUTED_VALUE"""),"Beng")</f>
        <v>Beng</v>
      </c>
      <c r="D553" s="1" t="str">
        <f ca="1">IFERROR(__xludf.DUMMYFUNCTION("""COMPUTED_VALUE"""),"Sitjar De Castro")</f>
        <v>Sitjar De Castro</v>
      </c>
      <c r="E553" s="1" t="str">
        <f ca="1">IFERROR(__xludf.DUMMYFUNCTION("""COMPUTED_VALUE"""),"Beng Sitjar De Castro")</f>
        <v>Beng Sitjar De Castro</v>
      </c>
      <c r="F553" s="1"/>
      <c r="G553" s="1" t="str">
        <f ca="1">IFERROR(__xludf.DUMMYFUNCTION("""COMPUTED_VALUE"""),"3 mos")</f>
        <v>3 mos</v>
      </c>
      <c r="H553" s="1" t="str">
        <f ca="1">IFERROR(__xludf.DUMMYFUNCTION("""COMPUTED_VALUE"""),"comment")</f>
        <v>comment</v>
      </c>
      <c r="I553"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53" s="1" t="str">
        <f ca="1">IFERROR(__xludf.DUMMYFUNCTION("""COMPUTED_VALUE"""),"2022-07-04T11:13:18.702Z")</f>
        <v>2022-07-04T11:13:18.702Z</v>
      </c>
    </row>
    <row r="554" spans="1:10" x14ac:dyDescent="0.2">
      <c r="A554" s="2" t="str">
        <f ca="1">IFERROR(__xludf.DUMMYFUNCTION("""COMPUTED_VALUE"""),"https://www.facebook.com/beng.decastro")</f>
        <v>https://www.facebook.com/beng.decastro</v>
      </c>
      <c r="B554" s="1" t="str">
        <f ca="1">IFERROR(__xludf.DUMMYFUNCTION("""COMPUTED_VALUE"""),"Beng Sitjar De Castro")</f>
        <v>Beng Sitjar De Castro</v>
      </c>
      <c r="C554" s="1" t="str">
        <f ca="1">IFERROR(__xludf.DUMMYFUNCTION("""COMPUTED_VALUE"""),"Beng")</f>
        <v>Beng</v>
      </c>
      <c r="D554" s="1" t="str">
        <f ca="1">IFERROR(__xludf.DUMMYFUNCTION("""COMPUTED_VALUE"""),"Sitjar De Castro")</f>
        <v>Sitjar De Castro</v>
      </c>
      <c r="E554" s="1" t="str">
        <f ca="1">IFERROR(__xludf.DUMMYFUNCTION("""COMPUTED_VALUE"""),"Beng Sitjar De Castro")</f>
        <v>Beng Sitjar De Castro</v>
      </c>
      <c r="F554" s="1"/>
      <c r="G554" s="1" t="str">
        <f ca="1">IFERROR(__xludf.DUMMYFUNCTION("""COMPUTED_VALUE"""),"3 mos")</f>
        <v>3 mos</v>
      </c>
      <c r="H554" s="1" t="str">
        <f ca="1">IFERROR(__xludf.DUMMYFUNCTION("""COMPUTED_VALUE"""),"comment")</f>
        <v>comment</v>
      </c>
      <c r="I554"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54" s="1" t="str">
        <f ca="1">IFERROR(__xludf.DUMMYFUNCTION("""COMPUTED_VALUE"""),"2022-07-04T11:13:18.702Z")</f>
        <v>2022-07-04T11:13:18.702Z</v>
      </c>
    </row>
    <row r="555" spans="1:10" x14ac:dyDescent="0.2">
      <c r="A555" s="2" t="str">
        <f ca="1">IFERROR(__xludf.DUMMYFUNCTION("""COMPUTED_VALUE"""),"https://www.facebook.com/mely.jamandre")</f>
        <v>https://www.facebook.com/mely.jamandre</v>
      </c>
      <c r="B555" s="1" t="str">
        <f ca="1">IFERROR(__xludf.DUMMYFUNCTION("""COMPUTED_VALUE"""),"Mely Sabando Jamandre")</f>
        <v>Mely Sabando Jamandre</v>
      </c>
      <c r="C555" s="1" t="str">
        <f ca="1">IFERROR(__xludf.DUMMYFUNCTION("""COMPUTED_VALUE"""),"Mely")</f>
        <v>Mely</v>
      </c>
      <c r="D555" s="1" t="str">
        <f ca="1">IFERROR(__xludf.DUMMYFUNCTION("""COMPUTED_VALUE"""),"Sabando Jamandre")</f>
        <v>Sabando Jamandre</v>
      </c>
      <c r="E555" s="1" t="str">
        <f ca="1">IFERROR(__xludf.DUMMYFUNCTION("""COMPUTED_VALUE"""),"Praise the Lord")</f>
        <v>Praise the Lord</v>
      </c>
      <c r="F555" s="1">
        <f ca="1">IFERROR(__xludf.DUMMYFUNCTION("""COMPUTED_VALUE"""),2)</f>
        <v>2</v>
      </c>
      <c r="G555" s="1" t="str">
        <f ca="1">IFERROR(__xludf.DUMMYFUNCTION("""COMPUTED_VALUE"""),"3 mos")</f>
        <v>3 mos</v>
      </c>
      <c r="H555" s="1" t="str">
        <f ca="1">IFERROR(__xludf.DUMMYFUNCTION("""COMPUTED_VALUE"""),"comment")</f>
        <v>comment</v>
      </c>
      <c r="I555"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55" s="1" t="str">
        <f ca="1">IFERROR(__xludf.DUMMYFUNCTION("""COMPUTED_VALUE"""),"2022-07-04T11:13:18.703Z")</f>
        <v>2022-07-04T11:13:18.703Z</v>
      </c>
    </row>
    <row r="556" spans="1:10" x14ac:dyDescent="0.2">
      <c r="A556" s="2" t="str">
        <f ca="1">IFERROR(__xludf.DUMMYFUNCTION("""COMPUTED_VALUE"""),"https://www.facebook.com/profile.php?id=100019358329361")</f>
        <v>https://www.facebook.com/profile.php?id=100019358329361</v>
      </c>
      <c r="B556" s="1" t="str">
        <f ca="1">IFERROR(__xludf.DUMMYFUNCTION("""COMPUTED_VALUE"""),"Carmela L Campejos")</f>
        <v>Carmela L Campejos</v>
      </c>
      <c r="C556" s="1" t="str">
        <f ca="1">IFERROR(__xludf.DUMMYFUNCTION("""COMPUTED_VALUE"""),"Carmela")</f>
        <v>Carmela</v>
      </c>
      <c r="D556" s="1" t="str">
        <f ca="1">IFERROR(__xludf.DUMMYFUNCTION("""COMPUTED_VALUE"""),"L Campejos")</f>
        <v>L Campejos</v>
      </c>
      <c r="E556" s="1" t="str">
        <f ca="1">IFERROR(__xludf.DUMMYFUNCTION("""COMPUTED_VALUE"""),"patawa, baka sa basilan lang kamo")</f>
        <v>patawa, baka sa basilan lang kamo</v>
      </c>
      <c r="F556" s="1"/>
      <c r="G556" s="1" t="str">
        <f ca="1">IFERROR(__xludf.DUMMYFUNCTION("""COMPUTED_VALUE"""),"3 mos")</f>
        <v>3 mos</v>
      </c>
      <c r="H556" s="1" t="str">
        <f ca="1">IFERROR(__xludf.DUMMYFUNCTION("""COMPUTED_VALUE"""),"comment")</f>
        <v>comment</v>
      </c>
      <c r="I556" s="2" t="str">
        <f ca="1">IFERROR(__xludf.DUMMYFUNCTION("""COMPUTED_VALUE"""),"https://www.facebook.com/rapplerdotcom/posts/pfbid028Kg188FmebKa4aFvHZNp8zGTwjghWDDJuUmQ8agbSCvGAGJHZ7pBH9NmxLBmPZZdl")</f>
        <v>https://www.facebook.com/rapplerdotcom/posts/pfbid028Kg188FmebKa4aFvHZNp8zGTwjghWDDJuUmQ8agbSCvGAGJHZ7pBH9NmxLBmPZZdl</v>
      </c>
      <c r="J556" s="1" t="str">
        <f ca="1">IFERROR(__xludf.DUMMYFUNCTION("""COMPUTED_VALUE"""),"2022-07-04T11:13:18.703Z")</f>
        <v>2022-07-04T11:13:18.703Z</v>
      </c>
    </row>
    <row r="557" spans="1:10" x14ac:dyDescent="0.2">
      <c r="A557" s="2" t="str">
        <f ca="1">IFERROR(__xludf.DUMMYFUNCTION("""COMPUTED_VALUE"""),"https://www.facebook.com/profile.php?id=100011366202531")</f>
        <v>https://www.facebook.com/profile.php?id=100011366202531</v>
      </c>
      <c r="B557" s="1" t="str">
        <f ca="1">IFERROR(__xludf.DUMMYFUNCTION("""COMPUTED_VALUE"""),"Francis Abel")</f>
        <v>Francis Abel</v>
      </c>
      <c r="C557" s="1" t="str">
        <f ca="1">IFERROR(__xludf.DUMMYFUNCTION("""COMPUTED_VALUE"""),"Francis")</f>
        <v>Francis</v>
      </c>
      <c r="D557" s="1" t="str">
        <f ca="1">IFERROR(__xludf.DUMMYFUNCTION("""COMPUTED_VALUE"""),"Abel")</f>
        <v>Abel</v>
      </c>
      <c r="E557" s="1" t="str">
        <f ca="1">IFERROR(__xludf.DUMMYFUNCTION("""COMPUTED_VALUE"""),"Yes! We know the truth. This is a much supported claim. 💞🌷")</f>
        <v>Yes! We know the truth. This is a much supported claim. 💞🌷</v>
      </c>
      <c r="F557" s="1">
        <f ca="1">IFERROR(__xludf.DUMMYFUNCTION("""COMPUTED_VALUE"""),2)</f>
        <v>2</v>
      </c>
      <c r="G557" s="1" t="str">
        <f ca="1">IFERROR(__xludf.DUMMYFUNCTION("""COMPUTED_VALUE"""),"3 mos")</f>
        <v>3 mos</v>
      </c>
      <c r="H557" s="1" t="str">
        <f ca="1">IFERROR(__xludf.DUMMYFUNCTION("""COMPUTED_VALUE"""),"comment")</f>
        <v>comment</v>
      </c>
      <c r="I557"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57" s="1" t="str">
        <f ca="1">IFERROR(__xludf.DUMMYFUNCTION("""COMPUTED_VALUE"""),"2022-07-04T11:14:00.236Z")</f>
        <v>2022-07-04T11:14:00.236Z</v>
      </c>
    </row>
    <row r="558" spans="1:10" x14ac:dyDescent="0.2">
      <c r="A558" s="2" t="str">
        <f ca="1">IFERROR(__xludf.DUMMYFUNCTION("""COMPUTED_VALUE"""),"https://www.facebook.com/chariejhon.escalante")</f>
        <v>https://www.facebook.com/chariejhon.escalante</v>
      </c>
      <c r="B558" s="1" t="str">
        <f ca="1">IFERROR(__xludf.DUMMYFUNCTION("""COMPUTED_VALUE"""),"CJ Equipelag Escalante")</f>
        <v>CJ Equipelag Escalante</v>
      </c>
      <c r="C558" s="1" t="str">
        <f ca="1">IFERROR(__xludf.DUMMYFUNCTION("""COMPUTED_VALUE"""),"CJ")</f>
        <v>CJ</v>
      </c>
      <c r="D558" s="1" t="str">
        <f ca="1">IFERROR(__xludf.DUMMYFUNCTION("""COMPUTED_VALUE"""),"Equipelag Escalante")</f>
        <v>Equipelag Escalante</v>
      </c>
      <c r="E558" s="1" t="str">
        <f ca="1">IFERROR(__xludf.DUMMYFUNCTION("""COMPUTED_VALUE"""),"Kawawa nman kayo kahit ano gawin nyo malakas ang Uniteam💪😁🤣")</f>
        <v>Kawawa nman kayo kahit ano gawin nyo malakas ang Uniteam💪😁🤣</v>
      </c>
      <c r="F558" s="1">
        <f ca="1">IFERROR(__xludf.DUMMYFUNCTION("""COMPUTED_VALUE"""),10)</f>
        <v>10</v>
      </c>
      <c r="G558" s="1" t="str">
        <f ca="1">IFERROR(__xludf.DUMMYFUNCTION("""COMPUTED_VALUE"""),"3 mos")</f>
        <v>3 mos</v>
      </c>
      <c r="H558" s="1" t="str">
        <f ca="1">IFERROR(__xludf.DUMMYFUNCTION("""COMPUTED_VALUE"""),"comment")</f>
        <v>comment</v>
      </c>
      <c r="I558"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58" s="1" t="str">
        <f ca="1">IFERROR(__xludf.DUMMYFUNCTION("""COMPUTED_VALUE"""),"2022-07-04T11:14:00.237Z")</f>
        <v>2022-07-04T11:14:00.237Z</v>
      </c>
    </row>
    <row r="559" spans="1:10" x14ac:dyDescent="0.2">
      <c r="A559" s="2" t="str">
        <f ca="1">IFERROR(__xludf.DUMMYFUNCTION("""COMPUTED_VALUE"""),"https://www.facebook.com/ronmsalvador")</f>
        <v>https://www.facebook.com/ronmsalvador</v>
      </c>
      <c r="B559" s="1" t="str">
        <f ca="1">IFERROR(__xludf.DUMMYFUNCTION("""COMPUTED_VALUE"""),"Ron Salvador")</f>
        <v>Ron Salvador</v>
      </c>
      <c r="C559" s="1" t="str">
        <f ca="1">IFERROR(__xludf.DUMMYFUNCTION("""COMPUTED_VALUE"""),"Ron")</f>
        <v>Ron</v>
      </c>
      <c r="D559" s="1" t="str">
        <f ca="1">IFERROR(__xludf.DUMMYFUNCTION("""COMPUTED_VALUE"""),"Salvador")</f>
        <v>Salvador</v>
      </c>
      <c r="E559" s="1" t="str">
        <f ca="1">IFERROR(__xludf.DUMMYFUNCTION("""COMPUTED_VALUE"""),"CJ Equipelag Escalante malakas magsinungaling")</f>
        <v>CJ Equipelag Escalante malakas magsinungaling</v>
      </c>
      <c r="F559" s="1">
        <f ca="1">IFERROR(__xludf.DUMMYFUNCTION("""COMPUTED_VALUE"""),3)</f>
        <v>3</v>
      </c>
      <c r="G559" s="1" t="str">
        <f ca="1">IFERROR(__xludf.DUMMYFUNCTION("""COMPUTED_VALUE"""),"3 mos")</f>
        <v>3 mos</v>
      </c>
      <c r="H559" s="1" t="str">
        <f ca="1">IFERROR(__xludf.DUMMYFUNCTION("""COMPUTED_VALUE"""),"reply")</f>
        <v>reply</v>
      </c>
      <c r="I559"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59" s="1" t="str">
        <f ca="1">IFERROR(__xludf.DUMMYFUNCTION("""COMPUTED_VALUE"""),"2022-07-04T11:14:00.237Z")</f>
        <v>2022-07-04T11:14:00.237Z</v>
      </c>
    </row>
    <row r="560" spans="1:10" x14ac:dyDescent="0.2">
      <c r="A560" s="2" t="str">
        <f ca="1">IFERROR(__xludf.DUMMYFUNCTION("""COMPUTED_VALUE"""),"https://www.facebook.com/mariluz.deguzman")</f>
        <v>https://www.facebook.com/mariluz.deguzman</v>
      </c>
      <c r="B560" s="1" t="str">
        <f ca="1">IFERROR(__xludf.DUMMYFUNCTION("""COMPUTED_VALUE"""),"Luzviminda Asuncion")</f>
        <v>Luzviminda Asuncion</v>
      </c>
      <c r="C560" s="1" t="str">
        <f ca="1">IFERROR(__xludf.DUMMYFUNCTION("""COMPUTED_VALUE"""),"Luzviminda")</f>
        <v>Luzviminda</v>
      </c>
      <c r="D560" s="1" t="str">
        <f ca="1">IFERROR(__xludf.DUMMYFUNCTION("""COMPUTED_VALUE"""),"Asuncion")</f>
        <v>Asuncion</v>
      </c>
      <c r="E560" s="1" t="str">
        <f ca="1">IFERROR(__xludf.DUMMYFUNCTION("""COMPUTED_VALUE"""),"CJ Equipelag Escalante gaano kalakas🤠🤔")</f>
        <v>CJ Equipelag Escalante gaano kalakas🤠🤔</v>
      </c>
      <c r="F560" s="1"/>
      <c r="G560" s="1" t="str">
        <f ca="1">IFERROR(__xludf.DUMMYFUNCTION("""COMPUTED_VALUE"""),"3 mos")</f>
        <v>3 mos</v>
      </c>
      <c r="H560" s="1" t="str">
        <f ca="1">IFERROR(__xludf.DUMMYFUNCTION("""COMPUTED_VALUE"""),"reply")</f>
        <v>reply</v>
      </c>
      <c r="I560"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60" s="1" t="str">
        <f ca="1">IFERROR(__xludf.DUMMYFUNCTION("""COMPUTED_VALUE"""),"2022-07-04T11:14:00.237Z")</f>
        <v>2022-07-04T11:14:00.237Z</v>
      </c>
    </row>
    <row r="561" spans="1:10" x14ac:dyDescent="0.2">
      <c r="A561" s="2" t="str">
        <f ca="1">IFERROR(__xludf.DUMMYFUNCTION("""COMPUTED_VALUE"""),"https://www.facebook.com/rlduldulao")</f>
        <v>https://www.facebook.com/rlduldulao</v>
      </c>
      <c r="B561" s="1" t="str">
        <f ca="1">IFERROR(__xludf.DUMMYFUNCTION("""COMPUTED_VALUE"""),"Randy Duldulao")</f>
        <v>Randy Duldulao</v>
      </c>
      <c r="C561" s="1" t="str">
        <f ca="1">IFERROR(__xludf.DUMMYFUNCTION("""COMPUTED_VALUE"""),"Randy")</f>
        <v>Randy</v>
      </c>
      <c r="D561" s="1" t="str">
        <f ca="1">IFERROR(__xludf.DUMMYFUNCTION("""COMPUTED_VALUE"""),"Duldulao")</f>
        <v>Duldulao</v>
      </c>
      <c r="E561" s="1" t="str">
        <f ca="1">IFERROR(__xludf.DUMMYFUNCTION("""COMPUTED_VALUE"""),"📍 KANDARAPA RECYCLED NEWS: 43 days to go! 🤭🤣")</f>
        <v>📍 KANDARAPA RECYCLED NEWS: 43 days to go! 🤭🤣</v>
      </c>
      <c r="F561" s="1">
        <f ca="1">IFERROR(__xludf.DUMMYFUNCTION("""COMPUTED_VALUE"""),6)</f>
        <v>6</v>
      </c>
      <c r="G561" s="1" t="str">
        <f ca="1">IFERROR(__xludf.DUMMYFUNCTION("""COMPUTED_VALUE"""),"3 mos")</f>
        <v>3 mos</v>
      </c>
      <c r="H561" s="1" t="str">
        <f ca="1">IFERROR(__xludf.DUMMYFUNCTION("""COMPUTED_VALUE"""),"comment")</f>
        <v>comment</v>
      </c>
      <c r="I561"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61" s="1" t="str">
        <f ca="1">IFERROR(__xludf.DUMMYFUNCTION("""COMPUTED_VALUE"""),"2022-07-04T11:14:00.237Z")</f>
        <v>2022-07-04T11:14:00.237Z</v>
      </c>
    </row>
    <row r="562" spans="1:10" x14ac:dyDescent="0.2">
      <c r="A562" s="2" t="str">
        <f ca="1">IFERROR(__xludf.DUMMYFUNCTION("""COMPUTED_VALUE"""),"https://www.facebook.com/ginalita67")</f>
        <v>https://www.facebook.com/ginalita67</v>
      </c>
      <c r="B562" s="1" t="str">
        <f ca="1">IFERROR(__xludf.DUMMYFUNCTION("""COMPUTED_VALUE"""),"Gina Valle Est")</f>
        <v>Gina Valle Est</v>
      </c>
      <c r="C562" s="1" t="str">
        <f ca="1">IFERROR(__xludf.DUMMYFUNCTION("""COMPUTED_VALUE"""),"Gina")</f>
        <v>Gina</v>
      </c>
      <c r="D562" s="1" t="str">
        <f ca="1">IFERROR(__xludf.DUMMYFUNCTION("""COMPUTED_VALUE"""),"Valle Est")</f>
        <v>Valle Est</v>
      </c>
      <c r="E562" s="1" t="str">
        <f ca="1">IFERROR(__xludf.DUMMYFUNCTION("""COMPUTED_VALUE"""),"kayo palang dina kapanipaniwala wag kami na pinoy🍔🍔🍔🍔🍔🍔💚✌💚✌💚")</f>
        <v>kayo palang dina kapanipaniwala wag kami na pinoy🍔🍔🍔🍔🍔🍔💚✌💚✌💚</v>
      </c>
      <c r="F562" s="1">
        <f ca="1">IFERROR(__xludf.DUMMYFUNCTION("""COMPUTED_VALUE"""),2)</f>
        <v>2</v>
      </c>
      <c r="G562" s="1" t="str">
        <f ca="1">IFERROR(__xludf.DUMMYFUNCTION("""COMPUTED_VALUE"""),"3 mos")</f>
        <v>3 mos</v>
      </c>
      <c r="H562" s="1" t="str">
        <f ca="1">IFERROR(__xludf.DUMMYFUNCTION("""COMPUTED_VALUE"""),"comment")</f>
        <v>comment</v>
      </c>
      <c r="I562"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62" s="1" t="str">
        <f ca="1">IFERROR(__xludf.DUMMYFUNCTION("""COMPUTED_VALUE"""),"2022-07-04T11:14:00.237Z")</f>
        <v>2022-07-04T11:14:00.237Z</v>
      </c>
    </row>
    <row r="563" spans="1:10" x14ac:dyDescent="0.2">
      <c r="A563" s="2" t="str">
        <f ca="1">IFERROR(__xludf.DUMMYFUNCTION("""COMPUTED_VALUE"""),"https://www.facebook.com/ronmsalvador")</f>
        <v>https://www.facebook.com/ronmsalvador</v>
      </c>
      <c r="B563" s="1" t="str">
        <f ca="1">IFERROR(__xludf.DUMMYFUNCTION("""COMPUTED_VALUE"""),"Ron Salvador")</f>
        <v>Ron Salvador</v>
      </c>
      <c r="C563" s="1" t="str">
        <f ca="1">IFERROR(__xludf.DUMMYFUNCTION("""COMPUTED_VALUE"""),"Ron")</f>
        <v>Ron</v>
      </c>
      <c r="D563" s="1" t="str">
        <f ca="1">IFERROR(__xludf.DUMMYFUNCTION("""COMPUTED_VALUE"""),"Salvador")</f>
        <v>Salvador</v>
      </c>
      <c r="E563" s="1" t="str">
        <f ca="1">IFERROR(__xludf.DUMMYFUNCTION("""COMPUTED_VALUE"""),"Gina Valle Est so yung yaman nila sa tallano gold ba or sa yamashita treasure galing?")</f>
        <v>Gina Valle Est so yung yaman nila sa tallano gold ba or sa yamashita treasure galing?</v>
      </c>
      <c r="F563" s="1"/>
      <c r="G563" s="1" t="str">
        <f ca="1">IFERROR(__xludf.DUMMYFUNCTION("""COMPUTED_VALUE"""),"3 mos")</f>
        <v>3 mos</v>
      </c>
      <c r="H563" s="1" t="str">
        <f ca="1">IFERROR(__xludf.DUMMYFUNCTION("""COMPUTED_VALUE"""),"reply")</f>
        <v>reply</v>
      </c>
      <c r="I563"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63" s="1" t="str">
        <f ca="1">IFERROR(__xludf.DUMMYFUNCTION("""COMPUTED_VALUE"""),"2022-07-04T11:14:00.237Z")</f>
        <v>2022-07-04T11:14:00.237Z</v>
      </c>
    </row>
    <row r="564" spans="1:10" x14ac:dyDescent="0.2">
      <c r="A564" s="2" t="str">
        <f ca="1">IFERROR(__xludf.DUMMYFUNCTION("""COMPUTED_VALUE"""),"https://www.facebook.com/marivibalanon0908")</f>
        <v>https://www.facebook.com/marivibalanon0908</v>
      </c>
      <c r="B564" s="1" t="str">
        <f ca="1">IFERROR(__xludf.DUMMYFUNCTION("""COMPUTED_VALUE"""),"Marivic Mendoza")</f>
        <v>Marivic Mendoza</v>
      </c>
      <c r="C564" s="1" t="str">
        <f ca="1">IFERROR(__xludf.DUMMYFUNCTION("""COMPUTED_VALUE"""),"Marivic")</f>
        <v>Marivic</v>
      </c>
      <c r="D564" s="1" t="str">
        <f ca="1">IFERROR(__xludf.DUMMYFUNCTION("""COMPUTED_VALUE"""),"Mendoza")</f>
        <v>Mendoza</v>
      </c>
      <c r="E564" s="1" t="str">
        <f ca="1">IFERROR(__xludf.DUMMYFUNCTION("""COMPUTED_VALUE"""),"Grabe talaga maglabas ng milyones ang US. Nakakasilaw!🎭😎")</f>
        <v>Grabe talaga maglabas ng milyones ang US. Nakakasilaw!🎭😎</v>
      </c>
      <c r="F564" s="1">
        <f ca="1">IFERROR(__xludf.DUMMYFUNCTION("""COMPUTED_VALUE"""),1)</f>
        <v>1</v>
      </c>
      <c r="G564" s="1" t="str">
        <f ca="1">IFERROR(__xludf.DUMMYFUNCTION("""COMPUTED_VALUE"""),"3 mos")</f>
        <v>3 mos</v>
      </c>
      <c r="H564" s="1" t="str">
        <f ca="1">IFERROR(__xludf.DUMMYFUNCTION("""COMPUTED_VALUE"""),"comment")</f>
        <v>comment</v>
      </c>
      <c r="I564"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64" s="1" t="str">
        <f ca="1">IFERROR(__xludf.DUMMYFUNCTION("""COMPUTED_VALUE"""),"2022-07-04T11:14:00.237Z")</f>
        <v>2022-07-04T11:14:00.237Z</v>
      </c>
    </row>
    <row r="565" spans="1:10" x14ac:dyDescent="0.2">
      <c r="A565" s="2" t="str">
        <f ca="1">IFERROR(__xludf.DUMMYFUNCTION("""COMPUTED_VALUE"""),"https://www.facebook.com/melinda.aldueza")</f>
        <v>https://www.facebook.com/melinda.aldueza</v>
      </c>
      <c r="B565" s="1" t="str">
        <f ca="1">IFERROR(__xludf.DUMMYFUNCTION("""COMPUTED_VALUE"""),"Minda Pablo")</f>
        <v>Minda Pablo</v>
      </c>
      <c r="C565" s="1" t="str">
        <f ca="1">IFERROR(__xludf.DUMMYFUNCTION("""COMPUTED_VALUE"""),"Minda")</f>
        <v>Minda</v>
      </c>
      <c r="D565" s="1" t="str">
        <f ca="1">IFERROR(__xludf.DUMMYFUNCTION("""COMPUTED_VALUE"""),"Pablo")</f>
        <v>Pablo</v>
      </c>
      <c r="E565" s="1" t="str">
        <f ca="1">IFERROR(__xludf.DUMMYFUNCTION("""COMPUTED_VALUE"""),"Pikit Ng ndi maingit,, Peace")</f>
        <v>Pikit Ng ndi maingit,, Peace</v>
      </c>
      <c r="F565" s="1">
        <f ca="1">IFERROR(__xludf.DUMMYFUNCTION("""COMPUTED_VALUE"""),1)</f>
        <v>1</v>
      </c>
      <c r="G565" s="1" t="str">
        <f ca="1">IFERROR(__xludf.DUMMYFUNCTION("""COMPUTED_VALUE"""),"3 mos")</f>
        <v>3 mos</v>
      </c>
      <c r="H565" s="1" t="str">
        <f ca="1">IFERROR(__xludf.DUMMYFUNCTION("""COMPUTED_VALUE"""),"comment")</f>
        <v>comment</v>
      </c>
      <c r="I565"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65" s="1" t="str">
        <f ca="1">IFERROR(__xludf.DUMMYFUNCTION("""COMPUTED_VALUE"""),"2022-07-04T11:14:00.237Z")</f>
        <v>2022-07-04T11:14:00.237Z</v>
      </c>
    </row>
    <row r="566" spans="1:10" x14ac:dyDescent="0.2">
      <c r="A566" s="2" t="str">
        <f ca="1">IFERROR(__xludf.DUMMYFUNCTION("""COMPUTED_VALUE"""),"https://www.facebook.com/dan.mendoza.5602")</f>
        <v>https://www.facebook.com/dan.mendoza.5602</v>
      </c>
      <c r="B566" s="1" t="str">
        <f ca="1">IFERROR(__xludf.DUMMYFUNCTION("""COMPUTED_VALUE"""),"Dan Don Mendoza")</f>
        <v>Dan Don Mendoza</v>
      </c>
      <c r="C566" s="1" t="str">
        <f ca="1">IFERROR(__xludf.DUMMYFUNCTION("""COMPUTED_VALUE"""),"Dan")</f>
        <v>Dan</v>
      </c>
      <c r="D566" s="1" t="str">
        <f ca="1">IFERROR(__xludf.DUMMYFUNCTION("""COMPUTED_VALUE"""),"Don Mendoza")</f>
        <v>Don Mendoza</v>
      </c>
      <c r="E566" s="1" t="str">
        <f ca="1">IFERROR(__xludf.DUMMYFUNCTION("""COMPUTED_VALUE"""),"Maraming sira ang ulo!")</f>
        <v>Maraming sira ang ulo!</v>
      </c>
      <c r="F566" s="1"/>
      <c r="G566" s="1" t="str">
        <f ca="1">IFERROR(__xludf.DUMMYFUNCTION("""COMPUTED_VALUE"""),"3 mos")</f>
        <v>3 mos</v>
      </c>
      <c r="H566" s="1" t="str">
        <f ca="1">IFERROR(__xludf.DUMMYFUNCTION("""COMPUTED_VALUE"""),"comment")</f>
        <v>comment</v>
      </c>
      <c r="I566"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66" s="1" t="str">
        <f ca="1">IFERROR(__xludf.DUMMYFUNCTION("""COMPUTED_VALUE"""),"2022-07-04T11:14:00.237Z")</f>
        <v>2022-07-04T11:14:00.237Z</v>
      </c>
    </row>
    <row r="567" spans="1:10" x14ac:dyDescent="0.2">
      <c r="A567" s="2" t="str">
        <f ca="1">IFERROR(__xludf.DUMMYFUNCTION("""COMPUTED_VALUE"""),"https://www.facebook.com/j.aizen15")</f>
        <v>https://www.facebook.com/j.aizen15</v>
      </c>
      <c r="B567" s="1" t="str">
        <f ca="1">IFERROR(__xludf.DUMMYFUNCTION("""COMPUTED_VALUE"""),"Jhorvin Soria De Mesa")</f>
        <v>Jhorvin Soria De Mesa</v>
      </c>
      <c r="C567" s="1" t="str">
        <f ca="1">IFERROR(__xludf.DUMMYFUNCTION("""COMPUTED_VALUE"""),"Jhorvin")</f>
        <v>Jhorvin</v>
      </c>
      <c r="D567" s="1" t="str">
        <f ca="1">IFERROR(__xludf.DUMMYFUNCTION("""COMPUTED_VALUE"""),"Soria De Mesa")</f>
        <v>Soria De Mesa</v>
      </c>
      <c r="E567" s="1" t="str">
        <f ca="1">IFERROR(__xludf.DUMMYFUNCTION("""COMPUTED_VALUE"""),"Double time malapit nakayo mapasara")</f>
        <v>Double time malapit nakayo mapasara</v>
      </c>
      <c r="F567" s="1">
        <f ca="1">IFERROR(__xludf.DUMMYFUNCTION("""COMPUTED_VALUE"""),4)</f>
        <v>4</v>
      </c>
      <c r="G567" s="1" t="str">
        <f ca="1">IFERROR(__xludf.DUMMYFUNCTION("""COMPUTED_VALUE"""),"3 mos")</f>
        <v>3 mos</v>
      </c>
      <c r="H567" s="1" t="str">
        <f ca="1">IFERROR(__xludf.DUMMYFUNCTION("""COMPUTED_VALUE"""),"comment")</f>
        <v>comment</v>
      </c>
      <c r="I567"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67" s="1" t="str">
        <f ca="1">IFERROR(__xludf.DUMMYFUNCTION("""COMPUTED_VALUE"""),"2022-07-04T11:14:00.237Z")</f>
        <v>2022-07-04T11:14:00.237Z</v>
      </c>
    </row>
    <row r="568" spans="1:10" x14ac:dyDescent="0.2">
      <c r="A568" s="2" t="str">
        <f ca="1">IFERROR(__xludf.DUMMYFUNCTION("""COMPUTED_VALUE"""),"https://www.facebook.com/bunny.orogan")</f>
        <v>https://www.facebook.com/bunny.orogan</v>
      </c>
      <c r="B568" s="1" t="str">
        <f ca="1">IFERROR(__xludf.DUMMYFUNCTION("""COMPUTED_VALUE"""),"Susany Guinto Orogan")</f>
        <v>Susany Guinto Orogan</v>
      </c>
      <c r="C568" s="1" t="str">
        <f ca="1">IFERROR(__xludf.DUMMYFUNCTION("""COMPUTED_VALUE"""),"Susany")</f>
        <v>Susany</v>
      </c>
      <c r="D568" s="1" t="str">
        <f ca="1">IFERROR(__xludf.DUMMYFUNCTION("""COMPUTED_VALUE"""),"Guinto Orogan")</f>
        <v>Guinto Orogan</v>
      </c>
      <c r="E568" s="1" t="str">
        <f ca="1">IFERROR(__xludf.DUMMYFUNCTION("""COMPUTED_VALUE"""),"Wala kanang maloloko dina mababago pasya nmin✌✌✌✌✌❤❤❤❤💚💚💚💚💚")</f>
        <v>Wala kanang maloloko dina mababago pasya nmin✌✌✌✌✌❤❤❤❤💚💚💚💚💚</v>
      </c>
      <c r="F568" s="1">
        <f ca="1">IFERROR(__xludf.DUMMYFUNCTION("""COMPUTED_VALUE"""),4)</f>
        <v>4</v>
      </c>
      <c r="G568" s="1" t="str">
        <f ca="1">IFERROR(__xludf.DUMMYFUNCTION("""COMPUTED_VALUE"""),"3 mos")</f>
        <v>3 mos</v>
      </c>
      <c r="H568" s="1" t="str">
        <f ca="1">IFERROR(__xludf.DUMMYFUNCTION("""COMPUTED_VALUE"""),"comment")</f>
        <v>comment</v>
      </c>
      <c r="I568"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68" s="1" t="str">
        <f ca="1">IFERROR(__xludf.DUMMYFUNCTION("""COMPUTED_VALUE"""),"2022-07-04T11:14:00.237Z")</f>
        <v>2022-07-04T11:14:00.237Z</v>
      </c>
    </row>
    <row r="569" spans="1:10" x14ac:dyDescent="0.2">
      <c r="A569" s="2" t="str">
        <f ca="1">IFERROR(__xludf.DUMMYFUNCTION("""COMPUTED_VALUE"""),"https://www.facebook.com/julie.quintela")</f>
        <v>https://www.facebook.com/julie.quintela</v>
      </c>
      <c r="B569" s="1" t="str">
        <f ca="1">IFERROR(__xludf.DUMMYFUNCTION("""COMPUTED_VALUE"""),"Julie Quintela")</f>
        <v>Julie Quintela</v>
      </c>
      <c r="C569" s="1" t="str">
        <f ca="1">IFERROR(__xludf.DUMMYFUNCTION("""COMPUTED_VALUE"""),"Julie")</f>
        <v>Julie</v>
      </c>
      <c r="D569" s="1" t="str">
        <f ca="1">IFERROR(__xludf.DUMMYFUNCTION("""COMPUTED_VALUE"""),"Quintela")</f>
        <v>Quintela</v>
      </c>
      <c r="E569" s="1" t="str">
        <f ca="1">IFERROR(__xludf.DUMMYFUNCTION("""COMPUTED_VALUE"""),"Sama tabas bunganga nyo")</f>
        <v>Sama tabas bunganga nyo</v>
      </c>
      <c r="F569" s="1"/>
      <c r="G569" s="1" t="str">
        <f ca="1">IFERROR(__xludf.DUMMYFUNCTION("""COMPUTED_VALUE"""),"3 mos")</f>
        <v>3 mos</v>
      </c>
      <c r="H569" s="1" t="str">
        <f ca="1">IFERROR(__xludf.DUMMYFUNCTION("""COMPUTED_VALUE"""),"comment")</f>
        <v>comment</v>
      </c>
      <c r="I569"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69" s="1" t="str">
        <f ca="1">IFERROR(__xludf.DUMMYFUNCTION("""COMPUTED_VALUE"""),"2022-07-04T11:14:00.237Z")</f>
        <v>2022-07-04T11:14:00.237Z</v>
      </c>
    </row>
    <row r="570" spans="1:10" x14ac:dyDescent="0.2">
      <c r="A570" s="2" t="str">
        <f ca="1">IFERROR(__xludf.DUMMYFUNCTION("""COMPUTED_VALUE"""),"https://www.facebook.com/smileatmeliz")</f>
        <v>https://www.facebook.com/smileatmeliz</v>
      </c>
      <c r="B570" s="1" t="str">
        <f ca="1">IFERROR(__xludf.DUMMYFUNCTION("""COMPUTED_VALUE"""),"Liz Malbataan Caagbay")</f>
        <v>Liz Malbataan Caagbay</v>
      </c>
      <c r="C570" s="1" t="str">
        <f ca="1">IFERROR(__xludf.DUMMYFUNCTION("""COMPUTED_VALUE"""),"Liz")</f>
        <v>Liz</v>
      </c>
      <c r="D570" s="1" t="str">
        <f ca="1">IFERROR(__xludf.DUMMYFUNCTION("""COMPUTED_VALUE"""),"Malbataan Caagbay")</f>
        <v>Malbataan Caagbay</v>
      </c>
      <c r="E570" s="1" t="str">
        <f ca="1">IFERROR(__xludf.DUMMYFUNCTION("""COMPUTED_VALUE"""),"Haha Sabi wag daw Tiktok ang source 😂😂😂")</f>
        <v>Haha Sabi wag daw Tiktok ang source 😂😂😂</v>
      </c>
      <c r="F570" s="1">
        <f ca="1">IFERROR(__xludf.DUMMYFUNCTION("""COMPUTED_VALUE"""),3)</f>
        <v>3</v>
      </c>
      <c r="G570" s="1" t="str">
        <f ca="1">IFERROR(__xludf.DUMMYFUNCTION("""COMPUTED_VALUE"""),"3 mos")</f>
        <v>3 mos</v>
      </c>
      <c r="H570" s="1" t="str">
        <f ca="1">IFERROR(__xludf.DUMMYFUNCTION("""COMPUTED_VALUE"""),"comment")</f>
        <v>comment</v>
      </c>
      <c r="I570"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70" s="1" t="str">
        <f ca="1">IFERROR(__xludf.DUMMYFUNCTION("""COMPUTED_VALUE"""),"2022-07-04T11:14:00.237Z")</f>
        <v>2022-07-04T11:14:00.237Z</v>
      </c>
    </row>
    <row r="571" spans="1:10" x14ac:dyDescent="0.2">
      <c r="A571" s="2" t="str">
        <f ca="1">IFERROR(__xludf.DUMMYFUNCTION("""COMPUTED_VALUE"""),"https://www.facebook.com/ronmsalvador")</f>
        <v>https://www.facebook.com/ronmsalvador</v>
      </c>
      <c r="B571" s="1" t="str">
        <f ca="1">IFERROR(__xludf.DUMMYFUNCTION("""COMPUTED_VALUE"""),"Ron Salvador")</f>
        <v>Ron Salvador</v>
      </c>
      <c r="C571" s="1" t="str">
        <f ca="1">IFERROR(__xludf.DUMMYFUNCTION("""COMPUTED_VALUE"""),"Ron")</f>
        <v>Ron</v>
      </c>
      <c r="D571" s="1" t="str">
        <f ca="1">IFERROR(__xludf.DUMMYFUNCTION("""COMPUTED_VALUE"""),"Salvador")</f>
        <v>Salvador</v>
      </c>
      <c r="E571" s="1" t="str">
        <f ca="1">IFERROR(__xludf.DUMMYFUNCTION("""COMPUTED_VALUE"""),"Liz Malbataan Caagbay so yung yaman nila sa tallano gold ba or sa yamashita treasure galing?")</f>
        <v>Liz Malbataan Caagbay so yung yaman nila sa tallano gold ba or sa yamashita treasure galing?</v>
      </c>
      <c r="F571" s="1">
        <f ca="1">IFERROR(__xludf.DUMMYFUNCTION("""COMPUTED_VALUE"""),1)</f>
        <v>1</v>
      </c>
      <c r="G571" s="1" t="str">
        <f ca="1">IFERROR(__xludf.DUMMYFUNCTION("""COMPUTED_VALUE"""),"3 mos")</f>
        <v>3 mos</v>
      </c>
      <c r="H571" s="1" t="str">
        <f ca="1">IFERROR(__xludf.DUMMYFUNCTION("""COMPUTED_VALUE"""),"reply")</f>
        <v>reply</v>
      </c>
      <c r="I571"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71" s="1" t="str">
        <f ca="1">IFERROR(__xludf.DUMMYFUNCTION("""COMPUTED_VALUE"""),"2022-07-04T11:14:00.237Z")</f>
        <v>2022-07-04T11:14:00.237Z</v>
      </c>
    </row>
    <row r="572" spans="1:10" x14ac:dyDescent="0.2">
      <c r="A572" s="2" t="str">
        <f ca="1">IFERROR(__xludf.DUMMYFUNCTION("""COMPUTED_VALUE"""),"https://www.facebook.com/smileatmeliz")</f>
        <v>https://www.facebook.com/smileatmeliz</v>
      </c>
      <c r="B572" s="1" t="str">
        <f ca="1">IFERROR(__xludf.DUMMYFUNCTION("""COMPUTED_VALUE"""),"Liz Malbataan Caagbay")</f>
        <v>Liz Malbataan Caagbay</v>
      </c>
      <c r="C572" s="1" t="str">
        <f ca="1">IFERROR(__xludf.DUMMYFUNCTION("""COMPUTED_VALUE"""),"Liz")</f>
        <v>Liz</v>
      </c>
      <c r="D572" s="1" t="str">
        <f ca="1">IFERROR(__xludf.DUMMYFUNCTION("""COMPUTED_VALUE"""),"Malbataan Caagbay")</f>
        <v>Malbataan Caagbay</v>
      </c>
      <c r="E572" s="1" t="str">
        <f ca="1">IFERROR(__xludf.DUMMYFUNCTION("""COMPUTED_VALUE"""),"Ron psssttt.. bro I’m not into debate today ok? Talo pa ako sa Casino wag kang epz 😉☕️")</f>
        <v>Ron psssttt.. bro I’m not into debate today ok? Talo pa ako sa Casino wag kang epz 😉☕️</v>
      </c>
      <c r="F572" s="1">
        <f ca="1">IFERROR(__xludf.DUMMYFUNCTION("""COMPUTED_VALUE"""),2)</f>
        <v>2</v>
      </c>
      <c r="G572" s="1" t="str">
        <f ca="1">IFERROR(__xludf.DUMMYFUNCTION("""COMPUTED_VALUE"""),"3 mos")</f>
        <v>3 mos</v>
      </c>
      <c r="H572" s="1" t="str">
        <f ca="1">IFERROR(__xludf.DUMMYFUNCTION("""COMPUTED_VALUE"""),"reply")</f>
        <v>reply</v>
      </c>
      <c r="I572"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72" s="1" t="str">
        <f ca="1">IFERROR(__xludf.DUMMYFUNCTION("""COMPUTED_VALUE"""),"2022-07-04T11:14:00.237Z")</f>
        <v>2022-07-04T11:14:00.237Z</v>
      </c>
    </row>
    <row r="573" spans="1:10" x14ac:dyDescent="0.2">
      <c r="A573" s="2" t="str">
        <f ca="1">IFERROR(__xludf.DUMMYFUNCTION("""COMPUTED_VALUE"""),"https://www.facebook.com/ronmsalvador")</f>
        <v>https://www.facebook.com/ronmsalvador</v>
      </c>
      <c r="B573" s="1" t="str">
        <f ca="1">IFERROR(__xludf.DUMMYFUNCTION("""COMPUTED_VALUE"""),"Ron Salvador")</f>
        <v>Ron Salvador</v>
      </c>
      <c r="C573" s="1" t="str">
        <f ca="1">IFERROR(__xludf.DUMMYFUNCTION("""COMPUTED_VALUE"""),"Ron")</f>
        <v>Ron</v>
      </c>
      <c r="D573" s="1" t="str">
        <f ca="1">IFERROR(__xludf.DUMMYFUNCTION("""COMPUTED_VALUE"""),"Salvador")</f>
        <v>Salvador</v>
      </c>
      <c r="E573" s="1" t="str">
        <f ca="1">IFERROR(__xludf.DUMMYFUNCTION("""COMPUTED_VALUE"""),"Liz Malbataan Caagbay this is not a debate. naggtatanong lang ako.")</f>
        <v>Liz Malbataan Caagbay this is not a debate. naggtatanong lang ako.</v>
      </c>
      <c r="F573" s="1"/>
      <c r="G573" s="1" t="str">
        <f ca="1">IFERROR(__xludf.DUMMYFUNCTION("""COMPUTED_VALUE"""),"3 mos")</f>
        <v>3 mos</v>
      </c>
      <c r="H573" s="1" t="str">
        <f ca="1">IFERROR(__xludf.DUMMYFUNCTION("""COMPUTED_VALUE"""),"reply")</f>
        <v>reply</v>
      </c>
      <c r="I573"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73" s="1" t="str">
        <f ca="1">IFERROR(__xludf.DUMMYFUNCTION("""COMPUTED_VALUE"""),"2022-07-04T11:14:00.237Z")</f>
        <v>2022-07-04T11:14:00.237Z</v>
      </c>
    </row>
    <row r="574" spans="1:10" x14ac:dyDescent="0.2">
      <c r="A574" s="2" t="str">
        <f ca="1">IFERROR(__xludf.DUMMYFUNCTION("""COMPUTED_VALUE"""),"https://www.facebook.com/smileatmeliz")</f>
        <v>https://www.facebook.com/smileatmeliz</v>
      </c>
      <c r="B574" s="1" t="str">
        <f ca="1">IFERROR(__xludf.DUMMYFUNCTION("""COMPUTED_VALUE"""),"Liz Malbataan Caagbay")</f>
        <v>Liz Malbataan Caagbay</v>
      </c>
      <c r="C574" s="1" t="str">
        <f ca="1">IFERROR(__xludf.DUMMYFUNCTION("""COMPUTED_VALUE"""),"Liz")</f>
        <v>Liz</v>
      </c>
      <c r="D574" s="1" t="str">
        <f ca="1">IFERROR(__xludf.DUMMYFUNCTION("""COMPUTED_VALUE"""),"Malbataan Caagbay")</f>
        <v>Malbataan Caagbay</v>
      </c>
      <c r="E574" s="1" t="str">
        <f ca="1">IFERROR(__xludf.DUMMYFUNCTION("""COMPUTED_VALUE"""),"Ron haha ok, if you say so 😉😂")</f>
        <v>Ron haha ok, if you say so 😉😂</v>
      </c>
      <c r="F574" s="1"/>
      <c r="G574" s="1" t="str">
        <f ca="1">IFERROR(__xludf.DUMMYFUNCTION("""COMPUTED_VALUE"""),"3 mos")</f>
        <v>3 mos</v>
      </c>
      <c r="H574" s="1" t="str">
        <f ca="1">IFERROR(__xludf.DUMMYFUNCTION("""COMPUTED_VALUE"""),"reply")</f>
        <v>reply</v>
      </c>
      <c r="I574"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74" s="1" t="str">
        <f ca="1">IFERROR(__xludf.DUMMYFUNCTION("""COMPUTED_VALUE"""),"2022-07-04T11:14:00.237Z")</f>
        <v>2022-07-04T11:14:00.237Z</v>
      </c>
    </row>
    <row r="575" spans="1:10" x14ac:dyDescent="0.2">
      <c r="A575" s="2" t="str">
        <f ca="1">IFERROR(__xludf.DUMMYFUNCTION("""COMPUTED_VALUE"""),"https://www.facebook.com/jessel.pascua.1")</f>
        <v>https://www.facebook.com/jessel.pascua.1</v>
      </c>
      <c r="B575" s="1" t="str">
        <f ca="1">IFERROR(__xludf.DUMMYFUNCTION("""COMPUTED_VALUE"""),"Jessel Pascua")</f>
        <v>Jessel Pascua</v>
      </c>
      <c r="C575" s="1" t="str">
        <f ca="1">IFERROR(__xludf.DUMMYFUNCTION("""COMPUTED_VALUE"""),"Jessel")</f>
        <v>Jessel</v>
      </c>
      <c r="D575" s="1" t="str">
        <f ca="1">IFERROR(__xludf.DUMMYFUNCTION("""COMPUTED_VALUE"""),"Pascua")</f>
        <v>Pascua</v>
      </c>
      <c r="E575" s="1" t="str">
        <f ca="1">IFERROR(__xludf.DUMMYFUNCTION("""COMPUTED_VALUE"""),"✌️✌️✌️✌️✌️✌️✌️✌️✌️✌️✌️✌️✌️✌️✌️✌️✌️✌️✌️✌️✌️✌️✌️✌️✌️✌️✌️✌️✌️✌️✌️✌️✌️✌️✌️✌️✌️✌️✌️✌️✌️✌️✌️✌️✌️✌️✌️✌️✌️✌️✌️✌️✌️✌️✌️✌️✌️✌️✌️✌️✌️✌️✌️✌️✌️✌️✌️✌️✌️✌️✌️✌️✌️✌️✌️✌️✌️✌️✌️✌️✌️✌️✌️✌️✌️✌️✌️✌️✌️✌️✌️✌️✌️✌️✌️✌️✌️✌️✌️✌️✌️✌️✌️✌️✌️✌️✌️✌️✌️✌️✌️✌️✌️✌️✌️✌️✌️✌️✌️✌️✌️✌️✌️✌️✌️✌️✌️✌"&amp;"️✌️✌️✌️✌️✌️✌️✌️✌️")</f>
        <v>✌️✌️✌️✌️✌️✌️✌️✌️✌️✌️✌️✌️✌️✌️✌️✌️✌️✌️✌️✌️✌️✌️✌️✌️✌️✌️✌️✌️✌️✌️✌️✌️✌️✌️✌️✌️✌️✌️✌️✌️✌️✌️✌️✌️✌️✌️✌️✌️✌️✌️✌️✌️✌️✌️✌️✌️✌️✌️✌️✌️✌️✌️✌️✌️✌️✌️✌️✌️✌️✌️✌️✌️✌️✌️✌️✌️✌️✌️✌️✌️✌️✌️✌️✌️✌️✌️✌️✌️✌️✌️✌️✌️✌️✌️✌️✌️✌️✌️✌️✌️✌️✌️✌️✌️✌️✌️✌️✌️✌️✌️✌️✌️✌️✌️✌️✌️✌️✌️✌️✌️✌️✌️✌️✌️✌️✌️✌️✌️✌️✌️✌️✌️✌️✌️✌️✌️</v>
      </c>
      <c r="F575" s="1">
        <f ca="1">IFERROR(__xludf.DUMMYFUNCTION("""COMPUTED_VALUE"""),10)</f>
        <v>10</v>
      </c>
      <c r="G575" s="1" t="str">
        <f ca="1">IFERROR(__xludf.DUMMYFUNCTION("""COMPUTED_VALUE"""),"3 mos")</f>
        <v>3 mos</v>
      </c>
      <c r="H575" s="1" t="str">
        <f ca="1">IFERROR(__xludf.DUMMYFUNCTION("""COMPUTED_VALUE"""),"comment")</f>
        <v>comment</v>
      </c>
      <c r="I575"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75" s="1" t="str">
        <f ca="1">IFERROR(__xludf.DUMMYFUNCTION("""COMPUTED_VALUE"""),"2022-07-04T11:14:00.237Z")</f>
        <v>2022-07-04T11:14:00.237Z</v>
      </c>
    </row>
    <row r="576" spans="1:10" x14ac:dyDescent="0.2">
      <c r="A576" s="2" t="str">
        <f ca="1">IFERROR(__xludf.DUMMYFUNCTION("""COMPUTED_VALUE"""),"https://www.facebook.com/khaylifatakeru")</f>
        <v>https://www.facebook.com/khaylifatakeru</v>
      </c>
      <c r="B576" s="1" t="str">
        <f ca="1">IFERROR(__xludf.DUMMYFUNCTION("""COMPUTED_VALUE"""),"Khaylifa Ferolin Campo")</f>
        <v>Khaylifa Ferolin Campo</v>
      </c>
      <c r="C576" s="1" t="str">
        <f ca="1">IFERROR(__xludf.DUMMYFUNCTION("""COMPUTED_VALUE"""),"Khaylifa")</f>
        <v>Khaylifa</v>
      </c>
      <c r="D576" s="1" t="str">
        <f ca="1">IFERROR(__xludf.DUMMYFUNCTION("""COMPUTED_VALUE"""),"Ferolin Campo")</f>
        <v>Ferolin Campo</v>
      </c>
      <c r="E576" s="1" t="str">
        <f ca="1">IFERROR(__xludf.DUMMYFUNCTION("""COMPUTED_VALUE"""),"Tamang impormasyon  Source: Tiktok")</f>
        <v>Tamang impormasyon  Source: Tiktok</v>
      </c>
      <c r="F576" s="1"/>
      <c r="G576" s="1" t="str">
        <f ca="1">IFERROR(__xludf.DUMMYFUNCTION("""COMPUTED_VALUE"""),"3 mos")</f>
        <v>3 mos</v>
      </c>
      <c r="H576" s="1" t="str">
        <f ca="1">IFERROR(__xludf.DUMMYFUNCTION("""COMPUTED_VALUE"""),"comment")</f>
        <v>comment</v>
      </c>
      <c r="I576"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76" s="1" t="str">
        <f ca="1">IFERROR(__xludf.DUMMYFUNCTION("""COMPUTED_VALUE"""),"2022-07-04T11:14:00.237Z")</f>
        <v>2022-07-04T11:14:00.237Z</v>
      </c>
    </row>
    <row r="577" spans="1:10" x14ac:dyDescent="0.2">
      <c r="A577" s="2" t="str">
        <f ca="1">IFERROR(__xludf.DUMMYFUNCTION("""COMPUTED_VALUE"""),"https://www.facebook.com/ronmsalvador")</f>
        <v>https://www.facebook.com/ronmsalvador</v>
      </c>
      <c r="B577" s="1" t="str">
        <f ca="1">IFERROR(__xludf.DUMMYFUNCTION("""COMPUTED_VALUE"""),"Ron Salvador")</f>
        <v>Ron Salvador</v>
      </c>
      <c r="C577" s="1" t="str">
        <f ca="1">IFERROR(__xludf.DUMMYFUNCTION("""COMPUTED_VALUE"""),"Ron")</f>
        <v>Ron</v>
      </c>
      <c r="D577" s="1" t="str">
        <f ca="1">IFERROR(__xludf.DUMMYFUNCTION("""COMPUTED_VALUE"""),"Salvador")</f>
        <v>Salvador</v>
      </c>
      <c r="E577" s="1" t="str">
        <f ca="1">IFERROR(__xludf.DUMMYFUNCTION("""COMPUTED_VALUE"""),"Khaylifa Campo so yung yaman nila sa tallano gold ba or sa yamashita treasure galing?")</f>
        <v>Khaylifa Campo so yung yaman nila sa tallano gold ba or sa yamashita treasure galing?</v>
      </c>
      <c r="F577" s="1"/>
      <c r="G577" s="1" t="str">
        <f ca="1">IFERROR(__xludf.DUMMYFUNCTION("""COMPUTED_VALUE"""),"3 mos")</f>
        <v>3 mos</v>
      </c>
      <c r="H577" s="1" t="str">
        <f ca="1">IFERROR(__xludf.DUMMYFUNCTION("""COMPUTED_VALUE"""),"reply")</f>
        <v>reply</v>
      </c>
      <c r="I577"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77" s="1" t="str">
        <f ca="1">IFERROR(__xludf.DUMMYFUNCTION("""COMPUTED_VALUE"""),"2022-07-04T11:14:00.237Z")</f>
        <v>2022-07-04T11:14:00.237Z</v>
      </c>
    </row>
    <row r="578" spans="1:10" x14ac:dyDescent="0.2">
      <c r="A578" s="2" t="str">
        <f ca="1">IFERROR(__xludf.DUMMYFUNCTION("""COMPUTED_VALUE"""),"https://www.facebook.com/mariatheresa.aguilar.35")</f>
        <v>https://www.facebook.com/mariatheresa.aguilar.35</v>
      </c>
      <c r="B578" s="1" t="str">
        <f ca="1">IFERROR(__xludf.DUMMYFUNCTION("""COMPUTED_VALUE"""),"Maria Theresa Anda Aguilar")</f>
        <v>Maria Theresa Anda Aguilar</v>
      </c>
      <c r="C578" s="1" t="str">
        <f ca="1">IFERROR(__xludf.DUMMYFUNCTION("""COMPUTED_VALUE"""),"Maria")</f>
        <v>Maria</v>
      </c>
      <c r="D578" s="1" t="str">
        <f ca="1">IFERROR(__xludf.DUMMYFUNCTION("""COMPUTED_VALUE"""),"Theresa Anda Aguilar")</f>
        <v>Theresa Anda Aguilar</v>
      </c>
      <c r="E578" s="1" t="str">
        <f ca="1">IFERROR(__xludf.DUMMYFUNCTION("""COMPUTED_VALUE"""),"Gising na kami uy!@")</f>
        <v>Gising na kami uy!@</v>
      </c>
      <c r="F578" s="1">
        <f ca="1">IFERROR(__xludf.DUMMYFUNCTION("""COMPUTED_VALUE"""),2)</f>
        <v>2</v>
      </c>
      <c r="G578" s="1" t="str">
        <f ca="1">IFERROR(__xludf.DUMMYFUNCTION("""COMPUTED_VALUE"""),"3 mos")</f>
        <v>3 mos</v>
      </c>
      <c r="H578" s="1" t="str">
        <f ca="1">IFERROR(__xludf.DUMMYFUNCTION("""COMPUTED_VALUE"""),"comment")</f>
        <v>comment</v>
      </c>
      <c r="I578"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78" s="1" t="str">
        <f ca="1">IFERROR(__xludf.DUMMYFUNCTION("""COMPUTED_VALUE"""),"2022-07-04T11:14:00.237Z")</f>
        <v>2022-07-04T11:14:00.237Z</v>
      </c>
    </row>
    <row r="579" spans="1:10" x14ac:dyDescent="0.2">
      <c r="A579" s="2" t="str">
        <f ca="1">IFERROR(__xludf.DUMMYFUNCTION("""COMPUTED_VALUE"""),"https://www.facebook.com/lovely.herrera1")</f>
        <v>https://www.facebook.com/lovely.herrera1</v>
      </c>
      <c r="B579" s="1" t="str">
        <f ca="1">IFERROR(__xludf.DUMMYFUNCTION("""COMPUTED_VALUE"""),"Rowena Quitco Herrera Andersson")</f>
        <v>Rowena Quitco Herrera Andersson</v>
      </c>
      <c r="C579" s="1" t="str">
        <f ca="1">IFERROR(__xludf.DUMMYFUNCTION("""COMPUTED_VALUE"""),"Rowena")</f>
        <v>Rowena</v>
      </c>
      <c r="D579" s="1" t="str">
        <f ca="1">IFERROR(__xludf.DUMMYFUNCTION("""COMPUTED_VALUE"""),"Quitco Herrera Andersson")</f>
        <v>Quitco Herrera Andersson</v>
      </c>
      <c r="E579" s="1" t="str">
        <f ca="1">IFERROR(__xludf.DUMMYFUNCTION("""COMPUTED_VALUE"""),"❤💚👊✌🙏😇 God bless Philippines!")</f>
        <v>❤💚👊✌🙏😇 God bless Philippines!</v>
      </c>
      <c r="F579" s="1">
        <f ca="1">IFERROR(__xludf.DUMMYFUNCTION("""COMPUTED_VALUE"""),3)</f>
        <v>3</v>
      </c>
      <c r="G579" s="1" t="str">
        <f ca="1">IFERROR(__xludf.DUMMYFUNCTION("""COMPUTED_VALUE"""),"3 mos")</f>
        <v>3 mos</v>
      </c>
      <c r="H579" s="1" t="str">
        <f ca="1">IFERROR(__xludf.DUMMYFUNCTION("""COMPUTED_VALUE"""),"comment")</f>
        <v>comment</v>
      </c>
      <c r="I579"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79" s="1" t="str">
        <f ca="1">IFERROR(__xludf.DUMMYFUNCTION("""COMPUTED_VALUE"""),"2022-07-04T11:14:00.237Z")</f>
        <v>2022-07-04T11:14:00.237Z</v>
      </c>
    </row>
    <row r="580" spans="1:10" x14ac:dyDescent="0.2">
      <c r="A580" s="2" t="str">
        <f ca="1">IFERROR(__xludf.DUMMYFUNCTION("""COMPUTED_VALUE"""),"https://www.facebook.com/Soyiee25")</f>
        <v>https://www.facebook.com/Soyiee25</v>
      </c>
      <c r="B580" s="1" t="str">
        <f ca="1">IFERROR(__xludf.DUMMYFUNCTION("""COMPUTED_VALUE"""),"LAPE LORENZ COMAHIG")</f>
        <v>LAPE LORENZ COMAHIG</v>
      </c>
      <c r="C580" s="1" t="str">
        <f ca="1">IFERROR(__xludf.DUMMYFUNCTION("""COMPUTED_VALUE"""),"LAPE")</f>
        <v>LAPE</v>
      </c>
      <c r="D580" s="1" t="str">
        <f ca="1">IFERROR(__xludf.DUMMYFUNCTION("""COMPUTED_VALUE"""),"LORENZ COMAHIG")</f>
        <v>LORENZ COMAHIG</v>
      </c>
      <c r="E580" s="1" t="str">
        <f ca="1">IFERROR(__xludf.DUMMYFUNCTION("""COMPUTED_VALUE"""),"Sanaol utilizing press freedom.")</f>
        <v>Sanaol utilizing press freedom.</v>
      </c>
      <c r="F580" s="1">
        <f ca="1">IFERROR(__xludf.DUMMYFUNCTION("""COMPUTED_VALUE"""),3)</f>
        <v>3</v>
      </c>
      <c r="G580" s="1" t="str">
        <f ca="1">IFERROR(__xludf.DUMMYFUNCTION("""COMPUTED_VALUE"""),"3 mos")</f>
        <v>3 mos</v>
      </c>
      <c r="H580" s="1" t="str">
        <f ca="1">IFERROR(__xludf.DUMMYFUNCTION("""COMPUTED_VALUE"""),"comment")</f>
        <v>comment</v>
      </c>
      <c r="I580"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80" s="1" t="str">
        <f ca="1">IFERROR(__xludf.DUMMYFUNCTION("""COMPUTED_VALUE"""),"2022-07-04T11:14:00.237Z")</f>
        <v>2022-07-04T11:14:00.237Z</v>
      </c>
    </row>
    <row r="581" spans="1:10" x14ac:dyDescent="0.2">
      <c r="A581" s="2" t="str">
        <f ca="1">IFERROR(__xludf.DUMMYFUNCTION("""COMPUTED_VALUE"""),"https://www.facebook.com/jansen.vitug.1")</f>
        <v>https://www.facebook.com/jansen.vitug.1</v>
      </c>
      <c r="B581" s="1" t="str">
        <f ca="1">IFERROR(__xludf.DUMMYFUNCTION("""COMPUTED_VALUE"""),"Maya Amore P Ilana")</f>
        <v>Maya Amore P Ilana</v>
      </c>
      <c r="C581" s="1" t="str">
        <f ca="1">IFERROR(__xludf.DUMMYFUNCTION("""COMPUTED_VALUE"""),"Maya")</f>
        <v>Maya</v>
      </c>
      <c r="D581" s="1" t="str">
        <f ca="1">IFERROR(__xludf.DUMMYFUNCTION("""COMPUTED_VALUE"""),"Amore P Ilana")</f>
        <v>Amore P Ilana</v>
      </c>
      <c r="E581" s="1" t="str">
        <f ca="1">IFERROR(__xludf.DUMMYFUNCTION("""COMPUTED_VALUE"""),"❤️💚❤️💚❤️💚❤️💚❤️💚❤️💚❤️💚❤️❤️💚❤️💚❤️💚❤️💚❤️💚❤️💚❤️💚❤️💚❤️💚❤️💚❤️💚❤️💚❤️💚❤️💚❤️💚❤️💚❤️💚❤️💚❤️💚❤️💚❤️💚❤️❤️💚❤️💚❤️💚❤️💚❤️💚❤️💚❤️💚💚💚💚💚💚💚💚💚💚💚💚💚❤️❤️❤️❤️❤️❤️❤️❤️❤️❤️❤️❤️💚💚💚💚💚💚❤️❤️❤️❤️❤️❤️💚💚💚💚💚💚❤️❤️❤️❤️❤️❤️❤️❤️❤️❤️❤️❤️💚"&amp;"💚💚💚💚❤️❤️❤️❤️❤️❤️💚💚💚💚💚💚💚💚💚💚💚💚❤️❤️❤️❤️❤️❤️💚💚💚💚💚💚❤️❤️❤️❤️❤️❤️❤️❤️❤️❤️❤️❤️💚💚💚💚💚💚❤️❤️❤️❤️💚💚💚❤️❤️❤️❤️💚💚💚💚💚💚❤️❤️❤️💚💚💚💚")</f>
        <v>❤️💚❤️💚❤️💚❤️💚❤️💚❤️💚❤️💚❤️❤️💚❤️💚❤️💚❤️💚❤️💚❤️💚❤️💚❤️💚❤️💚❤️💚❤️💚❤️💚❤️💚❤️💚❤️💚❤️💚❤️💚❤️💚❤️💚❤️💚❤️💚❤️❤️💚❤️💚❤️💚❤️💚❤️💚❤️💚❤️💚💚💚💚💚💚💚💚💚💚💚💚💚❤️❤️❤️❤️❤️❤️❤️❤️❤️❤️❤️❤️💚💚💚💚💚💚❤️❤️❤️❤️❤️❤️💚💚💚💚💚💚❤️❤️❤️❤️❤️❤️❤️❤️❤️❤️❤️❤️💚💚💚💚💚❤️❤️❤️❤️❤️❤️💚💚💚💚💚💚💚💚💚💚💚💚❤️❤️❤️❤️❤️❤️💚💚💚💚💚💚❤️❤️❤️❤️❤️❤️❤️❤️❤️❤️❤️❤️💚💚💚💚💚💚❤️❤️❤️❤️💚💚💚❤️❤️❤️❤️💚💚💚💚💚💚❤️❤️❤️💚💚💚💚</v>
      </c>
      <c r="F581" s="1">
        <f ca="1">IFERROR(__xludf.DUMMYFUNCTION("""COMPUTED_VALUE"""),5)</f>
        <v>5</v>
      </c>
      <c r="G581" s="1" t="str">
        <f ca="1">IFERROR(__xludf.DUMMYFUNCTION("""COMPUTED_VALUE"""),"3 mos")</f>
        <v>3 mos</v>
      </c>
      <c r="H581" s="1" t="str">
        <f ca="1">IFERROR(__xludf.DUMMYFUNCTION("""COMPUTED_VALUE"""),"comment")</f>
        <v>comment</v>
      </c>
      <c r="I581"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81" s="1" t="str">
        <f ca="1">IFERROR(__xludf.DUMMYFUNCTION("""COMPUTED_VALUE"""),"2022-07-04T11:14:00.237Z")</f>
        <v>2022-07-04T11:14:00.237Z</v>
      </c>
    </row>
    <row r="582" spans="1:10" x14ac:dyDescent="0.2">
      <c r="A582" s="2" t="str">
        <f ca="1">IFERROR(__xludf.DUMMYFUNCTION("""COMPUTED_VALUE"""),"https://www.facebook.com/ogie.fernandez.731")</f>
        <v>https://www.facebook.com/ogie.fernandez.731</v>
      </c>
      <c r="B582" s="1" t="str">
        <f ca="1">IFERROR(__xludf.DUMMYFUNCTION("""COMPUTED_VALUE"""),"Ogie Fernandez")</f>
        <v>Ogie Fernandez</v>
      </c>
      <c r="C582" s="1" t="str">
        <f ca="1">IFERROR(__xludf.DUMMYFUNCTION("""COMPUTED_VALUE"""),"Ogie")</f>
        <v>Ogie</v>
      </c>
      <c r="D582" s="1" t="str">
        <f ca="1">IFERROR(__xludf.DUMMYFUNCTION("""COMPUTED_VALUE"""),"Fernandez")</f>
        <v>Fernandez</v>
      </c>
      <c r="E582" s="1" t="str">
        <f ca="1">IFERROR(__xludf.DUMMYFUNCTION("""COMPUTED_VALUE"""),"Ogie Fernandez")</f>
        <v>Ogie Fernandez</v>
      </c>
      <c r="F582" s="1"/>
      <c r="G582" s="1" t="str">
        <f ca="1">IFERROR(__xludf.DUMMYFUNCTION("""COMPUTED_VALUE"""),"3 mos")</f>
        <v>3 mos</v>
      </c>
      <c r="H582" s="1" t="str">
        <f ca="1">IFERROR(__xludf.DUMMYFUNCTION("""COMPUTED_VALUE"""),"comment")</f>
        <v>comment</v>
      </c>
      <c r="I582"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82" s="1" t="str">
        <f ca="1">IFERROR(__xludf.DUMMYFUNCTION("""COMPUTED_VALUE"""),"2022-07-04T11:14:00.237Z")</f>
        <v>2022-07-04T11:14:00.237Z</v>
      </c>
    </row>
    <row r="583" spans="1:10" x14ac:dyDescent="0.2">
      <c r="A583" s="2" t="str">
        <f ca="1">IFERROR(__xludf.DUMMYFUNCTION("""COMPUTED_VALUE"""),"https://www.facebook.com/edwin.redz.mangeron")</f>
        <v>https://www.facebook.com/edwin.redz.mangeron</v>
      </c>
      <c r="B583" s="1" t="str">
        <f ca="1">IFERROR(__xludf.DUMMYFUNCTION("""COMPUTED_VALUE"""),"Redz Edwin Mangeron")</f>
        <v>Redz Edwin Mangeron</v>
      </c>
      <c r="C583" s="1" t="str">
        <f ca="1">IFERROR(__xludf.DUMMYFUNCTION("""COMPUTED_VALUE"""),"Redz")</f>
        <v>Redz</v>
      </c>
      <c r="D583" s="1" t="str">
        <f ca="1">IFERROR(__xludf.DUMMYFUNCTION("""COMPUTED_VALUE"""),"Edwin Mangeron")</f>
        <v>Edwin Mangeron</v>
      </c>
      <c r="E583" s="1" t="str">
        <f ca="1">IFERROR(__xludf.DUMMYFUNCTION("""COMPUTED_VALUE"""),"Redz Edwin Mangeron")</f>
        <v>Redz Edwin Mangeron</v>
      </c>
      <c r="F583" s="1"/>
      <c r="G583" s="1" t="str">
        <f ca="1">IFERROR(__xludf.DUMMYFUNCTION("""COMPUTED_VALUE"""),"3 mos")</f>
        <v>3 mos</v>
      </c>
      <c r="H583" s="1" t="str">
        <f ca="1">IFERROR(__xludf.DUMMYFUNCTION("""COMPUTED_VALUE"""),"comment")</f>
        <v>comment</v>
      </c>
      <c r="I583"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83" s="1" t="str">
        <f ca="1">IFERROR(__xludf.DUMMYFUNCTION("""COMPUTED_VALUE"""),"2022-07-04T11:14:00.237Z")</f>
        <v>2022-07-04T11:14:00.237Z</v>
      </c>
    </row>
    <row r="584" spans="1:10" x14ac:dyDescent="0.2">
      <c r="A584" s="2" t="str">
        <f ca="1">IFERROR(__xludf.DUMMYFUNCTION("""COMPUTED_VALUE"""),"https://www.facebook.com/profile.php?id=100000527554200")</f>
        <v>https://www.facebook.com/profile.php?id=100000527554200</v>
      </c>
      <c r="B584" s="1" t="str">
        <f ca="1">IFERROR(__xludf.DUMMYFUNCTION("""COMPUTED_VALUE"""),"Edralin Baliguat Magcalayo")</f>
        <v>Edralin Baliguat Magcalayo</v>
      </c>
      <c r="C584" s="1" t="str">
        <f ca="1">IFERROR(__xludf.DUMMYFUNCTION("""COMPUTED_VALUE"""),"Edralin")</f>
        <v>Edralin</v>
      </c>
      <c r="D584" s="1" t="str">
        <f ca="1">IFERROR(__xludf.DUMMYFUNCTION("""COMPUTED_VALUE"""),"Baliguat Magcalayo")</f>
        <v>Baliguat Magcalayo</v>
      </c>
      <c r="E584" s="1" t="str">
        <f ca="1">IFERROR(__xludf.DUMMYFUNCTION("""COMPUTED_VALUE"""),"one sided fact check!")</f>
        <v>one sided fact check!</v>
      </c>
      <c r="F584" s="1"/>
      <c r="G584" s="1" t="str">
        <f ca="1">IFERROR(__xludf.DUMMYFUNCTION("""COMPUTED_VALUE"""),"3 mos")</f>
        <v>3 mos</v>
      </c>
      <c r="H584" s="1" t="str">
        <f ca="1">IFERROR(__xludf.DUMMYFUNCTION("""COMPUTED_VALUE"""),"comment")</f>
        <v>comment</v>
      </c>
      <c r="I584"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84" s="1" t="str">
        <f ca="1">IFERROR(__xludf.DUMMYFUNCTION("""COMPUTED_VALUE"""),"2022-07-04T11:14:00.237Z")</f>
        <v>2022-07-04T11:14:00.237Z</v>
      </c>
    </row>
    <row r="585" spans="1:10" x14ac:dyDescent="0.2">
      <c r="A585" s="2" t="str">
        <f ca="1">IFERROR(__xludf.DUMMYFUNCTION("""COMPUTED_VALUE"""),"https://www.facebook.com/ronmsalvador")</f>
        <v>https://www.facebook.com/ronmsalvador</v>
      </c>
      <c r="B585" s="1" t="str">
        <f ca="1">IFERROR(__xludf.DUMMYFUNCTION("""COMPUTED_VALUE"""),"Ron Salvador")</f>
        <v>Ron Salvador</v>
      </c>
      <c r="C585" s="1" t="str">
        <f ca="1">IFERROR(__xludf.DUMMYFUNCTION("""COMPUTED_VALUE"""),"Ron")</f>
        <v>Ron</v>
      </c>
      <c r="D585" s="1" t="str">
        <f ca="1">IFERROR(__xludf.DUMMYFUNCTION("""COMPUTED_VALUE"""),"Salvador")</f>
        <v>Salvador</v>
      </c>
      <c r="E585" s="1" t="str">
        <f ca="1">IFERROR(__xludf.DUMMYFUNCTION("""COMPUTED_VALUE"""),"Edralin Baliguat Magcalayo so yung yaman nila sa tallano gold ba or sa yamashita treasure galing?")</f>
        <v>Edralin Baliguat Magcalayo so yung yaman nila sa tallano gold ba or sa yamashita treasure galing?</v>
      </c>
      <c r="F585" s="1"/>
      <c r="G585" s="1" t="str">
        <f ca="1">IFERROR(__xludf.DUMMYFUNCTION("""COMPUTED_VALUE"""),"3 mos")</f>
        <v>3 mos</v>
      </c>
      <c r="H585" s="1" t="str">
        <f ca="1">IFERROR(__xludf.DUMMYFUNCTION("""COMPUTED_VALUE"""),"reply")</f>
        <v>reply</v>
      </c>
      <c r="I585"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85" s="1" t="str">
        <f ca="1">IFERROR(__xludf.DUMMYFUNCTION("""COMPUTED_VALUE"""),"2022-07-04T11:14:00.237Z")</f>
        <v>2022-07-04T11:14:00.237Z</v>
      </c>
    </row>
    <row r="586" spans="1:10" x14ac:dyDescent="0.2">
      <c r="A586" s="2" t="str">
        <f ca="1">IFERROR(__xludf.DUMMYFUNCTION("""COMPUTED_VALUE"""),"https://www.facebook.com/profile.php?id=100008658065734")</f>
        <v>https://www.facebook.com/profile.php?id=100008658065734</v>
      </c>
      <c r="B586" s="1" t="str">
        <f ca="1">IFERROR(__xludf.DUMMYFUNCTION("""COMPUTED_VALUE"""),"Janvien Icel Zabala Daguhoy")</f>
        <v>Janvien Icel Zabala Daguhoy</v>
      </c>
      <c r="C586" s="1" t="str">
        <f ca="1">IFERROR(__xludf.DUMMYFUNCTION("""COMPUTED_VALUE"""),"Janvien")</f>
        <v>Janvien</v>
      </c>
      <c r="D586" s="1" t="str">
        <f ca="1">IFERROR(__xludf.DUMMYFUNCTION("""COMPUTED_VALUE"""),"Icel Zabala Daguhoy")</f>
        <v>Icel Zabala Daguhoy</v>
      </c>
      <c r="E586" s="1" t="str">
        <f ca="1">IFERROR(__xludf.DUMMYFUNCTION("""COMPUTED_VALUE"""),"❤️❤️❤️❤️❤️❤️❤️❤️❤️❤️❤️❤️❤️❤️❤️❤️❤️❤️❤️❤️❤️❤️❤️❤️❤️❤️❤️❤️❤️❤️❤️❤️💚💚💚💚💚💚💚💚💚💚💚💚💚💚💚💚💚💚💚💚💚💚💚💚💚💚💚💚💚💚💚💚✌️✌️✌️✌️✌️✌️✌️✌️✌️✌️✌️✌️✌️✌️✌️✌️✌️✌️✌️✌️✌️✌️✌️✌️✌️✌️✌️✌️✌️✌️✌️✌️❤️❤️❤️❤️❤️❤️❤️❤️❤️❤️❤️❤️❤️❤️❤️❤️💚💚💚💚💚💚💚💚💚💚💚💚💚💚💚"&amp;"")</f>
        <v>❤️❤️❤️❤️❤️❤️❤️❤️❤️❤️❤️❤️❤️❤️❤️❤️❤️❤️❤️❤️❤️❤️❤️❤️❤️❤️❤️❤️❤️❤️❤️❤️💚💚💚💚💚💚💚💚💚💚💚💚💚💚💚💚💚💚💚💚💚💚💚💚💚💚💚💚💚💚💚💚✌️✌️✌️✌️✌️✌️✌️✌️✌️✌️✌️✌️✌️✌️✌️✌️✌️✌️✌️✌️✌️✌️✌️✌️✌️✌️✌️✌️✌️✌️✌️✌️❤️❤️❤️❤️❤️❤️❤️❤️❤️❤️❤️❤️❤️❤️❤️❤️💚💚💚💚💚💚💚💚💚💚💚💚💚💚💚</v>
      </c>
      <c r="F586" s="1">
        <f ca="1">IFERROR(__xludf.DUMMYFUNCTION("""COMPUTED_VALUE"""),11)</f>
        <v>11</v>
      </c>
      <c r="G586" s="1" t="str">
        <f ca="1">IFERROR(__xludf.DUMMYFUNCTION("""COMPUTED_VALUE"""),"3 mos")</f>
        <v>3 mos</v>
      </c>
      <c r="H586" s="1" t="str">
        <f ca="1">IFERROR(__xludf.DUMMYFUNCTION("""COMPUTED_VALUE"""),"comment")</f>
        <v>comment</v>
      </c>
      <c r="I586"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86" s="1" t="str">
        <f ca="1">IFERROR(__xludf.DUMMYFUNCTION("""COMPUTED_VALUE"""),"2022-07-04T11:14:00.237Z")</f>
        <v>2022-07-04T11:14:00.237Z</v>
      </c>
    </row>
    <row r="587" spans="1:10" x14ac:dyDescent="0.2">
      <c r="A587" s="2" t="str">
        <f ca="1">IFERROR(__xludf.DUMMYFUNCTION("""COMPUTED_VALUE"""),"https://www.facebook.com/jessel.pascua.1")</f>
        <v>https://www.facebook.com/jessel.pascua.1</v>
      </c>
      <c r="B587" s="1" t="str">
        <f ca="1">IFERROR(__xludf.DUMMYFUNCTION("""COMPUTED_VALUE"""),"Jessel Pascua")</f>
        <v>Jessel Pascua</v>
      </c>
      <c r="C587" s="1" t="str">
        <f ca="1">IFERROR(__xludf.DUMMYFUNCTION("""COMPUTED_VALUE"""),"Jessel")</f>
        <v>Jessel</v>
      </c>
      <c r="D587" s="1" t="str">
        <f ca="1">IFERROR(__xludf.DUMMYFUNCTION("""COMPUTED_VALUE"""),"Pascua")</f>
        <v>Pascua</v>
      </c>
      <c r="E587" s="1" t="str">
        <f ca="1">IFERROR(__xludf.DUMMYFUNCTION("""COMPUTED_VALUE"""),"Jessel Pascua")</f>
        <v>Jessel Pascua</v>
      </c>
      <c r="F587" s="1">
        <f ca="1">IFERROR(__xludf.DUMMYFUNCTION("""COMPUTED_VALUE"""),1)</f>
        <v>1</v>
      </c>
      <c r="G587" s="1" t="str">
        <f ca="1">IFERROR(__xludf.DUMMYFUNCTION("""COMPUTED_VALUE"""),"3 mos")</f>
        <v>3 mos</v>
      </c>
      <c r="H587" s="1" t="str">
        <f ca="1">IFERROR(__xludf.DUMMYFUNCTION("""COMPUTED_VALUE"""),"comment")</f>
        <v>comment</v>
      </c>
      <c r="I587"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87" s="1" t="str">
        <f ca="1">IFERROR(__xludf.DUMMYFUNCTION("""COMPUTED_VALUE"""),"2022-07-04T11:14:00.237Z")</f>
        <v>2022-07-04T11:14:00.237Z</v>
      </c>
    </row>
    <row r="588" spans="1:10" x14ac:dyDescent="0.2">
      <c r="A588" s="2" t="str">
        <f ca="1">IFERROR(__xludf.DUMMYFUNCTION("""COMPUTED_VALUE"""),"https://www.facebook.com/maico.lopez.3517")</f>
        <v>https://www.facebook.com/maico.lopez.3517</v>
      </c>
      <c r="B588" s="1" t="str">
        <f ca="1">IFERROR(__xludf.DUMMYFUNCTION("""COMPUTED_VALUE"""),"Jeremy トメ")</f>
        <v>Jeremy トメ</v>
      </c>
      <c r="C588" s="1" t="str">
        <f ca="1">IFERROR(__xludf.DUMMYFUNCTION("""COMPUTED_VALUE"""),"Jeremy")</f>
        <v>Jeremy</v>
      </c>
      <c r="D588" s="1" t="str">
        <f ca="1">IFERROR(__xludf.DUMMYFUNCTION("""COMPUTED_VALUE"""),"トメ")</f>
        <v>トメ</v>
      </c>
      <c r="E588" s="1" t="str">
        <f ca="1">IFERROR(__xludf.DUMMYFUNCTION("""COMPUTED_VALUE"""),"Ui hapitin nyo na,, malapit na may 9 🤣🤣")</f>
        <v>Ui hapitin nyo na,, malapit na may 9 🤣🤣</v>
      </c>
      <c r="F588" s="1">
        <f ca="1">IFERROR(__xludf.DUMMYFUNCTION("""COMPUTED_VALUE"""),1)</f>
        <v>1</v>
      </c>
      <c r="G588" s="1" t="str">
        <f ca="1">IFERROR(__xludf.DUMMYFUNCTION("""COMPUTED_VALUE"""),"3 mos")</f>
        <v>3 mos</v>
      </c>
      <c r="H588" s="1" t="str">
        <f ca="1">IFERROR(__xludf.DUMMYFUNCTION("""COMPUTED_VALUE"""),"comment")</f>
        <v>comment</v>
      </c>
      <c r="I588"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88" s="1" t="str">
        <f ca="1">IFERROR(__xludf.DUMMYFUNCTION("""COMPUTED_VALUE"""),"2022-07-04T11:14:00.237Z")</f>
        <v>2022-07-04T11:14:00.237Z</v>
      </c>
    </row>
    <row r="589" spans="1:10" x14ac:dyDescent="0.2">
      <c r="A589" s="2" t="str">
        <f ca="1">IFERROR(__xludf.DUMMYFUNCTION("""COMPUTED_VALUE"""),"https://www.facebook.com/venusemano.go.1")</f>
        <v>https://www.facebook.com/venusemano.go.1</v>
      </c>
      <c r="B589" s="1" t="str">
        <f ca="1">IFERROR(__xludf.DUMMYFUNCTION("""COMPUTED_VALUE"""),"Venus Zapatos Go")</f>
        <v>Venus Zapatos Go</v>
      </c>
      <c r="C589" s="1" t="str">
        <f ca="1">IFERROR(__xludf.DUMMYFUNCTION("""COMPUTED_VALUE"""),"Venus")</f>
        <v>Venus</v>
      </c>
      <c r="D589" s="1" t="str">
        <f ca="1">IFERROR(__xludf.DUMMYFUNCTION("""COMPUTED_VALUE"""),"Zapatos Go")</f>
        <v>Zapatos Go</v>
      </c>
      <c r="E589" s="1" t="str">
        <f ca="1">IFERROR(__xludf.DUMMYFUNCTION("""COMPUTED_VALUE"""),"Solid BbmSara lng malakas Mindanao,")</f>
        <v>Solid BbmSara lng malakas Mindanao,</v>
      </c>
      <c r="F589" s="1">
        <f ca="1">IFERROR(__xludf.DUMMYFUNCTION("""COMPUTED_VALUE"""),3)</f>
        <v>3</v>
      </c>
      <c r="G589" s="1" t="str">
        <f ca="1">IFERROR(__xludf.DUMMYFUNCTION("""COMPUTED_VALUE"""),"3 mos")</f>
        <v>3 mos</v>
      </c>
      <c r="H589" s="1" t="str">
        <f ca="1">IFERROR(__xludf.DUMMYFUNCTION("""COMPUTED_VALUE"""),"comment")</f>
        <v>comment</v>
      </c>
      <c r="I589"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89" s="1" t="str">
        <f ca="1">IFERROR(__xludf.DUMMYFUNCTION("""COMPUTED_VALUE"""),"2022-07-04T11:14:00.237Z")</f>
        <v>2022-07-04T11:14:00.237Z</v>
      </c>
    </row>
    <row r="590" spans="1:10" x14ac:dyDescent="0.2">
      <c r="A590" s="2" t="str">
        <f ca="1">IFERROR(__xludf.DUMMYFUNCTION("""COMPUTED_VALUE"""),"https://www.facebook.com/marializa.ko")</f>
        <v>https://www.facebook.com/marializa.ko</v>
      </c>
      <c r="B590" s="1" t="str">
        <f ca="1">IFERROR(__xludf.DUMMYFUNCTION("""COMPUTED_VALUE"""),"Maria Liza Ko")</f>
        <v>Maria Liza Ko</v>
      </c>
      <c r="C590" s="1" t="str">
        <f ca="1">IFERROR(__xludf.DUMMYFUNCTION("""COMPUTED_VALUE"""),"Maria")</f>
        <v>Maria</v>
      </c>
      <c r="D590" s="1" t="str">
        <f ca="1">IFERROR(__xludf.DUMMYFUNCTION("""COMPUTED_VALUE"""),"Liza Ko")</f>
        <v>Liza Ko</v>
      </c>
      <c r="E590" s="1" t="str">
        <f ca="1">IFERROR(__xludf.DUMMYFUNCTION("""COMPUTED_VALUE"""),"Maria Liza Ko")</f>
        <v>Maria Liza Ko</v>
      </c>
      <c r="F590" s="1">
        <f ca="1">IFERROR(__xludf.DUMMYFUNCTION("""COMPUTED_VALUE"""),2)</f>
        <v>2</v>
      </c>
      <c r="G590" s="1" t="str">
        <f ca="1">IFERROR(__xludf.DUMMYFUNCTION("""COMPUTED_VALUE"""),"3 mos")</f>
        <v>3 mos</v>
      </c>
      <c r="H590" s="1" t="str">
        <f ca="1">IFERROR(__xludf.DUMMYFUNCTION("""COMPUTED_VALUE"""),"comment")</f>
        <v>comment</v>
      </c>
      <c r="I590"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90" s="1" t="str">
        <f ca="1">IFERROR(__xludf.DUMMYFUNCTION("""COMPUTED_VALUE"""),"2022-07-04T11:14:00.237Z")</f>
        <v>2022-07-04T11:14:00.237Z</v>
      </c>
    </row>
    <row r="591" spans="1:10" x14ac:dyDescent="0.2">
      <c r="A591" s="2" t="str">
        <f ca="1">IFERROR(__xludf.DUMMYFUNCTION("""COMPUTED_VALUE"""),"https://www.facebook.com/makatoldrrmo")</f>
        <v>https://www.facebook.com/makatoldrrmo</v>
      </c>
      <c r="B591" s="1" t="str">
        <f ca="1">IFERROR(__xludf.DUMMYFUNCTION("""COMPUTED_VALUE"""),"Makato Ldrrm Officer II")</f>
        <v>Makato Ldrrm Officer II</v>
      </c>
      <c r="C591" s="1" t="str">
        <f ca="1">IFERROR(__xludf.DUMMYFUNCTION("""COMPUTED_VALUE"""),"Makato")</f>
        <v>Makato</v>
      </c>
      <c r="D591" s="1" t="str">
        <f ca="1">IFERROR(__xludf.DUMMYFUNCTION("""COMPUTED_VALUE"""),"Ldrrm Officer II")</f>
        <v>Ldrrm Officer II</v>
      </c>
      <c r="E591" s="1" t="str">
        <f ca="1">IFERROR(__xludf.DUMMYFUNCTION("""COMPUTED_VALUE"""),"Makato Ldrrm Officer II")</f>
        <v>Makato Ldrrm Officer II</v>
      </c>
      <c r="F591" s="1"/>
      <c r="G591" s="1" t="str">
        <f ca="1">IFERROR(__xludf.DUMMYFUNCTION("""COMPUTED_VALUE"""),"3 mos")</f>
        <v>3 mos</v>
      </c>
      <c r="H591" s="1" t="str">
        <f ca="1">IFERROR(__xludf.DUMMYFUNCTION("""COMPUTED_VALUE"""),"comment")</f>
        <v>comment</v>
      </c>
      <c r="I591"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91" s="1" t="str">
        <f ca="1">IFERROR(__xludf.DUMMYFUNCTION("""COMPUTED_VALUE"""),"2022-07-04T11:14:00.238Z")</f>
        <v>2022-07-04T11:14:00.238Z</v>
      </c>
    </row>
    <row r="592" spans="1:10" x14ac:dyDescent="0.2">
      <c r="A592" s="2" t="str">
        <f ca="1">IFERROR(__xludf.DUMMYFUNCTION("""COMPUTED_VALUE"""),"https://www.facebook.com/paye.dionisio")</f>
        <v>https://www.facebook.com/paye.dionisio</v>
      </c>
      <c r="B592" s="1" t="str">
        <f ca="1">IFERROR(__xludf.DUMMYFUNCTION("""COMPUTED_VALUE"""),"Paye Dionisio")</f>
        <v>Paye Dionisio</v>
      </c>
      <c r="C592" s="1" t="str">
        <f ca="1">IFERROR(__xludf.DUMMYFUNCTION("""COMPUTED_VALUE"""),"Paye")</f>
        <v>Paye</v>
      </c>
      <c r="D592" s="1" t="str">
        <f ca="1">IFERROR(__xludf.DUMMYFUNCTION("""COMPUTED_VALUE"""),"Dionisio")</f>
        <v>Dionisio</v>
      </c>
      <c r="E592" s="1" t="str">
        <f ca="1">IFERROR(__xludf.DUMMYFUNCTION("""COMPUTED_VALUE"""),"Kahit nung gwin nu...❤❤❤💚💚💚✌✌✌✌✌✌✌✌✌✌✌✌✌✌✌✌✌✌✌✌✌✌✌✌✌✌✌✌✌✌✌✌✌✌✌✌✌✌✌✌✌✌💚💚💚💚💚💚💚💚💚💚💚💚💚💚💚💚💚💚💚💚💚💚💚💚💚💚💚💚💚💚💚💚💚💚💚💚💚💚💚💚💚💚❤❤❤❤❤❤❤❤❤❤❤❤❤❤❤❤❤❤❤❤❤❤❤❤❤❤❤❤❤❤❤❤❤❤❤❤❤❤❤❤❤❤")</f>
        <v>Kahit nung gwin nu...❤❤❤💚💚💚✌✌✌✌✌✌✌✌✌✌✌✌✌✌✌✌✌✌✌✌✌✌✌✌✌✌✌✌✌✌✌✌✌✌✌✌✌✌✌✌✌✌💚💚💚💚💚💚💚💚💚💚💚💚💚💚💚💚💚💚💚💚💚💚💚💚💚💚💚💚💚💚💚💚💚💚💚💚💚💚💚💚💚💚❤❤❤❤❤❤❤❤❤❤❤❤❤❤❤❤❤❤❤❤❤❤❤❤❤❤❤❤❤❤❤❤❤❤❤❤❤❤❤❤❤❤</v>
      </c>
      <c r="F592" s="1"/>
      <c r="G592" s="1" t="str">
        <f ca="1">IFERROR(__xludf.DUMMYFUNCTION("""COMPUTED_VALUE"""),"3 mos")</f>
        <v>3 mos</v>
      </c>
      <c r="H592" s="1" t="str">
        <f ca="1">IFERROR(__xludf.DUMMYFUNCTION("""COMPUTED_VALUE"""),"comment")</f>
        <v>comment</v>
      </c>
      <c r="I592"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92" s="1" t="str">
        <f ca="1">IFERROR(__xludf.DUMMYFUNCTION("""COMPUTED_VALUE"""),"2022-07-04T11:14:00.238Z")</f>
        <v>2022-07-04T11:14:00.238Z</v>
      </c>
    </row>
    <row r="593" spans="1:10" x14ac:dyDescent="0.2">
      <c r="A593" s="2" t="str">
        <f ca="1">IFERROR(__xludf.DUMMYFUNCTION("""COMPUTED_VALUE"""),"https://www.facebook.com/rosalia.calmaibanez")</f>
        <v>https://www.facebook.com/rosalia.calmaibanez</v>
      </c>
      <c r="B593" s="1" t="str">
        <f ca="1">IFERROR(__xludf.DUMMYFUNCTION("""COMPUTED_VALUE"""),"Rosalia Calma-ibanez")</f>
        <v>Rosalia Calma-ibanez</v>
      </c>
      <c r="C593" s="1" t="str">
        <f ca="1">IFERROR(__xludf.DUMMYFUNCTION("""COMPUTED_VALUE"""),"Rosalia")</f>
        <v>Rosalia</v>
      </c>
      <c r="D593" s="1" t="str">
        <f ca="1">IFERROR(__xludf.DUMMYFUNCTION("""COMPUTED_VALUE"""),"Calma-ibanez")</f>
        <v>Calma-ibanez</v>
      </c>
      <c r="E593" s="1" t="str">
        <f ca="1">IFERROR(__xludf.DUMMYFUNCTION("""COMPUTED_VALUE"""),"Habol pa!")</f>
        <v>Habol pa!</v>
      </c>
      <c r="F593" s="1"/>
      <c r="G593" s="1" t="str">
        <f ca="1">IFERROR(__xludf.DUMMYFUNCTION("""COMPUTED_VALUE"""),"3 mos")</f>
        <v>3 mos</v>
      </c>
      <c r="H593" s="1" t="str">
        <f ca="1">IFERROR(__xludf.DUMMYFUNCTION("""COMPUTED_VALUE"""),"comment")</f>
        <v>comment</v>
      </c>
      <c r="I593"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93" s="1" t="str">
        <f ca="1">IFERROR(__xludf.DUMMYFUNCTION("""COMPUTED_VALUE"""),"2022-07-04T11:14:00.238Z")</f>
        <v>2022-07-04T11:14:00.238Z</v>
      </c>
    </row>
    <row r="594" spans="1:10" x14ac:dyDescent="0.2">
      <c r="A594" s="2" t="str">
        <f ca="1">IFERROR(__xludf.DUMMYFUNCTION("""COMPUTED_VALUE"""),"https://www.facebook.com/lyn.cobajada")</f>
        <v>https://www.facebook.com/lyn.cobajada</v>
      </c>
      <c r="B594" s="1" t="str">
        <f ca="1">IFERROR(__xludf.DUMMYFUNCTION("""COMPUTED_VALUE"""),"Lyn Co-Bajada")</f>
        <v>Lyn Co-Bajada</v>
      </c>
      <c r="C594" s="1" t="str">
        <f ca="1">IFERROR(__xludf.DUMMYFUNCTION("""COMPUTED_VALUE"""),"Lyn")</f>
        <v>Lyn</v>
      </c>
      <c r="D594" s="1" t="str">
        <f ca="1">IFERROR(__xludf.DUMMYFUNCTION("""COMPUTED_VALUE"""),"Co-Bajada")</f>
        <v>Co-Bajada</v>
      </c>
      <c r="E594" s="1" t="str">
        <f ca="1">IFERROR(__xludf.DUMMYFUNCTION("""COMPUTED_VALUE"""),"Lyn Co-Bajada")</f>
        <v>Lyn Co-Bajada</v>
      </c>
      <c r="F594" s="1"/>
      <c r="G594" s="1" t="str">
        <f ca="1">IFERROR(__xludf.DUMMYFUNCTION("""COMPUTED_VALUE"""),"3 mos")</f>
        <v>3 mos</v>
      </c>
      <c r="H594" s="1" t="str">
        <f ca="1">IFERROR(__xludf.DUMMYFUNCTION("""COMPUTED_VALUE"""),"comment")</f>
        <v>comment</v>
      </c>
      <c r="I594"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94" s="1" t="str">
        <f ca="1">IFERROR(__xludf.DUMMYFUNCTION("""COMPUTED_VALUE"""),"2022-07-04T11:14:00.238Z")</f>
        <v>2022-07-04T11:14:00.238Z</v>
      </c>
    </row>
    <row r="595" spans="1:10" x14ac:dyDescent="0.2">
      <c r="A595" s="2" t="str">
        <f ca="1">IFERROR(__xludf.DUMMYFUNCTION("""COMPUTED_VALUE"""),"https://www.facebook.com/claude.garcia.161")</f>
        <v>https://www.facebook.com/claude.garcia.161</v>
      </c>
      <c r="B595" s="1" t="str">
        <f ca="1">IFERROR(__xludf.DUMMYFUNCTION("""COMPUTED_VALUE"""),"Claud Garcia")</f>
        <v>Claud Garcia</v>
      </c>
      <c r="C595" s="1" t="str">
        <f ca="1">IFERROR(__xludf.DUMMYFUNCTION("""COMPUTED_VALUE"""),"Claud")</f>
        <v>Claud</v>
      </c>
      <c r="D595" s="1" t="str">
        <f ca="1">IFERROR(__xludf.DUMMYFUNCTION("""COMPUTED_VALUE"""),"Garcia")</f>
        <v>Garcia</v>
      </c>
      <c r="E595" s="1" t="str">
        <f ca="1">IFERROR(__xludf.DUMMYFUNCTION("""COMPUTED_VALUE"""),"Double time🤣❤️💚")</f>
        <v>Double time🤣❤️💚</v>
      </c>
      <c r="F595" s="1">
        <f ca="1">IFERROR(__xludf.DUMMYFUNCTION("""COMPUTED_VALUE"""),1)</f>
        <v>1</v>
      </c>
      <c r="G595" s="1" t="str">
        <f ca="1">IFERROR(__xludf.DUMMYFUNCTION("""COMPUTED_VALUE"""),"3 mos")</f>
        <v>3 mos</v>
      </c>
      <c r="H595" s="1" t="str">
        <f ca="1">IFERROR(__xludf.DUMMYFUNCTION("""COMPUTED_VALUE"""),"comment")</f>
        <v>comment</v>
      </c>
      <c r="I595" s="2" t="str">
        <f ca="1">IFERROR(__xludf.DUMMYFUNCTION("""COMPUTED_VALUE"""),"https://www.facebook.com/rapplerdotcom/posts/pfbid02dNgAR64VTtp94Rus4o9MNbU55E2H9Wp7KMKzJGkk6u4UxRyHU8j2pPpwa5iwGcD3l")</f>
        <v>https://www.facebook.com/rapplerdotcom/posts/pfbid02dNgAR64VTtp94Rus4o9MNbU55E2H9Wp7KMKzJGkk6u4UxRyHU8j2pPpwa5iwGcD3l</v>
      </c>
      <c r="J595" s="1" t="str">
        <f ca="1">IFERROR(__xludf.DUMMYFUNCTION("""COMPUTED_VALUE"""),"2022-07-04T11:14:00.238Z")</f>
        <v>2022-07-04T11:14:00.238Z</v>
      </c>
    </row>
    <row r="596" spans="1:10" x14ac:dyDescent="0.2">
      <c r="A596" s="2" t="str">
        <f ca="1">IFERROR(__xludf.DUMMYFUNCTION("""COMPUTED_VALUE"""),"https://www.facebook.com/steve.tamayo.18")</f>
        <v>https://www.facebook.com/steve.tamayo.18</v>
      </c>
      <c r="B596" s="1" t="str">
        <f ca="1">IFERROR(__xludf.DUMMYFUNCTION("""COMPUTED_VALUE"""),"Steve Tamayo")</f>
        <v>Steve Tamayo</v>
      </c>
      <c r="C596" s="1" t="str">
        <f ca="1">IFERROR(__xludf.DUMMYFUNCTION("""COMPUTED_VALUE"""),"Steve")</f>
        <v>Steve</v>
      </c>
      <c r="D596" s="1" t="str">
        <f ca="1">IFERROR(__xludf.DUMMYFUNCTION("""COMPUTED_VALUE"""),"Tamayo")</f>
        <v>Tamayo</v>
      </c>
      <c r="E596" s="1" t="str">
        <f ca="1">IFERROR(__xludf.DUMMYFUNCTION("""COMPUTED_VALUE"""),"Ang boto ko ay para sa isang #GobyernongTapatAngatBuhayLahat at #MasRadikalAngMagmahal  #IdasalNa10to #LeniKikoAllTheWay  #CaMaNavaForLeniKiko #RockAndRosas #CaMaNaVaIsPink  #LugawIsWowSaDabaw #DabawIsPink #tarLENIqueño #TarlacIsPink #PUSOtarlac  #Masagan"&amp;"angANEhan  #NuevaEcijaIsPink #IpanaloNa10Ito #10RobredoPresident  #KikoISDAKey #KikoAngManokKo  #7PangilinanForVicePresident  #MASSKARApatDapatLeniKiko  #TeamRObredoPAngilinan2022 kasamahan para sa Senado iboto din ng straight, Atty Alex Lacson, Atty Sonn"&amp;"y Matula, Dean Chel Diokno, Indigenous Peoples representative Teddy Baguilat, Sen DeLima, Sen Hontiveros, Sen Trillianes at 1Sambayan Atty Neri Colmenares, Sen Gordon at Labor Leader Elmer Labog at 2 pa.")</f>
        <v>Ang boto ko ay para sa isang #GobyernongTapatAngatBuhayLahat at #MasRadikalAngMagmahal  #IdasalNa10to #LeniKikoAllTheWay  #CaMaNavaForLeniKiko #RockAndRosas #CaMaNaVaIsPink  #LugawIsWowSaDabaw #DabawIsPink #tarLENIqueño #TarlacIsPink #PUSOtarlac  #MasaganangANEhan  #NuevaEcijaIsPink #IpanaloNa10Ito #10RobredoPresident  #KikoISDAKey #KikoAngManokKo  #7PangilinanForVicePresident  #MASSKARApatDapatLeniKiko  #TeamRObredoPAngilinan2022 kasamahan para sa Senado iboto din ng straight, Atty Alex Lacson, Atty Sonny Matula, Dean Chel Diokno, Indigenous Peoples representative Teddy Baguilat, Sen DeLima, Sen Hontiveros, Sen Trillianes at 1Sambayan Atty Neri Colmenares, Sen Gordon at Labor Leader Elmer Labog at 2 pa.</v>
      </c>
      <c r="F596" s="1">
        <f ca="1">IFERROR(__xludf.DUMMYFUNCTION("""COMPUTED_VALUE"""),2)</f>
        <v>2</v>
      </c>
      <c r="G596" s="1" t="str">
        <f ca="1">IFERROR(__xludf.DUMMYFUNCTION("""COMPUTED_VALUE"""),"3 mos")</f>
        <v>3 mos</v>
      </c>
      <c r="H596" s="1" t="str">
        <f ca="1">IFERROR(__xludf.DUMMYFUNCTION("""COMPUTED_VALUE"""),"comment")</f>
        <v>comment</v>
      </c>
      <c r="I596"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596" s="1" t="str">
        <f ca="1">IFERROR(__xludf.DUMMYFUNCTION("""COMPUTED_VALUE"""),"2022-07-04T11:14:45.501Z")</f>
        <v>2022-07-04T11:14:45.501Z</v>
      </c>
    </row>
    <row r="597" spans="1:10" x14ac:dyDescent="0.2">
      <c r="A597" s="2" t="str">
        <f ca="1">IFERROR(__xludf.DUMMYFUNCTION("""COMPUTED_VALUE"""),"https://www.facebook.com/johndiazcortez")</f>
        <v>https://www.facebook.com/johndiazcortez</v>
      </c>
      <c r="B597" s="1" t="str">
        <f ca="1">IFERROR(__xludf.DUMMYFUNCTION("""COMPUTED_VALUE"""),"John Diaz Cortez")</f>
        <v>John Diaz Cortez</v>
      </c>
      <c r="C597" s="1" t="str">
        <f ca="1">IFERROR(__xludf.DUMMYFUNCTION("""COMPUTED_VALUE"""),"John")</f>
        <v>John</v>
      </c>
      <c r="D597" s="1" t="str">
        <f ca="1">IFERROR(__xludf.DUMMYFUNCTION("""COMPUTED_VALUE"""),"Diaz Cortez")</f>
        <v>Diaz Cortez</v>
      </c>
      <c r="E597" s="1" t="str">
        <f ca="1">IFERROR(__xludf.DUMMYFUNCTION("""COMPUTED_VALUE"""),"#PinkRevolution  #KakamPINK #LetLeniLead #LeniKiko2022 #AngatBuhayLahat #KulayRosasAngBukas")</f>
        <v>#PinkRevolution  #KakamPINK #LetLeniLead #LeniKiko2022 #AngatBuhayLahat #KulayRosasAngBukas</v>
      </c>
      <c r="F597" s="1"/>
      <c r="G597" s="1" t="str">
        <f ca="1">IFERROR(__xludf.DUMMYFUNCTION("""COMPUTED_VALUE"""),"3 mos")</f>
        <v>3 mos</v>
      </c>
      <c r="H597" s="1" t="str">
        <f ca="1">IFERROR(__xludf.DUMMYFUNCTION("""COMPUTED_VALUE"""),"comment")</f>
        <v>comment</v>
      </c>
      <c r="I597"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597" s="1" t="str">
        <f ca="1">IFERROR(__xludf.DUMMYFUNCTION("""COMPUTED_VALUE"""),"2022-07-04T11:14:45.501Z")</f>
        <v>2022-07-04T11:14:45.501Z</v>
      </c>
    </row>
    <row r="598" spans="1:10" x14ac:dyDescent="0.2">
      <c r="A598" s="2" t="str">
        <f ca="1">IFERROR(__xludf.DUMMYFUNCTION("""COMPUTED_VALUE"""),"https://www.facebook.com/flor.caimen")</f>
        <v>https://www.facebook.com/flor.caimen</v>
      </c>
      <c r="B598" s="1" t="str">
        <f ca="1">IFERROR(__xludf.DUMMYFUNCTION("""COMPUTED_VALUE"""),"Joel Flor Caimen")</f>
        <v>Joel Flor Caimen</v>
      </c>
      <c r="C598" s="1" t="str">
        <f ca="1">IFERROR(__xludf.DUMMYFUNCTION("""COMPUTED_VALUE"""),"Joel")</f>
        <v>Joel</v>
      </c>
      <c r="D598" s="1" t="str">
        <f ca="1">IFERROR(__xludf.DUMMYFUNCTION("""COMPUTED_VALUE"""),"Flor Caimen")</f>
        <v>Flor Caimen</v>
      </c>
      <c r="E598" s="1" t="str">
        <f ca="1">IFERROR(__xludf.DUMMYFUNCTION("""COMPUTED_VALUE"""),"Time for a decent government..")</f>
        <v>Time for a decent government..</v>
      </c>
      <c r="F598" s="1">
        <f ca="1">IFERROR(__xludf.DUMMYFUNCTION("""COMPUTED_VALUE"""),3)</f>
        <v>3</v>
      </c>
      <c r="G598" s="1" t="str">
        <f ca="1">IFERROR(__xludf.DUMMYFUNCTION("""COMPUTED_VALUE"""),"3 mos")</f>
        <v>3 mos</v>
      </c>
      <c r="H598" s="1" t="str">
        <f ca="1">IFERROR(__xludf.DUMMYFUNCTION("""COMPUTED_VALUE"""),"comment")</f>
        <v>comment</v>
      </c>
      <c r="I598"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598" s="1" t="str">
        <f ca="1">IFERROR(__xludf.DUMMYFUNCTION("""COMPUTED_VALUE"""),"2022-07-04T11:14:45.501Z")</f>
        <v>2022-07-04T11:14:45.501Z</v>
      </c>
    </row>
    <row r="599" spans="1:10" x14ac:dyDescent="0.2">
      <c r="A599" s="2" t="str">
        <f ca="1">IFERROR(__xludf.DUMMYFUNCTION("""COMPUTED_VALUE"""),"https://www.facebook.com/gmanalotoco")</f>
        <v>https://www.facebook.com/gmanalotoco</v>
      </c>
      <c r="B599" s="1" t="str">
        <f ca="1">IFERROR(__xludf.DUMMYFUNCTION("""COMPUTED_VALUE"""),"Grace Manaloto-Co")</f>
        <v>Grace Manaloto-Co</v>
      </c>
      <c r="C599" s="1" t="str">
        <f ca="1">IFERROR(__xludf.DUMMYFUNCTION("""COMPUTED_VALUE"""),"Grace")</f>
        <v>Grace</v>
      </c>
      <c r="D599" s="1" t="str">
        <f ca="1">IFERROR(__xludf.DUMMYFUNCTION("""COMPUTED_VALUE"""),"Manaloto-Co")</f>
        <v>Manaloto-Co</v>
      </c>
      <c r="E599" s="1" t="str">
        <f ca="1">IFERROR(__xludf.DUMMYFUNCTION("""COMPUTED_VALUE"""),"Grace Manaloto-Co")</f>
        <v>Grace Manaloto-Co</v>
      </c>
      <c r="F599" s="1"/>
      <c r="G599" s="1" t="str">
        <f ca="1">IFERROR(__xludf.DUMMYFUNCTION("""COMPUTED_VALUE"""),"3 mos")</f>
        <v>3 mos</v>
      </c>
      <c r="H599" s="1" t="str">
        <f ca="1">IFERROR(__xludf.DUMMYFUNCTION("""COMPUTED_VALUE"""),"comment")</f>
        <v>comment</v>
      </c>
      <c r="I599"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599" s="1" t="str">
        <f ca="1">IFERROR(__xludf.DUMMYFUNCTION("""COMPUTED_VALUE"""),"2022-07-04T11:14:45.501Z")</f>
        <v>2022-07-04T11:14:45.501Z</v>
      </c>
    </row>
    <row r="600" spans="1:10" x14ac:dyDescent="0.2">
      <c r="A600" s="2" t="str">
        <f ca="1">IFERROR(__xludf.DUMMYFUNCTION("""COMPUTED_VALUE"""),"https://www.facebook.com/undress.bonifacio.100")</f>
        <v>https://www.facebook.com/undress.bonifacio.100</v>
      </c>
      <c r="B600" s="1" t="str">
        <f ca="1">IFERROR(__xludf.DUMMYFUNCTION("""COMPUTED_VALUE"""),"Andres Luis")</f>
        <v>Andres Luis</v>
      </c>
      <c r="C600" s="1" t="str">
        <f ca="1">IFERROR(__xludf.DUMMYFUNCTION("""COMPUTED_VALUE"""),"Andres")</f>
        <v>Andres</v>
      </c>
      <c r="D600" s="1" t="str">
        <f ca="1">IFERROR(__xludf.DUMMYFUNCTION("""COMPUTED_VALUE"""),"Luis")</f>
        <v>Luis</v>
      </c>
      <c r="E600" s="1" t="str">
        <f ca="1">IFERROR(__xludf.DUMMYFUNCTION("""COMPUTED_VALUE"""),"Para sa #GobyernongTapat hindi kurap #AngatBuhayLahat #IpanaloNa10To  #LeniKiko2022 po.")</f>
        <v>Para sa #GobyernongTapat hindi kurap #AngatBuhayLahat #IpanaloNa10To  #LeniKiko2022 po.</v>
      </c>
      <c r="F600" s="1">
        <f ca="1">IFERROR(__xludf.DUMMYFUNCTION("""COMPUTED_VALUE"""),1)</f>
        <v>1</v>
      </c>
      <c r="G600" s="1" t="str">
        <f ca="1">IFERROR(__xludf.DUMMYFUNCTION("""COMPUTED_VALUE"""),"3 mos")</f>
        <v>3 mos</v>
      </c>
      <c r="H600" s="1" t="str">
        <f ca="1">IFERROR(__xludf.DUMMYFUNCTION("""COMPUTED_VALUE"""),"comment")</f>
        <v>comment</v>
      </c>
      <c r="I600"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00" s="1" t="str">
        <f ca="1">IFERROR(__xludf.DUMMYFUNCTION("""COMPUTED_VALUE"""),"2022-07-04T11:14:45.501Z")</f>
        <v>2022-07-04T11:14:45.501Z</v>
      </c>
    </row>
    <row r="601" spans="1:10" x14ac:dyDescent="0.2">
      <c r="A601" s="2" t="str">
        <f ca="1">IFERROR(__xludf.DUMMYFUNCTION("""COMPUTED_VALUE"""),"https://www.facebook.com/pepe.ledesma.7140")</f>
        <v>https://www.facebook.com/pepe.ledesma.7140</v>
      </c>
      <c r="B601" s="1" t="str">
        <f ca="1">IFERROR(__xludf.DUMMYFUNCTION("""COMPUTED_VALUE"""),"Pepe Ledesma")</f>
        <v>Pepe Ledesma</v>
      </c>
      <c r="C601" s="1" t="str">
        <f ca="1">IFERROR(__xludf.DUMMYFUNCTION("""COMPUTED_VALUE"""),"Pepe")</f>
        <v>Pepe</v>
      </c>
      <c r="D601" s="1" t="str">
        <f ca="1">IFERROR(__xludf.DUMMYFUNCTION("""COMPUTED_VALUE"""),"Ledesma")</f>
        <v>Ledesma</v>
      </c>
      <c r="E601" s="1" t="str">
        <f ca="1">IFERROR(__xludf.DUMMYFUNCTION("""COMPUTED_VALUE"""),"#RosasAngKulayNgBukas #GobyernongTapatAngatBuhayLahat #KayLeniKikoPanaloAngPilipino #HusayAtTibay #BangonPilipinas #TaraIpanalNaNa10To")</f>
        <v>#RosasAngKulayNgBukas #GobyernongTapatAngatBuhayLahat #KayLeniKikoPanaloAngPilipino #HusayAtTibay #BangonPilipinas #TaraIpanalNaNa10To</v>
      </c>
      <c r="F601" s="1">
        <f ca="1">IFERROR(__xludf.DUMMYFUNCTION("""COMPUTED_VALUE"""),11)</f>
        <v>11</v>
      </c>
      <c r="G601" s="1" t="str">
        <f ca="1">IFERROR(__xludf.DUMMYFUNCTION("""COMPUTED_VALUE"""),"3 mos")</f>
        <v>3 mos</v>
      </c>
      <c r="H601" s="1" t="str">
        <f ca="1">IFERROR(__xludf.DUMMYFUNCTION("""COMPUTED_VALUE"""),"comment")</f>
        <v>comment</v>
      </c>
      <c r="I601"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01" s="1" t="str">
        <f ca="1">IFERROR(__xludf.DUMMYFUNCTION("""COMPUTED_VALUE"""),"2022-07-04T11:14:45.501Z")</f>
        <v>2022-07-04T11:14:45.501Z</v>
      </c>
    </row>
    <row r="602" spans="1:10" x14ac:dyDescent="0.2">
      <c r="A602" s="2" t="str">
        <f ca="1">IFERROR(__xludf.DUMMYFUNCTION("""COMPUTED_VALUE"""),"https://www.facebook.com/lilzdangazolituanas.cabagnot")</f>
        <v>https://www.facebook.com/lilzdangazolituanas.cabagnot</v>
      </c>
      <c r="B602" s="1" t="str">
        <f ca="1">IFERROR(__xludf.DUMMYFUNCTION("""COMPUTED_VALUE"""),"Li Cabz")</f>
        <v>Li Cabz</v>
      </c>
      <c r="C602" s="1" t="str">
        <f ca="1">IFERROR(__xludf.DUMMYFUNCTION("""COMPUTED_VALUE"""),"Li")</f>
        <v>Li</v>
      </c>
      <c r="D602" s="1" t="str">
        <f ca="1">IFERROR(__xludf.DUMMYFUNCTION("""COMPUTED_VALUE"""),"Cabz")</f>
        <v>Cabz</v>
      </c>
      <c r="E602" s="1" t="str">
        <f ca="1">IFERROR(__xludf.DUMMYFUNCTION("""COMPUTED_VALUE"""),"We are #Kakampink because we want good governance!! Someone who doens’t back out when the going gets tough!  #Ipanalona10to #LENIwanagSaDilim #LeniKiko2022")</f>
        <v>We are #Kakampink because we want good governance!! Someone who doens’t back out when the going gets tough!  #Ipanalona10to #LENIwanagSaDilim #LeniKiko2022</v>
      </c>
      <c r="F602" s="1">
        <f ca="1">IFERROR(__xludf.DUMMYFUNCTION("""COMPUTED_VALUE"""),20)</f>
        <v>20</v>
      </c>
      <c r="G602" s="1" t="str">
        <f ca="1">IFERROR(__xludf.DUMMYFUNCTION("""COMPUTED_VALUE"""),"3 mos")</f>
        <v>3 mos</v>
      </c>
      <c r="H602" s="1" t="str">
        <f ca="1">IFERROR(__xludf.DUMMYFUNCTION("""COMPUTED_VALUE"""),"comment")</f>
        <v>comment</v>
      </c>
      <c r="I602"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02" s="1" t="str">
        <f ca="1">IFERROR(__xludf.DUMMYFUNCTION("""COMPUTED_VALUE"""),"2022-07-04T11:14:45.501Z")</f>
        <v>2022-07-04T11:14:45.501Z</v>
      </c>
    </row>
    <row r="603" spans="1:10" x14ac:dyDescent="0.2">
      <c r="A603" s="2" t="str">
        <f ca="1">IFERROR(__xludf.DUMMYFUNCTION("""COMPUTED_VALUE"""),"https://www.facebook.com/lina.adlao.cayong")</f>
        <v>https://www.facebook.com/lina.adlao.cayong</v>
      </c>
      <c r="B603" s="1" t="str">
        <f ca="1">IFERROR(__xludf.DUMMYFUNCTION("""COMPUTED_VALUE"""),"Lina Cayong")</f>
        <v>Lina Cayong</v>
      </c>
      <c r="C603" s="1" t="str">
        <f ca="1">IFERROR(__xludf.DUMMYFUNCTION("""COMPUTED_VALUE"""),"Lina")</f>
        <v>Lina</v>
      </c>
      <c r="D603" s="1" t="str">
        <f ca="1">IFERROR(__xludf.DUMMYFUNCTION("""COMPUTED_VALUE"""),"Cayong")</f>
        <v>Cayong</v>
      </c>
      <c r="E603" s="1" t="str">
        <f ca="1">IFERROR(__xludf.DUMMYFUNCTION("""COMPUTED_VALUE"""),"#CaMaNaVaIsPink")</f>
        <v>#CaMaNaVaIsPink</v>
      </c>
      <c r="F603" s="1">
        <f ca="1">IFERROR(__xludf.DUMMYFUNCTION("""COMPUTED_VALUE"""),1)</f>
        <v>1</v>
      </c>
      <c r="G603" s="1" t="str">
        <f ca="1">IFERROR(__xludf.DUMMYFUNCTION("""COMPUTED_VALUE"""),"3 mos")</f>
        <v>3 mos</v>
      </c>
      <c r="H603" s="1" t="str">
        <f ca="1">IFERROR(__xludf.DUMMYFUNCTION("""COMPUTED_VALUE"""),"comment")</f>
        <v>comment</v>
      </c>
      <c r="I603"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03" s="1" t="str">
        <f ca="1">IFERROR(__xludf.DUMMYFUNCTION("""COMPUTED_VALUE"""),"2022-07-04T11:14:45.501Z")</f>
        <v>2022-07-04T11:14:45.501Z</v>
      </c>
    </row>
    <row r="604" spans="1:10" x14ac:dyDescent="0.2">
      <c r="A604" s="2" t="str">
        <f ca="1">IFERROR(__xludf.DUMMYFUNCTION("""COMPUTED_VALUE"""),"https://www.facebook.com/natie.pelayo")</f>
        <v>https://www.facebook.com/natie.pelayo</v>
      </c>
      <c r="B604" s="1" t="str">
        <f ca="1">IFERROR(__xludf.DUMMYFUNCTION("""COMPUTED_VALUE"""),"Natie Pelayo")</f>
        <v>Natie Pelayo</v>
      </c>
      <c r="C604" s="1" t="str">
        <f ca="1">IFERROR(__xludf.DUMMYFUNCTION("""COMPUTED_VALUE"""),"Natie")</f>
        <v>Natie</v>
      </c>
      <c r="D604" s="1" t="str">
        <f ca="1">IFERROR(__xludf.DUMMYFUNCTION("""COMPUTED_VALUE"""),"Pelayo")</f>
        <v>Pelayo</v>
      </c>
      <c r="E604" s="1" t="str">
        <f ca="1">IFERROR(__xludf.DUMMYFUNCTION("""COMPUTED_VALUE"""),"Natie Pelayo")</f>
        <v>Natie Pelayo</v>
      </c>
      <c r="F604" s="1"/>
      <c r="G604" s="1" t="str">
        <f ca="1">IFERROR(__xludf.DUMMYFUNCTION("""COMPUTED_VALUE"""),"3 mos")</f>
        <v>3 mos</v>
      </c>
      <c r="H604" s="1" t="str">
        <f ca="1">IFERROR(__xludf.DUMMYFUNCTION("""COMPUTED_VALUE"""),"comment")</f>
        <v>comment</v>
      </c>
      <c r="I604"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04" s="1" t="str">
        <f ca="1">IFERROR(__xludf.DUMMYFUNCTION("""COMPUTED_VALUE"""),"2022-07-04T11:14:45.501Z")</f>
        <v>2022-07-04T11:14:45.501Z</v>
      </c>
    </row>
    <row r="605" spans="1:10" x14ac:dyDescent="0.2">
      <c r="A605" s="2" t="str">
        <f ca="1">IFERROR(__xludf.DUMMYFUNCTION("""COMPUTED_VALUE"""),"https://www.facebook.com/mean.agustin")</f>
        <v>https://www.facebook.com/mean.agustin</v>
      </c>
      <c r="B605" s="1" t="str">
        <f ca="1">IFERROR(__xludf.DUMMYFUNCTION("""COMPUTED_VALUE"""),"Marianne Agustin")</f>
        <v>Marianne Agustin</v>
      </c>
      <c r="C605" s="1" t="str">
        <f ca="1">IFERROR(__xludf.DUMMYFUNCTION("""COMPUTED_VALUE"""),"Marianne")</f>
        <v>Marianne</v>
      </c>
      <c r="D605" s="1" t="str">
        <f ca="1">IFERROR(__xludf.DUMMYFUNCTION("""COMPUTED_VALUE"""),"Agustin")</f>
        <v>Agustin</v>
      </c>
      <c r="E605" s="1" t="str">
        <f ca="1">IFERROR(__xludf.DUMMYFUNCTION("""COMPUTED_VALUE"""),"Marianne Agustin")</f>
        <v>Marianne Agustin</v>
      </c>
      <c r="F605" s="1">
        <f ca="1">IFERROR(__xludf.DUMMYFUNCTION("""COMPUTED_VALUE"""),2)</f>
        <v>2</v>
      </c>
      <c r="G605" s="1" t="str">
        <f ca="1">IFERROR(__xludf.DUMMYFUNCTION("""COMPUTED_VALUE"""),"3 mos")</f>
        <v>3 mos</v>
      </c>
      <c r="H605" s="1" t="str">
        <f ca="1">IFERROR(__xludf.DUMMYFUNCTION("""COMPUTED_VALUE"""),"comment")</f>
        <v>comment</v>
      </c>
      <c r="I605"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05" s="1" t="str">
        <f ca="1">IFERROR(__xludf.DUMMYFUNCTION("""COMPUTED_VALUE"""),"2022-07-04T11:14:45.501Z")</f>
        <v>2022-07-04T11:14:45.501Z</v>
      </c>
    </row>
    <row r="606" spans="1:10" x14ac:dyDescent="0.2">
      <c r="A606" s="2" t="str">
        <f ca="1">IFERROR(__xludf.DUMMYFUNCTION("""COMPUTED_VALUE"""),"https://www.facebook.com/profile.php?id=100077721303949")</f>
        <v>https://www.facebook.com/profile.php?id=100077721303949</v>
      </c>
      <c r="B606" s="1" t="str">
        <f ca="1">IFERROR(__xludf.DUMMYFUNCTION("""COMPUTED_VALUE"""),"Sabrina Mamaril")</f>
        <v>Sabrina Mamaril</v>
      </c>
      <c r="C606" s="1" t="str">
        <f ca="1">IFERROR(__xludf.DUMMYFUNCTION("""COMPUTED_VALUE"""),"Sabrina")</f>
        <v>Sabrina</v>
      </c>
      <c r="D606" s="1" t="str">
        <f ca="1">IFERROR(__xludf.DUMMYFUNCTION("""COMPUTED_VALUE"""),"Mamaril")</f>
        <v>Mamaril</v>
      </c>
      <c r="E606" s="1" t="str">
        <f ca="1">IFERROR(__xludf.DUMMYFUNCTION("""COMPUTED_VALUE"""),"sana talaga manalo sila huhu pagpalain dakayo kuma ni Dios Apo")</f>
        <v>sana talaga manalo sila huhu pagpalain dakayo kuma ni Dios Apo</v>
      </c>
      <c r="F606" s="1">
        <f ca="1">IFERROR(__xludf.DUMMYFUNCTION("""COMPUTED_VALUE"""),1)</f>
        <v>1</v>
      </c>
      <c r="G606" s="1" t="str">
        <f ca="1">IFERROR(__xludf.DUMMYFUNCTION("""COMPUTED_VALUE"""),"3 mos")</f>
        <v>3 mos</v>
      </c>
      <c r="H606" s="1" t="str">
        <f ca="1">IFERROR(__xludf.DUMMYFUNCTION("""COMPUTED_VALUE"""),"comment")</f>
        <v>comment</v>
      </c>
      <c r="I606"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06" s="1" t="str">
        <f ca="1">IFERROR(__xludf.DUMMYFUNCTION("""COMPUTED_VALUE"""),"2022-07-04T11:14:45.501Z")</f>
        <v>2022-07-04T11:14:45.501Z</v>
      </c>
    </row>
    <row r="607" spans="1:10" x14ac:dyDescent="0.2">
      <c r="A607" s="2" t="str">
        <f ca="1">IFERROR(__xludf.DUMMYFUNCTION("""COMPUTED_VALUE"""),"https://www.facebook.com/nimfa.p.delrosario")</f>
        <v>https://www.facebook.com/nimfa.p.delrosario</v>
      </c>
      <c r="B607" s="1" t="str">
        <f ca="1">IFERROR(__xludf.DUMMYFUNCTION("""COMPUTED_VALUE"""),"Nimfa Pontines Del Rosario")</f>
        <v>Nimfa Pontines Del Rosario</v>
      </c>
      <c r="C607" s="1" t="str">
        <f ca="1">IFERROR(__xludf.DUMMYFUNCTION("""COMPUTED_VALUE"""),"Nimfa")</f>
        <v>Nimfa</v>
      </c>
      <c r="D607" s="1" t="str">
        <f ca="1">IFERROR(__xludf.DUMMYFUNCTION("""COMPUTED_VALUE"""),"Pontines Del Rosario")</f>
        <v>Pontines Del Rosario</v>
      </c>
      <c r="E607" s="1" t="str">
        <f ca="1">IFERROR(__xludf.DUMMYFUNCTION("""COMPUTED_VALUE"""),"MARAMING SALAMAT PO CAMANAVA💗💗💗")</f>
        <v>MARAMING SALAMAT PO CAMANAVA💗💗💗</v>
      </c>
      <c r="F607" s="1">
        <f ca="1">IFERROR(__xludf.DUMMYFUNCTION("""COMPUTED_VALUE"""),1)</f>
        <v>1</v>
      </c>
      <c r="G607" s="1" t="str">
        <f ca="1">IFERROR(__xludf.DUMMYFUNCTION("""COMPUTED_VALUE"""),"3 mos")</f>
        <v>3 mos</v>
      </c>
      <c r="H607" s="1" t="str">
        <f ca="1">IFERROR(__xludf.DUMMYFUNCTION("""COMPUTED_VALUE"""),"comment")</f>
        <v>comment</v>
      </c>
      <c r="I607"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07" s="1" t="str">
        <f ca="1">IFERROR(__xludf.DUMMYFUNCTION("""COMPUTED_VALUE"""),"2022-07-04T11:14:45.501Z")</f>
        <v>2022-07-04T11:14:45.501Z</v>
      </c>
    </row>
    <row r="608" spans="1:10" x14ac:dyDescent="0.2">
      <c r="A608" s="2" t="str">
        <f ca="1">IFERROR(__xludf.DUMMYFUNCTION("""COMPUTED_VALUE"""),"https://www.facebook.com/rizacastro")</f>
        <v>https://www.facebook.com/rizacastro</v>
      </c>
      <c r="B608" s="1" t="str">
        <f ca="1">IFERROR(__xludf.DUMMYFUNCTION("""COMPUTED_VALUE"""),"Missy Z Pi")</f>
        <v>Missy Z Pi</v>
      </c>
      <c r="C608" s="1" t="str">
        <f ca="1">IFERROR(__xludf.DUMMYFUNCTION("""COMPUTED_VALUE"""),"Missy")</f>
        <v>Missy</v>
      </c>
      <c r="D608" s="1" t="str">
        <f ca="1">IFERROR(__xludf.DUMMYFUNCTION("""COMPUTED_VALUE"""),"Z Pi")</f>
        <v>Z Pi</v>
      </c>
      <c r="E608" s="1" t="str">
        <f ca="1">IFERROR(__xludf.DUMMYFUNCTION("""COMPUTED_VALUE"""),"Salamat #CaMaNaVaIsPink ❤️")</f>
        <v>Salamat #CaMaNaVaIsPink ❤️</v>
      </c>
      <c r="F608" s="1">
        <f ca="1">IFERROR(__xludf.DUMMYFUNCTION("""COMPUTED_VALUE"""),6)</f>
        <v>6</v>
      </c>
      <c r="G608" s="1" t="str">
        <f ca="1">IFERROR(__xludf.DUMMYFUNCTION("""COMPUTED_VALUE"""),"3 mos")</f>
        <v>3 mos</v>
      </c>
      <c r="H608" s="1" t="str">
        <f ca="1">IFERROR(__xludf.DUMMYFUNCTION("""COMPUTED_VALUE"""),"comment")</f>
        <v>comment</v>
      </c>
      <c r="I608"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08" s="1" t="str">
        <f ca="1">IFERROR(__xludf.DUMMYFUNCTION("""COMPUTED_VALUE"""),"2022-07-04T11:14:45.501Z")</f>
        <v>2022-07-04T11:14:45.501Z</v>
      </c>
    </row>
    <row r="609" spans="1:10" x14ac:dyDescent="0.2">
      <c r="A609" s="2" t="str">
        <f ca="1">IFERROR(__xludf.DUMMYFUNCTION("""COMPUTED_VALUE"""),"https://www.facebook.com/richard.abary")</f>
        <v>https://www.facebook.com/richard.abary</v>
      </c>
      <c r="B609" s="1" t="str">
        <f ca="1">IFERROR(__xludf.DUMMYFUNCTION("""COMPUTED_VALUE"""),"Richard Abary")</f>
        <v>Richard Abary</v>
      </c>
      <c r="C609" s="1" t="str">
        <f ca="1">IFERROR(__xludf.DUMMYFUNCTION("""COMPUTED_VALUE"""),"Richard")</f>
        <v>Richard</v>
      </c>
      <c r="D609" s="1" t="str">
        <f ca="1">IFERROR(__xludf.DUMMYFUNCTION("""COMPUTED_VALUE"""),"Abary")</f>
        <v>Abary</v>
      </c>
      <c r="E609" s="1" t="str">
        <f ca="1">IFERROR(__xludf.DUMMYFUNCTION("""COMPUTED_VALUE"""),"Iba talaga  ang mga kakampink alam nila ang tamang gawain at iba ang pakiramdam pag pinaglalaban mo ang kapakanan ng bayan . .naka2 inspire at feeling masaya ka (Y)")</f>
        <v>Iba talaga  ang mga kakampink alam nila ang tamang gawain at iba ang pakiramdam pag pinaglalaban mo ang kapakanan ng bayan . .naka2 inspire at feeling masaya ka (Y)</v>
      </c>
      <c r="F609" s="1">
        <f ca="1">IFERROR(__xludf.DUMMYFUNCTION("""COMPUTED_VALUE"""),5)</f>
        <v>5</v>
      </c>
      <c r="G609" s="1" t="str">
        <f ca="1">IFERROR(__xludf.DUMMYFUNCTION("""COMPUTED_VALUE"""),"3 mos")</f>
        <v>3 mos</v>
      </c>
      <c r="H609" s="1" t="str">
        <f ca="1">IFERROR(__xludf.DUMMYFUNCTION("""COMPUTED_VALUE"""),"comment")</f>
        <v>comment</v>
      </c>
      <c r="I609"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09" s="1" t="str">
        <f ca="1">IFERROR(__xludf.DUMMYFUNCTION("""COMPUTED_VALUE"""),"2022-07-04T11:14:45.501Z")</f>
        <v>2022-07-04T11:14:45.501Z</v>
      </c>
    </row>
    <row r="610" spans="1:10" x14ac:dyDescent="0.2">
      <c r="A610" s="2" t="str">
        <f ca="1">IFERROR(__xludf.DUMMYFUNCTION("""COMPUTED_VALUE"""),"https://www.facebook.com/alicia.arcales")</f>
        <v>https://www.facebook.com/alicia.arcales</v>
      </c>
      <c r="B610" s="1" t="str">
        <f ca="1">IFERROR(__xludf.DUMMYFUNCTION("""COMPUTED_VALUE"""),"Alicia C. Arcales")</f>
        <v>Alicia C. Arcales</v>
      </c>
      <c r="C610" s="1" t="str">
        <f ca="1">IFERROR(__xludf.DUMMYFUNCTION("""COMPUTED_VALUE"""),"Alicia")</f>
        <v>Alicia</v>
      </c>
      <c r="D610" s="1" t="str">
        <f ca="1">IFERROR(__xludf.DUMMYFUNCTION("""COMPUTED_VALUE"""),"C. Arcales")</f>
        <v>C. Arcales</v>
      </c>
      <c r="E610" s="1" t="str">
        <f ca="1">IFERROR(__xludf.DUMMYFUNCTION("""COMPUTED_VALUE"""),"Richard Abary and they (supporters) symphatised for the climate change.👏👏👏")</f>
        <v>Richard Abary and they (supporters) symphatised for the climate change.👏👏👏</v>
      </c>
      <c r="F610" s="1">
        <f ca="1">IFERROR(__xludf.DUMMYFUNCTION("""COMPUTED_VALUE"""),2)</f>
        <v>2</v>
      </c>
      <c r="G610" s="1" t="str">
        <f ca="1">IFERROR(__xludf.DUMMYFUNCTION("""COMPUTED_VALUE"""),"3 mos")</f>
        <v>3 mos</v>
      </c>
      <c r="H610" s="1" t="str">
        <f ca="1">IFERROR(__xludf.DUMMYFUNCTION("""COMPUTED_VALUE"""),"reply")</f>
        <v>reply</v>
      </c>
      <c r="I610"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10" s="1" t="str">
        <f ca="1">IFERROR(__xludf.DUMMYFUNCTION("""COMPUTED_VALUE"""),"2022-07-04T11:14:45.501Z")</f>
        <v>2022-07-04T11:14:45.501Z</v>
      </c>
    </row>
    <row r="611" spans="1:10" x14ac:dyDescent="0.2">
      <c r="A611" s="2" t="str">
        <f ca="1">IFERROR(__xludf.DUMMYFUNCTION("""COMPUTED_VALUE"""),"https://www.facebook.com/imee.francia")</f>
        <v>https://www.facebook.com/imee.francia</v>
      </c>
      <c r="B611" s="1" t="str">
        <f ca="1">IFERROR(__xludf.DUMMYFUNCTION("""COMPUTED_VALUE"""),"Imee Lawrence")</f>
        <v>Imee Lawrence</v>
      </c>
      <c r="C611" s="1" t="str">
        <f ca="1">IFERROR(__xludf.DUMMYFUNCTION("""COMPUTED_VALUE"""),"Imee")</f>
        <v>Imee</v>
      </c>
      <c r="D611" s="1" t="str">
        <f ca="1">IFERROR(__xludf.DUMMYFUNCTION("""COMPUTED_VALUE"""),"Lawrence")</f>
        <v>Lawrence</v>
      </c>
      <c r="E611" s="1" t="str">
        <f ca="1">IFERROR(__xludf.DUMMYFUNCTION("""COMPUTED_VALUE"""),"Richard Abary  Indeed... i felt exactly the same when i attended the PasigLaban.")</f>
        <v>Richard Abary  Indeed... i felt exactly the same when i attended the PasigLaban.</v>
      </c>
      <c r="F611" s="1">
        <f ca="1">IFERROR(__xludf.DUMMYFUNCTION("""COMPUTED_VALUE"""),2)</f>
        <v>2</v>
      </c>
      <c r="G611" s="1" t="str">
        <f ca="1">IFERROR(__xludf.DUMMYFUNCTION("""COMPUTED_VALUE"""),"3 mos")</f>
        <v>3 mos</v>
      </c>
      <c r="H611" s="1" t="str">
        <f ca="1">IFERROR(__xludf.DUMMYFUNCTION("""COMPUTED_VALUE"""),"reply")</f>
        <v>reply</v>
      </c>
      <c r="I611"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11" s="1" t="str">
        <f ca="1">IFERROR(__xludf.DUMMYFUNCTION("""COMPUTED_VALUE"""),"2022-07-04T11:14:45.501Z")</f>
        <v>2022-07-04T11:14:45.501Z</v>
      </c>
    </row>
    <row r="612" spans="1:10" x14ac:dyDescent="0.2">
      <c r="A612" s="2" t="str">
        <f ca="1">IFERROR(__xludf.DUMMYFUNCTION("""COMPUTED_VALUE"""),"https://www.facebook.com/profile.php?id=100077271243894")</f>
        <v>https://www.facebook.com/profile.php?id=100077271243894</v>
      </c>
      <c r="B612" s="1" t="str">
        <f ca="1">IFERROR(__xludf.DUMMYFUNCTION("""COMPUTED_VALUE"""),"Enrique Piatos")</f>
        <v>Enrique Piatos</v>
      </c>
      <c r="C612" s="1" t="str">
        <f ca="1">IFERROR(__xludf.DUMMYFUNCTION("""COMPUTED_VALUE"""),"Enrique")</f>
        <v>Enrique</v>
      </c>
      <c r="D612" s="1" t="str">
        <f ca="1">IFERROR(__xludf.DUMMYFUNCTION("""COMPUTED_VALUE"""),"Piatos")</f>
        <v>Piatos</v>
      </c>
      <c r="E612" s="1" t="str">
        <f ca="1">IFERROR(__xludf.DUMMYFUNCTION("""COMPUTED_VALUE"""),"LODI KO KAYO AMIN YESS NAMAN!!")</f>
        <v>LODI KO KAYO AMIN YESS NAMAN!!</v>
      </c>
      <c r="F612" s="1"/>
      <c r="G612" s="1" t="str">
        <f ca="1">IFERROR(__xludf.DUMMYFUNCTION("""COMPUTED_VALUE"""),"3 mos")</f>
        <v>3 mos</v>
      </c>
      <c r="H612" s="1" t="str">
        <f ca="1">IFERROR(__xludf.DUMMYFUNCTION("""COMPUTED_VALUE"""),"comment")</f>
        <v>comment</v>
      </c>
      <c r="I612"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12" s="1" t="str">
        <f ca="1">IFERROR(__xludf.DUMMYFUNCTION("""COMPUTED_VALUE"""),"2022-07-04T11:14:45.501Z")</f>
        <v>2022-07-04T11:14:45.501Z</v>
      </c>
    </row>
    <row r="613" spans="1:10" x14ac:dyDescent="0.2">
      <c r="A613" s="2" t="str">
        <f ca="1">IFERROR(__xludf.DUMMYFUNCTION("""COMPUTED_VALUE"""),"https://www.facebook.com/junafel.garin")</f>
        <v>https://www.facebook.com/junafel.garin</v>
      </c>
      <c r="B613" s="1" t="str">
        <f ca="1">IFERROR(__xludf.DUMMYFUNCTION("""COMPUTED_VALUE"""),"Junafel Garin")</f>
        <v>Junafel Garin</v>
      </c>
      <c r="C613" s="1" t="str">
        <f ca="1">IFERROR(__xludf.DUMMYFUNCTION("""COMPUTED_VALUE"""),"Junafel")</f>
        <v>Junafel</v>
      </c>
      <c r="D613" s="1" t="str">
        <f ca="1">IFERROR(__xludf.DUMMYFUNCTION("""COMPUTED_VALUE"""),"Garin")</f>
        <v>Garin</v>
      </c>
      <c r="E613" s="1" t="str">
        <f ca="1">IFERROR(__xludf.DUMMYFUNCTION("""COMPUTED_VALUE"""),"Protect the earth.. Protect the Philippines . #LeniKiko2022")</f>
        <v>Protect the earth.. Protect the Philippines . #LeniKiko2022</v>
      </c>
      <c r="F613" s="1">
        <f ca="1">IFERROR(__xludf.DUMMYFUNCTION("""COMPUTED_VALUE"""),4)</f>
        <v>4</v>
      </c>
      <c r="G613" s="1" t="str">
        <f ca="1">IFERROR(__xludf.DUMMYFUNCTION("""COMPUTED_VALUE"""),"3 mos")</f>
        <v>3 mos</v>
      </c>
      <c r="H613" s="1" t="str">
        <f ca="1">IFERROR(__xludf.DUMMYFUNCTION("""COMPUTED_VALUE"""),"comment")</f>
        <v>comment</v>
      </c>
      <c r="I613"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13" s="1" t="str">
        <f ca="1">IFERROR(__xludf.DUMMYFUNCTION("""COMPUTED_VALUE"""),"2022-07-04T11:14:45.501Z")</f>
        <v>2022-07-04T11:14:45.501Z</v>
      </c>
    </row>
    <row r="614" spans="1:10" x14ac:dyDescent="0.2">
      <c r="A614" s="2" t="str">
        <f ca="1">IFERROR(__xludf.DUMMYFUNCTION("""COMPUTED_VALUE"""),"https://www.facebook.com/pamela.plamenco")</f>
        <v>https://www.facebook.com/pamela.plamenco</v>
      </c>
      <c r="B614" s="1" t="str">
        <f ca="1">IFERROR(__xludf.DUMMYFUNCTION("""COMPUTED_VALUE"""),"Pamela G. Plamenco")</f>
        <v>Pamela G. Plamenco</v>
      </c>
      <c r="C614" s="1" t="str">
        <f ca="1">IFERROR(__xludf.DUMMYFUNCTION("""COMPUTED_VALUE"""),"Pamela")</f>
        <v>Pamela</v>
      </c>
      <c r="D614" s="1" t="str">
        <f ca="1">IFERROR(__xludf.DUMMYFUNCTION("""COMPUTED_VALUE"""),"G. Plamenco")</f>
        <v>G. Plamenco</v>
      </c>
      <c r="E614" s="1" t="str">
        <f ca="1">IFERROR(__xludf.DUMMYFUNCTION("""COMPUTED_VALUE"""),"Turning on their cellphone lights when the stage dims is the zenith of love for each other,  and discipline at its peak . Pat on the back of all the kakampinks .")</f>
        <v>Turning on their cellphone lights when the stage dims is the zenith of love for each other,  and discipline at its peak . Pat on the back of all the kakampinks .</v>
      </c>
      <c r="F614" s="1"/>
      <c r="G614" s="1" t="str">
        <f ca="1">IFERROR(__xludf.DUMMYFUNCTION("""COMPUTED_VALUE"""),"3 mos")</f>
        <v>3 mos</v>
      </c>
      <c r="H614" s="1" t="str">
        <f ca="1">IFERROR(__xludf.DUMMYFUNCTION("""COMPUTED_VALUE"""),"comment")</f>
        <v>comment</v>
      </c>
      <c r="I614"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14" s="1" t="str">
        <f ca="1">IFERROR(__xludf.DUMMYFUNCTION("""COMPUTED_VALUE"""),"2022-07-04T11:14:45.501Z")</f>
        <v>2022-07-04T11:14:45.501Z</v>
      </c>
    </row>
    <row r="615" spans="1:10" x14ac:dyDescent="0.2">
      <c r="A615" s="2" t="str">
        <f ca="1">IFERROR(__xludf.DUMMYFUNCTION("""COMPUTED_VALUE"""),"https://www.facebook.com/julio.quian")</f>
        <v>https://www.facebook.com/julio.quian</v>
      </c>
      <c r="B615" s="1" t="str">
        <f ca="1">IFERROR(__xludf.DUMMYFUNCTION("""COMPUTED_VALUE"""),"Julio Quian")</f>
        <v>Julio Quian</v>
      </c>
      <c r="C615" s="1" t="str">
        <f ca="1">IFERROR(__xludf.DUMMYFUNCTION("""COMPUTED_VALUE"""),"Julio")</f>
        <v>Julio</v>
      </c>
      <c r="D615" s="1" t="str">
        <f ca="1">IFERROR(__xludf.DUMMYFUNCTION("""COMPUTED_VALUE"""),"Quian")</f>
        <v>Quian</v>
      </c>
      <c r="E615" s="1" t="str">
        <f ca="1">IFERROR(__xludf.DUMMYFUNCTION("""COMPUTED_VALUE"""),"Solid Sarah@Marco's nlang ako he is very good leader...!!!")</f>
        <v>Solid Sarah@Marco's nlang ako he is very good leader...!!!</v>
      </c>
      <c r="F615" s="1"/>
      <c r="G615" s="1" t="str">
        <f ca="1">IFERROR(__xludf.DUMMYFUNCTION("""COMPUTED_VALUE"""),"3 mos")</f>
        <v>3 mos</v>
      </c>
      <c r="H615" s="1" t="str">
        <f ca="1">IFERROR(__xludf.DUMMYFUNCTION("""COMPUTED_VALUE"""),"comment")</f>
        <v>comment</v>
      </c>
      <c r="I615"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15" s="1" t="str">
        <f ca="1">IFERROR(__xludf.DUMMYFUNCTION("""COMPUTED_VALUE"""),"2022-07-04T11:14:45.501Z")</f>
        <v>2022-07-04T11:14:45.501Z</v>
      </c>
    </row>
    <row r="616" spans="1:10" x14ac:dyDescent="0.2">
      <c r="A616" s="2" t="str">
        <f ca="1">IFERROR(__xludf.DUMMYFUNCTION("""COMPUTED_VALUE"""),"https://www.facebook.com/cecilia.rebong")</f>
        <v>https://www.facebook.com/cecilia.rebong</v>
      </c>
      <c r="B616" s="1" t="str">
        <f ca="1">IFERROR(__xludf.DUMMYFUNCTION("""COMPUTED_VALUE"""),"Cecilia Rebong")</f>
        <v>Cecilia Rebong</v>
      </c>
      <c r="C616" s="1" t="str">
        <f ca="1">IFERROR(__xludf.DUMMYFUNCTION("""COMPUTED_VALUE"""),"Cecilia")</f>
        <v>Cecilia</v>
      </c>
      <c r="D616" s="1" t="str">
        <f ca="1">IFERROR(__xludf.DUMMYFUNCTION("""COMPUTED_VALUE"""),"Rebong")</f>
        <v>Rebong</v>
      </c>
      <c r="E616" s="1" t="str">
        <f ca="1">IFERROR(__xludf.DUMMYFUNCTION("""COMPUTED_VALUE"""),"Yes to good governance! No to corruption! LeniKiko po tayo!")</f>
        <v>Yes to good governance! No to corruption! LeniKiko po tayo!</v>
      </c>
      <c r="F616" s="1"/>
      <c r="G616" s="1" t="str">
        <f ca="1">IFERROR(__xludf.DUMMYFUNCTION("""COMPUTED_VALUE"""),"3 mos")</f>
        <v>3 mos</v>
      </c>
      <c r="H616" s="1" t="str">
        <f ca="1">IFERROR(__xludf.DUMMYFUNCTION("""COMPUTED_VALUE"""),"comment")</f>
        <v>comment</v>
      </c>
      <c r="I616"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16" s="1" t="str">
        <f ca="1">IFERROR(__xludf.DUMMYFUNCTION("""COMPUTED_VALUE"""),"2022-07-04T11:14:45.501Z")</f>
        <v>2022-07-04T11:14:45.501Z</v>
      </c>
    </row>
    <row r="617" spans="1:10" x14ac:dyDescent="0.2">
      <c r="A617" s="2" t="str">
        <f ca="1">IFERROR(__xludf.DUMMYFUNCTION("""COMPUTED_VALUE"""),"https://www.facebook.com/marilen.estaniel")</f>
        <v>https://www.facebook.com/marilen.estaniel</v>
      </c>
      <c r="B617" s="1" t="str">
        <f ca="1">IFERROR(__xludf.DUMMYFUNCTION("""COMPUTED_VALUE"""),"Marilen Reyes- Estaniel")</f>
        <v>Marilen Reyes- Estaniel</v>
      </c>
      <c r="C617" s="1" t="str">
        <f ca="1">IFERROR(__xludf.DUMMYFUNCTION("""COMPUTED_VALUE"""),"Marilen")</f>
        <v>Marilen</v>
      </c>
      <c r="D617" s="1" t="str">
        <f ca="1">IFERROR(__xludf.DUMMYFUNCTION("""COMPUTED_VALUE"""),"Reyes- Estaniel")</f>
        <v>Reyes- Estaniel</v>
      </c>
      <c r="E617" s="1" t="str">
        <f ca="1">IFERROR(__xludf.DUMMYFUNCTION("""COMPUTED_VALUE"""),"#LeniKiko2022  #lenikiko2022gobernongtapat  #LeniKikoTeam2022  #LeniKikoForTheWin")</f>
        <v>#LeniKiko2022  #lenikiko2022gobernongtapat  #LeniKikoTeam2022  #LeniKikoForTheWin</v>
      </c>
      <c r="F617" s="1"/>
      <c r="G617" s="1" t="str">
        <f ca="1">IFERROR(__xludf.DUMMYFUNCTION("""COMPUTED_VALUE"""),"3 mos")</f>
        <v>3 mos</v>
      </c>
      <c r="H617" s="1" t="str">
        <f ca="1">IFERROR(__xludf.DUMMYFUNCTION("""COMPUTED_VALUE"""),"comment")</f>
        <v>comment</v>
      </c>
      <c r="I617"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17" s="1" t="str">
        <f ca="1">IFERROR(__xludf.DUMMYFUNCTION("""COMPUTED_VALUE"""),"2022-07-04T11:14:45.501Z")</f>
        <v>2022-07-04T11:14:45.501Z</v>
      </c>
    </row>
    <row r="618" spans="1:10" x14ac:dyDescent="0.2">
      <c r="A618" s="2" t="str">
        <f ca="1">IFERROR(__xludf.DUMMYFUNCTION("""COMPUTED_VALUE"""),"https://www.facebook.com/lanie.luna.52")</f>
        <v>https://www.facebook.com/lanie.luna.52</v>
      </c>
      <c r="B618" s="1" t="str">
        <f ca="1">IFERROR(__xludf.DUMMYFUNCTION("""COMPUTED_VALUE"""),"Lanie Luna")</f>
        <v>Lanie Luna</v>
      </c>
      <c r="C618" s="1" t="str">
        <f ca="1">IFERROR(__xludf.DUMMYFUNCTION("""COMPUTED_VALUE"""),"Lanie")</f>
        <v>Lanie</v>
      </c>
      <c r="D618" s="1" t="str">
        <f ca="1">IFERROR(__xludf.DUMMYFUNCTION("""COMPUTED_VALUE"""),"Luna")</f>
        <v>Luna</v>
      </c>
      <c r="E618" s="1" t="str">
        <f ca="1">IFERROR(__xludf.DUMMYFUNCTION("""COMPUTED_VALUE"""),"Iba talaga ang feeling pag taos puso ang pag suporta sa isang kandidato na pinaniniwalaan mo na hinde gagawa ng ano mang pagmamanipula sa kaban ng bayan! Oras na para sa isang maayos na pamahalaan! LetLeniLead! 💖🌸💕")</f>
        <v>Iba talaga ang feeling pag taos puso ang pag suporta sa isang kandidato na pinaniniwalaan mo na hinde gagawa ng ano mang pagmamanipula sa kaban ng bayan! Oras na para sa isang maayos na pamahalaan! LetLeniLead! 💖🌸💕</v>
      </c>
      <c r="F618" s="1"/>
      <c r="G618" s="1" t="str">
        <f ca="1">IFERROR(__xludf.DUMMYFUNCTION("""COMPUTED_VALUE"""),"3 mos")</f>
        <v>3 mos</v>
      </c>
      <c r="H618" s="1" t="str">
        <f ca="1">IFERROR(__xludf.DUMMYFUNCTION("""COMPUTED_VALUE"""),"comment")</f>
        <v>comment</v>
      </c>
      <c r="I618"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18" s="1" t="str">
        <f ca="1">IFERROR(__xludf.DUMMYFUNCTION("""COMPUTED_VALUE"""),"2022-07-04T11:14:45.501Z")</f>
        <v>2022-07-04T11:14:45.501Z</v>
      </c>
    </row>
    <row r="619" spans="1:10" x14ac:dyDescent="0.2">
      <c r="A619" s="2" t="str">
        <f ca="1">IFERROR(__xludf.DUMMYFUNCTION("""COMPUTED_VALUE"""),"https://www.facebook.com/patrick.bagaan.9")</f>
        <v>https://www.facebook.com/patrick.bagaan.9</v>
      </c>
      <c r="B619" s="1" t="str">
        <f ca="1">IFERROR(__xludf.DUMMYFUNCTION("""COMPUTED_VALUE"""),"Patrick Bagaan")</f>
        <v>Patrick Bagaan</v>
      </c>
      <c r="C619" s="1" t="str">
        <f ca="1">IFERROR(__xludf.DUMMYFUNCTION("""COMPUTED_VALUE"""),"Patrick")</f>
        <v>Patrick</v>
      </c>
      <c r="D619" s="1" t="str">
        <f ca="1">IFERROR(__xludf.DUMMYFUNCTION("""COMPUTED_VALUE"""),"Bagaan")</f>
        <v>Bagaan</v>
      </c>
      <c r="E619" s="1" t="str">
        <f ca="1">IFERROR(__xludf.DUMMYFUNCTION("""COMPUTED_VALUE"""),"ambisyoso tlaga kaung mga pink noh😂")</f>
        <v>ambisyoso tlaga kaung mga pink noh😂</v>
      </c>
      <c r="F619" s="1"/>
      <c r="G619" s="1" t="str">
        <f ca="1">IFERROR(__xludf.DUMMYFUNCTION("""COMPUTED_VALUE"""),"3 mos")</f>
        <v>3 mos</v>
      </c>
      <c r="H619" s="1" t="str">
        <f ca="1">IFERROR(__xludf.DUMMYFUNCTION("""COMPUTED_VALUE"""),"comment")</f>
        <v>comment</v>
      </c>
      <c r="I619"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19" s="1" t="str">
        <f ca="1">IFERROR(__xludf.DUMMYFUNCTION("""COMPUTED_VALUE"""),"2022-07-04T11:14:45.501Z")</f>
        <v>2022-07-04T11:14:45.501Z</v>
      </c>
    </row>
    <row r="620" spans="1:10" x14ac:dyDescent="0.2">
      <c r="A620" s="2" t="str">
        <f ca="1">IFERROR(__xludf.DUMMYFUNCTION("""COMPUTED_VALUE"""),"https://www.facebook.com/raks.vppablo")</f>
        <v>https://www.facebook.com/raks.vppablo</v>
      </c>
      <c r="B620" s="1" t="str">
        <f ca="1">IFERROR(__xludf.DUMMYFUNCTION("""COMPUTED_VALUE"""),"Raks VPpablo")</f>
        <v>Raks VPpablo</v>
      </c>
      <c r="C620" s="1" t="str">
        <f ca="1">IFERROR(__xludf.DUMMYFUNCTION("""COMPUTED_VALUE"""),"Raks")</f>
        <v>Raks</v>
      </c>
      <c r="D620" s="1" t="str">
        <f ca="1">IFERROR(__xludf.DUMMYFUNCTION("""COMPUTED_VALUE"""),"VPpablo")</f>
        <v>VPpablo</v>
      </c>
      <c r="E620" s="1" t="str">
        <f ca="1">IFERROR(__xludf.DUMMYFUNCTION("""COMPUTED_VALUE"""),"Raks VPpablo")</f>
        <v>Raks VPpablo</v>
      </c>
      <c r="F620" s="1"/>
      <c r="G620" s="1" t="str">
        <f ca="1">IFERROR(__xludf.DUMMYFUNCTION("""COMPUTED_VALUE"""),"3 mos")</f>
        <v>3 mos</v>
      </c>
      <c r="H620" s="1" t="str">
        <f ca="1">IFERROR(__xludf.DUMMYFUNCTION("""COMPUTED_VALUE"""),"comment")</f>
        <v>comment</v>
      </c>
      <c r="I620"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20" s="1" t="str">
        <f ca="1">IFERROR(__xludf.DUMMYFUNCTION("""COMPUTED_VALUE"""),"2022-07-04T11:14:45.501Z")</f>
        <v>2022-07-04T11:14:45.501Z</v>
      </c>
    </row>
    <row r="621" spans="1:10" x14ac:dyDescent="0.2">
      <c r="A621" s="2" t="str">
        <f ca="1">IFERROR(__xludf.DUMMYFUNCTION("""COMPUTED_VALUE"""),"https://www.facebook.com/jasper.castrence.1")</f>
        <v>https://www.facebook.com/jasper.castrence.1</v>
      </c>
      <c r="B621" s="1" t="str">
        <f ca="1">IFERROR(__xludf.DUMMYFUNCTION("""COMPUTED_VALUE"""),"Jaspher Castrence")</f>
        <v>Jaspher Castrence</v>
      </c>
      <c r="C621" s="1" t="str">
        <f ca="1">IFERROR(__xludf.DUMMYFUNCTION("""COMPUTED_VALUE"""),"Jaspher")</f>
        <v>Jaspher</v>
      </c>
      <c r="D621" s="1" t="str">
        <f ca="1">IFERROR(__xludf.DUMMYFUNCTION("""COMPUTED_VALUE"""),"Castrence")</f>
        <v>Castrence</v>
      </c>
      <c r="E621" s="1" t="str">
        <f ca="1">IFERROR(__xludf.DUMMYFUNCTION("""COMPUTED_VALUE"""),"Ano na hangang Grand rally nalang ba hahahhaa kase maraming mahahakot Well Mag Caravan na naman kayo😂")</f>
        <v>Ano na hangang Grand rally nalang ba hahahhaa kase maraming mahahakot Well Mag Caravan na naman kayo😂</v>
      </c>
      <c r="F621" s="1">
        <f ca="1">IFERROR(__xludf.DUMMYFUNCTION("""COMPUTED_VALUE"""),1)</f>
        <v>1</v>
      </c>
      <c r="G621" s="1" t="str">
        <f ca="1">IFERROR(__xludf.DUMMYFUNCTION("""COMPUTED_VALUE"""),"3 mos")</f>
        <v>3 mos</v>
      </c>
      <c r="H621" s="1" t="str">
        <f ca="1">IFERROR(__xludf.DUMMYFUNCTION("""COMPUTED_VALUE"""),"comment")</f>
        <v>comment</v>
      </c>
      <c r="I621"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21" s="1" t="str">
        <f ca="1">IFERROR(__xludf.DUMMYFUNCTION("""COMPUTED_VALUE"""),"2022-07-04T11:14:45.501Z")</f>
        <v>2022-07-04T11:14:45.501Z</v>
      </c>
    </row>
    <row r="622" spans="1:10" x14ac:dyDescent="0.2">
      <c r="A622" s="2" t="str">
        <f ca="1">IFERROR(__xludf.DUMMYFUNCTION("""COMPUTED_VALUE"""),"https://www.facebook.com/profile.php?id=100075281044190")</f>
        <v>https://www.facebook.com/profile.php?id=100075281044190</v>
      </c>
      <c r="B622" s="1" t="str">
        <f ca="1">IFERROR(__xludf.DUMMYFUNCTION("""COMPUTED_VALUE"""),"Letty Flores")</f>
        <v>Letty Flores</v>
      </c>
      <c r="C622" s="1" t="str">
        <f ca="1">IFERROR(__xludf.DUMMYFUNCTION("""COMPUTED_VALUE"""),"Letty")</f>
        <v>Letty</v>
      </c>
      <c r="D622" s="1" t="str">
        <f ca="1">IFERROR(__xludf.DUMMYFUNCTION("""COMPUTED_VALUE"""),"Flores")</f>
        <v>Flores</v>
      </c>
      <c r="E622" s="1" t="str">
        <f ca="1">IFERROR(__xludf.DUMMYFUNCTION("""COMPUTED_VALUE"""),"Jåspher Castrencė inggit much hehehe!🤣🤣🤣cool ka lng!🤣")</f>
        <v>Jåspher Castrencė inggit much hehehe!🤣🤣🤣cool ka lng!🤣</v>
      </c>
      <c r="F622" s="1"/>
      <c r="G622" s="1" t="str">
        <f ca="1">IFERROR(__xludf.DUMMYFUNCTION("""COMPUTED_VALUE"""),"3 mos")</f>
        <v>3 mos</v>
      </c>
      <c r="H622" s="1" t="str">
        <f ca="1">IFERROR(__xludf.DUMMYFUNCTION("""COMPUTED_VALUE"""),"reply")</f>
        <v>reply</v>
      </c>
      <c r="I622"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22" s="1" t="str">
        <f ca="1">IFERROR(__xludf.DUMMYFUNCTION("""COMPUTED_VALUE"""),"2022-07-04T11:14:45.501Z")</f>
        <v>2022-07-04T11:14:45.501Z</v>
      </c>
    </row>
    <row r="623" spans="1:10" x14ac:dyDescent="0.2">
      <c r="A623" s="2" t="str">
        <f ca="1">IFERROR(__xludf.DUMMYFUNCTION("""COMPUTED_VALUE"""),"https://www.facebook.com/jasper.castrence.1")</f>
        <v>https://www.facebook.com/jasper.castrence.1</v>
      </c>
      <c r="B623" s="1" t="str">
        <f ca="1">IFERROR(__xludf.DUMMYFUNCTION("""COMPUTED_VALUE"""),"Jaspher Castrence")</f>
        <v>Jaspher Castrence</v>
      </c>
      <c r="C623" s="1" t="str">
        <f ca="1">IFERROR(__xludf.DUMMYFUNCTION("""COMPUTED_VALUE"""),"Jaspher")</f>
        <v>Jaspher</v>
      </c>
      <c r="D623" s="1" t="str">
        <f ca="1">IFERROR(__xludf.DUMMYFUNCTION("""COMPUTED_VALUE"""),"Castrence")</f>
        <v>Castrence</v>
      </c>
      <c r="E623" s="1" t="str">
        <f ca="1">IFERROR(__xludf.DUMMYFUNCTION("""COMPUTED_VALUE"""),"Letty Flores Burger🍔")</f>
        <v>Letty Flores Burger🍔</v>
      </c>
      <c r="F623" s="1"/>
      <c r="G623" s="1" t="str">
        <f ca="1">IFERROR(__xludf.DUMMYFUNCTION("""COMPUTED_VALUE"""),"3 mos")</f>
        <v>3 mos</v>
      </c>
      <c r="H623" s="1" t="str">
        <f ca="1">IFERROR(__xludf.DUMMYFUNCTION("""COMPUTED_VALUE"""),"reply")</f>
        <v>reply</v>
      </c>
      <c r="I623"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23" s="1" t="str">
        <f ca="1">IFERROR(__xludf.DUMMYFUNCTION("""COMPUTED_VALUE"""),"2022-07-04T11:14:45.502Z")</f>
        <v>2022-07-04T11:14:45.502Z</v>
      </c>
    </row>
    <row r="624" spans="1:10" x14ac:dyDescent="0.2">
      <c r="A624" s="2" t="str">
        <f ca="1">IFERROR(__xludf.DUMMYFUNCTION("""COMPUTED_VALUE"""),"https://www.facebook.com/rey.santos.1426876")</f>
        <v>https://www.facebook.com/rey.santos.1426876</v>
      </c>
      <c r="B624" s="1" t="str">
        <f ca="1">IFERROR(__xludf.DUMMYFUNCTION("""COMPUTED_VALUE"""),"Rey Santos")</f>
        <v>Rey Santos</v>
      </c>
      <c r="C624" s="1" t="str">
        <f ca="1">IFERROR(__xludf.DUMMYFUNCTION("""COMPUTED_VALUE"""),"Rey")</f>
        <v>Rey</v>
      </c>
      <c r="D624" s="1" t="str">
        <f ca="1">IFERROR(__xludf.DUMMYFUNCTION("""COMPUTED_VALUE"""),"Santos")</f>
        <v>Santos</v>
      </c>
      <c r="E624" s="1" t="str">
        <f ca="1">IFERROR(__xludf.DUMMYFUNCTION("""COMPUTED_VALUE"""),"Kuha kau Ng picture sa araw ndi puro gabi,madadaya tlga kau,palibhasa puro lubo😅😅😅")</f>
        <v>Kuha kau Ng picture sa araw ndi puro gabi,madadaya tlga kau,palibhasa puro lubo😅😅😅</v>
      </c>
      <c r="F624" s="1">
        <f ca="1">IFERROR(__xludf.DUMMYFUNCTION("""COMPUTED_VALUE"""),7)</f>
        <v>7</v>
      </c>
      <c r="G624" s="1" t="str">
        <f ca="1">IFERROR(__xludf.DUMMYFUNCTION("""COMPUTED_VALUE"""),"3 mos")</f>
        <v>3 mos</v>
      </c>
      <c r="H624" s="1" t="str">
        <f ca="1">IFERROR(__xludf.DUMMYFUNCTION("""COMPUTED_VALUE"""),"comment")</f>
        <v>comment</v>
      </c>
      <c r="I624"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24" s="1" t="str">
        <f ca="1">IFERROR(__xludf.DUMMYFUNCTION("""COMPUTED_VALUE"""),"2022-07-04T11:14:45.502Z")</f>
        <v>2022-07-04T11:14:45.502Z</v>
      </c>
    </row>
    <row r="625" spans="1:10" x14ac:dyDescent="0.2">
      <c r="A625" s="2" t="str">
        <f ca="1">IFERROR(__xludf.DUMMYFUNCTION("""COMPUTED_VALUE"""),"https://www.facebook.com/profile.php?id=100059634552488")</f>
        <v>https://www.facebook.com/profile.php?id=100059634552488</v>
      </c>
      <c r="B625" s="1" t="str">
        <f ca="1">IFERROR(__xludf.DUMMYFUNCTION("""COMPUTED_VALUE"""),"Andy Lee")</f>
        <v>Andy Lee</v>
      </c>
      <c r="C625" s="1" t="str">
        <f ca="1">IFERROR(__xludf.DUMMYFUNCTION("""COMPUTED_VALUE"""),"Andy")</f>
        <v>Andy</v>
      </c>
      <c r="D625" s="1" t="str">
        <f ca="1">IFERROR(__xludf.DUMMYFUNCTION("""COMPUTED_VALUE"""),"Lee")</f>
        <v>Lee</v>
      </c>
      <c r="E625" s="1" t="str">
        <f ca="1">IFERROR(__xludf.DUMMYFUNCTION("""COMPUTED_VALUE"""),"Rey Santos Sino ka ba?")</f>
        <v>Rey Santos Sino ka ba?</v>
      </c>
      <c r="F625" s="1">
        <f ca="1">IFERROR(__xludf.DUMMYFUNCTION("""COMPUTED_VALUE"""),1)</f>
        <v>1</v>
      </c>
      <c r="G625" s="1" t="str">
        <f ca="1">IFERROR(__xludf.DUMMYFUNCTION("""COMPUTED_VALUE"""),"3 mos")</f>
        <v>3 mos</v>
      </c>
      <c r="H625" s="1" t="str">
        <f ca="1">IFERROR(__xludf.DUMMYFUNCTION("""COMPUTED_VALUE"""),"reply")</f>
        <v>reply</v>
      </c>
      <c r="I625"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25" s="1" t="str">
        <f ca="1">IFERROR(__xludf.DUMMYFUNCTION("""COMPUTED_VALUE"""),"2022-07-04T11:14:45.502Z")</f>
        <v>2022-07-04T11:14:45.502Z</v>
      </c>
    </row>
    <row r="626" spans="1:10" x14ac:dyDescent="0.2">
      <c r="A626" s="2" t="str">
        <f ca="1">IFERROR(__xludf.DUMMYFUNCTION("""COMPUTED_VALUE"""),"https://www.facebook.com/rey.santos.1426876")</f>
        <v>https://www.facebook.com/rey.santos.1426876</v>
      </c>
      <c r="B626" s="1" t="str">
        <f ca="1">IFERROR(__xludf.DUMMYFUNCTION("""COMPUTED_VALUE"""),"Rey Santos")</f>
        <v>Rey Santos</v>
      </c>
      <c r="C626" s="1" t="str">
        <f ca="1">IFERROR(__xludf.DUMMYFUNCTION("""COMPUTED_VALUE"""),"Rey")</f>
        <v>Rey</v>
      </c>
      <c r="D626" s="1" t="str">
        <f ca="1">IFERROR(__xludf.DUMMYFUNCTION("""COMPUTED_VALUE"""),"Santos")</f>
        <v>Santos</v>
      </c>
      <c r="E626" s="1" t="str">
        <f ca="1">IFERROR(__xludf.DUMMYFUNCTION("""COMPUTED_VALUE"""),"Andy Lee hahaha syempre ako to")</f>
        <v>Andy Lee hahaha syempre ako to</v>
      </c>
      <c r="F626" s="1"/>
      <c r="G626" s="1" t="str">
        <f ca="1">IFERROR(__xludf.DUMMYFUNCTION("""COMPUTED_VALUE"""),"3 mos")</f>
        <v>3 mos</v>
      </c>
      <c r="H626" s="1" t="str">
        <f ca="1">IFERROR(__xludf.DUMMYFUNCTION("""COMPUTED_VALUE"""),"reply")</f>
        <v>reply</v>
      </c>
      <c r="I626"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26" s="1" t="str">
        <f ca="1">IFERROR(__xludf.DUMMYFUNCTION("""COMPUTED_VALUE"""),"2022-07-04T11:14:45.502Z")</f>
        <v>2022-07-04T11:14:45.502Z</v>
      </c>
    </row>
    <row r="627" spans="1:10" x14ac:dyDescent="0.2">
      <c r="A627" s="2" t="str">
        <f ca="1">IFERROR(__xludf.DUMMYFUNCTION("""COMPUTED_VALUE"""),"https://www.facebook.com/ronniel.deramos")</f>
        <v>https://www.facebook.com/ronniel.deramos</v>
      </c>
      <c r="B627" s="1" t="str">
        <f ca="1">IFERROR(__xludf.DUMMYFUNCTION("""COMPUTED_VALUE"""),"Ronniel de Ramos")</f>
        <v>Ronniel de Ramos</v>
      </c>
      <c r="C627" s="1" t="str">
        <f ca="1">IFERROR(__xludf.DUMMYFUNCTION("""COMPUTED_VALUE"""),"Ronniel")</f>
        <v>Ronniel</v>
      </c>
      <c r="D627" s="1" t="str">
        <f ca="1">IFERROR(__xludf.DUMMYFUNCTION("""COMPUTED_VALUE"""),"de Ramos")</f>
        <v>de Ramos</v>
      </c>
      <c r="E627" s="1" t="str">
        <f ca="1">IFERROR(__xludf.DUMMYFUNCTION("""COMPUTED_VALUE"""),"Rey Santos may lubo, lobo pala, na nakakasigaw, nakakakanta at may hawak pang cellphone? 😂😂😂")</f>
        <v>Rey Santos may lubo, lobo pala, na nakakasigaw, nakakakanta at may hawak pang cellphone? 😂😂😂</v>
      </c>
      <c r="F627" s="1">
        <f ca="1">IFERROR(__xludf.DUMMYFUNCTION("""COMPUTED_VALUE"""),1)</f>
        <v>1</v>
      </c>
      <c r="G627" s="1" t="str">
        <f ca="1">IFERROR(__xludf.DUMMYFUNCTION("""COMPUTED_VALUE"""),"3 mos")</f>
        <v>3 mos</v>
      </c>
      <c r="H627" s="1" t="str">
        <f ca="1">IFERROR(__xludf.DUMMYFUNCTION("""COMPUTED_VALUE"""),"reply")</f>
        <v>reply</v>
      </c>
      <c r="I627"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27" s="1" t="str">
        <f ca="1">IFERROR(__xludf.DUMMYFUNCTION("""COMPUTED_VALUE"""),"2022-07-04T11:14:45.502Z")</f>
        <v>2022-07-04T11:14:45.502Z</v>
      </c>
    </row>
    <row r="628" spans="1:10" x14ac:dyDescent="0.2">
      <c r="A628" s="2" t="str">
        <f ca="1">IFERROR(__xludf.DUMMYFUNCTION("""COMPUTED_VALUE"""),"https://www.facebook.com/jo.talisaysay")</f>
        <v>https://www.facebook.com/jo.talisaysay</v>
      </c>
      <c r="B628" s="1" t="str">
        <f ca="1">IFERROR(__xludf.DUMMYFUNCTION("""COMPUTED_VALUE"""),"Jhoriex Jorry Talisaysay")</f>
        <v>Jhoriex Jorry Talisaysay</v>
      </c>
      <c r="C628" s="1" t="str">
        <f ca="1">IFERROR(__xludf.DUMMYFUNCTION("""COMPUTED_VALUE"""),"Jhoriex")</f>
        <v>Jhoriex</v>
      </c>
      <c r="D628" s="1" t="str">
        <f ca="1">IFERROR(__xludf.DUMMYFUNCTION("""COMPUTED_VALUE"""),"Jorry Talisaysay")</f>
        <v>Jorry Talisaysay</v>
      </c>
      <c r="E628" s="1" t="str">
        <f ca="1">IFERROR(__xludf.DUMMYFUNCTION("""COMPUTED_VALUE"""),"Rey Santos ginaya na naman nila yung rally nila uniteam sa cavite")</f>
        <v>Rey Santos ginaya na naman nila yung rally nila uniteam sa cavite</v>
      </c>
      <c r="F628" s="1">
        <f ca="1">IFERROR(__xludf.DUMMYFUNCTION("""COMPUTED_VALUE"""),4)</f>
        <v>4</v>
      </c>
      <c r="G628" s="1" t="str">
        <f ca="1">IFERROR(__xludf.DUMMYFUNCTION("""COMPUTED_VALUE"""),"3 mos")</f>
        <v>3 mos</v>
      </c>
      <c r="H628" s="1" t="str">
        <f ca="1">IFERROR(__xludf.DUMMYFUNCTION("""COMPUTED_VALUE"""),"reply")</f>
        <v>reply</v>
      </c>
      <c r="I628"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28" s="1" t="str">
        <f ca="1">IFERROR(__xludf.DUMMYFUNCTION("""COMPUTED_VALUE"""),"2022-07-04T11:14:45.502Z")</f>
        <v>2022-07-04T11:14:45.502Z</v>
      </c>
    </row>
    <row r="629" spans="1:10" x14ac:dyDescent="0.2">
      <c r="A629" s="2" t="str">
        <f ca="1">IFERROR(__xludf.DUMMYFUNCTION("""COMPUTED_VALUE"""),"https://www.facebook.com/Desha.Glorioso")</f>
        <v>https://www.facebook.com/Desha.Glorioso</v>
      </c>
      <c r="B629" s="1" t="str">
        <f ca="1">IFERROR(__xludf.DUMMYFUNCTION("""COMPUTED_VALUE"""),"Desha Desha")</f>
        <v>Desha Desha</v>
      </c>
      <c r="C629" s="1" t="str">
        <f ca="1">IFERROR(__xludf.DUMMYFUNCTION("""COMPUTED_VALUE"""),"Desha")</f>
        <v>Desha</v>
      </c>
      <c r="D629" s="1" t="str">
        <f ca="1">IFERROR(__xludf.DUMMYFUNCTION("""COMPUTED_VALUE"""),"Desha")</f>
        <v>Desha</v>
      </c>
      <c r="E629" s="1" t="str">
        <f ca="1">IFERROR(__xludf.DUMMYFUNCTION("""COMPUTED_VALUE"""),"Jhoriex kahit po every sortie ni VP, since day 1, ganito n po tlga? gaya p rin?  ok, opinyon m po yan eh.. pro dpt based s facts..")</f>
        <v>Jhoriex kahit po every sortie ni VP, since day 1, ganito n po tlga? gaya p rin?  ok, opinyon m po yan eh.. pro dpt based s facts..</v>
      </c>
      <c r="F629" s="1"/>
      <c r="G629" s="1" t="str">
        <f ca="1">IFERROR(__xludf.DUMMYFUNCTION("""COMPUTED_VALUE"""),"3 mos")</f>
        <v>3 mos</v>
      </c>
      <c r="H629" s="1" t="str">
        <f ca="1">IFERROR(__xludf.DUMMYFUNCTION("""COMPUTED_VALUE"""),"reply")</f>
        <v>reply</v>
      </c>
      <c r="I629"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29" s="1" t="str">
        <f ca="1">IFERROR(__xludf.DUMMYFUNCTION("""COMPUTED_VALUE"""),"2022-07-04T11:14:45.502Z")</f>
        <v>2022-07-04T11:14:45.502Z</v>
      </c>
    </row>
    <row r="630" spans="1:10" x14ac:dyDescent="0.2">
      <c r="A630" s="2" t="str">
        <f ca="1">IFERROR(__xludf.DUMMYFUNCTION("""COMPUTED_VALUE"""),"https://www.facebook.com/ronniel.deramos")</f>
        <v>https://www.facebook.com/ronniel.deramos</v>
      </c>
      <c r="B630" s="1" t="str">
        <f ca="1">IFERROR(__xludf.DUMMYFUNCTION("""COMPUTED_VALUE"""),"Ronniel de Ramos")</f>
        <v>Ronniel de Ramos</v>
      </c>
      <c r="C630" s="1" t="str">
        <f ca="1">IFERROR(__xludf.DUMMYFUNCTION("""COMPUTED_VALUE"""),"Ronniel")</f>
        <v>Ronniel</v>
      </c>
      <c r="D630" s="1" t="str">
        <f ca="1">IFERROR(__xludf.DUMMYFUNCTION("""COMPUTED_VALUE"""),"de Ramos")</f>
        <v>de Ramos</v>
      </c>
      <c r="E630" s="1" t="str">
        <f ca="1">IFERROR(__xludf.DUMMYFUNCTION("""COMPUTED_VALUE"""),"Jhoriex Jorry Talisaysay yung na una pa talaga ang nanggaya? Hahahha patawa")</f>
        <v>Jhoriex Jorry Talisaysay yung na una pa talaga ang nanggaya? Hahahha patawa</v>
      </c>
      <c r="F630" s="1"/>
      <c r="G630" s="1" t="str">
        <f ca="1">IFERROR(__xludf.DUMMYFUNCTION("""COMPUTED_VALUE"""),"3 mos")</f>
        <v>3 mos</v>
      </c>
      <c r="H630" s="1" t="str">
        <f ca="1">IFERROR(__xludf.DUMMYFUNCTION("""COMPUTED_VALUE"""),"reply")</f>
        <v>reply</v>
      </c>
      <c r="I630"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30" s="1" t="str">
        <f ca="1">IFERROR(__xludf.DUMMYFUNCTION("""COMPUTED_VALUE"""),"2022-07-04T11:14:45.502Z")</f>
        <v>2022-07-04T11:14:45.502Z</v>
      </c>
    </row>
    <row r="631" spans="1:10" x14ac:dyDescent="0.2">
      <c r="A631" s="2" t="str">
        <f ca="1">IFERROR(__xludf.DUMMYFUNCTION("""COMPUTED_VALUE"""),"https://www.facebook.com/buenaventura.romy")</f>
        <v>https://www.facebook.com/buenaventura.romy</v>
      </c>
      <c r="B631" s="1" t="str">
        <f ca="1">IFERROR(__xludf.DUMMYFUNCTION("""COMPUTED_VALUE"""),"Romy Buenaventura")</f>
        <v>Romy Buenaventura</v>
      </c>
      <c r="C631" s="1" t="str">
        <f ca="1">IFERROR(__xludf.DUMMYFUNCTION("""COMPUTED_VALUE"""),"Romy")</f>
        <v>Romy</v>
      </c>
      <c r="D631" s="1" t="str">
        <f ca="1">IFERROR(__xludf.DUMMYFUNCTION("""COMPUTED_VALUE"""),"Buenaventura")</f>
        <v>Buenaventura</v>
      </c>
      <c r="E631" s="1" t="str">
        <f ca="1">IFERROR(__xludf.DUMMYFUNCTION("""COMPUTED_VALUE"""),"Rey Santos paki alis mo dark shades mo!")</f>
        <v>Rey Santos paki alis mo dark shades mo!</v>
      </c>
      <c r="F631" s="1">
        <f ca="1">IFERROR(__xludf.DUMMYFUNCTION("""COMPUTED_VALUE"""),1)</f>
        <v>1</v>
      </c>
      <c r="G631" s="1" t="str">
        <f ca="1">IFERROR(__xludf.DUMMYFUNCTION("""COMPUTED_VALUE"""),"3 mos")</f>
        <v>3 mos</v>
      </c>
      <c r="H631" s="1" t="str">
        <f ca="1">IFERROR(__xludf.DUMMYFUNCTION("""COMPUTED_VALUE"""),"reply")</f>
        <v>reply</v>
      </c>
      <c r="I631"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31" s="1" t="str">
        <f ca="1">IFERROR(__xludf.DUMMYFUNCTION("""COMPUTED_VALUE"""),"2022-07-04T11:14:45.502Z")</f>
        <v>2022-07-04T11:14:45.502Z</v>
      </c>
    </row>
    <row r="632" spans="1:10" x14ac:dyDescent="0.2">
      <c r="A632" s="2" t="str">
        <f ca="1">IFERROR(__xludf.DUMMYFUNCTION("""COMPUTED_VALUE"""),"https://www.facebook.com/renz.jimenez.1048")</f>
        <v>https://www.facebook.com/renz.jimenez.1048</v>
      </c>
      <c r="B632" s="1" t="str">
        <f ca="1">IFERROR(__xludf.DUMMYFUNCTION("""COMPUTED_VALUE"""),"Rpj Jimenez")</f>
        <v>Rpj Jimenez</v>
      </c>
      <c r="C632" s="1" t="str">
        <f ca="1">IFERROR(__xludf.DUMMYFUNCTION("""COMPUTED_VALUE"""),"Rpj")</f>
        <v>Rpj</v>
      </c>
      <c r="D632" s="1" t="str">
        <f ca="1">IFERROR(__xludf.DUMMYFUNCTION("""COMPUTED_VALUE"""),"Jimenez")</f>
        <v>Jimenez</v>
      </c>
      <c r="E632" s="1" t="str">
        <f ca="1">IFERROR(__xludf.DUMMYFUNCTION("""COMPUTED_VALUE"""),"Rey Santos LAGI NALANG SA METRO MANILA😏 YUN PUMUNTA SA QC AT PASIG MALAMANG SAME PEOPLE LANG NGAYON SA CALOOCAN😏")</f>
        <v>Rey Santos LAGI NALANG SA METRO MANILA😏 YUN PUMUNTA SA QC AT PASIG MALAMANG SAME PEOPLE LANG NGAYON SA CALOOCAN😏</v>
      </c>
      <c r="F632" s="1"/>
      <c r="G632" s="1" t="str">
        <f ca="1">IFERROR(__xludf.DUMMYFUNCTION("""COMPUTED_VALUE"""),"3 mos")</f>
        <v>3 mos</v>
      </c>
      <c r="H632" s="1" t="str">
        <f ca="1">IFERROR(__xludf.DUMMYFUNCTION("""COMPUTED_VALUE"""),"reply")</f>
        <v>reply</v>
      </c>
      <c r="I632"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32" s="1" t="str">
        <f ca="1">IFERROR(__xludf.DUMMYFUNCTION("""COMPUTED_VALUE"""),"2022-07-04T11:14:45.502Z")</f>
        <v>2022-07-04T11:14:45.502Z</v>
      </c>
    </row>
    <row r="633" spans="1:10" x14ac:dyDescent="0.2">
      <c r="A633" s="2" t="str">
        <f ca="1">IFERROR(__xludf.DUMMYFUNCTION("""COMPUTED_VALUE"""),"https://www.facebook.com/profile.php?id=100075281044190")</f>
        <v>https://www.facebook.com/profile.php?id=100075281044190</v>
      </c>
      <c r="B633" s="1" t="str">
        <f ca="1">IFERROR(__xludf.DUMMYFUNCTION("""COMPUTED_VALUE"""),"Letty Flores")</f>
        <v>Letty Flores</v>
      </c>
      <c r="C633" s="1" t="str">
        <f ca="1">IFERROR(__xludf.DUMMYFUNCTION("""COMPUTED_VALUE"""),"Letty")</f>
        <v>Letty</v>
      </c>
      <c r="D633" s="1" t="str">
        <f ca="1">IFERROR(__xludf.DUMMYFUNCTION("""COMPUTED_VALUE"""),"Flores")</f>
        <v>Flores</v>
      </c>
      <c r="E633" s="1" t="str">
        <f ca="1">IFERROR(__xludf.DUMMYFUNCTION("""COMPUTED_VALUE"""),"Rey Santos punta ka po sa venue pr hnd ka ng gagalaiti ng makita mo totoo..puro kau ngawa,waley din.🤣🤣🤣")</f>
        <v>Rey Santos punta ka po sa venue pr hnd ka ng gagalaiti ng makita mo totoo..puro kau ngawa,waley din.🤣🤣🤣</v>
      </c>
      <c r="F633" s="1">
        <f ca="1">IFERROR(__xludf.DUMMYFUNCTION("""COMPUTED_VALUE"""),6)</f>
        <v>6</v>
      </c>
      <c r="G633" s="1" t="str">
        <f ca="1">IFERROR(__xludf.DUMMYFUNCTION("""COMPUTED_VALUE"""),"3 mos")</f>
        <v>3 mos</v>
      </c>
      <c r="H633" s="1" t="str">
        <f ca="1">IFERROR(__xludf.DUMMYFUNCTION("""COMPUTED_VALUE"""),"reply")</f>
        <v>reply</v>
      </c>
      <c r="I633"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33" s="1" t="str">
        <f ca="1">IFERROR(__xludf.DUMMYFUNCTION("""COMPUTED_VALUE"""),"2022-07-04T11:14:45.502Z")</f>
        <v>2022-07-04T11:14:45.502Z</v>
      </c>
    </row>
    <row r="634" spans="1:10" x14ac:dyDescent="0.2">
      <c r="A634" s="2" t="str">
        <f ca="1">IFERROR(__xludf.DUMMYFUNCTION("""COMPUTED_VALUE"""),"https://www.facebook.com/rey.santos.1426876")</f>
        <v>https://www.facebook.com/rey.santos.1426876</v>
      </c>
      <c r="B634" s="1" t="str">
        <f ca="1">IFERROR(__xludf.DUMMYFUNCTION("""COMPUTED_VALUE"""),"Rey Santos")</f>
        <v>Rey Santos</v>
      </c>
      <c r="C634" s="1" t="str">
        <f ca="1">IFERROR(__xludf.DUMMYFUNCTION("""COMPUTED_VALUE"""),"Rey")</f>
        <v>Rey</v>
      </c>
      <c r="D634" s="1" t="str">
        <f ca="1">IFERROR(__xludf.DUMMYFUNCTION("""COMPUTED_VALUE"""),"Santos")</f>
        <v>Santos</v>
      </c>
      <c r="E634" s="1" t="str">
        <f ca="1">IFERROR(__xludf.DUMMYFUNCTION("""COMPUTED_VALUE"""),"Letty Flores ndi ako interesado")</f>
        <v>Letty Flores ndi ako interesado</v>
      </c>
      <c r="F634" s="1">
        <f ca="1">IFERROR(__xludf.DUMMYFUNCTION("""COMPUTED_VALUE"""),1)</f>
        <v>1</v>
      </c>
      <c r="G634" s="1" t="str">
        <f ca="1">IFERROR(__xludf.DUMMYFUNCTION("""COMPUTED_VALUE"""),"3 mos")</f>
        <v>3 mos</v>
      </c>
      <c r="H634" s="1" t="str">
        <f ca="1">IFERROR(__xludf.DUMMYFUNCTION("""COMPUTED_VALUE"""),"reply")</f>
        <v>reply</v>
      </c>
      <c r="I634"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34" s="1" t="str">
        <f ca="1">IFERROR(__xludf.DUMMYFUNCTION("""COMPUTED_VALUE"""),"2022-07-04T11:14:45.502Z")</f>
        <v>2022-07-04T11:14:45.502Z</v>
      </c>
    </row>
    <row r="635" spans="1:10" x14ac:dyDescent="0.2">
      <c r="A635" s="2" t="str">
        <f ca="1">IFERROR(__xludf.DUMMYFUNCTION("""COMPUTED_VALUE"""),"https://www.facebook.com/profile.php?id=100075281044190")</f>
        <v>https://www.facebook.com/profile.php?id=100075281044190</v>
      </c>
      <c r="B635" s="1" t="str">
        <f ca="1">IFERROR(__xludf.DUMMYFUNCTION("""COMPUTED_VALUE"""),"Letty Flores")</f>
        <v>Letty Flores</v>
      </c>
      <c r="C635" s="1" t="str">
        <f ca="1">IFERROR(__xludf.DUMMYFUNCTION("""COMPUTED_VALUE"""),"Letty")</f>
        <v>Letty</v>
      </c>
      <c r="D635" s="1" t="str">
        <f ca="1">IFERROR(__xludf.DUMMYFUNCTION("""COMPUTED_VALUE"""),"Flores")</f>
        <v>Flores</v>
      </c>
      <c r="E635" s="1" t="str">
        <f ca="1">IFERROR(__xludf.DUMMYFUNCTION("""COMPUTED_VALUE"""),"Rey Santos ky wg kng ngawa ng ngawa di ka pl interesado!🤣")</f>
        <v>Rey Santos ky wg kng ngawa ng ngawa di ka pl interesado!🤣</v>
      </c>
      <c r="F635" s="1">
        <f ca="1">IFERROR(__xludf.DUMMYFUNCTION("""COMPUTED_VALUE"""),1)</f>
        <v>1</v>
      </c>
      <c r="G635" s="1" t="str">
        <f ca="1">IFERROR(__xludf.DUMMYFUNCTION("""COMPUTED_VALUE"""),"3 mos")</f>
        <v>3 mos</v>
      </c>
      <c r="H635" s="1" t="str">
        <f ca="1">IFERROR(__xludf.DUMMYFUNCTION("""COMPUTED_VALUE"""),"reply")</f>
        <v>reply</v>
      </c>
      <c r="I635"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35" s="1" t="str">
        <f ca="1">IFERROR(__xludf.DUMMYFUNCTION("""COMPUTED_VALUE"""),"2022-07-04T11:14:45.502Z")</f>
        <v>2022-07-04T11:14:45.502Z</v>
      </c>
    </row>
    <row r="636" spans="1:10" x14ac:dyDescent="0.2">
      <c r="A636" s="2" t="str">
        <f ca="1">IFERROR(__xludf.DUMMYFUNCTION("""COMPUTED_VALUE"""),"https://www.facebook.com/michael.elarmo.35")</f>
        <v>https://www.facebook.com/michael.elarmo.35</v>
      </c>
      <c r="B636" s="1" t="str">
        <f ca="1">IFERROR(__xludf.DUMMYFUNCTION("""COMPUTED_VALUE"""),"Michael Elarmo")</f>
        <v>Michael Elarmo</v>
      </c>
      <c r="C636" s="1" t="str">
        <f ca="1">IFERROR(__xludf.DUMMYFUNCTION("""COMPUTED_VALUE"""),"Michael")</f>
        <v>Michael</v>
      </c>
      <c r="D636" s="1" t="str">
        <f ca="1">IFERROR(__xludf.DUMMYFUNCTION("""COMPUTED_VALUE"""),"Elarmo")</f>
        <v>Elarmo</v>
      </c>
      <c r="E636" s="1" t="str">
        <f ca="1">IFERROR(__xludf.DUMMYFUNCTION("""COMPUTED_VALUE"""),"Rey Santos sabog ka yata.ano *tingin mo sa mga tao na sumisigaw at gumagalaw ang ilaw ng CP lobo.iba katalagang nilalang.mars turuan mo nga ito mag isip.ibalik ito sa kinder")</f>
        <v>Rey Santos sabog ka yata.ano *tingin mo sa mga tao na sumisigaw at gumagalaw ang ilaw ng CP lobo.iba katalagang nilalang.mars turuan mo nga ito mag isip.ibalik ito sa kinder</v>
      </c>
      <c r="F636" s="1">
        <f ca="1">IFERROR(__xludf.DUMMYFUNCTION("""COMPUTED_VALUE"""),3)</f>
        <v>3</v>
      </c>
      <c r="G636" s="1" t="str">
        <f ca="1">IFERROR(__xludf.DUMMYFUNCTION("""COMPUTED_VALUE"""),"3 mos")</f>
        <v>3 mos</v>
      </c>
      <c r="H636" s="1" t="str">
        <f ca="1">IFERROR(__xludf.DUMMYFUNCTION("""COMPUTED_VALUE"""),"reply")</f>
        <v>reply</v>
      </c>
      <c r="I636"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36" s="1" t="str">
        <f ca="1">IFERROR(__xludf.DUMMYFUNCTION("""COMPUTED_VALUE"""),"2022-07-04T11:14:45.502Z")</f>
        <v>2022-07-04T11:14:45.502Z</v>
      </c>
    </row>
    <row r="637" spans="1:10" x14ac:dyDescent="0.2">
      <c r="A637" s="2" t="str">
        <f ca="1">IFERROR(__xludf.DUMMYFUNCTION("""COMPUTED_VALUE"""),"https://www.facebook.com/cat.carrot.50")</f>
        <v>https://www.facebook.com/cat.carrot.50</v>
      </c>
      <c r="B637" s="1" t="str">
        <f ca="1">IFERROR(__xludf.DUMMYFUNCTION("""COMPUTED_VALUE"""),"Cat Carrot")</f>
        <v>Cat Carrot</v>
      </c>
      <c r="C637" s="1" t="str">
        <f ca="1">IFERROR(__xludf.DUMMYFUNCTION("""COMPUTED_VALUE"""),"Cat")</f>
        <v>Cat</v>
      </c>
      <c r="D637" s="1" t="str">
        <f ca="1">IFERROR(__xludf.DUMMYFUNCTION("""COMPUTED_VALUE"""),"Carrot")</f>
        <v>Carrot</v>
      </c>
      <c r="E637" s="1" t="str">
        <f ca="1">IFERROR(__xludf.DUMMYFUNCTION("""COMPUTED_VALUE"""),"Rey Santos lubo?")</f>
        <v>Rey Santos lubo?</v>
      </c>
      <c r="F637" s="1"/>
      <c r="G637" s="1" t="str">
        <f ca="1">IFERROR(__xludf.DUMMYFUNCTION("""COMPUTED_VALUE"""),"3 mos")</f>
        <v>3 mos</v>
      </c>
      <c r="H637" s="1" t="str">
        <f ca="1">IFERROR(__xludf.DUMMYFUNCTION("""COMPUTED_VALUE"""),"reply")</f>
        <v>reply</v>
      </c>
      <c r="I637"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37" s="1" t="str">
        <f ca="1">IFERROR(__xludf.DUMMYFUNCTION("""COMPUTED_VALUE"""),"2022-07-04T11:14:45.502Z")</f>
        <v>2022-07-04T11:14:45.502Z</v>
      </c>
    </row>
    <row r="638" spans="1:10" x14ac:dyDescent="0.2">
      <c r="A638" s="2" t="str">
        <f ca="1">IFERROR(__xludf.DUMMYFUNCTION("""COMPUTED_VALUE"""),"https://www.facebook.com/rey.santos.1426876")</f>
        <v>https://www.facebook.com/rey.santos.1426876</v>
      </c>
      <c r="B638" s="1" t="str">
        <f ca="1">IFERROR(__xludf.DUMMYFUNCTION("""COMPUTED_VALUE"""),"Rey Santos")</f>
        <v>Rey Santos</v>
      </c>
      <c r="C638" s="1" t="str">
        <f ca="1">IFERROR(__xludf.DUMMYFUNCTION("""COMPUTED_VALUE"""),"Rey")</f>
        <v>Rey</v>
      </c>
      <c r="D638" s="1" t="str">
        <f ca="1">IFERROR(__xludf.DUMMYFUNCTION("""COMPUTED_VALUE"""),"Santos")</f>
        <v>Santos</v>
      </c>
      <c r="E638" s="1" t="str">
        <f ca="1">IFERROR(__xludf.DUMMYFUNCTION("""COMPUTED_VALUE"""),"Michael Elarmo mas sabog ka Di ndi nlang lobo ilaw nlang 😅😅😅")</f>
        <v>Michael Elarmo mas sabog ka Di ndi nlang lobo ilaw nlang 😅😅😅</v>
      </c>
      <c r="F638" s="1"/>
      <c r="G638" s="1" t="str">
        <f ca="1">IFERROR(__xludf.DUMMYFUNCTION("""COMPUTED_VALUE"""),"3 mos")</f>
        <v>3 mos</v>
      </c>
      <c r="H638" s="1" t="str">
        <f ca="1">IFERROR(__xludf.DUMMYFUNCTION("""COMPUTED_VALUE"""),"reply")</f>
        <v>reply</v>
      </c>
      <c r="I638"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38" s="1" t="str">
        <f ca="1">IFERROR(__xludf.DUMMYFUNCTION("""COMPUTED_VALUE"""),"2022-07-04T11:14:45.502Z")</f>
        <v>2022-07-04T11:14:45.502Z</v>
      </c>
    </row>
    <row r="639" spans="1:10" x14ac:dyDescent="0.2">
      <c r="A639" s="2" t="str">
        <f ca="1">IFERROR(__xludf.DUMMYFUNCTION("""COMPUTED_VALUE"""),"https://www.facebook.com/ADATL02")</f>
        <v>https://www.facebook.com/ADATL02</v>
      </c>
      <c r="B639" s="1" t="str">
        <f ca="1">IFERROR(__xludf.DUMMYFUNCTION("""COMPUTED_VALUE"""),"AudeAr Lopez")</f>
        <v>AudeAr Lopez</v>
      </c>
      <c r="C639" s="1" t="str">
        <f ca="1">IFERROR(__xludf.DUMMYFUNCTION("""COMPUTED_VALUE"""),"AudeAr")</f>
        <v>AudeAr</v>
      </c>
      <c r="D639" s="1" t="str">
        <f ca="1">IFERROR(__xludf.DUMMYFUNCTION("""COMPUTED_VALUE"""),"Lopez")</f>
        <v>Lopez</v>
      </c>
      <c r="E639" s="1" t="str">
        <f ca="1">IFERROR(__xludf.DUMMYFUNCTION("""COMPUTED_VALUE"""),"Insecure na naman ang mga BBMers...di matanggap na sobrang ganda at well attended rallies ni VP😁😁😁...samantalang sa mga rallies nila nagbabatuhan ng silya!😁😁😁")</f>
        <v>Insecure na naman ang mga BBMers...di matanggap na sobrang ganda at well attended rallies ni VP😁😁😁...samantalang sa mga rallies nila nagbabatuhan ng silya!😁😁😁</v>
      </c>
      <c r="F639" s="1">
        <f ca="1">IFERROR(__xludf.DUMMYFUNCTION("""COMPUTED_VALUE"""),16)</f>
        <v>16</v>
      </c>
      <c r="G639" s="1" t="str">
        <f ca="1">IFERROR(__xludf.DUMMYFUNCTION("""COMPUTED_VALUE"""),"3 mos")</f>
        <v>3 mos</v>
      </c>
      <c r="H639" s="1" t="str">
        <f ca="1">IFERROR(__xludf.DUMMYFUNCTION("""COMPUTED_VALUE"""),"comment")</f>
        <v>comment</v>
      </c>
      <c r="I639"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39" s="1" t="str">
        <f ca="1">IFERROR(__xludf.DUMMYFUNCTION("""COMPUTED_VALUE"""),"2022-07-04T11:14:45.502Z")</f>
        <v>2022-07-04T11:14:45.502Z</v>
      </c>
    </row>
    <row r="640" spans="1:10" x14ac:dyDescent="0.2">
      <c r="A640" s="2" t="str">
        <f ca="1">IFERROR(__xludf.DUMMYFUNCTION("""COMPUTED_VALUE"""),"https://www.facebook.com/xhianglee")</f>
        <v>https://www.facebook.com/xhianglee</v>
      </c>
      <c r="B640" s="1" t="str">
        <f ca="1">IFERROR(__xludf.DUMMYFUNCTION("""COMPUTED_VALUE"""),"Dare Meh")</f>
        <v>Dare Meh</v>
      </c>
      <c r="C640" s="1" t="str">
        <f ca="1">IFERROR(__xludf.DUMMYFUNCTION("""COMPUTED_VALUE"""),"Dare")</f>
        <v>Dare</v>
      </c>
      <c r="D640" s="1" t="str">
        <f ca="1">IFERROR(__xludf.DUMMYFUNCTION("""COMPUTED_VALUE"""),"Meh")</f>
        <v>Meh</v>
      </c>
      <c r="E640" s="1" t="str">
        <f ca="1">IFERROR(__xludf.DUMMYFUNCTION("""COMPUTED_VALUE"""),"Arne Lopez never tlga kmi ma nsecure sa hakot")</f>
        <v>Arne Lopez never tlga kmi ma nsecure sa hakot</v>
      </c>
      <c r="F640" s="1">
        <f ca="1">IFERROR(__xludf.DUMMYFUNCTION("""COMPUTED_VALUE"""),2)</f>
        <v>2</v>
      </c>
      <c r="G640" s="1" t="str">
        <f ca="1">IFERROR(__xludf.DUMMYFUNCTION("""COMPUTED_VALUE"""),"3 mos")</f>
        <v>3 mos</v>
      </c>
      <c r="H640" s="1" t="str">
        <f ca="1">IFERROR(__xludf.DUMMYFUNCTION("""COMPUTED_VALUE"""),"reply")</f>
        <v>reply</v>
      </c>
      <c r="I640"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40" s="1" t="str">
        <f ca="1">IFERROR(__xludf.DUMMYFUNCTION("""COMPUTED_VALUE"""),"2022-07-04T11:14:45.502Z")</f>
        <v>2022-07-04T11:14:45.502Z</v>
      </c>
    </row>
    <row r="641" spans="1:10" x14ac:dyDescent="0.2">
      <c r="A641" s="2" t="str">
        <f ca="1">IFERROR(__xludf.DUMMYFUNCTION("""COMPUTED_VALUE"""),"https://www.facebook.com/ADATL02")</f>
        <v>https://www.facebook.com/ADATL02</v>
      </c>
      <c r="B641" s="1" t="str">
        <f ca="1">IFERROR(__xludf.DUMMYFUNCTION("""COMPUTED_VALUE"""),"AudeAr Lopez")</f>
        <v>AudeAr Lopez</v>
      </c>
      <c r="C641" s="1" t="str">
        <f ca="1">IFERROR(__xludf.DUMMYFUNCTION("""COMPUTED_VALUE"""),"AudeAr")</f>
        <v>AudeAr</v>
      </c>
      <c r="D641" s="1" t="str">
        <f ca="1">IFERROR(__xludf.DUMMYFUNCTION("""COMPUTED_VALUE"""),"Lopez")</f>
        <v>Lopez</v>
      </c>
      <c r="E641" s="1" t="str">
        <f ca="1">IFERROR(__xludf.DUMMYFUNCTION("""COMPUTED_VALUE"""),"Lhiel Punay Seban uy nagsalita ang expert na hakot at nangangailangan ng pera🤪")</f>
        <v>Lhiel Punay Seban uy nagsalita ang expert na hakot at nangangailangan ng pera🤪</v>
      </c>
      <c r="F641" s="1"/>
      <c r="G641" s="1" t="str">
        <f ca="1">IFERROR(__xludf.DUMMYFUNCTION("""COMPUTED_VALUE"""),"3 mos")</f>
        <v>3 mos</v>
      </c>
      <c r="H641" s="1" t="str">
        <f ca="1">IFERROR(__xludf.DUMMYFUNCTION("""COMPUTED_VALUE"""),"reply")</f>
        <v>reply</v>
      </c>
      <c r="I641"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41" s="1" t="str">
        <f ca="1">IFERROR(__xludf.DUMMYFUNCTION("""COMPUTED_VALUE"""),"2022-07-04T11:14:45.502Z")</f>
        <v>2022-07-04T11:14:45.502Z</v>
      </c>
    </row>
    <row r="642" spans="1:10" x14ac:dyDescent="0.2">
      <c r="A642" s="2" t="str">
        <f ca="1">IFERROR(__xludf.DUMMYFUNCTION("""COMPUTED_VALUE"""),"https://www.facebook.com/fatiph.rack")</f>
        <v>https://www.facebook.com/fatiph.rack</v>
      </c>
      <c r="B642" s="1" t="str">
        <f ca="1">IFERROR(__xludf.DUMMYFUNCTION("""COMPUTED_VALUE"""),"Fatiph Rack")</f>
        <v>Fatiph Rack</v>
      </c>
      <c r="C642" s="1" t="str">
        <f ca="1">IFERROR(__xludf.DUMMYFUNCTION("""COMPUTED_VALUE"""),"Fatiph")</f>
        <v>Fatiph</v>
      </c>
      <c r="D642" s="1" t="str">
        <f ca="1">IFERROR(__xludf.DUMMYFUNCTION("""COMPUTED_VALUE"""),"Rack")</f>
        <v>Rack</v>
      </c>
      <c r="E642" s="1" t="str">
        <f ca="1">IFERROR(__xludf.DUMMYFUNCTION("""COMPUTED_VALUE"""),"Arne Lopez - papano naman si Mayor Isko na kahati nyo sa 45% wala na lang ba?  https://newsinfo.inquirer.net/1573898/65000-batanguenos-show-support-for-isko-moreno-in-lipa-city-grand-rally")</f>
        <v>Arne Lopez - papano naman si Mayor Isko na kahati nyo sa 45% wala na lang ba?  https://newsinfo.inquirer.net/1573898/65000-batanguenos-show-support-for-isko-moreno-in-lipa-city-grand-rally</v>
      </c>
      <c r="F642" s="1"/>
      <c r="G642" s="1" t="str">
        <f ca="1">IFERROR(__xludf.DUMMYFUNCTION("""COMPUTED_VALUE"""),"3 mos")</f>
        <v>3 mos</v>
      </c>
      <c r="H642" s="1" t="str">
        <f ca="1">IFERROR(__xludf.DUMMYFUNCTION("""COMPUTED_VALUE"""),"reply")</f>
        <v>reply</v>
      </c>
      <c r="I642"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42" s="1" t="str">
        <f ca="1">IFERROR(__xludf.DUMMYFUNCTION("""COMPUTED_VALUE"""),"2022-07-04T11:14:45.502Z")</f>
        <v>2022-07-04T11:14:45.502Z</v>
      </c>
    </row>
    <row r="643" spans="1:10" x14ac:dyDescent="0.2">
      <c r="A643" s="2" t="str">
        <f ca="1">IFERROR(__xludf.DUMMYFUNCTION("""COMPUTED_VALUE"""),"https://www.facebook.com/ADATL02")</f>
        <v>https://www.facebook.com/ADATL02</v>
      </c>
      <c r="B643" s="1" t="str">
        <f ca="1">IFERROR(__xludf.DUMMYFUNCTION("""COMPUTED_VALUE"""),"AudeAr Lopez")</f>
        <v>AudeAr Lopez</v>
      </c>
      <c r="C643" s="1" t="str">
        <f ca="1">IFERROR(__xludf.DUMMYFUNCTION("""COMPUTED_VALUE"""),"AudeAr")</f>
        <v>AudeAr</v>
      </c>
      <c r="D643" s="1" t="str">
        <f ca="1">IFERROR(__xludf.DUMMYFUNCTION("""COMPUTED_VALUE"""),"Lopez")</f>
        <v>Lopez</v>
      </c>
      <c r="E643" s="1" t="str">
        <f ca="1">IFERROR(__xludf.DUMMYFUNCTION("""COMPUTED_VALUE"""),"Fatiph Rack dude! Wag pikon😁...ayusin niyo away at rambulan sa bakuran niyo...Unity kuno - Pwe!!!")</f>
        <v>Fatiph Rack dude! Wag pikon😁...ayusin niyo away at rambulan sa bakuran niyo...Unity kuno - Pwe!!!</v>
      </c>
      <c r="F643" s="1"/>
      <c r="G643" s="1" t="str">
        <f ca="1">IFERROR(__xludf.DUMMYFUNCTION("""COMPUTED_VALUE"""),"3 mos")</f>
        <v>3 mos</v>
      </c>
      <c r="H643" s="1" t="str">
        <f ca="1">IFERROR(__xludf.DUMMYFUNCTION("""COMPUTED_VALUE"""),"reply")</f>
        <v>reply</v>
      </c>
      <c r="I643"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43" s="1" t="str">
        <f ca="1">IFERROR(__xludf.DUMMYFUNCTION("""COMPUTED_VALUE"""),"2022-07-04T11:14:45.502Z")</f>
        <v>2022-07-04T11:14:45.502Z</v>
      </c>
    </row>
    <row r="644" spans="1:10" x14ac:dyDescent="0.2">
      <c r="A644" s="2" t="str">
        <f ca="1">IFERROR(__xludf.DUMMYFUNCTION("""COMPUTED_VALUE"""),"https://www.facebook.com/MrAndMrs.AlRenchie.Jumat")</f>
        <v>https://www.facebook.com/MrAndMrs.AlRenchie.Jumat</v>
      </c>
      <c r="B644" s="1" t="str">
        <f ca="1">IFERROR(__xludf.DUMMYFUNCTION("""COMPUTED_VALUE"""),"AL DC Jumat")</f>
        <v>AL DC Jumat</v>
      </c>
      <c r="C644" s="1" t="str">
        <f ca="1">IFERROR(__xludf.DUMMYFUNCTION("""COMPUTED_VALUE"""),"AL")</f>
        <v>AL</v>
      </c>
      <c r="D644" s="1" t="str">
        <f ca="1">IFERROR(__xludf.DUMMYFUNCTION("""COMPUTED_VALUE"""),"DC Jumat")</f>
        <v>DC Jumat</v>
      </c>
      <c r="E644" s="1" t="str">
        <f ca="1">IFERROR(__xludf.DUMMYFUNCTION("""COMPUTED_VALUE"""),"Arne Lopez abno tondo yun away kabataan...hahahahaha wala ka naman alam... Sa bagay libre mag mangarap😂😂😂")</f>
        <v>Arne Lopez abno tondo yun away kabataan...hahahahaha wala ka naman alam... Sa bagay libre mag mangarap😂😂😂</v>
      </c>
      <c r="F644" s="1"/>
      <c r="G644" s="1" t="str">
        <f ca="1">IFERROR(__xludf.DUMMYFUNCTION("""COMPUTED_VALUE"""),"3 mos")</f>
        <v>3 mos</v>
      </c>
      <c r="H644" s="1" t="str">
        <f ca="1">IFERROR(__xludf.DUMMYFUNCTION("""COMPUTED_VALUE"""),"reply")</f>
        <v>reply</v>
      </c>
      <c r="I644"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44" s="1" t="str">
        <f ca="1">IFERROR(__xludf.DUMMYFUNCTION("""COMPUTED_VALUE"""),"2022-07-04T11:14:45.502Z")</f>
        <v>2022-07-04T11:14:45.502Z</v>
      </c>
    </row>
    <row r="645" spans="1:10" x14ac:dyDescent="0.2">
      <c r="A645" s="2" t="str">
        <f ca="1">IFERROR(__xludf.DUMMYFUNCTION("""COMPUTED_VALUE"""),"https://www.facebook.com/ADATL02")</f>
        <v>https://www.facebook.com/ADATL02</v>
      </c>
      <c r="B645" s="1" t="str">
        <f ca="1">IFERROR(__xludf.DUMMYFUNCTION("""COMPUTED_VALUE"""),"AudeAr Lopez")</f>
        <v>AudeAr Lopez</v>
      </c>
      <c r="C645" s="1" t="str">
        <f ca="1">IFERROR(__xludf.DUMMYFUNCTION("""COMPUTED_VALUE"""),"AudeAr")</f>
        <v>AudeAr</v>
      </c>
      <c r="D645" s="1" t="str">
        <f ca="1">IFERROR(__xludf.DUMMYFUNCTION("""COMPUTED_VALUE"""),"Lopez")</f>
        <v>Lopez</v>
      </c>
      <c r="E645" s="1" t="str">
        <f ca="1">IFERROR(__xludf.DUMMYFUNCTION("""COMPUTED_VALUE"""),"AL DC Jumat wag mo nang ipagtanggol ang nangyari...kahit wala ako dun..simple...magulo kayo!")</f>
        <v>AL DC Jumat wag mo nang ipagtanggol ang nangyari...kahit wala ako dun..simple...magulo kayo!</v>
      </c>
      <c r="F645" s="1">
        <f ca="1">IFERROR(__xludf.DUMMYFUNCTION("""COMPUTED_VALUE"""),1)</f>
        <v>1</v>
      </c>
      <c r="G645" s="1" t="str">
        <f ca="1">IFERROR(__xludf.DUMMYFUNCTION("""COMPUTED_VALUE"""),"3 mos")</f>
        <v>3 mos</v>
      </c>
      <c r="H645" s="1" t="str">
        <f ca="1">IFERROR(__xludf.DUMMYFUNCTION("""COMPUTED_VALUE"""),"reply")</f>
        <v>reply</v>
      </c>
      <c r="I645"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45" s="1" t="str">
        <f ca="1">IFERROR(__xludf.DUMMYFUNCTION("""COMPUTED_VALUE"""),"2022-07-04T11:14:45.502Z")</f>
        <v>2022-07-04T11:14:45.502Z</v>
      </c>
    </row>
    <row r="646" spans="1:10" x14ac:dyDescent="0.2">
      <c r="A646" s="2" t="str">
        <f ca="1">IFERROR(__xludf.DUMMYFUNCTION("""COMPUTED_VALUE"""),"https://www.facebook.com/ADATL02")</f>
        <v>https://www.facebook.com/ADATL02</v>
      </c>
      <c r="B646" s="1" t="str">
        <f ca="1">IFERROR(__xludf.DUMMYFUNCTION("""COMPUTED_VALUE"""),"AudeAr Lopez")</f>
        <v>AudeAr Lopez</v>
      </c>
      <c r="C646" s="1" t="str">
        <f ca="1">IFERROR(__xludf.DUMMYFUNCTION("""COMPUTED_VALUE"""),"AudeAr")</f>
        <v>AudeAr</v>
      </c>
      <c r="D646" s="1" t="str">
        <f ca="1">IFERROR(__xludf.DUMMYFUNCTION("""COMPUTED_VALUE"""),"Lopez")</f>
        <v>Lopez</v>
      </c>
      <c r="E646" s="1" t="str">
        <f ca="1">IFERROR(__xludf.DUMMYFUNCTION("""COMPUTED_VALUE"""),"AL DC Jumat this how you guys do it!!!..https://fb.watch/b-vFavfkMP/")</f>
        <v>AL DC Jumat this how you guys do it!!!..https://fb.watch/b-vFavfkMP/</v>
      </c>
      <c r="F646" s="1"/>
      <c r="G646" s="1" t="str">
        <f ca="1">IFERROR(__xludf.DUMMYFUNCTION("""COMPUTED_VALUE"""),"March 26 at 2:12 PM")</f>
        <v>March 26 at 2:12 PM</v>
      </c>
      <c r="H646" s="1" t="str">
        <f ca="1">IFERROR(__xludf.DUMMYFUNCTION("""COMPUTED_VALUE"""),"reply")</f>
        <v>reply</v>
      </c>
      <c r="I646"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46" s="1" t="str">
        <f ca="1">IFERROR(__xludf.DUMMYFUNCTION("""COMPUTED_VALUE"""),"2022-07-04T11:14:45.502Z")</f>
        <v>2022-07-04T11:14:45.502Z</v>
      </c>
    </row>
    <row r="647" spans="1:10" x14ac:dyDescent="0.2">
      <c r="A647" s="2" t="str">
        <f ca="1">IFERROR(__xludf.DUMMYFUNCTION("""COMPUTED_VALUE"""),"https://www.facebook.com/marialucresia.laureno.1")</f>
        <v>https://www.facebook.com/marialucresia.laureno.1</v>
      </c>
      <c r="B647" s="1" t="str">
        <f ca="1">IFERROR(__xludf.DUMMYFUNCTION("""COMPUTED_VALUE"""),"Villarin Laureno")</f>
        <v>Villarin Laureno</v>
      </c>
      <c r="C647" s="1" t="str">
        <f ca="1">IFERROR(__xludf.DUMMYFUNCTION("""COMPUTED_VALUE"""),"Villarin")</f>
        <v>Villarin</v>
      </c>
      <c r="D647" s="1" t="str">
        <f ca="1">IFERROR(__xludf.DUMMYFUNCTION("""COMPUTED_VALUE"""),"Laureno")</f>
        <v>Laureno</v>
      </c>
      <c r="E647" s="1" t="str">
        <f ca="1">IFERROR(__xludf.DUMMYFUNCTION("""COMPUTED_VALUE"""),"ano yan alitaptap😁😁😁😁😁")</f>
        <v>ano yan alitaptap😁😁😁😁😁</v>
      </c>
      <c r="F647" s="1">
        <f ca="1">IFERROR(__xludf.DUMMYFUNCTION("""COMPUTED_VALUE"""),2)</f>
        <v>2</v>
      </c>
      <c r="G647" s="1" t="str">
        <f ca="1">IFERROR(__xludf.DUMMYFUNCTION("""COMPUTED_VALUE"""),"3 mos")</f>
        <v>3 mos</v>
      </c>
      <c r="H647" s="1" t="str">
        <f ca="1">IFERROR(__xludf.DUMMYFUNCTION("""COMPUTED_VALUE"""),"comment")</f>
        <v>comment</v>
      </c>
      <c r="I647"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47" s="1" t="str">
        <f ca="1">IFERROR(__xludf.DUMMYFUNCTION("""COMPUTED_VALUE"""),"2022-07-04T11:14:45.502Z")</f>
        <v>2022-07-04T11:14:45.502Z</v>
      </c>
    </row>
    <row r="648" spans="1:10" x14ac:dyDescent="0.2">
      <c r="A648" s="2" t="str">
        <f ca="1">IFERROR(__xludf.DUMMYFUNCTION("""COMPUTED_VALUE"""),"https://www.facebook.com/nora.valenzuela.96742")</f>
        <v>https://www.facebook.com/nora.valenzuela.96742</v>
      </c>
      <c r="B648" s="1" t="str">
        <f ca="1">IFERROR(__xludf.DUMMYFUNCTION("""COMPUTED_VALUE"""),"Nora Valenzuela")</f>
        <v>Nora Valenzuela</v>
      </c>
      <c r="C648" s="1" t="str">
        <f ca="1">IFERROR(__xludf.DUMMYFUNCTION("""COMPUTED_VALUE"""),"Nora")</f>
        <v>Nora</v>
      </c>
      <c r="D648" s="1" t="str">
        <f ca="1">IFERROR(__xludf.DUMMYFUNCTION("""COMPUTED_VALUE"""),"Valenzuela")</f>
        <v>Valenzuela</v>
      </c>
      <c r="E648" s="1" t="str">
        <f ca="1">IFERROR(__xludf.DUMMYFUNCTION("""COMPUTED_VALUE"""),"Villarin Laureno opo sawa na sa lobo at sibuyas")</f>
        <v>Villarin Laureno opo sawa na sa lobo at sibuyas</v>
      </c>
      <c r="F648" s="1">
        <f ca="1">IFERROR(__xludf.DUMMYFUNCTION("""COMPUTED_VALUE"""),4)</f>
        <v>4</v>
      </c>
      <c r="G648" s="1" t="str">
        <f ca="1">IFERROR(__xludf.DUMMYFUNCTION("""COMPUTED_VALUE"""),"3 mos")</f>
        <v>3 mos</v>
      </c>
      <c r="H648" s="1" t="str">
        <f ca="1">IFERROR(__xludf.DUMMYFUNCTION("""COMPUTED_VALUE"""),"reply")</f>
        <v>reply</v>
      </c>
      <c r="I648"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48" s="1" t="str">
        <f ca="1">IFERROR(__xludf.DUMMYFUNCTION("""COMPUTED_VALUE"""),"2022-07-04T11:14:45.502Z")</f>
        <v>2022-07-04T11:14:45.502Z</v>
      </c>
    </row>
    <row r="649" spans="1:10" x14ac:dyDescent="0.2">
      <c r="A649" s="2" t="str">
        <f ca="1">IFERROR(__xludf.DUMMYFUNCTION("""COMPUTED_VALUE"""),"https://www.facebook.com/profile.php?id=100075281044190")</f>
        <v>https://www.facebook.com/profile.php?id=100075281044190</v>
      </c>
      <c r="B649" s="1" t="str">
        <f ca="1">IFERROR(__xludf.DUMMYFUNCTION("""COMPUTED_VALUE"""),"Letty Flores")</f>
        <v>Letty Flores</v>
      </c>
      <c r="C649" s="1" t="str">
        <f ca="1">IFERROR(__xludf.DUMMYFUNCTION("""COMPUTED_VALUE"""),"Letty")</f>
        <v>Letty</v>
      </c>
      <c r="D649" s="1" t="str">
        <f ca="1">IFERROR(__xludf.DUMMYFUNCTION("""COMPUTED_VALUE"""),"Flores")</f>
        <v>Flores</v>
      </c>
      <c r="E649" s="1" t="str">
        <f ca="1">IFERROR(__xludf.DUMMYFUNCTION("""COMPUTED_VALUE"""),"NO RA Hahhaha mga desperado,dami qng tawa sa inyo!!🤣🤣🤣")</f>
        <v>NO RA Hahhaha mga desperado,dami qng tawa sa inyo!!🤣🤣🤣</v>
      </c>
      <c r="F649" s="1"/>
      <c r="G649" s="1" t="str">
        <f ca="1">IFERROR(__xludf.DUMMYFUNCTION("""COMPUTED_VALUE"""),"3 mos")</f>
        <v>3 mos</v>
      </c>
      <c r="H649" s="1" t="str">
        <f ca="1">IFERROR(__xludf.DUMMYFUNCTION("""COMPUTED_VALUE"""),"reply")</f>
        <v>reply</v>
      </c>
      <c r="I649"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49" s="1" t="str">
        <f ca="1">IFERROR(__xludf.DUMMYFUNCTION("""COMPUTED_VALUE"""),"2022-07-04T11:14:45.502Z")</f>
        <v>2022-07-04T11:14:45.502Z</v>
      </c>
    </row>
    <row r="650" spans="1:10" x14ac:dyDescent="0.2">
      <c r="A650" s="2" t="str">
        <f ca="1">IFERROR(__xludf.DUMMYFUNCTION("""COMPUTED_VALUE"""),"https://www.facebook.com/karl.andrei.921")</f>
        <v>https://www.facebook.com/karl.andrei.921</v>
      </c>
      <c r="B650" s="1" t="str">
        <f ca="1">IFERROR(__xludf.DUMMYFUNCTION("""COMPUTED_VALUE"""),"Karl Andrei Razon")</f>
        <v>Karl Andrei Razon</v>
      </c>
      <c r="C650" s="1" t="str">
        <f ca="1">IFERROR(__xludf.DUMMYFUNCTION("""COMPUTED_VALUE"""),"Karl")</f>
        <v>Karl</v>
      </c>
      <c r="D650" s="1" t="str">
        <f ca="1">IFERROR(__xludf.DUMMYFUNCTION("""COMPUTED_VALUE"""),"Andrei Razon")</f>
        <v>Andrei Razon</v>
      </c>
      <c r="E650" s="1" t="str">
        <f ca="1">IFERROR(__xludf.DUMMYFUNCTION("""COMPUTED_VALUE"""),"Villarin Laureno oo, yung sainyo kasi langaw")</f>
        <v>Villarin Laureno oo, yung sainyo kasi langaw</v>
      </c>
      <c r="F650" s="1"/>
      <c r="G650" s="1" t="str">
        <f ca="1">IFERROR(__xludf.DUMMYFUNCTION("""COMPUTED_VALUE"""),"3 mos")</f>
        <v>3 mos</v>
      </c>
      <c r="H650" s="1" t="str">
        <f ca="1">IFERROR(__xludf.DUMMYFUNCTION("""COMPUTED_VALUE"""),"reply")</f>
        <v>reply</v>
      </c>
      <c r="I650"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50" s="1" t="str">
        <f ca="1">IFERROR(__xludf.DUMMYFUNCTION("""COMPUTED_VALUE"""),"2022-07-04T11:14:45.502Z")</f>
        <v>2022-07-04T11:14:45.502Z</v>
      </c>
    </row>
    <row r="651" spans="1:10" x14ac:dyDescent="0.2">
      <c r="A651" s="2" t="str">
        <f ca="1">IFERROR(__xludf.DUMMYFUNCTION("""COMPUTED_VALUE"""),"https://www.facebook.com/nora.valenzuela.96742")</f>
        <v>https://www.facebook.com/nora.valenzuela.96742</v>
      </c>
      <c r="B651" s="1" t="str">
        <f ca="1">IFERROR(__xludf.DUMMYFUNCTION("""COMPUTED_VALUE"""),"Nora Valenzuela")</f>
        <v>Nora Valenzuela</v>
      </c>
      <c r="C651" s="1" t="str">
        <f ca="1">IFERROR(__xludf.DUMMYFUNCTION("""COMPUTED_VALUE"""),"Nora")</f>
        <v>Nora</v>
      </c>
      <c r="D651" s="1" t="str">
        <f ca="1">IFERROR(__xludf.DUMMYFUNCTION("""COMPUTED_VALUE"""),"Valenzuela")</f>
        <v>Valenzuela</v>
      </c>
      <c r="E651" s="1" t="str">
        <f ca="1">IFERROR(__xludf.DUMMYFUNCTION("""COMPUTED_VALUE"""),"Letty Flores d po kami.desperado sila ang nag tatanong kung mga alitaptap kaya sunagot opo , hinahanap namin yoong maraming nasa dilim para po maliwanagan sila at makapag siyasat wag mag pa budol ,.God bless po")</f>
        <v>Letty Flores d po kami.desperado sila ang nag tatanong kung mga alitaptap kaya sunagot opo , hinahanap namin yoong maraming nasa dilim para po maliwanagan sila at makapag siyasat wag mag pa budol ,.God bless po</v>
      </c>
      <c r="F651" s="1"/>
      <c r="G651" s="1" t="str">
        <f ca="1">IFERROR(__xludf.DUMMYFUNCTION("""COMPUTED_VALUE"""),"3 mos")</f>
        <v>3 mos</v>
      </c>
      <c r="H651" s="1" t="str">
        <f ca="1">IFERROR(__xludf.DUMMYFUNCTION("""COMPUTED_VALUE"""),"reply")</f>
        <v>reply</v>
      </c>
      <c r="I651"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51" s="1" t="str">
        <f ca="1">IFERROR(__xludf.DUMMYFUNCTION("""COMPUTED_VALUE"""),"2022-07-04T11:14:45.502Z")</f>
        <v>2022-07-04T11:14:45.502Z</v>
      </c>
    </row>
    <row r="652" spans="1:10" x14ac:dyDescent="0.2">
      <c r="A652" s="2" t="str">
        <f ca="1">IFERROR(__xludf.DUMMYFUNCTION("""COMPUTED_VALUE"""),"https://www.facebook.com/Aprilche888")</f>
        <v>https://www.facebook.com/Aprilche888</v>
      </c>
      <c r="B652" s="1" t="str">
        <f ca="1">IFERROR(__xludf.DUMMYFUNCTION("""COMPUTED_VALUE"""),"Che Rry")</f>
        <v>Che Rry</v>
      </c>
      <c r="C652" s="1" t="str">
        <f ca="1">IFERROR(__xludf.DUMMYFUNCTION("""COMPUTED_VALUE"""),"Che")</f>
        <v>Che</v>
      </c>
      <c r="D652" s="1" t="str">
        <f ca="1">IFERROR(__xludf.DUMMYFUNCTION("""COMPUTED_VALUE"""),"Rry")</f>
        <v>Rry</v>
      </c>
      <c r="E652" s="1" t="str">
        <f ca="1">IFERROR(__xludf.DUMMYFUNCTION("""COMPUTED_VALUE"""),"Che Rry")</f>
        <v>Che Rry</v>
      </c>
      <c r="F652" s="1">
        <f ca="1">IFERROR(__xludf.DUMMYFUNCTION("""COMPUTED_VALUE"""),7)</f>
        <v>7</v>
      </c>
      <c r="G652" s="1" t="str">
        <f ca="1">IFERROR(__xludf.DUMMYFUNCTION("""COMPUTED_VALUE"""),"3 mos")</f>
        <v>3 mos</v>
      </c>
      <c r="H652" s="1" t="str">
        <f ca="1">IFERROR(__xludf.DUMMYFUNCTION("""COMPUTED_VALUE"""),"comment")</f>
        <v>comment</v>
      </c>
      <c r="I652"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52" s="1" t="str">
        <f ca="1">IFERROR(__xludf.DUMMYFUNCTION("""COMPUTED_VALUE"""),"2022-07-04T11:14:45.502Z")</f>
        <v>2022-07-04T11:14:45.502Z</v>
      </c>
    </row>
    <row r="653" spans="1:10" x14ac:dyDescent="0.2">
      <c r="A653" s="2" t="str">
        <f ca="1">IFERROR(__xludf.DUMMYFUNCTION("""COMPUTED_VALUE"""),"https://www.facebook.com/profile.php?id=100060712852407")</f>
        <v>https://www.facebook.com/profile.php?id=100060712852407</v>
      </c>
      <c r="B653" s="1" t="str">
        <f ca="1">IFERROR(__xludf.DUMMYFUNCTION("""COMPUTED_VALUE"""),"Bautista Lorraine Lara")</f>
        <v>Bautista Lorraine Lara</v>
      </c>
      <c r="C653" s="1" t="str">
        <f ca="1">IFERROR(__xludf.DUMMYFUNCTION("""COMPUTED_VALUE"""),"Bautista")</f>
        <v>Bautista</v>
      </c>
      <c r="D653" s="1" t="str">
        <f ca="1">IFERROR(__xludf.DUMMYFUNCTION("""COMPUTED_VALUE"""),"Lorraine Lara")</f>
        <v>Lorraine Lara</v>
      </c>
      <c r="E653" s="1" t="str">
        <f ca="1">IFERROR(__xludf.DUMMYFUNCTION("""COMPUTED_VALUE"""),"MIND CONDITIONER LANG ANG PEG NILA.")</f>
        <v>MIND CONDITIONER LANG ANG PEG NILA.</v>
      </c>
      <c r="F653" s="1">
        <f ca="1">IFERROR(__xludf.DUMMYFUNCTION("""COMPUTED_VALUE"""),1)</f>
        <v>1</v>
      </c>
      <c r="G653" s="1" t="str">
        <f ca="1">IFERROR(__xludf.DUMMYFUNCTION("""COMPUTED_VALUE"""),"3 mos")</f>
        <v>3 mos</v>
      </c>
      <c r="H653" s="1" t="str">
        <f ca="1">IFERROR(__xludf.DUMMYFUNCTION("""COMPUTED_VALUE"""),"comment")</f>
        <v>comment</v>
      </c>
      <c r="I653"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53" s="1" t="str">
        <f ca="1">IFERROR(__xludf.DUMMYFUNCTION("""COMPUTED_VALUE"""),"2022-07-04T11:14:45.502Z")</f>
        <v>2022-07-04T11:14:45.502Z</v>
      </c>
    </row>
    <row r="654" spans="1:10" x14ac:dyDescent="0.2">
      <c r="A654" s="2" t="str">
        <f ca="1">IFERROR(__xludf.DUMMYFUNCTION("""COMPUTED_VALUE"""),"https://www.facebook.com/pablo.jobs")</f>
        <v>https://www.facebook.com/pablo.jobs</v>
      </c>
      <c r="B654" s="1" t="str">
        <f ca="1">IFERROR(__xludf.DUMMYFUNCTION("""COMPUTED_VALUE"""),"Pablo Jobs")</f>
        <v>Pablo Jobs</v>
      </c>
      <c r="C654" s="1" t="str">
        <f ca="1">IFERROR(__xludf.DUMMYFUNCTION("""COMPUTED_VALUE"""),"Pablo")</f>
        <v>Pablo</v>
      </c>
      <c r="D654" s="1" t="str">
        <f ca="1">IFERROR(__xludf.DUMMYFUNCTION("""COMPUTED_VALUE"""),"Jobs")</f>
        <v>Jobs</v>
      </c>
      <c r="E654" s="1" t="str">
        <f ca="1">IFERROR(__xludf.DUMMYFUNCTION("""COMPUTED_VALUE"""),"Bautista Lorraine Lara ikaw walang mind")</f>
        <v>Bautista Lorraine Lara ikaw walang mind</v>
      </c>
      <c r="F654" s="1">
        <f ca="1">IFERROR(__xludf.DUMMYFUNCTION("""COMPUTED_VALUE"""),1)</f>
        <v>1</v>
      </c>
      <c r="G654" s="1" t="str">
        <f ca="1">IFERROR(__xludf.DUMMYFUNCTION("""COMPUTED_VALUE"""),"3 mos")</f>
        <v>3 mos</v>
      </c>
      <c r="H654" s="1" t="str">
        <f ca="1">IFERROR(__xludf.DUMMYFUNCTION("""COMPUTED_VALUE"""),"reply")</f>
        <v>reply</v>
      </c>
      <c r="I654"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54" s="1" t="str">
        <f ca="1">IFERROR(__xludf.DUMMYFUNCTION("""COMPUTED_VALUE"""),"2022-07-04T11:14:45.502Z")</f>
        <v>2022-07-04T11:14:45.502Z</v>
      </c>
    </row>
    <row r="655" spans="1:10" x14ac:dyDescent="0.2">
      <c r="A655" s="2" t="str">
        <f ca="1">IFERROR(__xludf.DUMMYFUNCTION("""COMPUTED_VALUE"""),"https://www.facebook.com/israelflores.acesheart")</f>
        <v>https://www.facebook.com/israelflores.acesheart</v>
      </c>
      <c r="B655" s="1" t="str">
        <f ca="1">IFERROR(__xludf.DUMMYFUNCTION("""COMPUTED_VALUE"""),"Israel Flores")</f>
        <v>Israel Flores</v>
      </c>
      <c r="C655" s="1" t="str">
        <f ca="1">IFERROR(__xludf.DUMMYFUNCTION("""COMPUTED_VALUE"""),"Israel")</f>
        <v>Israel</v>
      </c>
      <c r="D655" s="1" t="str">
        <f ca="1">IFERROR(__xludf.DUMMYFUNCTION("""COMPUTED_VALUE"""),"Flores")</f>
        <v>Flores</v>
      </c>
      <c r="E655" s="1" t="str">
        <f ca="1">IFERROR(__xludf.DUMMYFUNCTION("""COMPUTED_VALUE"""),"Kitang Kita Ang dilim Ang dami nga daming alitap tap 😂😂😂")</f>
        <v>Kitang Kita Ang dilim Ang dami nga daming alitap tap 😂😂😂</v>
      </c>
      <c r="F655" s="1">
        <f ca="1">IFERROR(__xludf.DUMMYFUNCTION("""COMPUTED_VALUE"""),2)</f>
        <v>2</v>
      </c>
      <c r="G655" s="1" t="str">
        <f ca="1">IFERROR(__xludf.DUMMYFUNCTION("""COMPUTED_VALUE"""),"3 mos")</f>
        <v>3 mos</v>
      </c>
      <c r="H655" s="1" t="str">
        <f ca="1">IFERROR(__xludf.DUMMYFUNCTION("""COMPUTED_VALUE"""),"comment")</f>
        <v>comment</v>
      </c>
      <c r="I655" s="2" t="str">
        <f ca="1">IFERROR(__xludf.DUMMYFUNCTION("""COMPUTED_VALUE"""),"https://www.facebook.com/rapplerdotcom/posts/pfbid023goEfA6e1ABSWYJFy8fQ5LFWDv4QTSTmAfzySGtMSpy12iqywB2MUZjiZ8GjCxrGl")</f>
        <v>https://www.facebook.com/rapplerdotcom/posts/pfbid023goEfA6e1ABSWYJFy8fQ5LFWDv4QTSTmAfzySGtMSpy12iqywB2MUZjiZ8GjCxrGl</v>
      </c>
      <c r="J655" s="1" t="str">
        <f ca="1">IFERROR(__xludf.DUMMYFUNCTION("""COMPUTED_VALUE"""),"2022-07-04T11:14:45.502Z")</f>
        <v>2022-07-04T11:14:45.502Z</v>
      </c>
    </row>
    <row r="656" spans="1:10" x14ac:dyDescent="0.2">
      <c r="A656" s="2" t="str">
        <f ca="1">IFERROR(__xludf.DUMMYFUNCTION("""COMPUTED_VALUE"""),"https://www.facebook.com/profile.php?id=100071438692260")</f>
        <v>https://www.facebook.com/profile.php?id=100071438692260</v>
      </c>
      <c r="B656" s="1" t="str">
        <f ca="1">IFERROR(__xludf.DUMMYFUNCTION("""COMPUTED_VALUE"""),"M.A. Partoza")</f>
        <v>M.A. Partoza</v>
      </c>
      <c r="C656" s="1" t="str">
        <f ca="1">IFERROR(__xludf.DUMMYFUNCTION("""COMPUTED_VALUE"""),"M.A.")</f>
        <v>M.A.</v>
      </c>
      <c r="D656" s="1" t="str">
        <f ca="1">IFERROR(__xludf.DUMMYFUNCTION("""COMPUTED_VALUE"""),"Partoza")</f>
        <v>Partoza</v>
      </c>
      <c r="E656" s="1" t="str">
        <f ca="1">IFERROR(__xludf.DUMMYFUNCTION("""COMPUTED_VALUE"""),"Insatiable greed for power and money. God have mercy on their souls. 🙏🙏🙏")</f>
        <v>Insatiable greed for power and money. God have mercy on their souls. 🙏🙏🙏</v>
      </c>
      <c r="F656" s="1">
        <f ca="1">IFERROR(__xludf.DUMMYFUNCTION("""COMPUTED_VALUE"""),22)</f>
        <v>22</v>
      </c>
      <c r="G656" s="1" t="str">
        <f ca="1">IFERROR(__xludf.DUMMYFUNCTION("""COMPUTED_VALUE"""),"3 mos")</f>
        <v>3 mos</v>
      </c>
      <c r="H656" s="1" t="str">
        <f ca="1">IFERROR(__xludf.DUMMYFUNCTION("""COMPUTED_VALUE"""),"comment")</f>
        <v>comment</v>
      </c>
      <c r="I656" s="2" t="str">
        <f ca="1">IFERROR(__xludf.DUMMYFUNCTION("""COMPUTED_VALUE"""),"https://www.facebook.com/rapplerdotcom/photos/a.317154781638645/5597116770309060/")</f>
        <v>https://www.facebook.com/rapplerdotcom/photos/a.317154781638645/5597116770309060/</v>
      </c>
      <c r="J656" s="1" t="str">
        <f ca="1">IFERROR(__xludf.DUMMYFUNCTION("""COMPUTED_VALUE"""),"2022-07-04T11:15:29.862Z")</f>
        <v>2022-07-04T11:15:29.862Z</v>
      </c>
    </row>
    <row r="657" spans="1:10" x14ac:dyDescent="0.2">
      <c r="A657" s="2" t="str">
        <f ca="1">IFERROR(__xludf.DUMMYFUNCTION("""COMPUTED_VALUE"""),"https://www.facebook.com/giljrmiranda")</f>
        <v>https://www.facebook.com/giljrmiranda</v>
      </c>
      <c r="B657" s="1" t="str">
        <f ca="1">IFERROR(__xludf.DUMMYFUNCTION("""COMPUTED_VALUE"""),"Gil Miranda Jr")</f>
        <v>Gil Miranda Jr</v>
      </c>
      <c r="C657" s="1" t="str">
        <f ca="1">IFERROR(__xludf.DUMMYFUNCTION("""COMPUTED_VALUE"""),"Gil")</f>
        <v>Gil</v>
      </c>
      <c r="D657" s="1" t="str">
        <f ca="1">IFERROR(__xludf.DUMMYFUNCTION("""COMPUTED_VALUE"""),"Miranda Jr")</f>
        <v>Miranda Jr</v>
      </c>
      <c r="E657" s="1" t="str">
        <f ca="1">IFERROR(__xludf.DUMMYFUNCTION("""COMPUTED_VALUE"""),"M.A. Partoza yung mga tao bang ganid, walang awa kung pumatay. Di ba may kasabihan tayo na “ Wala kang Kaluluwa”. Just saying.")</f>
        <v>M.A. Partoza yung mga tao bang ganid, walang awa kung pumatay. Di ba may kasabihan tayo na “ Wala kang Kaluluwa”. Just saying.</v>
      </c>
      <c r="F657" s="1"/>
      <c r="G657" s="1" t="str">
        <f ca="1">IFERROR(__xludf.DUMMYFUNCTION("""COMPUTED_VALUE"""),"3 mos")</f>
        <v>3 mos</v>
      </c>
      <c r="H657" s="1" t="str">
        <f ca="1">IFERROR(__xludf.DUMMYFUNCTION("""COMPUTED_VALUE"""),"reply")</f>
        <v>reply</v>
      </c>
      <c r="I657" s="2" t="str">
        <f ca="1">IFERROR(__xludf.DUMMYFUNCTION("""COMPUTED_VALUE"""),"https://www.facebook.com/rapplerdotcom/photos/a.317154781638645/5597116770309060/")</f>
        <v>https://www.facebook.com/rapplerdotcom/photos/a.317154781638645/5597116770309060/</v>
      </c>
      <c r="J657" s="1" t="str">
        <f ca="1">IFERROR(__xludf.DUMMYFUNCTION("""COMPUTED_VALUE"""),"2022-07-04T11:15:29.862Z")</f>
        <v>2022-07-04T11:15:29.862Z</v>
      </c>
    </row>
    <row r="658" spans="1:10" x14ac:dyDescent="0.2">
      <c r="A658" s="2" t="str">
        <f ca="1">IFERROR(__xludf.DUMMYFUNCTION("""COMPUTED_VALUE"""),"https://www.facebook.com/lou.arsenio")</f>
        <v>https://www.facebook.com/lou.arsenio</v>
      </c>
      <c r="B658" s="1" t="str">
        <f ca="1">IFERROR(__xludf.DUMMYFUNCTION("""COMPUTED_VALUE"""),"Lou Arsenio")</f>
        <v>Lou Arsenio</v>
      </c>
      <c r="C658" s="1" t="str">
        <f ca="1">IFERROR(__xludf.DUMMYFUNCTION("""COMPUTED_VALUE"""),"Lou")</f>
        <v>Lou</v>
      </c>
      <c r="D658" s="1" t="str">
        <f ca="1">IFERROR(__xludf.DUMMYFUNCTION("""COMPUTED_VALUE"""),"Arsenio")</f>
        <v>Arsenio</v>
      </c>
      <c r="E658" s="1" t="str">
        <f ca="1">IFERROR(__xludf.DUMMYFUNCTION("""COMPUTED_VALUE"""),"Ilocanos should already stop the marcoses political dynasties.. same in other cities and provinces!  Let young people not belonging to a political dynasty .. the likes of Vico Soto be given space in local politics..")</f>
        <v>Ilocanos should already stop the marcoses political dynasties.. same in other cities and provinces!  Let young people not belonging to a political dynasty .. the likes of Vico Soto be given space in local politics..</v>
      </c>
      <c r="F658" s="1">
        <f ca="1">IFERROR(__xludf.DUMMYFUNCTION("""COMPUTED_VALUE"""),114)</f>
        <v>114</v>
      </c>
      <c r="G658" s="1" t="str">
        <f ca="1">IFERROR(__xludf.DUMMYFUNCTION("""COMPUTED_VALUE"""),"3 mos")</f>
        <v>3 mos</v>
      </c>
      <c r="H658" s="1" t="str">
        <f ca="1">IFERROR(__xludf.DUMMYFUNCTION("""COMPUTED_VALUE"""),"comment")</f>
        <v>comment</v>
      </c>
      <c r="I658" s="2" t="str">
        <f ca="1">IFERROR(__xludf.DUMMYFUNCTION("""COMPUTED_VALUE"""),"https://www.facebook.com/rapplerdotcom/photos/a.317154781638645/5597116770309060/")</f>
        <v>https://www.facebook.com/rapplerdotcom/photos/a.317154781638645/5597116770309060/</v>
      </c>
      <c r="J658" s="1" t="str">
        <f ca="1">IFERROR(__xludf.DUMMYFUNCTION("""COMPUTED_VALUE"""),"2022-07-04T11:15:29.862Z")</f>
        <v>2022-07-04T11:15:29.862Z</v>
      </c>
    </row>
    <row r="659" spans="1:10" x14ac:dyDescent="0.2">
      <c r="A659" s="2" t="str">
        <f ca="1">IFERROR(__xludf.DUMMYFUNCTION("""COMPUTED_VALUE"""),"https://www.facebook.com/ronilo.tamares.5")</f>
        <v>https://www.facebook.com/ronilo.tamares.5</v>
      </c>
      <c r="B659" s="1" t="str">
        <f ca="1">IFERROR(__xludf.DUMMYFUNCTION("""COMPUTED_VALUE"""),"Ronilo Tamares")</f>
        <v>Ronilo Tamares</v>
      </c>
      <c r="C659" s="1" t="str">
        <f ca="1">IFERROR(__xludf.DUMMYFUNCTION("""COMPUTED_VALUE"""),"Ronilo")</f>
        <v>Ronilo</v>
      </c>
      <c r="D659" s="1" t="str">
        <f ca="1">IFERROR(__xludf.DUMMYFUNCTION("""COMPUTED_VALUE"""),"Tamares")</f>
        <v>Tamares</v>
      </c>
      <c r="E659" s="1" t="str">
        <f ca="1">IFERROR(__xludf.DUMMYFUNCTION("""COMPUTED_VALUE"""),"Lou Arsenio sugpuin")</f>
        <v>Lou Arsenio sugpuin</v>
      </c>
      <c r="F659" s="1"/>
      <c r="G659" s="1" t="str">
        <f ca="1">IFERROR(__xludf.DUMMYFUNCTION("""COMPUTED_VALUE"""),"3 mos")</f>
        <v>3 mos</v>
      </c>
      <c r="H659" s="1" t="str">
        <f ca="1">IFERROR(__xludf.DUMMYFUNCTION("""COMPUTED_VALUE"""),"reply")</f>
        <v>reply</v>
      </c>
      <c r="I659" s="2" t="str">
        <f ca="1">IFERROR(__xludf.DUMMYFUNCTION("""COMPUTED_VALUE"""),"https://www.facebook.com/rapplerdotcom/photos/a.317154781638645/5597116770309060/")</f>
        <v>https://www.facebook.com/rapplerdotcom/photos/a.317154781638645/5597116770309060/</v>
      </c>
      <c r="J659" s="1" t="str">
        <f ca="1">IFERROR(__xludf.DUMMYFUNCTION("""COMPUTED_VALUE"""),"2022-07-04T11:15:29.862Z")</f>
        <v>2022-07-04T11:15:29.862Z</v>
      </c>
    </row>
    <row r="660" spans="1:10" x14ac:dyDescent="0.2">
      <c r="A660" s="2" t="str">
        <f ca="1">IFERROR(__xludf.DUMMYFUNCTION("""COMPUTED_VALUE"""),"https://www.facebook.com/sol.reas")</f>
        <v>https://www.facebook.com/sol.reas</v>
      </c>
      <c r="B660" s="1" t="str">
        <f ca="1">IFERROR(__xludf.DUMMYFUNCTION("""COMPUTED_VALUE"""),"Sol Catalasan Reas")</f>
        <v>Sol Catalasan Reas</v>
      </c>
      <c r="C660" s="1" t="str">
        <f ca="1">IFERROR(__xludf.DUMMYFUNCTION("""COMPUTED_VALUE"""),"Sol")</f>
        <v>Sol</v>
      </c>
      <c r="D660" s="1" t="str">
        <f ca="1">IFERROR(__xludf.DUMMYFUNCTION("""COMPUTED_VALUE"""),"Catalasan Reas")</f>
        <v>Catalasan Reas</v>
      </c>
      <c r="E660" s="1" t="str">
        <f ca="1">IFERROR(__xludf.DUMMYFUNCTION("""COMPUTED_VALUE"""),"Lou Arsenio dynasty din, Tito Soto, the son vice mayor of Quezon City, vico Soto mayor ng pasig")</f>
        <v>Lou Arsenio dynasty din, Tito Soto, the son vice mayor of Quezon City, vico Soto mayor ng pasig</v>
      </c>
      <c r="F660" s="1"/>
      <c r="G660" s="1" t="str">
        <f ca="1">IFERROR(__xludf.DUMMYFUNCTION("""COMPUTED_VALUE"""),"3 mos")</f>
        <v>3 mos</v>
      </c>
      <c r="H660" s="1" t="str">
        <f ca="1">IFERROR(__xludf.DUMMYFUNCTION("""COMPUTED_VALUE"""),"reply")</f>
        <v>reply</v>
      </c>
      <c r="I660" s="2" t="str">
        <f ca="1">IFERROR(__xludf.DUMMYFUNCTION("""COMPUTED_VALUE"""),"https://www.facebook.com/rapplerdotcom/photos/a.317154781638645/5597116770309060/")</f>
        <v>https://www.facebook.com/rapplerdotcom/photos/a.317154781638645/5597116770309060/</v>
      </c>
      <c r="J660" s="1" t="str">
        <f ca="1">IFERROR(__xludf.DUMMYFUNCTION("""COMPUTED_VALUE"""),"2022-07-04T11:15:29.862Z")</f>
        <v>2022-07-04T11:15:29.862Z</v>
      </c>
    </row>
    <row r="661" spans="1:10" x14ac:dyDescent="0.2">
      <c r="A661" s="2" t="str">
        <f ca="1">IFERROR(__xludf.DUMMYFUNCTION("""COMPUTED_VALUE"""),"https://www.facebook.com/sec.anning")</f>
        <v>https://www.facebook.com/sec.anning</v>
      </c>
      <c r="B661" s="1" t="str">
        <f ca="1">IFERROR(__xludf.DUMMYFUNCTION("""COMPUTED_VALUE"""),"Oiretsele Etnar Annyram")</f>
        <v>Oiretsele Etnar Annyram</v>
      </c>
      <c r="C661" s="1" t="str">
        <f ca="1">IFERROR(__xludf.DUMMYFUNCTION("""COMPUTED_VALUE"""),"Oiretsele")</f>
        <v>Oiretsele</v>
      </c>
      <c r="D661" s="1" t="str">
        <f ca="1">IFERROR(__xludf.DUMMYFUNCTION("""COMPUTED_VALUE"""),"Etnar Annyram")</f>
        <v>Etnar Annyram</v>
      </c>
      <c r="E661" s="1" t="str">
        <f ca="1">IFERROR(__xludf.DUMMYFUNCTION("""COMPUTED_VALUE"""),"Lou Arsenio simple lng sagot jan.. love kc cl ng mga ilokano kc till now cla prin ang biniboto..")</f>
        <v>Lou Arsenio simple lng sagot jan.. love kc cl ng mga ilokano kc till now cla prin ang biniboto..</v>
      </c>
      <c r="F661" s="1">
        <f ca="1">IFERROR(__xludf.DUMMYFUNCTION("""COMPUTED_VALUE"""),1)</f>
        <v>1</v>
      </c>
      <c r="G661" s="1" t="str">
        <f ca="1">IFERROR(__xludf.DUMMYFUNCTION("""COMPUTED_VALUE"""),"3 mos")</f>
        <v>3 mos</v>
      </c>
      <c r="H661" s="1" t="str">
        <f ca="1">IFERROR(__xludf.DUMMYFUNCTION("""COMPUTED_VALUE"""),"reply")</f>
        <v>reply</v>
      </c>
      <c r="I661" s="2" t="str">
        <f ca="1">IFERROR(__xludf.DUMMYFUNCTION("""COMPUTED_VALUE"""),"https://www.facebook.com/rapplerdotcom/photos/a.317154781638645/5597116770309060/")</f>
        <v>https://www.facebook.com/rapplerdotcom/photos/a.317154781638645/5597116770309060/</v>
      </c>
      <c r="J661" s="1" t="str">
        <f ca="1">IFERROR(__xludf.DUMMYFUNCTION("""COMPUTED_VALUE"""),"2022-07-04T11:15:29.862Z")</f>
        <v>2022-07-04T11:15:29.862Z</v>
      </c>
    </row>
    <row r="662" spans="1:10" x14ac:dyDescent="0.2">
      <c r="A662" s="2" t="str">
        <f ca="1">IFERROR(__xludf.DUMMYFUNCTION("""COMPUTED_VALUE"""),"https://www.facebook.com/BimBirimBimBim")</f>
        <v>https://www.facebook.com/BimBirimBimBim</v>
      </c>
      <c r="B662" s="1" t="str">
        <f ca="1">IFERROR(__xludf.DUMMYFUNCTION("""COMPUTED_VALUE"""),"Bim Rodriguez")</f>
        <v>Bim Rodriguez</v>
      </c>
      <c r="C662" s="1" t="str">
        <f ca="1">IFERROR(__xludf.DUMMYFUNCTION("""COMPUTED_VALUE"""),"Bim")</f>
        <v>Bim</v>
      </c>
      <c r="D662" s="1" t="str">
        <f ca="1">IFERROR(__xludf.DUMMYFUNCTION("""COMPUTED_VALUE"""),"Rodriguez")</f>
        <v>Rodriguez</v>
      </c>
      <c r="E662" s="1" t="str">
        <f ca="1">IFERROR(__xludf.DUMMYFUNCTION("""COMPUTED_VALUE"""),"Oiretsele Etnar Annyram wrong. Unless they don’t have any other choice.")</f>
        <v>Oiretsele Etnar Annyram wrong. Unless they don’t have any other choice.</v>
      </c>
      <c r="F662" s="1">
        <f ca="1">IFERROR(__xludf.DUMMYFUNCTION("""COMPUTED_VALUE"""),2)</f>
        <v>2</v>
      </c>
      <c r="G662" s="1" t="str">
        <f ca="1">IFERROR(__xludf.DUMMYFUNCTION("""COMPUTED_VALUE"""),"3 mos")</f>
        <v>3 mos</v>
      </c>
      <c r="H662" s="1" t="str">
        <f ca="1">IFERROR(__xludf.DUMMYFUNCTION("""COMPUTED_VALUE"""),"reply")</f>
        <v>reply</v>
      </c>
      <c r="I662" s="2" t="str">
        <f ca="1">IFERROR(__xludf.DUMMYFUNCTION("""COMPUTED_VALUE"""),"https://www.facebook.com/rapplerdotcom/photos/a.317154781638645/5597116770309060/")</f>
        <v>https://www.facebook.com/rapplerdotcom/photos/a.317154781638645/5597116770309060/</v>
      </c>
      <c r="J662" s="1" t="str">
        <f ca="1">IFERROR(__xludf.DUMMYFUNCTION("""COMPUTED_VALUE"""),"2022-07-04T11:15:29.862Z")</f>
        <v>2022-07-04T11:15:29.862Z</v>
      </c>
    </row>
    <row r="663" spans="1:10" x14ac:dyDescent="0.2">
      <c r="A663" s="2" t="str">
        <f ca="1">IFERROR(__xludf.DUMMYFUNCTION("""COMPUTED_VALUE"""),"https://www.facebook.com/sec.anning")</f>
        <v>https://www.facebook.com/sec.anning</v>
      </c>
      <c r="B663" s="1" t="str">
        <f ca="1">IFERROR(__xludf.DUMMYFUNCTION("""COMPUTED_VALUE"""),"Oiretsele Etnar Annyram")</f>
        <v>Oiretsele Etnar Annyram</v>
      </c>
      <c r="C663" s="1" t="str">
        <f ca="1">IFERROR(__xludf.DUMMYFUNCTION("""COMPUTED_VALUE"""),"Oiretsele")</f>
        <v>Oiretsele</v>
      </c>
      <c r="D663" s="1" t="str">
        <f ca="1">IFERROR(__xludf.DUMMYFUNCTION("""COMPUTED_VALUE"""),"Etnar Annyram")</f>
        <v>Etnar Annyram</v>
      </c>
      <c r="E663" s="1" t="str">
        <f ca="1">IFERROR(__xludf.DUMMYFUNCTION("""COMPUTED_VALUE"""),"Bim Rodriguez pwede nmn may tumakbong ibang kalaban..kung tlgang ayaw na ng mga tao sa kanila matatalo cla..")</f>
        <v>Bim Rodriguez pwede nmn may tumakbong ibang kalaban..kung tlgang ayaw na ng mga tao sa kanila matatalo cla..</v>
      </c>
      <c r="F663" s="1"/>
      <c r="G663" s="1" t="str">
        <f ca="1">IFERROR(__xludf.DUMMYFUNCTION("""COMPUTED_VALUE"""),"3 mos")</f>
        <v>3 mos</v>
      </c>
      <c r="H663" s="1" t="str">
        <f ca="1">IFERROR(__xludf.DUMMYFUNCTION("""COMPUTED_VALUE"""),"reply")</f>
        <v>reply</v>
      </c>
      <c r="I663" s="2" t="str">
        <f ca="1">IFERROR(__xludf.DUMMYFUNCTION("""COMPUTED_VALUE"""),"https://www.facebook.com/rapplerdotcom/photos/a.317154781638645/5597116770309060/")</f>
        <v>https://www.facebook.com/rapplerdotcom/photos/a.317154781638645/5597116770309060/</v>
      </c>
      <c r="J663" s="1" t="str">
        <f ca="1">IFERROR(__xludf.DUMMYFUNCTION("""COMPUTED_VALUE"""),"2022-07-04T11:15:29.862Z")</f>
        <v>2022-07-04T11:15:29.862Z</v>
      </c>
    </row>
    <row r="664" spans="1:10" x14ac:dyDescent="0.2">
      <c r="A664" s="2" t="str">
        <f ca="1">IFERROR(__xludf.DUMMYFUNCTION("""COMPUTED_VALUE"""),"https://www.facebook.com/BimBirimBimBim")</f>
        <v>https://www.facebook.com/BimBirimBimBim</v>
      </c>
      <c r="B664" s="1" t="str">
        <f ca="1">IFERROR(__xludf.DUMMYFUNCTION("""COMPUTED_VALUE"""),"Bim Rodriguez")</f>
        <v>Bim Rodriguez</v>
      </c>
      <c r="C664" s="1" t="str">
        <f ca="1">IFERROR(__xludf.DUMMYFUNCTION("""COMPUTED_VALUE"""),"Bim")</f>
        <v>Bim</v>
      </c>
      <c r="D664" s="1" t="str">
        <f ca="1">IFERROR(__xludf.DUMMYFUNCTION("""COMPUTED_VALUE"""),"Rodriguez")</f>
        <v>Rodriguez</v>
      </c>
      <c r="E664" s="1" t="str">
        <f ca="1">IFERROR(__xludf.DUMMYFUNCTION("""COMPUTED_VALUE"""),"Oiretsele Etnar Annyram the thing is, they are fanatics. Kahit bigyan mo ng facts, di tatanggapin.")</f>
        <v>Oiretsele Etnar Annyram the thing is, they are fanatics. Kahit bigyan mo ng facts, di tatanggapin.</v>
      </c>
      <c r="F664" s="1">
        <f ca="1">IFERROR(__xludf.DUMMYFUNCTION("""COMPUTED_VALUE"""),1)</f>
        <v>1</v>
      </c>
      <c r="G664" s="1" t="str">
        <f ca="1">IFERROR(__xludf.DUMMYFUNCTION("""COMPUTED_VALUE"""),"3 mos")</f>
        <v>3 mos</v>
      </c>
      <c r="H664" s="1" t="str">
        <f ca="1">IFERROR(__xludf.DUMMYFUNCTION("""COMPUTED_VALUE"""),"reply")</f>
        <v>reply</v>
      </c>
      <c r="I664" s="2" t="str">
        <f ca="1">IFERROR(__xludf.DUMMYFUNCTION("""COMPUTED_VALUE"""),"https://www.facebook.com/rapplerdotcom/photos/a.317154781638645/5597116770309060/")</f>
        <v>https://www.facebook.com/rapplerdotcom/photos/a.317154781638645/5597116770309060/</v>
      </c>
      <c r="J664" s="1" t="str">
        <f ca="1">IFERROR(__xludf.DUMMYFUNCTION("""COMPUTED_VALUE"""),"2022-07-04T11:15:29.862Z")</f>
        <v>2022-07-04T11:15:29.862Z</v>
      </c>
    </row>
    <row r="665" spans="1:10" x14ac:dyDescent="0.2">
      <c r="A665" s="2" t="str">
        <f ca="1">IFERROR(__xludf.DUMMYFUNCTION("""COMPUTED_VALUE"""),"https://www.facebook.com/sec.anning")</f>
        <v>https://www.facebook.com/sec.anning</v>
      </c>
      <c r="B665" s="1" t="str">
        <f ca="1">IFERROR(__xludf.DUMMYFUNCTION("""COMPUTED_VALUE"""),"Oiretsele Etnar Annyram")</f>
        <v>Oiretsele Etnar Annyram</v>
      </c>
      <c r="C665" s="1" t="str">
        <f ca="1">IFERROR(__xludf.DUMMYFUNCTION("""COMPUTED_VALUE"""),"Oiretsele")</f>
        <v>Oiretsele</v>
      </c>
      <c r="D665" s="1" t="str">
        <f ca="1">IFERROR(__xludf.DUMMYFUNCTION("""COMPUTED_VALUE"""),"Etnar Annyram")</f>
        <v>Etnar Annyram</v>
      </c>
      <c r="E665" s="1" t="str">
        <f ca="1">IFERROR(__xludf.DUMMYFUNCTION("""COMPUTED_VALUE"""),"its not for u to decide then..kaya nga merong mga loyalist")</f>
        <v>its not for u to decide then..kaya nga merong mga loyalist</v>
      </c>
      <c r="F665" s="1"/>
      <c r="G665" s="1" t="str">
        <f ca="1">IFERROR(__xludf.DUMMYFUNCTION("""COMPUTED_VALUE"""),"3 mos")</f>
        <v>3 mos</v>
      </c>
      <c r="H665" s="1" t="str">
        <f ca="1">IFERROR(__xludf.DUMMYFUNCTION("""COMPUTED_VALUE"""),"reply")</f>
        <v>reply</v>
      </c>
      <c r="I665" s="2" t="str">
        <f ca="1">IFERROR(__xludf.DUMMYFUNCTION("""COMPUTED_VALUE"""),"https://www.facebook.com/rapplerdotcom/photos/a.317154781638645/5597116770309060/")</f>
        <v>https://www.facebook.com/rapplerdotcom/photos/a.317154781638645/5597116770309060/</v>
      </c>
      <c r="J665" s="1" t="str">
        <f ca="1">IFERROR(__xludf.DUMMYFUNCTION("""COMPUTED_VALUE"""),"2022-07-04T11:15:29.862Z")</f>
        <v>2022-07-04T11:15:29.862Z</v>
      </c>
    </row>
    <row r="666" spans="1:10" x14ac:dyDescent="0.2">
      <c r="A666" s="2" t="str">
        <f ca="1">IFERROR(__xludf.DUMMYFUNCTION("""COMPUTED_VALUE"""),"https://www.facebook.com/BimBirimBimBim")</f>
        <v>https://www.facebook.com/BimBirimBimBim</v>
      </c>
      <c r="B666" s="1" t="str">
        <f ca="1">IFERROR(__xludf.DUMMYFUNCTION("""COMPUTED_VALUE"""),"Bim Rodriguez")</f>
        <v>Bim Rodriguez</v>
      </c>
      <c r="C666" s="1" t="str">
        <f ca="1">IFERROR(__xludf.DUMMYFUNCTION("""COMPUTED_VALUE"""),"Bim")</f>
        <v>Bim</v>
      </c>
      <c r="D666" s="1" t="str">
        <f ca="1">IFERROR(__xludf.DUMMYFUNCTION("""COMPUTED_VALUE"""),"Rodriguez")</f>
        <v>Rodriguez</v>
      </c>
      <c r="E666" s="1" t="str">
        <f ca="1">IFERROR(__xludf.DUMMYFUNCTION("""COMPUTED_VALUE"""),"Oiretsele Etnar Annyram it’s not for you decide, yes. But it is for you educate them with facts and not to follow lies.")</f>
        <v>Oiretsele Etnar Annyram it’s not for you decide, yes. But it is for you educate them with facts and not to follow lies.</v>
      </c>
      <c r="F666" s="1"/>
      <c r="G666" s="1" t="str">
        <f ca="1">IFERROR(__xludf.DUMMYFUNCTION("""COMPUTED_VALUE"""),"3 mos")</f>
        <v>3 mos</v>
      </c>
      <c r="H666" s="1" t="str">
        <f ca="1">IFERROR(__xludf.DUMMYFUNCTION("""COMPUTED_VALUE"""),"reply")</f>
        <v>reply</v>
      </c>
      <c r="I666" s="2" t="str">
        <f ca="1">IFERROR(__xludf.DUMMYFUNCTION("""COMPUTED_VALUE"""),"https://www.facebook.com/rapplerdotcom/photos/a.317154781638645/5597116770309060/")</f>
        <v>https://www.facebook.com/rapplerdotcom/photos/a.317154781638645/5597116770309060/</v>
      </c>
      <c r="J666" s="1" t="str">
        <f ca="1">IFERROR(__xludf.DUMMYFUNCTION("""COMPUTED_VALUE"""),"2022-07-04T11:15:29.862Z")</f>
        <v>2022-07-04T11:15:29.862Z</v>
      </c>
    </row>
    <row r="667" spans="1:10" x14ac:dyDescent="0.2">
      <c r="A667" s="2" t="str">
        <f ca="1">IFERROR(__xludf.DUMMYFUNCTION("""COMPUTED_VALUE"""),"https://www.facebook.com/beverly.dalton.161")</f>
        <v>https://www.facebook.com/beverly.dalton.161</v>
      </c>
      <c r="B667" s="1" t="str">
        <f ca="1">IFERROR(__xludf.DUMMYFUNCTION("""COMPUTED_VALUE"""),"Beverly Dalton")</f>
        <v>Beverly Dalton</v>
      </c>
      <c r="C667" s="1" t="str">
        <f ca="1">IFERROR(__xludf.DUMMYFUNCTION("""COMPUTED_VALUE"""),"Beverly")</f>
        <v>Beverly</v>
      </c>
      <c r="D667" s="1" t="str">
        <f ca="1">IFERROR(__xludf.DUMMYFUNCTION("""COMPUTED_VALUE"""),"Dalton")</f>
        <v>Dalton</v>
      </c>
      <c r="E667" s="1" t="str">
        <f ca="1">IFERROR(__xludf.DUMMYFUNCTION("""COMPUTED_VALUE"""),"Lou Arsenio bakit sila ang may kakayanan at hangarin makatulong katulad ni FMarcos   anong gusto nyo  yon walang nalalaman para inagsak ang Pilipinas")</f>
        <v>Lou Arsenio bakit sila ang may kakayanan at hangarin makatulong katulad ni FMarcos   anong gusto nyo  yon walang nalalaman para inagsak ang Pilipinas</v>
      </c>
      <c r="F667" s="1">
        <f ca="1">IFERROR(__xludf.DUMMYFUNCTION("""COMPUTED_VALUE"""),1)</f>
        <v>1</v>
      </c>
      <c r="G667" s="1" t="str">
        <f ca="1">IFERROR(__xludf.DUMMYFUNCTION("""COMPUTED_VALUE"""),"3 mos")</f>
        <v>3 mos</v>
      </c>
      <c r="H667" s="1" t="str">
        <f ca="1">IFERROR(__xludf.DUMMYFUNCTION("""COMPUTED_VALUE"""),"reply")</f>
        <v>reply</v>
      </c>
      <c r="I667" s="2" t="str">
        <f ca="1">IFERROR(__xludf.DUMMYFUNCTION("""COMPUTED_VALUE"""),"https://www.facebook.com/rapplerdotcom/photos/a.317154781638645/5597116770309060/")</f>
        <v>https://www.facebook.com/rapplerdotcom/photos/a.317154781638645/5597116770309060/</v>
      </c>
      <c r="J667" s="1" t="str">
        <f ca="1">IFERROR(__xludf.DUMMYFUNCTION("""COMPUTED_VALUE"""),"2022-07-04T11:15:29.862Z")</f>
        <v>2022-07-04T11:15:29.862Z</v>
      </c>
    </row>
    <row r="668" spans="1:10" x14ac:dyDescent="0.2">
      <c r="A668" s="2" t="str">
        <f ca="1">IFERROR(__xludf.DUMMYFUNCTION("""COMPUTED_VALUE"""),"https://www.facebook.com/We-Chose-Common-Sense-We-Voted-for-Leni-Kiko-2022-100975789090665/")</f>
        <v>https://www.facebook.com/We-Chose-Common-Sense-We-Voted-for-Leni-Kiko-2022-100975789090665/</v>
      </c>
      <c r="B668" s="1" t="str">
        <f ca="1">IFERROR(__xludf.DUMMYFUNCTION("""COMPUTED_VALUE"""),"We Chose Common Sense. We Voted for Leni-Kiko 2022")</f>
        <v>We Chose Common Sense. We Voted for Leni-Kiko 2022</v>
      </c>
      <c r="C668" s="1" t="str">
        <f ca="1">IFERROR(__xludf.DUMMYFUNCTION("""COMPUTED_VALUE"""),"We")</f>
        <v>We</v>
      </c>
      <c r="D668" s="1" t="str">
        <f ca="1">IFERROR(__xludf.DUMMYFUNCTION("""COMPUTED_VALUE"""),"Chose Common Sense. We Voted for Leni-Kiko 2022")</f>
        <v>Chose Common Sense. We Voted for Leni-Kiko 2022</v>
      </c>
      <c r="E668" s="1" t="str">
        <f ca="1">IFERROR(__xludf.DUMMYFUNCTION("""COMPUTED_VALUE"""),"Alamano is not a presidential material. Those who are feeble minded accept him. Those who are strong reject him.")</f>
        <v>Alamano is not a presidential material. Those who are feeble minded accept him. Those who are strong reject him.</v>
      </c>
      <c r="F668" s="1">
        <f ca="1">IFERROR(__xludf.DUMMYFUNCTION("""COMPUTED_VALUE"""),99)</f>
        <v>99</v>
      </c>
      <c r="G668" s="1" t="str">
        <f ca="1">IFERROR(__xludf.DUMMYFUNCTION("""COMPUTED_VALUE"""),"3 mos")</f>
        <v>3 mos</v>
      </c>
      <c r="H668" s="1" t="str">
        <f ca="1">IFERROR(__xludf.DUMMYFUNCTION("""COMPUTED_VALUE"""),"comment")</f>
        <v>comment</v>
      </c>
      <c r="I668" s="2" t="str">
        <f ca="1">IFERROR(__xludf.DUMMYFUNCTION("""COMPUTED_VALUE"""),"https://www.facebook.com/rapplerdotcom/photos/a.317154781638645/5597116770309060/")</f>
        <v>https://www.facebook.com/rapplerdotcom/photos/a.317154781638645/5597116770309060/</v>
      </c>
      <c r="J668" s="1" t="str">
        <f ca="1">IFERROR(__xludf.DUMMYFUNCTION("""COMPUTED_VALUE"""),"2022-07-04T11:15:29.862Z")</f>
        <v>2022-07-04T11:15:29.862Z</v>
      </c>
    </row>
    <row r="669" spans="1:10" x14ac:dyDescent="0.2">
      <c r="A669" s="2" t="str">
        <f ca="1">IFERROR(__xludf.DUMMYFUNCTION("""COMPUTED_VALUE"""),"https://www.facebook.com/roderick.reonal.7")</f>
        <v>https://www.facebook.com/roderick.reonal.7</v>
      </c>
      <c r="B669" s="1" t="str">
        <f ca="1">IFERROR(__xludf.DUMMYFUNCTION("""COMPUTED_VALUE"""),"Bong Abeleda Reonal")</f>
        <v>Bong Abeleda Reonal</v>
      </c>
      <c r="C669" s="1" t="str">
        <f ca="1">IFERROR(__xludf.DUMMYFUNCTION("""COMPUTED_VALUE"""),"Bong")</f>
        <v>Bong</v>
      </c>
      <c r="D669" s="1" t="str">
        <f ca="1">IFERROR(__xludf.DUMMYFUNCTION("""COMPUTED_VALUE"""),"Abeleda Reonal")</f>
        <v>Abeleda Reonal</v>
      </c>
      <c r="E669" s="1" t="str">
        <f ca="1">IFERROR(__xludf.DUMMYFUNCTION("""COMPUTED_VALUE"""),"Oh talaga lang ah..ok lang na political dynasty basta ba may nagagawa..peace")</f>
        <v>Oh talaga lang ah..ok lang na political dynasty basta ba may nagagawa..peace</v>
      </c>
      <c r="F669" s="1"/>
      <c r="G669" s="1" t="str">
        <f ca="1">IFERROR(__xludf.DUMMYFUNCTION("""COMPUTED_VALUE"""),"3 mos")</f>
        <v>3 mos</v>
      </c>
      <c r="H669" s="1" t="str">
        <f ca="1">IFERROR(__xludf.DUMMYFUNCTION("""COMPUTED_VALUE"""),"comment")</f>
        <v>comment</v>
      </c>
      <c r="I669" s="2" t="str">
        <f ca="1">IFERROR(__xludf.DUMMYFUNCTION("""COMPUTED_VALUE"""),"https://www.facebook.com/rapplerdotcom/photos/a.317154781638645/5597116770309060/")</f>
        <v>https://www.facebook.com/rapplerdotcom/photos/a.317154781638645/5597116770309060/</v>
      </c>
      <c r="J669" s="1" t="str">
        <f ca="1">IFERROR(__xludf.DUMMYFUNCTION("""COMPUTED_VALUE"""),"2022-07-04T11:15:29.862Z")</f>
        <v>2022-07-04T11:15:29.862Z</v>
      </c>
    </row>
    <row r="670" spans="1:10" x14ac:dyDescent="0.2">
      <c r="A670" s="2" t="str">
        <f ca="1">IFERROR(__xludf.DUMMYFUNCTION("""COMPUTED_VALUE"""),"https://www.facebook.com/ino.reyes.1441")</f>
        <v>https://www.facebook.com/ino.reyes.1441</v>
      </c>
      <c r="B670" s="1" t="str">
        <f ca="1">IFERROR(__xludf.DUMMYFUNCTION("""COMPUTED_VALUE"""),"Ino Reyes")</f>
        <v>Ino Reyes</v>
      </c>
      <c r="C670" s="1" t="str">
        <f ca="1">IFERROR(__xludf.DUMMYFUNCTION("""COMPUTED_VALUE"""),"Ino")</f>
        <v>Ino</v>
      </c>
      <c r="D670" s="1" t="str">
        <f ca="1">IFERROR(__xludf.DUMMYFUNCTION("""COMPUTED_VALUE"""),"Reyes")</f>
        <v>Reyes</v>
      </c>
      <c r="E670" s="1" t="str">
        <f ca="1">IFERROR(__xludf.DUMMYFUNCTION("""COMPUTED_VALUE"""),"LOVE YOUR COUNTRY NOT the POLITICAL DYNASTIES!!! #GobyernongTapat #AngatBuhayLahat #LeniKiko2022 TEAM IBOTO ang mas karapatdapat")</f>
        <v>LOVE YOUR COUNTRY NOT the POLITICAL DYNASTIES!!! #GobyernongTapat #AngatBuhayLahat #LeniKiko2022 TEAM IBOTO ang mas karapatdapat</v>
      </c>
      <c r="F670" s="1">
        <f ca="1">IFERROR(__xludf.DUMMYFUNCTION("""COMPUTED_VALUE"""),77)</f>
        <v>77</v>
      </c>
      <c r="G670" s="1" t="str">
        <f ca="1">IFERROR(__xludf.DUMMYFUNCTION("""COMPUTED_VALUE"""),"3 mos")</f>
        <v>3 mos</v>
      </c>
      <c r="H670" s="1" t="str">
        <f ca="1">IFERROR(__xludf.DUMMYFUNCTION("""COMPUTED_VALUE"""),"comment")</f>
        <v>comment</v>
      </c>
      <c r="I670" s="2" t="str">
        <f ca="1">IFERROR(__xludf.DUMMYFUNCTION("""COMPUTED_VALUE"""),"https://www.facebook.com/rapplerdotcom/photos/a.317154781638645/5597116770309060/")</f>
        <v>https://www.facebook.com/rapplerdotcom/photos/a.317154781638645/5597116770309060/</v>
      </c>
      <c r="J670" s="1" t="str">
        <f ca="1">IFERROR(__xludf.DUMMYFUNCTION("""COMPUTED_VALUE"""),"2022-07-04T11:15:29.862Z")</f>
        <v>2022-07-04T11:15:29.862Z</v>
      </c>
    </row>
    <row r="671" spans="1:10" x14ac:dyDescent="0.2">
      <c r="A671" s="2" t="str">
        <f ca="1">IFERROR(__xludf.DUMMYFUNCTION("""COMPUTED_VALUE"""),"https://www.facebook.com/frandy.arondaing")</f>
        <v>https://www.facebook.com/frandy.arondaing</v>
      </c>
      <c r="B671" s="1" t="str">
        <f ca="1">IFERROR(__xludf.DUMMYFUNCTION("""COMPUTED_VALUE"""),"Randy Arondaing")</f>
        <v>Randy Arondaing</v>
      </c>
      <c r="C671" s="1" t="str">
        <f ca="1">IFERROR(__xludf.DUMMYFUNCTION("""COMPUTED_VALUE"""),"Randy")</f>
        <v>Randy</v>
      </c>
      <c r="D671" s="1" t="str">
        <f ca="1">IFERROR(__xludf.DUMMYFUNCTION("""COMPUTED_VALUE"""),"Arondaing")</f>
        <v>Arondaing</v>
      </c>
      <c r="E671" s="1" t="str">
        <f ca="1">IFERROR(__xludf.DUMMYFUNCTION("""COMPUTED_VALUE"""),"Ino Reyes SARA IMEE 2028")</f>
        <v>Ino Reyes SARA IMEE 2028</v>
      </c>
      <c r="F671" s="1">
        <f ca="1">IFERROR(__xludf.DUMMYFUNCTION("""COMPUTED_VALUE"""),3)</f>
        <v>3</v>
      </c>
      <c r="G671" s="1" t="str">
        <f ca="1">IFERROR(__xludf.DUMMYFUNCTION("""COMPUTED_VALUE"""),"3 mos")</f>
        <v>3 mos</v>
      </c>
      <c r="H671" s="1" t="str">
        <f ca="1">IFERROR(__xludf.DUMMYFUNCTION("""COMPUTED_VALUE"""),"reply")</f>
        <v>reply</v>
      </c>
      <c r="I671" s="2" t="str">
        <f ca="1">IFERROR(__xludf.DUMMYFUNCTION("""COMPUTED_VALUE"""),"https://www.facebook.com/rapplerdotcom/photos/a.317154781638645/5597116770309060/")</f>
        <v>https://www.facebook.com/rapplerdotcom/photos/a.317154781638645/5597116770309060/</v>
      </c>
      <c r="J671" s="1" t="str">
        <f ca="1">IFERROR(__xludf.DUMMYFUNCTION("""COMPUTED_VALUE"""),"2022-07-04T11:15:29.862Z")</f>
        <v>2022-07-04T11:15:29.862Z</v>
      </c>
    </row>
    <row r="672" spans="1:10" x14ac:dyDescent="0.2">
      <c r="A672" s="2" t="str">
        <f ca="1">IFERROR(__xludf.DUMMYFUNCTION("""COMPUTED_VALUE"""),"https://www.facebook.com/ken.chiz.393")</f>
        <v>https://www.facebook.com/ken.chiz.393</v>
      </c>
      <c r="B672" s="1" t="str">
        <f ca="1">IFERROR(__xludf.DUMMYFUNCTION("""COMPUTED_VALUE"""),"Ken Chiz")</f>
        <v>Ken Chiz</v>
      </c>
      <c r="C672" s="1" t="str">
        <f ca="1">IFERROR(__xludf.DUMMYFUNCTION("""COMPUTED_VALUE"""),"Ken")</f>
        <v>Ken</v>
      </c>
      <c r="D672" s="1" t="str">
        <f ca="1">IFERROR(__xludf.DUMMYFUNCTION("""COMPUTED_VALUE"""),"Chiz")</f>
        <v>Chiz</v>
      </c>
      <c r="E672" s="1" t="str">
        <f ca="1">IFERROR(__xludf.DUMMYFUNCTION("""COMPUTED_VALUE"""),"Ino Reyes kaya pala pink na flag winawagayway nyo instead of Philippine flag 🤮🤮😂😂😂")</f>
        <v>Ino Reyes kaya pala pink na flag winawagayway nyo instead of Philippine flag 🤮🤮😂😂😂</v>
      </c>
      <c r="F672" s="1">
        <f ca="1">IFERROR(__xludf.DUMMYFUNCTION("""COMPUTED_VALUE"""),2)</f>
        <v>2</v>
      </c>
      <c r="G672" s="1" t="str">
        <f ca="1">IFERROR(__xludf.DUMMYFUNCTION("""COMPUTED_VALUE"""),"3 mos")</f>
        <v>3 mos</v>
      </c>
      <c r="H672" s="1" t="str">
        <f ca="1">IFERROR(__xludf.DUMMYFUNCTION("""COMPUTED_VALUE"""),"reply")</f>
        <v>reply</v>
      </c>
      <c r="I672" s="2" t="str">
        <f ca="1">IFERROR(__xludf.DUMMYFUNCTION("""COMPUTED_VALUE"""),"https://www.facebook.com/rapplerdotcom/photos/a.317154781638645/5597116770309060/")</f>
        <v>https://www.facebook.com/rapplerdotcom/photos/a.317154781638645/5597116770309060/</v>
      </c>
      <c r="J672" s="1" t="str">
        <f ca="1">IFERROR(__xludf.DUMMYFUNCTION("""COMPUTED_VALUE"""),"2022-07-04T11:15:29.862Z")</f>
        <v>2022-07-04T11:15:29.862Z</v>
      </c>
    </row>
    <row r="673" spans="1:10" x14ac:dyDescent="0.2">
      <c r="A673" s="2" t="str">
        <f ca="1">IFERROR(__xludf.DUMMYFUNCTION("""COMPUTED_VALUE"""),"https://www.facebook.com/marvin.andasan.5")</f>
        <v>https://www.facebook.com/marvin.andasan.5</v>
      </c>
      <c r="B673" s="1" t="str">
        <f ca="1">IFERROR(__xludf.DUMMYFUNCTION("""COMPUTED_VALUE"""),"Vinram Andasan")</f>
        <v>Vinram Andasan</v>
      </c>
      <c r="C673" s="1" t="str">
        <f ca="1">IFERROR(__xludf.DUMMYFUNCTION("""COMPUTED_VALUE"""),"Vinram")</f>
        <v>Vinram</v>
      </c>
      <c r="D673" s="1" t="str">
        <f ca="1">IFERROR(__xludf.DUMMYFUNCTION("""COMPUTED_VALUE"""),"Andasan")</f>
        <v>Andasan</v>
      </c>
      <c r="E673" s="1" t="str">
        <f ca="1">IFERROR(__xludf.DUMMYFUNCTION("""COMPUTED_VALUE"""),"Ino Reyes karapat dapat? Haha sana noon pa naging karapat dapat")</f>
        <v>Ino Reyes karapat dapat? Haha sana noon pa naging karapat dapat</v>
      </c>
      <c r="F673" s="1">
        <f ca="1">IFERROR(__xludf.DUMMYFUNCTION("""COMPUTED_VALUE"""),1)</f>
        <v>1</v>
      </c>
      <c r="G673" s="1" t="str">
        <f ca="1">IFERROR(__xludf.DUMMYFUNCTION("""COMPUTED_VALUE"""),"3 mos")</f>
        <v>3 mos</v>
      </c>
      <c r="H673" s="1" t="str">
        <f ca="1">IFERROR(__xludf.DUMMYFUNCTION("""COMPUTED_VALUE"""),"reply")</f>
        <v>reply</v>
      </c>
      <c r="I673" s="2" t="str">
        <f ca="1">IFERROR(__xludf.DUMMYFUNCTION("""COMPUTED_VALUE"""),"https://www.facebook.com/rapplerdotcom/photos/a.317154781638645/5597116770309060/")</f>
        <v>https://www.facebook.com/rapplerdotcom/photos/a.317154781638645/5597116770309060/</v>
      </c>
      <c r="J673" s="1" t="str">
        <f ca="1">IFERROR(__xludf.DUMMYFUNCTION("""COMPUTED_VALUE"""),"2022-07-04T11:15:29.862Z")</f>
        <v>2022-07-04T11:15:29.862Z</v>
      </c>
    </row>
    <row r="674" spans="1:10" x14ac:dyDescent="0.2">
      <c r="A674" s="2" t="str">
        <f ca="1">IFERROR(__xludf.DUMMYFUNCTION("""COMPUTED_VALUE"""),"https://www.facebook.com/judith.baricuatro")</f>
        <v>https://www.facebook.com/judith.baricuatro</v>
      </c>
      <c r="B674" s="1" t="str">
        <f ca="1">IFERROR(__xludf.DUMMYFUNCTION("""COMPUTED_VALUE"""),"Judith Baricuatro")</f>
        <v>Judith Baricuatro</v>
      </c>
      <c r="C674" s="1" t="str">
        <f ca="1">IFERROR(__xludf.DUMMYFUNCTION("""COMPUTED_VALUE"""),"Judith")</f>
        <v>Judith</v>
      </c>
      <c r="D674" s="1" t="str">
        <f ca="1">IFERROR(__xludf.DUMMYFUNCTION("""COMPUTED_VALUE"""),"Baricuatro")</f>
        <v>Baricuatro</v>
      </c>
      <c r="E674" s="1" t="str">
        <f ca="1">IFERROR(__xludf.DUMMYFUNCTION("""COMPUTED_VALUE"""),"Ino Reyes BBMSARA solid kami")</f>
        <v>Ino Reyes BBMSARA solid kami</v>
      </c>
      <c r="F674" s="1">
        <f ca="1">IFERROR(__xludf.DUMMYFUNCTION("""COMPUTED_VALUE"""),2)</f>
        <v>2</v>
      </c>
      <c r="G674" s="1" t="str">
        <f ca="1">IFERROR(__xludf.DUMMYFUNCTION("""COMPUTED_VALUE"""),"3 mos")</f>
        <v>3 mos</v>
      </c>
      <c r="H674" s="1" t="str">
        <f ca="1">IFERROR(__xludf.DUMMYFUNCTION("""COMPUTED_VALUE"""),"reply")</f>
        <v>reply</v>
      </c>
      <c r="I674" s="2" t="str">
        <f ca="1">IFERROR(__xludf.DUMMYFUNCTION("""COMPUTED_VALUE"""),"https://www.facebook.com/rapplerdotcom/photos/a.317154781638645/5597116770309060/")</f>
        <v>https://www.facebook.com/rapplerdotcom/photos/a.317154781638645/5597116770309060/</v>
      </c>
      <c r="J674" s="1" t="str">
        <f ca="1">IFERROR(__xludf.DUMMYFUNCTION("""COMPUTED_VALUE"""),"2022-07-04T11:15:29.862Z")</f>
        <v>2022-07-04T11:15:29.862Z</v>
      </c>
    </row>
    <row r="675" spans="1:10" x14ac:dyDescent="0.2">
      <c r="A675" s="2" t="str">
        <f ca="1">IFERROR(__xludf.DUMMYFUNCTION("""COMPUTED_VALUE"""),"https://www.facebook.com/alexis.bacquiran")</f>
        <v>https://www.facebook.com/alexis.bacquiran</v>
      </c>
      <c r="B675" s="1" t="str">
        <f ca="1">IFERROR(__xludf.DUMMYFUNCTION("""COMPUTED_VALUE"""),"Alexis Bacquiran")</f>
        <v>Alexis Bacquiran</v>
      </c>
      <c r="C675" s="1" t="str">
        <f ca="1">IFERROR(__xludf.DUMMYFUNCTION("""COMPUTED_VALUE"""),"Alexis")</f>
        <v>Alexis</v>
      </c>
      <c r="D675" s="1" t="str">
        <f ca="1">IFERROR(__xludf.DUMMYFUNCTION("""COMPUTED_VALUE"""),"Bacquiran")</f>
        <v>Bacquiran</v>
      </c>
      <c r="E675" s="1" t="str">
        <f ca="1">IFERROR(__xludf.DUMMYFUNCTION("""COMPUTED_VALUE"""),"Ino Reyes VP nga sya Wala man lang nagawa tapos pangarap niya pa Presidente. Manatili nalang sya sa pangarap niya")</f>
        <v>Ino Reyes VP nga sya Wala man lang nagawa tapos pangarap niya pa Presidente. Manatili nalang sya sa pangarap niya</v>
      </c>
      <c r="F675" s="1"/>
      <c r="G675" s="1" t="str">
        <f ca="1">IFERROR(__xludf.DUMMYFUNCTION("""COMPUTED_VALUE"""),"3 mos")</f>
        <v>3 mos</v>
      </c>
      <c r="H675" s="1" t="str">
        <f ca="1">IFERROR(__xludf.DUMMYFUNCTION("""COMPUTED_VALUE"""),"reply")</f>
        <v>reply</v>
      </c>
      <c r="I675" s="2" t="str">
        <f ca="1">IFERROR(__xludf.DUMMYFUNCTION("""COMPUTED_VALUE"""),"https://www.facebook.com/rapplerdotcom/photos/a.317154781638645/5597116770309060/")</f>
        <v>https://www.facebook.com/rapplerdotcom/photos/a.317154781638645/5597116770309060/</v>
      </c>
      <c r="J675" s="1" t="str">
        <f ca="1">IFERROR(__xludf.DUMMYFUNCTION("""COMPUTED_VALUE"""),"2022-07-04T11:15:29.862Z")</f>
        <v>2022-07-04T11:15:29.862Z</v>
      </c>
    </row>
    <row r="676" spans="1:10" x14ac:dyDescent="0.2">
      <c r="A676" s="2" t="str">
        <f ca="1">IFERROR(__xludf.DUMMYFUNCTION("""COMPUTED_VALUE"""),"https://www.facebook.com/profile.php?id=100009111409816")</f>
        <v>https://www.facebook.com/profile.php?id=100009111409816</v>
      </c>
      <c r="B676" s="1" t="str">
        <f ca="1">IFERROR(__xludf.DUMMYFUNCTION("""COMPUTED_VALUE"""),"Nida Saldivia")</f>
        <v>Nida Saldivia</v>
      </c>
      <c r="C676" s="1" t="str">
        <f ca="1">IFERROR(__xludf.DUMMYFUNCTION("""COMPUTED_VALUE"""),"Nida")</f>
        <v>Nida</v>
      </c>
      <c r="D676" s="1" t="str">
        <f ca="1">IFERROR(__xludf.DUMMYFUNCTION("""COMPUTED_VALUE"""),"Saldivia")</f>
        <v>Saldivia</v>
      </c>
      <c r="E676" s="1" t="str">
        <f ca="1">IFERROR(__xludf.DUMMYFUNCTION("""COMPUTED_VALUE"""),"Ino Reyes 💚💚💚💖💖💖💖")</f>
        <v>Ino Reyes 💚💚💚💖💖💖💖</v>
      </c>
      <c r="F676" s="1"/>
      <c r="G676" s="1" t="str">
        <f ca="1">IFERROR(__xludf.DUMMYFUNCTION("""COMPUTED_VALUE"""),"3 mos")</f>
        <v>3 mos</v>
      </c>
      <c r="H676" s="1" t="str">
        <f ca="1">IFERROR(__xludf.DUMMYFUNCTION("""COMPUTED_VALUE"""),"reply")</f>
        <v>reply</v>
      </c>
      <c r="I676" s="2" t="str">
        <f ca="1">IFERROR(__xludf.DUMMYFUNCTION("""COMPUTED_VALUE"""),"https://www.facebook.com/rapplerdotcom/photos/a.317154781638645/5597116770309060/")</f>
        <v>https://www.facebook.com/rapplerdotcom/photos/a.317154781638645/5597116770309060/</v>
      </c>
      <c r="J676" s="1" t="str">
        <f ca="1">IFERROR(__xludf.DUMMYFUNCTION("""COMPUTED_VALUE"""),"2022-07-04T11:15:29.862Z")</f>
        <v>2022-07-04T11:15:29.862Z</v>
      </c>
    </row>
    <row r="677" spans="1:10" x14ac:dyDescent="0.2">
      <c r="A677" s="2" t="str">
        <f ca="1">IFERROR(__xludf.DUMMYFUNCTION("""COMPUTED_VALUE"""),"https://www.facebook.com/celyn.guazon")</f>
        <v>https://www.facebook.com/celyn.guazon</v>
      </c>
      <c r="B677" s="1" t="str">
        <f ca="1">IFERROR(__xludf.DUMMYFUNCTION("""COMPUTED_VALUE"""),"Celyn Guazon")</f>
        <v>Celyn Guazon</v>
      </c>
      <c r="C677" s="1" t="str">
        <f ca="1">IFERROR(__xludf.DUMMYFUNCTION("""COMPUTED_VALUE"""),"Celyn")</f>
        <v>Celyn</v>
      </c>
      <c r="D677" s="1" t="str">
        <f ca="1">IFERROR(__xludf.DUMMYFUNCTION("""COMPUTED_VALUE"""),"Guazon")</f>
        <v>Guazon</v>
      </c>
      <c r="E677" s="1" t="str">
        <f ca="1">IFERROR(__xludf.DUMMYFUNCTION("""COMPUTED_VALUE"""),"Alexis Bacquiran magresearch ka po pra malaman mo mga nagawa nya.")</f>
        <v>Alexis Bacquiran magresearch ka po pra malaman mo mga nagawa nya.</v>
      </c>
      <c r="F677" s="1"/>
      <c r="G677" s="1" t="str">
        <f ca="1">IFERROR(__xludf.DUMMYFUNCTION("""COMPUTED_VALUE"""),"3 mos")</f>
        <v>3 mos</v>
      </c>
      <c r="H677" s="1" t="str">
        <f ca="1">IFERROR(__xludf.DUMMYFUNCTION("""COMPUTED_VALUE"""),"reply")</f>
        <v>reply</v>
      </c>
      <c r="I677" s="2" t="str">
        <f ca="1">IFERROR(__xludf.DUMMYFUNCTION("""COMPUTED_VALUE"""),"https://www.facebook.com/rapplerdotcom/photos/a.317154781638645/5597116770309060/")</f>
        <v>https://www.facebook.com/rapplerdotcom/photos/a.317154781638645/5597116770309060/</v>
      </c>
      <c r="J677" s="1" t="str">
        <f ca="1">IFERROR(__xludf.DUMMYFUNCTION("""COMPUTED_VALUE"""),"2022-07-04T11:15:29.862Z")</f>
        <v>2022-07-04T11:15:29.862Z</v>
      </c>
    </row>
    <row r="678" spans="1:10" x14ac:dyDescent="0.2">
      <c r="A678" s="2" t="str">
        <f ca="1">IFERROR(__xludf.DUMMYFUNCTION("""COMPUTED_VALUE"""),"https://www.facebook.com/liezl.malinao.1")</f>
        <v>https://www.facebook.com/liezl.malinao.1</v>
      </c>
      <c r="B678" s="1" t="str">
        <f ca="1">IFERROR(__xludf.DUMMYFUNCTION("""COMPUTED_VALUE"""),"Liezl Kong")</f>
        <v>Liezl Kong</v>
      </c>
      <c r="C678" s="1" t="str">
        <f ca="1">IFERROR(__xludf.DUMMYFUNCTION("""COMPUTED_VALUE"""),"Liezl")</f>
        <v>Liezl</v>
      </c>
      <c r="D678" s="1" t="str">
        <f ca="1">IFERROR(__xludf.DUMMYFUNCTION("""COMPUTED_VALUE"""),"Kong")</f>
        <v>Kong</v>
      </c>
      <c r="E678" s="1" t="str">
        <f ca="1">IFERROR(__xludf.DUMMYFUNCTION("""COMPUTED_VALUE"""),"Kong ang DUTERTE family hindindi na upo ng DAVAO,hindi ganyan ka diseplinado ang davao,kaya pasalamat ako sa family Duterte na sila ang humawak ng daavao,kahit sila sila ang nag papalitan mag anak... Ang mahalaga maayus ang Davao.")</f>
        <v>Kong ang DUTERTE family hindindi na upo ng DAVAO,hindi ganyan ka diseplinado ang davao,kaya pasalamat ako sa family Duterte na sila ang humawak ng daavao,kahit sila sila ang nag papalitan mag anak... Ang mahalaga maayus ang Davao.</v>
      </c>
      <c r="F678" s="1">
        <f ca="1">IFERROR(__xludf.DUMMYFUNCTION("""COMPUTED_VALUE"""),10)</f>
        <v>10</v>
      </c>
      <c r="G678" s="1" t="str">
        <f ca="1">IFERROR(__xludf.DUMMYFUNCTION("""COMPUTED_VALUE"""),"3 mos")</f>
        <v>3 mos</v>
      </c>
      <c r="H678" s="1" t="str">
        <f ca="1">IFERROR(__xludf.DUMMYFUNCTION("""COMPUTED_VALUE"""),"comment")</f>
        <v>comment</v>
      </c>
      <c r="I678" s="2" t="str">
        <f ca="1">IFERROR(__xludf.DUMMYFUNCTION("""COMPUTED_VALUE"""),"https://www.facebook.com/rapplerdotcom/photos/a.317154781638645/5597116770309060/")</f>
        <v>https://www.facebook.com/rapplerdotcom/photos/a.317154781638645/5597116770309060/</v>
      </c>
      <c r="J678" s="1" t="str">
        <f ca="1">IFERROR(__xludf.DUMMYFUNCTION("""COMPUTED_VALUE"""),"2022-07-04T11:15:29.862Z")</f>
        <v>2022-07-04T11:15:29.862Z</v>
      </c>
    </row>
    <row r="679" spans="1:10" x14ac:dyDescent="0.2">
      <c r="A679" s="2" t="str">
        <f ca="1">IFERROR(__xludf.DUMMYFUNCTION("""COMPUTED_VALUE"""),"https://www.facebook.com/marjorie.vidad")</f>
        <v>https://www.facebook.com/marjorie.vidad</v>
      </c>
      <c r="B679" s="1" t="str">
        <f ca="1">IFERROR(__xludf.DUMMYFUNCTION("""COMPUTED_VALUE"""),"Eirojram Dadiv")</f>
        <v>Eirojram Dadiv</v>
      </c>
      <c r="C679" s="1" t="str">
        <f ca="1">IFERROR(__xludf.DUMMYFUNCTION("""COMPUTED_VALUE"""),"Eirojram")</f>
        <v>Eirojram</v>
      </c>
      <c r="D679" s="1" t="str">
        <f ca="1">IFERROR(__xludf.DUMMYFUNCTION("""COMPUTED_VALUE"""),"Dadiv")</f>
        <v>Dadiv</v>
      </c>
      <c r="E679" s="1" t="str">
        <f ca="1">IFERROR(__xludf.DUMMYFUNCTION("""COMPUTED_VALUE"""),"Liezl Kong ang tanong maayos nga ba? Or censored lang. meaning puro magaganda lang ang balita sayo. Pero wala kang alam sa ibang detalye o issues kasi nga kontrolado kung ano lang ibabalita o isasapubliko.")</f>
        <v>Liezl Kong ang tanong maayos nga ba? Or censored lang. meaning puro magaganda lang ang balita sayo. Pero wala kang alam sa ibang detalye o issues kasi nga kontrolado kung ano lang ibabalita o isasapubliko.</v>
      </c>
      <c r="F679" s="1">
        <f ca="1">IFERROR(__xludf.DUMMYFUNCTION("""COMPUTED_VALUE"""),3)</f>
        <v>3</v>
      </c>
      <c r="G679" s="1" t="str">
        <f ca="1">IFERROR(__xludf.DUMMYFUNCTION("""COMPUTED_VALUE"""),"3 mos")</f>
        <v>3 mos</v>
      </c>
      <c r="H679" s="1" t="str">
        <f ca="1">IFERROR(__xludf.DUMMYFUNCTION("""COMPUTED_VALUE"""),"reply")</f>
        <v>reply</v>
      </c>
      <c r="I679" s="2" t="str">
        <f ca="1">IFERROR(__xludf.DUMMYFUNCTION("""COMPUTED_VALUE"""),"https://www.facebook.com/rapplerdotcom/photos/a.317154781638645/5597116770309060/")</f>
        <v>https://www.facebook.com/rapplerdotcom/photos/a.317154781638645/5597116770309060/</v>
      </c>
      <c r="J679" s="1" t="str">
        <f ca="1">IFERROR(__xludf.DUMMYFUNCTION("""COMPUTED_VALUE"""),"2022-07-04T11:15:29.862Z")</f>
        <v>2022-07-04T11:15:29.862Z</v>
      </c>
    </row>
    <row r="680" spans="1:10" x14ac:dyDescent="0.2">
      <c r="A680" s="2" t="str">
        <f ca="1">IFERROR(__xludf.DUMMYFUNCTION("""COMPUTED_VALUE"""),"https://www.facebook.com/concesa.orecul")</f>
        <v>https://www.facebook.com/concesa.orecul</v>
      </c>
      <c r="B680" s="1" t="str">
        <f ca="1">IFERROR(__xludf.DUMMYFUNCTION("""COMPUTED_VALUE"""),"Bêĺĺa Orecul")</f>
        <v>Bêĺĺa Orecul</v>
      </c>
      <c r="C680" s="1" t="str">
        <f ca="1">IFERROR(__xludf.DUMMYFUNCTION("""COMPUTED_VALUE"""),"Bêĺĺa")</f>
        <v>Bêĺĺa</v>
      </c>
      <c r="D680" s="1" t="str">
        <f ca="1">IFERROR(__xludf.DUMMYFUNCTION("""COMPUTED_VALUE"""),"Orecul")</f>
        <v>Orecul</v>
      </c>
      <c r="E680" s="1" t="str">
        <f ca="1">IFERROR(__xludf.DUMMYFUNCTION("""COMPUTED_VALUE"""),"Ang peperpekto niyo ehhhh nooh??? Puro kayo kuda, kontra here kontra there! Bibitter!🥴🥴🥴")</f>
        <v>Ang peperpekto niyo ehhhh nooh??? Puro kayo kuda, kontra here kontra there! Bibitter!🥴🥴🥴</v>
      </c>
      <c r="F680" s="1">
        <f ca="1">IFERROR(__xludf.DUMMYFUNCTION("""COMPUTED_VALUE"""),1)</f>
        <v>1</v>
      </c>
      <c r="G680" s="1" t="str">
        <f ca="1">IFERROR(__xludf.DUMMYFUNCTION("""COMPUTED_VALUE"""),"3 mos")</f>
        <v>3 mos</v>
      </c>
      <c r="H680" s="1" t="str">
        <f ca="1">IFERROR(__xludf.DUMMYFUNCTION("""COMPUTED_VALUE"""),"reply")</f>
        <v>reply</v>
      </c>
      <c r="I680" s="2" t="str">
        <f ca="1">IFERROR(__xludf.DUMMYFUNCTION("""COMPUTED_VALUE"""),"https://www.facebook.com/rapplerdotcom/photos/a.317154781638645/5597116770309060/")</f>
        <v>https://www.facebook.com/rapplerdotcom/photos/a.317154781638645/5597116770309060/</v>
      </c>
      <c r="J680" s="1" t="str">
        <f ca="1">IFERROR(__xludf.DUMMYFUNCTION("""COMPUTED_VALUE"""),"2022-07-04T11:15:29.862Z")</f>
        <v>2022-07-04T11:15:29.862Z</v>
      </c>
    </row>
    <row r="681" spans="1:10" x14ac:dyDescent="0.2">
      <c r="A681" s="2" t="str">
        <f ca="1">IFERROR(__xludf.DUMMYFUNCTION("""COMPUTED_VALUE"""),"https://www.facebook.com/liezl.malinao.1")</f>
        <v>https://www.facebook.com/liezl.malinao.1</v>
      </c>
      <c r="B681" s="1" t="str">
        <f ca="1">IFERROR(__xludf.DUMMYFUNCTION("""COMPUTED_VALUE"""),"Liezl Kong")</f>
        <v>Liezl Kong</v>
      </c>
      <c r="C681" s="1" t="str">
        <f ca="1">IFERROR(__xludf.DUMMYFUNCTION("""COMPUTED_VALUE"""),"Liezl")</f>
        <v>Liezl</v>
      </c>
      <c r="D681" s="1" t="str">
        <f ca="1">IFERROR(__xludf.DUMMYFUNCTION("""COMPUTED_VALUE"""),"Kong")</f>
        <v>Kong</v>
      </c>
      <c r="E681" s="1" t="str">
        <f ca="1">IFERROR(__xludf.DUMMYFUNCTION("""COMPUTED_VALUE"""),"Eirojram Dadiv laking davao po ako kaya alm po nmin,milya milya ang layo noong hindi Duterte pa ang nka upo...")</f>
        <v>Eirojram Dadiv laking davao po ako kaya alm po nmin,milya milya ang layo noong hindi Duterte pa ang nka upo...</v>
      </c>
      <c r="F681" s="1"/>
      <c r="G681" s="1" t="str">
        <f ca="1">IFERROR(__xludf.DUMMYFUNCTION("""COMPUTED_VALUE"""),"3 mos")</f>
        <v>3 mos</v>
      </c>
      <c r="H681" s="1" t="str">
        <f ca="1">IFERROR(__xludf.DUMMYFUNCTION("""COMPUTED_VALUE"""),"reply")</f>
        <v>reply</v>
      </c>
      <c r="I681" s="2" t="str">
        <f ca="1">IFERROR(__xludf.DUMMYFUNCTION("""COMPUTED_VALUE"""),"https://www.facebook.com/rapplerdotcom/photos/a.317154781638645/5597116770309060/")</f>
        <v>https://www.facebook.com/rapplerdotcom/photos/a.317154781638645/5597116770309060/</v>
      </c>
      <c r="J681" s="1" t="str">
        <f ca="1">IFERROR(__xludf.DUMMYFUNCTION("""COMPUTED_VALUE"""),"2022-07-04T11:15:29.862Z")</f>
        <v>2022-07-04T11:15:29.862Z</v>
      </c>
    </row>
    <row r="682" spans="1:10" x14ac:dyDescent="0.2">
      <c r="A682" s="2" t="str">
        <f ca="1">IFERROR(__xludf.DUMMYFUNCTION("""COMPUTED_VALUE"""),"https://www.facebook.com/pete.villena")</f>
        <v>https://www.facebook.com/pete.villena</v>
      </c>
      <c r="B682" s="1" t="str">
        <f ca="1">IFERROR(__xludf.DUMMYFUNCTION("""COMPUTED_VALUE"""),"Pete Villena")</f>
        <v>Pete Villena</v>
      </c>
      <c r="C682" s="1" t="str">
        <f ca="1">IFERROR(__xludf.DUMMYFUNCTION("""COMPUTED_VALUE"""),"Pete")</f>
        <v>Pete</v>
      </c>
      <c r="D682" s="1" t="str">
        <f ca="1">IFERROR(__xludf.DUMMYFUNCTION("""COMPUTED_VALUE"""),"Villena")</f>
        <v>Villena</v>
      </c>
      <c r="E682" s="1" t="str">
        <f ca="1">IFERROR(__xludf.DUMMYFUNCTION("""COMPUTED_VALUE"""),"Wala na talagang hiya yang mga political dynasties, makakapal mukha nila, ginawa ng hanap buhay o negosyo ang politika. Protekyon, inpluwensya at makakuha ng kontrata sa gobyerno ang ibang pakay nila. Mga ganid talaga!!!")</f>
        <v>Wala na talagang hiya yang mga political dynasties, makakapal mukha nila, ginawa ng hanap buhay o negosyo ang politika. Protekyon, inpluwensya at makakuha ng kontrata sa gobyerno ang ibang pakay nila. Mga ganid talaga!!!</v>
      </c>
      <c r="F682" s="1">
        <f ca="1">IFERROR(__xludf.DUMMYFUNCTION("""COMPUTED_VALUE"""),12)</f>
        <v>12</v>
      </c>
      <c r="G682" s="1" t="str">
        <f ca="1">IFERROR(__xludf.DUMMYFUNCTION("""COMPUTED_VALUE"""),"3 mos")</f>
        <v>3 mos</v>
      </c>
      <c r="H682" s="1" t="str">
        <f ca="1">IFERROR(__xludf.DUMMYFUNCTION("""COMPUTED_VALUE"""),"comment")</f>
        <v>comment</v>
      </c>
      <c r="I682" s="2" t="str">
        <f ca="1">IFERROR(__xludf.DUMMYFUNCTION("""COMPUTED_VALUE"""),"https://www.facebook.com/rapplerdotcom/photos/a.317154781638645/5597116770309060/")</f>
        <v>https://www.facebook.com/rapplerdotcom/photos/a.317154781638645/5597116770309060/</v>
      </c>
      <c r="J682" s="1" t="str">
        <f ca="1">IFERROR(__xludf.DUMMYFUNCTION("""COMPUTED_VALUE"""),"2022-07-04T11:15:29.862Z")</f>
        <v>2022-07-04T11:15:29.862Z</v>
      </c>
    </row>
    <row r="683" spans="1:10" x14ac:dyDescent="0.2">
      <c r="A683" s="2" t="str">
        <f ca="1">IFERROR(__xludf.DUMMYFUNCTION("""COMPUTED_VALUE"""),"https://www.facebook.com/manny.matibag.1")</f>
        <v>https://www.facebook.com/manny.matibag.1</v>
      </c>
      <c r="B683" s="1" t="str">
        <f ca="1">IFERROR(__xludf.DUMMYFUNCTION("""COMPUTED_VALUE"""),"Manny Matibag")</f>
        <v>Manny Matibag</v>
      </c>
      <c r="C683" s="1" t="str">
        <f ca="1">IFERROR(__xludf.DUMMYFUNCTION("""COMPUTED_VALUE"""),"Manny")</f>
        <v>Manny</v>
      </c>
      <c r="D683" s="1" t="str">
        <f ca="1">IFERROR(__xludf.DUMMYFUNCTION("""COMPUTED_VALUE"""),"Matibag")</f>
        <v>Matibag</v>
      </c>
      <c r="E683" s="1" t="str">
        <f ca="1">IFERROR(__xludf.DUMMYFUNCTION("""COMPUTED_VALUE"""),"Ilocos wake up..., now is the time to free yourselves from chained of fanaticism and idolatry for real progress in your region.")</f>
        <v>Ilocos wake up..., now is the time to free yourselves from chained of fanaticism and idolatry for real progress in your region.</v>
      </c>
      <c r="F683" s="1">
        <f ca="1">IFERROR(__xludf.DUMMYFUNCTION("""COMPUTED_VALUE"""),3)</f>
        <v>3</v>
      </c>
      <c r="G683" s="1" t="str">
        <f ca="1">IFERROR(__xludf.DUMMYFUNCTION("""COMPUTED_VALUE"""),"3 mos")</f>
        <v>3 mos</v>
      </c>
      <c r="H683" s="1" t="str">
        <f ca="1">IFERROR(__xludf.DUMMYFUNCTION("""COMPUTED_VALUE"""),"comment")</f>
        <v>comment</v>
      </c>
      <c r="I683" s="2" t="str">
        <f ca="1">IFERROR(__xludf.DUMMYFUNCTION("""COMPUTED_VALUE"""),"https://www.facebook.com/rapplerdotcom/photos/a.317154781638645/5597116770309060/")</f>
        <v>https://www.facebook.com/rapplerdotcom/photos/a.317154781638645/5597116770309060/</v>
      </c>
      <c r="J683" s="1" t="str">
        <f ca="1">IFERROR(__xludf.DUMMYFUNCTION("""COMPUTED_VALUE"""),"2022-07-04T11:15:29.863Z")</f>
        <v>2022-07-04T11:15:29.863Z</v>
      </c>
    </row>
    <row r="684" spans="1:10" x14ac:dyDescent="0.2">
      <c r="A684" s="2" t="str">
        <f ca="1">IFERROR(__xludf.DUMMYFUNCTION("""COMPUTED_VALUE"""),"https://www.facebook.com/denis.sahagon")</f>
        <v>https://www.facebook.com/denis.sahagon</v>
      </c>
      <c r="B684" s="1" t="str">
        <f ca="1">IFERROR(__xludf.DUMMYFUNCTION("""COMPUTED_VALUE"""),"Denis Sahagon")</f>
        <v>Denis Sahagon</v>
      </c>
      <c r="C684" s="1" t="str">
        <f ca="1">IFERROR(__xludf.DUMMYFUNCTION("""COMPUTED_VALUE"""),"Denis")</f>
        <v>Denis</v>
      </c>
      <c r="D684" s="1" t="str">
        <f ca="1">IFERROR(__xludf.DUMMYFUNCTION("""COMPUTED_VALUE"""),"Sahagon")</f>
        <v>Sahagon</v>
      </c>
      <c r="E684" s="1" t="str">
        <f ca="1">IFERROR(__xludf.DUMMYFUNCTION("""COMPUTED_VALUE"""),"REALTALK LANG: Your choice of candidates reflects your principle, character and values.  Simply because you see yourself in them.")</f>
        <v>REALTALK LANG: Your choice of candidates reflects your principle, character and values.  Simply because you see yourself in them.</v>
      </c>
      <c r="F684" s="1">
        <f ca="1">IFERROR(__xludf.DUMMYFUNCTION("""COMPUTED_VALUE"""),30)</f>
        <v>30</v>
      </c>
      <c r="G684" s="1" t="str">
        <f ca="1">IFERROR(__xludf.DUMMYFUNCTION("""COMPUTED_VALUE"""),"3 mos")</f>
        <v>3 mos</v>
      </c>
      <c r="H684" s="1" t="str">
        <f ca="1">IFERROR(__xludf.DUMMYFUNCTION("""COMPUTED_VALUE"""),"comment")</f>
        <v>comment</v>
      </c>
      <c r="I684" s="2" t="str">
        <f ca="1">IFERROR(__xludf.DUMMYFUNCTION("""COMPUTED_VALUE"""),"https://www.facebook.com/rapplerdotcom/photos/a.317154781638645/5597116770309060/")</f>
        <v>https://www.facebook.com/rapplerdotcom/photos/a.317154781638645/5597116770309060/</v>
      </c>
      <c r="J684" s="1" t="str">
        <f ca="1">IFERROR(__xludf.DUMMYFUNCTION("""COMPUTED_VALUE"""),"2022-07-04T11:15:29.863Z")</f>
        <v>2022-07-04T11:15:29.863Z</v>
      </c>
    </row>
    <row r="685" spans="1:10" x14ac:dyDescent="0.2">
      <c r="A685" s="2" t="str">
        <f ca="1">IFERROR(__xludf.DUMMYFUNCTION("""COMPUTED_VALUE"""),"https://www.facebook.com/profile.php?id=100009111409816")</f>
        <v>https://www.facebook.com/profile.php?id=100009111409816</v>
      </c>
      <c r="B685" s="1" t="str">
        <f ca="1">IFERROR(__xludf.DUMMYFUNCTION("""COMPUTED_VALUE"""),"Nida Saldivia")</f>
        <v>Nida Saldivia</v>
      </c>
      <c r="C685" s="1" t="str">
        <f ca="1">IFERROR(__xludf.DUMMYFUNCTION("""COMPUTED_VALUE"""),"Nida")</f>
        <v>Nida</v>
      </c>
      <c r="D685" s="1" t="str">
        <f ca="1">IFERROR(__xludf.DUMMYFUNCTION("""COMPUTED_VALUE"""),"Saldivia")</f>
        <v>Saldivia</v>
      </c>
      <c r="E685" s="1" t="str">
        <f ca="1">IFERROR(__xludf.DUMMYFUNCTION("""COMPUTED_VALUE"""),"Denis Sahagon 💚💚💚💖💖💖")</f>
        <v>Denis Sahagon 💚💚💚💖💖💖</v>
      </c>
      <c r="F685" s="1"/>
      <c r="G685" s="1" t="str">
        <f ca="1">IFERROR(__xludf.DUMMYFUNCTION("""COMPUTED_VALUE"""),"3 mos")</f>
        <v>3 mos</v>
      </c>
      <c r="H685" s="1" t="str">
        <f ca="1">IFERROR(__xludf.DUMMYFUNCTION("""COMPUTED_VALUE"""),"reply")</f>
        <v>reply</v>
      </c>
      <c r="I685" s="2" t="str">
        <f ca="1">IFERROR(__xludf.DUMMYFUNCTION("""COMPUTED_VALUE"""),"https://www.facebook.com/rapplerdotcom/photos/a.317154781638645/5597116770309060/")</f>
        <v>https://www.facebook.com/rapplerdotcom/photos/a.317154781638645/5597116770309060/</v>
      </c>
      <c r="J685" s="1" t="str">
        <f ca="1">IFERROR(__xludf.DUMMYFUNCTION("""COMPUTED_VALUE"""),"2022-07-04T11:15:29.863Z")</f>
        <v>2022-07-04T11:15:29.863Z</v>
      </c>
    </row>
    <row r="686" spans="1:10" x14ac:dyDescent="0.2">
      <c r="A686" s="2" t="str">
        <f ca="1">IFERROR(__xludf.DUMMYFUNCTION("""COMPUTED_VALUE"""),"https://www.facebook.com/mario.beroya")</f>
        <v>https://www.facebook.com/mario.beroya</v>
      </c>
      <c r="B686" s="1" t="str">
        <f ca="1">IFERROR(__xludf.DUMMYFUNCTION("""COMPUTED_VALUE"""),"Mario Beroya")</f>
        <v>Mario Beroya</v>
      </c>
      <c r="C686" s="1" t="str">
        <f ca="1">IFERROR(__xludf.DUMMYFUNCTION("""COMPUTED_VALUE"""),"Mario")</f>
        <v>Mario</v>
      </c>
      <c r="D686" s="1" t="str">
        <f ca="1">IFERROR(__xludf.DUMMYFUNCTION("""COMPUTED_VALUE"""),"Beroya")</f>
        <v>Beroya</v>
      </c>
      <c r="E686" s="1" t="str">
        <f ca="1">IFERROR(__xludf.DUMMYFUNCTION("""COMPUTED_VALUE"""),"A BIG NO TO MARCOSES...NO RETURN TO MALACANANG!!!")</f>
        <v>A BIG NO TO MARCOSES...NO RETURN TO MALACANANG!!!</v>
      </c>
      <c r="F686" s="1">
        <f ca="1">IFERROR(__xludf.DUMMYFUNCTION("""COMPUTED_VALUE"""),8)</f>
        <v>8</v>
      </c>
      <c r="G686" s="1" t="str">
        <f ca="1">IFERROR(__xludf.DUMMYFUNCTION("""COMPUTED_VALUE"""),"3 mos")</f>
        <v>3 mos</v>
      </c>
      <c r="H686" s="1" t="str">
        <f ca="1">IFERROR(__xludf.DUMMYFUNCTION("""COMPUTED_VALUE"""),"comment")</f>
        <v>comment</v>
      </c>
      <c r="I686" s="2" t="str">
        <f ca="1">IFERROR(__xludf.DUMMYFUNCTION("""COMPUTED_VALUE"""),"https://www.facebook.com/rapplerdotcom/photos/a.317154781638645/5597116770309060/")</f>
        <v>https://www.facebook.com/rapplerdotcom/photos/a.317154781638645/5597116770309060/</v>
      </c>
      <c r="J686" s="1" t="str">
        <f ca="1">IFERROR(__xludf.DUMMYFUNCTION("""COMPUTED_VALUE"""),"2022-07-04T11:15:29.863Z")</f>
        <v>2022-07-04T11:15:29.863Z</v>
      </c>
    </row>
    <row r="687" spans="1:10" x14ac:dyDescent="0.2">
      <c r="A687" s="2" t="str">
        <f ca="1">IFERROR(__xludf.DUMMYFUNCTION("""COMPUTED_VALUE"""),"https://www.facebook.com/profile.php?id=100070135061875")</f>
        <v>https://www.facebook.com/profile.php?id=100070135061875</v>
      </c>
      <c r="B687" s="1" t="str">
        <f ca="1">IFERROR(__xludf.DUMMYFUNCTION("""COMPUTED_VALUE"""),"Reyes Anjo")</f>
        <v>Reyes Anjo</v>
      </c>
      <c r="C687" s="1" t="str">
        <f ca="1">IFERROR(__xludf.DUMMYFUNCTION("""COMPUTED_VALUE"""),"Reyes")</f>
        <v>Reyes</v>
      </c>
      <c r="D687" s="1" t="str">
        <f ca="1">IFERROR(__xludf.DUMMYFUNCTION("""COMPUTED_VALUE"""),"Anjo")</f>
        <v>Anjo</v>
      </c>
      <c r="E687" s="1" t="str">
        <f ca="1">IFERROR(__xludf.DUMMYFUNCTION("""COMPUTED_VALUE"""),"Mario Beroya buahahahaha")</f>
        <v>Mario Beroya buahahahaha</v>
      </c>
      <c r="F687" s="1"/>
      <c r="G687" s="1" t="str">
        <f ca="1">IFERROR(__xludf.DUMMYFUNCTION("""COMPUTED_VALUE"""),"3 mos")</f>
        <v>3 mos</v>
      </c>
      <c r="H687" s="1" t="str">
        <f ca="1">IFERROR(__xludf.DUMMYFUNCTION("""COMPUTED_VALUE"""),"reply")</f>
        <v>reply</v>
      </c>
      <c r="I687" s="2" t="str">
        <f ca="1">IFERROR(__xludf.DUMMYFUNCTION("""COMPUTED_VALUE"""),"https://www.facebook.com/rapplerdotcom/photos/a.317154781638645/5597116770309060/")</f>
        <v>https://www.facebook.com/rapplerdotcom/photos/a.317154781638645/5597116770309060/</v>
      </c>
      <c r="J687" s="1" t="str">
        <f ca="1">IFERROR(__xludf.DUMMYFUNCTION("""COMPUTED_VALUE"""),"2022-07-04T11:15:29.863Z")</f>
        <v>2022-07-04T11:15:29.863Z</v>
      </c>
    </row>
    <row r="688" spans="1:10" x14ac:dyDescent="0.2">
      <c r="A688" s="2" t="str">
        <f ca="1">IFERROR(__xludf.DUMMYFUNCTION("""COMPUTED_VALUE"""),"https://www.facebook.com/profile.php?id=100009111409816")</f>
        <v>https://www.facebook.com/profile.php?id=100009111409816</v>
      </c>
      <c r="B688" s="1" t="str">
        <f ca="1">IFERROR(__xludf.DUMMYFUNCTION("""COMPUTED_VALUE"""),"Nida Saldivia")</f>
        <v>Nida Saldivia</v>
      </c>
      <c r="C688" s="1" t="str">
        <f ca="1">IFERROR(__xludf.DUMMYFUNCTION("""COMPUTED_VALUE"""),"Nida")</f>
        <v>Nida</v>
      </c>
      <c r="D688" s="1" t="str">
        <f ca="1">IFERROR(__xludf.DUMMYFUNCTION("""COMPUTED_VALUE"""),"Saldivia")</f>
        <v>Saldivia</v>
      </c>
      <c r="E688" s="1" t="str">
        <f ca="1">IFERROR(__xludf.DUMMYFUNCTION("""COMPUTED_VALUE"""),"Mario Beroya 💚💖💚💖💚💖💚💖💚")</f>
        <v>Mario Beroya 💚💖💚💖💚💖💚💖💚</v>
      </c>
      <c r="F688" s="1"/>
      <c r="G688" s="1" t="str">
        <f ca="1">IFERROR(__xludf.DUMMYFUNCTION("""COMPUTED_VALUE"""),"3 mos")</f>
        <v>3 mos</v>
      </c>
      <c r="H688" s="1" t="str">
        <f ca="1">IFERROR(__xludf.DUMMYFUNCTION("""COMPUTED_VALUE"""),"reply")</f>
        <v>reply</v>
      </c>
      <c r="I688" s="2" t="str">
        <f ca="1">IFERROR(__xludf.DUMMYFUNCTION("""COMPUTED_VALUE"""),"https://www.facebook.com/rapplerdotcom/photos/a.317154781638645/5597116770309060/")</f>
        <v>https://www.facebook.com/rapplerdotcom/photos/a.317154781638645/5597116770309060/</v>
      </c>
      <c r="J688" s="1" t="str">
        <f ca="1">IFERROR(__xludf.DUMMYFUNCTION("""COMPUTED_VALUE"""),"2022-07-04T11:15:29.863Z")</f>
        <v>2022-07-04T11:15:29.863Z</v>
      </c>
    </row>
    <row r="689" spans="1:10" x14ac:dyDescent="0.2">
      <c r="A689" s="2" t="str">
        <f ca="1">IFERROR(__xludf.DUMMYFUNCTION("""COMPUTED_VALUE"""),"https://www.facebook.com/jeery.s.gerard")</f>
        <v>https://www.facebook.com/jeery.s.gerard</v>
      </c>
      <c r="B689" s="1" t="str">
        <f ca="1">IFERROR(__xludf.DUMMYFUNCTION("""COMPUTED_VALUE"""),"Elvis Basil")</f>
        <v>Elvis Basil</v>
      </c>
      <c r="C689" s="1" t="str">
        <f ca="1">IFERROR(__xludf.DUMMYFUNCTION("""COMPUTED_VALUE"""),"Elvis")</f>
        <v>Elvis</v>
      </c>
      <c r="D689" s="1" t="str">
        <f ca="1">IFERROR(__xludf.DUMMYFUNCTION("""COMPUTED_VALUE"""),"Basil")</f>
        <v>Basil</v>
      </c>
      <c r="E689" s="1" t="str">
        <f ca="1">IFERROR(__xludf.DUMMYFUNCTION("""COMPUTED_VALUE"""),"Very true.No more Solid North.")</f>
        <v>Very true.No more Solid North.</v>
      </c>
      <c r="F689" s="1">
        <f ca="1">IFERROR(__xludf.DUMMYFUNCTION("""COMPUTED_VALUE"""),2)</f>
        <v>2</v>
      </c>
      <c r="G689" s="1" t="str">
        <f ca="1">IFERROR(__xludf.DUMMYFUNCTION("""COMPUTED_VALUE"""),"3 mos")</f>
        <v>3 mos</v>
      </c>
      <c r="H689" s="1" t="str">
        <f ca="1">IFERROR(__xludf.DUMMYFUNCTION("""COMPUTED_VALUE"""),"comment")</f>
        <v>comment</v>
      </c>
      <c r="I689" s="2" t="str">
        <f ca="1">IFERROR(__xludf.DUMMYFUNCTION("""COMPUTED_VALUE"""),"https://www.facebook.com/rapplerdotcom/photos/a.317154781638645/5597116770309060/")</f>
        <v>https://www.facebook.com/rapplerdotcom/photos/a.317154781638645/5597116770309060/</v>
      </c>
      <c r="J689" s="1" t="str">
        <f ca="1">IFERROR(__xludf.DUMMYFUNCTION("""COMPUTED_VALUE"""),"2022-07-04T11:15:29.863Z")</f>
        <v>2022-07-04T11:15:29.863Z</v>
      </c>
    </row>
    <row r="690" spans="1:10" x14ac:dyDescent="0.2">
      <c r="A690" s="2" t="str">
        <f ca="1">IFERROR(__xludf.DUMMYFUNCTION("""COMPUTED_VALUE"""),"https://www.facebook.com/obe.m.cruz")</f>
        <v>https://www.facebook.com/obe.m.cruz</v>
      </c>
      <c r="B690" s="1" t="str">
        <f ca="1">IFERROR(__xludf.DUMMYFUNCTION("""COMPUTED_VALUE"""),"Obe Ma Cruz")</f>
        <v>Obe Ma Cruz</v>
      </c>
      <c r="C690" s="1" t="str">
        <f ca="1">IFERROR(__xludf.DUMMYFUNCTION("""COMPUTED_VALUE"""),"Obe")</f>
        <v>Obe</v>
      </c>
      <c r="D690" s="1" t="str">
        <f ca="1">IFERROR(__xludf.DUMMYFUNCTION("""COMPUTED_VALUE"""),"Ma Cruz")</f>
        <v>Ma Cruz</v>
      </c>
      <c r="E690" s="1" t="str">
        <f ca="1">IFERROR(__xludf.DUMMYFUNCTION("""COMPUTED_VALUE"""),"There is nothing wrong in dynasty as long as they have the result of their duty. Dynasty is Given since in the Old Testament.")</f>
        <v>There is nothing wrong in dynasty as long as they have the result of their duty. Dynasty is Given since in the Old Testament.</v>
      </c>
      <c r="F690" s="1">
        <f ca="1">IFERROR(__xludf.DUMMYFUNCTION("""COMPUTED_VALUE"""),18)</f>
        <v>18</v>
      </c>
      <c r="G690" s="1" t="str">
        <f ca="1">IFERROR(__xludf.DUMMYFUNCTION("""COMPUTED_VALUE"""),"3 mos")</f>
        <v>3 mos</v>
      </c>
      <c r="H690" s="1" t="str">
        <f ca="1">IFERROR(__xludf.DUMMYFUNCTION("""COMPUTED_VALUE"""),"comment")</f>
        <v>comment</v>
      </c>
      <c r="I690" s="2" t="str">
        <f ca="1">IFERROR(__xludf.DUMMYFUNCTION("""COMPUTED_VALUE"""),"https://www.facebook.com/rapplerdotcom/photos/a.317154781638645/5597116770309060/")</f>
        <v>https://www.facebook.com/rapplerdotcom/photos/a.317154781638645/5597116770309060/</v>
      </c>
      <c r="J690" s="1" t="str">
        <f ca="1">IFERROR(__xludf.DUMMYFUNCTION("""COMPUTED_VALUE"""),"2022-07-04T11:15:29.863Z")</f>
        <v>2022-07-04T11:15:29.863Z</v>
      </c>
    </row>
    <row r="691" spans="1:10" x14ac:dyDescent="0.2">
      <c r="A691" s="2" t="str">
        <f ca="1">IFERROR(__xludf.DUMMYFUNCTION("""COMPUTED_VALUE"""),"https://www.facebook.com/joanamarcelabauson")</f>
        <v>https://www.facebook.com/joanamarcelabauson</v>
      </c>
      <c r="B691" s="1" t="str">
        <f ca="1">IFERROR(__xludf.DUMMYFUNCTION("""COMPUTED_VALUE"""),"Joana Bauson")</f>
        <v>Joana Bauson</v>
      </c>
      <c r="C691" s="1" t="str">
        <f ca="1">IFERROR(__xludf.DUMMYFUNCTION("""COMPUTED_VALUE"""),"Joana")</f>
        <v>Joana</v>
      </c>
      <c r="D691" s="1" t="str">
        <f ca="1">IFERROR(__xludf.DUMMYFUNCTION("""COMPUTED_VALUE"""),"Bauson")</f>
        <v>Bauson</v>
      </c>
      <c r="E691" s="1" t="str">
        <f ca="1">IFERROR(__xludf.DUMMYFUNCTION("""COMPUTED_VALUE"""),"Obe Ma Cruz MONARCHIAL PO SA OT.")</f>
        <v>Obe Ma Cruz MONARCHIAL PO SA OT.</v>
      </c>
      <c r="F691" s="1">
        <f ca="1">IFERROR(__xludf.DUMMYFUNCTION("""COMPUTED_VALUE"""),5)</f>
        <v>5</v>
      </c>
      <c r="G691" s="1" t="str">
        <f ca="1">IFERROR(__xludf.DUMMYFUNCTION("""COMPUTED_VALUE"""),"3 mos")</f>
        <v>3 mos</v>
      </c>
      <c r="H691" s="1" t="str">
        <f ca="1">IFERROR(__xludf.DUMMYFUNCTION("""COMPUTED_VALUE"""),"reply")</f>
        <v>reply</v>
      </c>
      <c r="I691" s="2" t="str">
        <f ca="1">IFERROR(__xludf.DUMMYFUNCTION("""COMPUTED_VALUE"""),"https://www.facebook.com/rapplerdotcom/photos/a.317154781638645/5597116770309060/")</f>
        <v>https://www.facebook.com/rapplerdotcom/photos/a.317154781638645/5597116770309060/</v>
      </c>
      <c r="J691" s="1" t="str">
        <f ca="1">IFERROR(__xludf.DUMMYFUNCTION("""COMPUTED_VALUE"""),"2022-07-04T11:15:29.863Z")</f>
        <v>2022-07-04T11:15:29.863Z</v>
      </c>
    </row>
    <row r="692" spans="1:10" x14ac:dyDescent="0.2">
      <c r="A692" s="2" t="str">
        <f ca="1">IFERROR(__xludf.DUMMYFUNCTION("""COMPUTED_VALUE"""),"https://www.facebook.com/tito.comesario")</f>
        <v>https://www.facebook.com/tito.comesario</v>
      </c>
      <c r="B692" s="1" t="str">
        <f ca="1">IFERROR(__xludf.DUMMYFUNCTION("""COMPUTED_VALUE"""),"Tito Comesario")</f>
        <v>Tito Comesario</v>
      </c>
      <c r="C692" s="1" t="str">
        <f ca="1">IFERROR(__xludf.DUMMYFUNCTION("""COMPUTED_VALUE"""),"Tito")</f>
        <v>Tito</v>
      </c>
      <c r="D692" s="1" t="str">
        <f ca="1">IFERROR(__xludf.DUMMYFUNCTION("""COMPUTED_VALUE"""),"Comesario")</f>
        <v>Comesario</v>
      </c>
      <c r="E692" s="1" t="str">
        <f ca="1">IFERROR(__xludf.DUMMYFUNCTION("""COMPUTED_VALUE"""),"Obe Ma Cruz kaya walang unlad ang pilipinas dahil sa kagaya mo")</f>
        <v>Obe Ma Cruz kaya walang unlad ang pilipinas dahil sa kagaya mo</v>
      </c>
      <c r="F692" s="1">
        <f ca="1">IFERROR(__xludf.DUMMYFUNCTION("""COMPUTED_VALUE"""),3)</f>
        <v>3</v>
      </c>
      <c r="G692" s="1" t="str">
        <f ca="1">IFERROR(__xludf.DUMMYFUNCTION("""COMPUTED_VALUE"""),"3 mos")</f>
        <v>3 mos</v>
      </c>
      <c r="H692" s="1" t="str">
        <f ca="1">IFERROR(__xludf.DUMMYFUNCTION("""COMPUTED_VALUE"""),"reply")</f>
        <v>reply</v>
      </c>
      <c r="I692" s="2" t="str">
        <f ca="1">IFERROR(__xludf.DUMMYFUNCTION("""COMPUTED_VALUE"""),"https://www.facebook.com/rapplerdotcom/photos/a.317154781638645/5597116770309060/")</f>
        <v>https://www.facebook.com/rapplerdotcom/photos/a.317154781638645/5597116770309060/</v>
      </c>
      <c r="J692" s="1" t="str">
        <f ca="1">IFERROR(__xludf.DUMMYFUNCTION("""COMPUTED_VALUE"""),"2022-07-04T11:15:29.863Z")</f>
        <v>2022-07-04T11:15:29.863Z</v>
      </c>
    </row>
    <row r="693" spans="1:10" x14ac:dyDescent="0.2">
      <c r="A693" s="2" t="str">
        <f ca="1">IFERROR(__xludf.DUMMYFUNCTION("""COMPUTED_VALUE"""),"https://www.facebook.com/eva.jimenez.39794895")</f>
        <v>https://www.facebook.com/eva.jimenez.39794895</v>
      </c>
      <c r="B693" s="1" t="str">
        <f ca="1">IFERROR(__xludf.DUMMYFUNCTION("""COMPUTED_VALUE"""),"Eva Jimenez")</f>
        <v>Eva Jimenez</v>
      </c>
      <c r="C693" s="1" t="str">
        <f ca="1">IFERROR(__xludf.DUMMYFUNCTION("""COMPUTED_VALUE"""),"Eva")</f>
        <v>Eva</v>
      </c>
      <c r="D693" s="1" t="str">
        <f ca="1">IFERROR(__xludf.DUMMYFUNCTION("""COMPUTED_VALUE"""),"Jimenez")</f>
        <v>Jimenez</v>
      </c>
      <c r="E693" s="1" t="str">
        <f ca="1">IFERROR(__xludf.DUMMYFUNCTION("""COMPUTED_VALUE"""),"Good luck to the winner to be.God bless you all. Huwag mandaya ,consensiya ninyo ang uusig sa iyo forever kung mamanalo kayo dahil sa dayaan.")</f>
        <v>Good luck to the winner to be.God bless you all. Huwag mandaya ,consensiya ninyo ang uusig sa iyo forever kung mamanalo kayo dahil sa dayaan.</v>
      </c>
      <c r="F693" s="1"/>
      <c r="G693" s="1" t="str">
        <f ca="1">IFERROR(__xludf.DUMMYFUNCTION("""COMPUTED_VALUE"""),"3 mos")</f>
        <v>3 mos</v>
      </c>
      <c r="H693" s="1" t="str">
        <f ca="1">IFERROR(__xludf.DUMMYFUNCTION("""COMPUTED_VALUE"""),"comment")</f>
        <v>comment</v>
      </c>
      <c r="I693" s="2" t="str">
        <f ca="1">IFERROR(__xludf.DUMMYFUNCTION("""COMPUTED_VALUE"""),"https://www.facebook.com/rapplerdotcom/photos/a.317154781638645/5597116770309060/")</f>
        <v>https://www.facebook.com/rapplerdotcom/photos/a.317154781638645/5597116770309060/</v>
      </c>
      <c r="J693" s="1" t="str">
        <f ca="1">IFERROR(__xludf.DUMMYFUNCTION("""COMPUTED_VALUE"""),"2022-07-04T11:15:29.863Z")</f>
        <v>2022-07-04T11:15:29.863Z</v>
      </c>
    </row>
    <row r="694" spans="1:10" x14ac:dyDescent="0.2">
      <c r="A694" s="2" t="str">
        <f ca="1">IFERROR(__xludf.DUMMYFUNCTION("""COMPUTED_VALUE"""),"https://www.facebook.com/marylynacopiadodaganasol")</f>
        <v>https://www.facebook.com/marylynacopiadodaganasol</v>
      </c>
      <c r="B694" s="1" t="str">
        <f ca="1">IFERROR(__xludf.DUMMYFUNCTION("""COMPUTED_VALUE"""),"Mary Lyn Daganasol")</f>
        <v>Mary Lyn Daganasol</v>
      </c>
      <c r="C694" s="1" t="str">
        <f ca="1">IFERROR(__xludf.DUMMYFUNCTION("""COMPUTED_VALUE"""),"Mary")</f>
        <v>Mary</v>
      </c>
      <c r="D694" s="1" t="str">
        <f ca="1">IFERROR(__xludf.DUMMYFUNCTION("""COMPUTED_VALUE"""),"Lyn Daganasol")</f>
        <v>Lyn Daganasol</v>
      </c>
      <c r="E694" s="1" t="str">
        <f ca="1">IFERROR(__xludf.DUMMYFUNCTION("""COMPUTED_VALUE"""),"Yon ang problema magpapamilya ang tumakbo ano nga nman choice mo di pamilya din nila ang tanging magagawa mo nalang mag isip sino ba sa kanila ang sa tingin mo medyo mabuti buti ang pagkatao at may konting malasakit sa mamamayan🤭🤭🤔🤔")</f>
        <v>Yon ang problema magpapamilya ang tumakbo ano nga nman choice mo di pamilya din nila ang tanging magagawa mo nalang mag isip sino ba sa kanila ang sa tingin mo medyo mabuti buti ang pagkatao at may konting malasakit sa mamamayan🤭🤭🤔🤔</v>
      </c>
      <c r="F694" s="1"/>
      <c r="G694" s="1" t="str">
        <f ca="1">IFERROR(__xludf.DUMMYFUNCTION("""COMPUTED_VALUE"""),"3 mos")</f>
        <v>3 mos</v>
      </c>
      <c r="H694" s="1" t="str">
        <f ca="1">IFERROR(__xludf.DUMMYFUNCTION("""COMPUTED_VALUE"""),"comment")</f>
        <v>comment</v>
      </c>
      <c r="I694" s="2" t="str">
        <f ca="1">IFERROR(__xludf.DUMMYFUNCTION("""COMPUTED_VALUE"""),"https://www.facebook.com/rapplerdotcom/photos/a.317154781638645/5597116770309060/")</f>
        <v>https://www.facebook.com/rapplerdotcom/photos/a.317154781638645/5597116770309060/</v>
      </c>
      <c r="J694" s="1" t="str">
        <f ca="1">IFERROR(__xludf.DUMMYFUNCTION("""COMPUTED_VALUE"""),"2022-07-04T11:15:29.863Z")</f>
        <v>2022-07-04T11:15:29.863Z</v>
      </c>
    </row>
    <row r="695" spans="1:10" x14ac:dyDescent="0.2">
      <c r="A695" s="2" t="str">
        <f ca="1">IFERROR(__xludf.DUMMYFUNCTION("""COMPUTED_VALUE"""),"https://www.facebook.com/profile.php?id=100011919187220")</f>
        <v>https://www.facebook.com/profile.php?id=100011919187220</v>
      </c>
      <c r="B695" s="1" t="str">
        <f ca="1">IFERROR(__xludf.DUMMYFUNCTION("""COMPUTED_VALUE"""),"Pedro Penduko")</f>
        <v>Pedro Penduko</v>
      </c>
      <c r="C695" s="1" t="str">
        <f ca="1">IFERROR(__xludf.DUMMYFUNCTION("""COMPUTED_VALUE"""),"Pedro")</f>
        <v>Pedro</v>
      </c>
      <c r="D695" s="1" t="str">
        <f ca="1">IFERROR(__xludf.DUMMYFUNCTION("""COMPUTED_VALUE"""),"Penduko")</f>
        <v>Penduko</v>
      </c>
      <c r="E695" s="1" t="str">
        <f ca="1">IFERROR(__xludf.DUMMYFUNCTION("""COMPUTED_VALUE"""),"The worst dynastic oligarchy.")</f>
        <v>The worst dynastic oligarchy.</v>
      </c>
      <c r="F695" s="1"/>
      <c r="G695" s="1" t="str">
        <f ca="1">IFERROR(__xludf.DUMMYFUNCTION("""COMPUTED_VALUE"""),"3 mos")</f>
        <v>3 mos</v>
      </c>
      <c r="H695" s="1" t="str">
        <f ca="1">IFERROR(__xludf.DUMMYFUNCTION("""COMPUTED_VALUE"""),"comment")</f>
        <v>comment</v>
      </c>
      <c r="I695" s="2" t="str">
        <f ca="1">IFERROR(__xludf.DUMMYFUNCTION("""COMPUTED_VALUE"""),"https://www.facebook.com/rapplerdotcom/photos/a.317154781638645/5597116770309060/")</f>
        <v>https://www.facebook.com/rapplerdotcom/photos/a.317154781638645/5597116770309060/</v>
      </c>
      <c r="J695" s="1" t="str">
        <f ca="1">IFERROR(__xludf.DUMMYFUNCTION("""COMPUTED_VALUE"""),"2022-07-04T11:15:29.863Z")</f>
        <v>2022-07-04T11:15:29.863Z</v>
      </c>
    </row>
    <row r="696" spans="1:10" x14ac:dyDescent="0.2">
      <c r="A696" s="2" t="str">
        <f ca="1">IFERROR(__xludf.DUMMYFUNCTION("""COMPUTED_VALUE"""),"https://www.facebook.com/edgardo.eva")</f>
        <v>https://www.facebook.com/edgardo.eva</v>
      </c>
      <c r="B696" s="1" t="str">
        <f ca="1">IFERROR(__xludf.DUMMYFUNCTION("""COMPUTED_VALUE"""),"Edgardo Eva")</f>
        <v>Edgardo Eva</v>
      </c>
      <c r="C696" s="1" t="str">
        <f ca="1">IFERROR(__xludf.DUMMYFUNCTION("""COMPUTED_VALUE"""),"Edgardo")</f>
        <v>Edgardo</v>
      </c>
      <c r="D696" s="1" t="str">
        <f ca="1">IFERROR(__xludf.DUMMYFUNCTION("""COMPUTED_VALUE"""),"Eva")</f>
        <v>Eva</v>
      </c>
      <c r="E696" s="1" t="str">
        <f ca="1">IFERROR(__xludf.DUMMYFUNCTION("""COMPUTED_VALUE"""),"When the present generation are weak and liars, the tower of arrogance has nowhere to go  but crumble...")</f>
        <v>When the present generation are weak and liars, the tower of arrogance has nowhere to go  but crumble...</v>
      </c>
      <c r="F696" s="1"/>
      <c r="G696" s="1" t="str">
        <f ca="1">IFERROR(__xludf.DUMMYFUNCTION("""COMPUTED_VALUE"""),"3 mos")</f>
        <v>3 mos</v>
      </c>
      <c r="H696" s="1" t="str">
        <f ca="1">IFERROR(__xludf.DUMMYFUNCTION("""COMPUTED_VALUE"""),"comment")</f>
        <v>comment</v>
      </c>
      <c r="I696" s="2" t="str">
        <f ca="1">IFERROR(__xludf.DUMMYFUNCTION("""COMPUTED_VALUE"""),"https://www.facebook.com/rapplerdotcom/photos/a.317154781638645/5597116770309060/")</f>
        <v>https://www.facebook.com/rapplerdotcom/photos/a.317154781638645/5597116770309060/</v>
      </c>
      <c r="J696" s="1" t="str">
        <f ca="1">IFERROR(__xludf.DUMMYFUNCTION("""COMPUTED_VALUE"""),"2022-07-04T11:15:29.863Z")</f>
        <v>2022-07-04T11:15:29.863Z</v>
      </c>
    </row>
    <row r="697" spans="1:10" x14ac:dyDescent="0.2">
      <c r="A697" s="2" t="str">
        <f ca="1">IFERROR(__xludf.DUMMYFUNCTION("""COMPUTED_VALUE"""),"https://www.facebook.com/profile.php?id=100010194641005")</f>
        <v>https://www.facebook.com/profile.php?id=100010194641005</v>
      </c>
      <c r="B697" s="1" t="str">
        <f ca="1">IFERROR(__xludf.DUMMYFUNCTION("""COMPUTED_VALUE"""),"Lito de Torres")</f>
        <v>Lito de Torres</v>
      </c>
      <c r="C697" s="1" t="str">
        <f ca="1">IFERROR(__xludf.DUMMYFUNCTION("""COMPUTED_VALUE"""),"Lito")</f>
        <v>Lito</v>
      </c>
      <c r="D697" s="1" t="str">
        <f ca="1">IFERROR(__xludf.DUMMYFUNCTION("""COMPUTED_VALUE"""),"de Torres")</f>
        <v>de Torres</v>
      </c>
      <c r="E697" s="1" t="str">
        <f ca="1">IFERROR(__xludf.DUMMYFUNCTION("""COMPUTED_VALUE"""),"You have a better choice. An awarded and full of achievement young leader in this generation 💙☝️💙☝️  https://fb.watch/b-jVvTyDqb/")</f>
        <v>You have a better choice. An awarded and full of achievement young leader in this generation 💙☝️💙☝️  https://fb.watch/b-jVvTyDqb/</v>
      </c>
      <c r="F697" s="1">
        <f ca="1">IFERROR(__xludf.DUMMYFUNCTION("""COMPUTED_VALUE"""),8)</f>
        <v>8</v>
      </c>
      <c r="G697" s="1" t="str">
        <f ca="1">IFERROR(__xludf.DUMMYFUNCTION("""COMPUTED_VALUE"""),"February 20, 2020 at 2:28 PM")</f>
        <v>February 20, 2020 at 2:28 PM</v>
      </c>
      <c r="H697" s="1" t="str">
        <f ca="1">IFERROR(__xludf.DUMMYFUNCTION("""COMPUTED_VALUE"""),"comment")</f>
        <v>comment</v>
      </c>
      <c r="I697" s="2" t="str">
        <f ca="1">IFERROR(__xludf.DUMMYFUNCTION("""COMPUTED_VALUE"""),"https://www.facebook.com/rapplerdotcom/photos/a.317154781638645/5597116770309060/")</f>
        <v>https://www.facebook.com/rapplerdotcom/photos/a.317154781638645/5597116770309060/</v>
      </c>
      <c r="J697" s="1" t="str">
        <f ca="1">IFERROR(__xludf.DUMMYFUNCTION("""COMPUTED_VALUE"""),"2022-07-04T11:15:29.863Z")</f>
        <v>2022-07-04T11:15:29.863Z</v>
      </c>
    </row>
    <row r="698" spans="1:10" x14ac:dyDescent="0.2">
      <c r="A698" s="2" t="str">
        <f ca="1">IFERROR(__xludf.DUMMYFUNCTION("""COMPUTED_VALUE"""),"https://www.facebook.com/profile.php?id=100008332086519")</f>
        <v>https://www.facebook.com/profile.php?id=100008332086519</v>
      </c>
      <c r="B698" s="1" t="str">
        <f ca="1">IFERROR(__xludf.DUMMYFUNCTION("""COMPUTED_VALUE"""),"Alex Jacinto")</f>
        <v>Alex Jacinto</v>
      </c>
      <c r="C698" s="1" t="str">
        <f ca="1">IFERROR(__xludf.DUMMYFUNCTION("""COMPUTED_VALUE"""),"Alex")</f>
        <v>Alex</v>
      </c>
      <c r="D698" s="1" t="str">
        <f ca="1">IFERROR(__xludf.DUMMYFUNCTION("""COMPUTED_VALUE"""),"Jacinto")</f>
        <v>Jacinto</v>
      </c>
      <c r="E698" s="1" t="str">
        <f ca="1">IFERROR(__xludf.DUMMYFUNCTION("""COMPUTED_VALUE"""),"Kawawang Ilocos Norte, huhummm")</f>
        <v>Kawawang Ilocos Norte, huhummm</v>
      </c>
      <c r="F698" s="1">
        <f ca="1">IFERROR(__xludf.DUMMYFUNCTION("""COMPUTED_VALUE"""),13)</f>
        <v>13</v>
      </c>
      <c r="G698" s="1" t="str">
        <f ca="1">IFERROR(__xludf.DUMMYFUNCTION("""COMPUTED_VALUE"""),"3 mos")</f>
        <v>3 mos</v>
      </c>
      <c r="H698" s="1" t="str">
        <f ca="1">IFERROR(__xludf.DUMMYFUNCTION("""COMPUTED_VALUE"""),"comment")</f>
        <v>comment</v>
      </c>
      <c r="I698" s="2" t="str">
        <f ca="1">IFERROR(__xludf.DUMMYFUNCTION("""COMPUTED_VALUE"""),"https://www.facebook.com/rapplerdotcom/photos/a.317154781638645/5597116770309060/")</f>
        <v>https://www.facebook.com/rapplerdotcom/photos/a.317154781638645/5597116770309060/</v>
      </c>
      <c r="J698" s="1" t="str">
        <f ca="1">IFERROR(__xludf.DUMMYFUNCTION("""COMPUTED_VALUE"""),"2022-07-04T11:15:29.863Z")</f>
        <v>2022-07-04T11:15:29.863Z</v>
      </c>
    </row>
    <row r="699" spans="1:10" x14ac:dyDescent="0.2">
      <c r="A699" s="2" t="str">
        <f ca="1">IFERROR(__xludf.DUMMYFUNCTION("""COMPUTED_VALUE"""),"https://www.facebook.com/profile.php?id=100009111409816")</f>
        <v>https://www.facebook.com/profile.php?id=100009111409816</v>
      </c>
      <c r="B699" s="1" t="str">
        <f ca="1">IFERROR(__xludf.DUMMYFUNCTION("""COMPUTED_VALUE"""),"Nida Saldivia")</f>
        <v>Nida Saldivia</v>
      </c>
      <c r="C699" s="1" t="str">
        <f ca="1">IFERROR(__xludf.DUMMYFUNCTION("""COMPUTED_VALUE"""),"Nida")</f>
        <v>Nida</v>
      </c>
      <c r="D699" s="1" t="str">
        <f ca="1">IFERROR(__xludf.DUMMYFUNCTION("""COMPUTED_VALUE"""),"Saldivia")</f>
        <v>Saldivia</v>
      </c>
      <c r="E699" s="1" t="str">
        <f ca="1">IFERROR(__xludf.DUMMYFUNCTION("""COMPUTED_VALUE"""),"Alex Jacinto 💚💚💚💖💖💖")</f>
        <v>Alex Jacinto 💚💚💚💖💖💖</v>
      </c>
      <c r="F699" s="1"/>
      <c r="G699" s="1" t="str">
        <f ca="1">IFERROR(__xludf.DUMMYFUNCTION("""COMPUTED_VALUE"""),"3 mos")</f>
        <v>3 mos</v>
      </c>
      <c r="H699" s="1" t="str">
        <f ca="1">IFERROR(__xludf.DUMMYFUNCTION("""COMPUTED_VALUE"""),"reply")</f>
        <v>reply</v>
      </c>
      <c r="I699" s="2" t="str">
        <f ca="1">IFERROR(__xludf.DUMMYFUNCTION("""COMPUTED_VALUE"""),"https://www.facebook.com/rapplerdotcom/photos/a.317154781638645/5597116770309060/")</f>
        <v>https://www.facebook.com/rapplerdotcom/photos/a.317154781638645/5597116770309060/</v>
      </c>
      <c r="J699" s="1" t="str">
        <f ca="1">IFERROR(__xludf.DUMMYFUNCTION("""COMPUTED_VALUE"""),"2022-07-04T11:15:29.863Z")</f>
        <v>2022-07-04T11:15:29.863Z</v>
      </c>
    </row>
    <row r="700" spans="1:10" x14ac:dyDescent="0.2">
      <c r="A700" s="2" t="str">
        <f ca="1">IFERROR(__xludf.DUMMYFUNCTION("""COMPUTED_VALUE"""),"https://www.facebook.com/unopres")</f>
        <v>https://www.facebook.com/unopres</v>
      </c>
      <c r="B700" s="1" t="str">
        <f ca="1">IFERROR(__xludf.DUMMYFUNCTION("""COMPUTED_VALUE"""),"Pres Leonardo")</f>
        <v>Pres Leonardo</v>
      </c>
      <c r="C700" s="1" t="str">
        <f ca="1">IFERROR(__xludf.DUMMYFUNCTION("""COMPUTED_VALUE"""),"Pres")</f>
        <v>Pres</v>
      </c>
      <c r="D700" s="1" t="str">
        <f ca="1">IFERROR(__xludf.DUMMYFUNCTION("""COMPUTED_VALUE"""),"Leonardo")</f>
        <v>Leonardo</v>
      </c>
      <c r="E700" s="1" t="str">
        <f ca="1">IFERROR(__xludf.DUMMYFUNCTION("""COMPUTED_VALUE"""),"Dictator!!!!!!")</f>
        <v>Dictator!!!!!!</v>
      </c>
      <c r="F700" s="1"/>
      <c r="G700" s="1" t="str">
        <f ca="1">IFERROR(__xludf.DUMMYFUNCTION("""COMPUTED_VALUE"""),"3 mos")</f>
        <v>3 mos</v>
      </c>
      <c r="H700" s="1" t="str">
        <f ca="1">IFERROR(__xludf.DUMMYFUNCTION("""COMPUTED_VALUE"""),"comment")</f>
        <v>comment</v>
      </c>
      <c r="I700" s="2" t="str">
        <f ca="1">IFERROR(__xludf.DUMMYFUNCTION("""COMPUTED_VALUE"""),"https://www.facebook.com/rapplerdotcom/photos/a.317154781638645/5597116770309060/")</f>
        <v>https://www.facebook.com/rapplerdotcom/photos/a.317154781638645/5597116770309060/</v>
      </c>
      <c r="J700" s="1" t="str">
        <f ca="1">IFERROR(__xludf.DUMMYFUNCTION("""COMPUTED_VALUE"""),"2022-07-04T11:15:29.863Z")</f>
        <v>2022-07-04T11:15:29.863Z</v>
      </c>
    </row>
    <row r="701" spans="1:10" x14ac:dyDescent="0.2">
      <c r="A701" s="2" t="str">
        <f ca="1">IFERROR(__xludf.DUMMYFUNCTION("""COMPUTED_VALUE"""),"https://www.facebook.com/profile.php?id=100009111409816")</f>
        <v>https://www.facebook.com/profile.php?id=100009111409816</v>
      </c>
      <c r="B701" s="1" t="str">
        <f ca="1">IFERROR(__xludf.DUMMYFUNCTION("""COMPUTED_VALUE"""),"Nida Saldivia")</f>
        <v>Nida Saldivia</v>
      </c>
      <c r="C701" s="1" t="str">
        <f ca="1">IFERROR(__xludf.DUMMYFUNCTION("""COMPUTED_VALUE"""),"Nida")</f>
        <v>Nida</v>
      </c>
      <c r="D701" s="1" t="str">
        <f ca="1">IFERROR(__xludf.DUMMYFUNCTION("""COMPUTED_VALUE"""),"Saldivia")</f>
        <v>Saldivia</v>
      </c>
      <c r="E701" s="1" t="str">
        <f ca="1">IFERROR(__xludf.DUMMYFUNCTION("""COMPUTED_VALUE"""),"Pres Leonardo 💚💚💚💚💚")</f>
        <v>Pres Leonardo 💚💚💚💚💚</v>
      </c>
      <c r="F701" s="1"/>
      <c r="G701" s="1" t="str">
        <f ca="1">IFERROR(__xludf.DUMMYFUNCTION("""COMPUTED_VALUE"""),"3 mos")</f>
        <v>3 mos</v>
      </c>
      <c r="H701" s="1" t="str">
        <f ca="1">IFERROR(__xludf.DUMMYFUNCTION("""COMPUTED_VALUE"""),"reply")</f>
        <v>reply</v>
      </c>
      <c r="I701" s="2" t="str">
        <f ca="1">IFERROR(__xludf.DUMMYFUNCTION("""COMPUTED_VALUE"""),"https://www.facebook.com/rapplerdotcom/photos/a.317154781638645/5597116770309060/")</f>
        <v>https://www.facebook.com/rapplerdotcom/photos/a.317154781638645/5597116770309060/</v>
      </c>
      <c r="J701" s="1" t="str">
        <f ca="1">IFERROR(__xludf.DUMMYFUNCTION("""COMPUTED_VALUE"""),"2022-07-04T11:15:29.863Z")</f>
        <v>2022-07-04T11:15:29.863Z</v>
      </c>
    </row>
    <row r="702" spans="1:10" x14ac:dyDescent="0.2">
      <c r="A702" s="2" t="str">
        <f ca="1">IFERROR(__xludf.DUMMYFUNCTION("""COMPUTED_VALUE"""),"https://www.facebook.com/caloy.galicia")</f>
        <v>https://www.facebook.com/caloy.galicia</v>
      </c>
      <c r="B702" s="1" t="str">
        <f ca="1">IFERROR(__xludf.DUMMYFUNCTION("""COMPUTED_VALUE"""),"Caloy Galicia")</f>
        <v>Caloy Galicia</v>
      </c>
      <c r="C702" s="1" t="str">
        <f ca="1">IFERROR(__xludf.DUMMYFUNCTION("""COMPUTED_VALUE"""),"Caloy")</f>
        <v>Caloy</v>
      </c>
      <c r="D702" s="1" t="str">
        <f ca="1">IFERROR(__xludf.DUMMYFUNCTION("""COMPUTED_VALUE"""),"Galicia")</f>
        <v>Galicia</v>
      </c>
      <c r="E702" s="1" t="str">
        <f ca="1">IFERROR(__xludf.DUMMYFUNCTION("""COMPUTED_VALUE"""),"Rambulan kayo dyan. Daanin na na lng sa debate o quiz")</f>
        <v>Rambulan kayo dyan. Daanin na na lng sa debate o quiz</v>
      </c>
      <c r="F702" s="1"/>
      <c r="G702" s="1" t="str">
        <f ca="1">IFERROR(__xludf.DUMMYFUNCTION("""COMPUTED_VALUE"""),"3 mos")</f>
        <v>3 mos</v>
      </c>
      <c r="H702" s="1" t="str">
        <f ca="1">IFERROR(__xludf.DUMMYFUNCTION("""COMPUTED_VALUE"""),"comment")</f>
        <v>comment</v>
      </c>
      <c r="I702" s="2" t="str">
        <f ca="1">IFERROR(__xludf.DUMMYFUNCTION("""COMPUTED_VALUE"""),"https://www.facebook.com/rapplerdotcom/photos/a.317154781638645/5597116770309060/")</f>
        <v>https://www.facebook.com/rapplerdotcom/photos/a.317154781638645/5597116770309060/</v>
      </c>
      <c r="J702" s="1" t="str">
        <f ca="1">IFERROR(__xludf.DUMMYFUNCTION("""COMPUTED_VALUE"""),"2022-07-04T11:15:29.863Z")</f>
        <v>2022-07-04T11:15:29.863Z</v>
      </c>
    </row>
    <row r="703" spans="1:10" x14ac:dyDescent="0.2">
      <c r="A703" s="2" t="str">
        <f ca="1">IFERROR(__xludf.DUMMYFUNCTION("""COMPUTED_VALUE"""),"https://www.facebook.com/romulo.augustine")</f>
        <v>https://www.facebook.com/romulo.augustine</v>
      </c>
      <c r="B703" s="1" t="str">
        <f ca="1">IFERROR(__xludf.DUMMYFUNCTION("""COMPUTED_VALUE"""),"Romulo Augustine")</f>
        <v>Romulo Augustine</v>
      </c>
      <c r="C703" s="1" t="str">
        <f ca="1">IFERROR(__xludf.DUMMYFUNCTION("""COMPUTED_VALUE"""),"Romulo")</f>
        <v>Romulo</v>
      </c>
      <c r="D703" s="1" t="str">
        <f ca="1">IFERROR(__xludf.DUMMYFUNCTION("""COMPUTED_VALUE"""),"Augustine")</f>
        <v>Augustine</v>
      </c>
      <c r="E703" s="1" t="str">
        <f ca="1">IFERROR(__xludf.DUMMYFUNCTION("""COMPUTED_VALUE"""),"As long as you’re swimming in blood money and under the shadow of injustice, never again")</f>
        <v>As long as you’re swimming in blood money and under the shadow of injustice, never again</v>
      </c>
      <c r="F703" s="1">
        <f ca="1">IFERROR(__xludf.DUMMYFUNCTION("""COMPUTED_VALUE"""),17)</f>
        <v>17</v>
      </c>
      <c r="G703" s="1" t="str">
        <f ca="1">IFERROR(__xludf.DUMMYFUNCTION("""COMPUTED_VALUE"""),"3 mos")</f>
        <v>3 mos</v>
      </c>
      <c r="H703" s="1" t="str">
        <f ca="1">IFERROR(__xludf.DUMMYFUNCTION("""COMPUTED_VALUE"""),"comment")</f>
        <v>comment</v>
      </c>
      <c r="I703" s="2" t="str">
        <f ca="1">IFERROR(__xludf.DUMMYFUNCTION("""COMPUTED_VALUE"""),"https://www.facebook.com/rapplerdotcom/photos/a.317154781638645/5597116770309060/")</f>
        <v>https://www.facebook.com/rapplerdotcom/photos/a.317154781638645/5597116770309060/</v>
      </c>
      <c r="J703" s="1" t="str">
        <f ca="1">IFERROR(__xludf.DUMMYFUNCTION("""COMPUTED_VALUE"""),"2022-07-04T11:15:29.863Z")</f>
        <v>2022-07-04T11:15:29.863Z</v>
      </c>
    </row>
    <row r="704" spans="1:10" x14ac:dyDescent="0.2">
      <c r="A704" s="2" t="str">
        <f ca="1">IFERROR(__xludf.DUMMYFUNCTION("""COMPUTED_VALUE"""),"https://www.facebook.com/rey.bartolome.16")</f>
        <v>https://www.facebook.com/rey.bartolome.16</v>
      </c>
      <c r="B704" s="1" t="str">
        <f ca="1">IFERROR(__xludf.DUMMYFUNCTION("""COMPUTED_VALUE"""),"Rey Bartolome")</f>
        <v>Rey Bartolome</v>
      </c>
      <c r="C704" s="1" t="str">
        <f ca="1">IFERROR(__xludf.DUMMYFUNCTION("""COMPUTED_VALUE"""),"Rey")</f>
        <v>Rey</v>
      </c>
      <c r="D704" s="1" t="str">
        <f ca="1">IFERROR(__xludf.DUMMYFUNCTION("""COMPUTED_VALUE"""),"Bartolome")</f>
        <v>Bartolome</v>
      </c>
      <c r="E704" s="1" t="str">
        <f ca="1">IFERROR(__xludf.DUMMYFUNCTION("""COMPUTED_VALUE"""),"naturally the most popular presidential choice?????? Sigurado ka????.")</f>
        <v>naturally the most popular presidential choice?????? Sigurado ka????.</v>
      </c>
      <c r="F704" s="1">
        <f ca="1">IFERROR(__xludf.DUMMYFUNCTION("""COMPUTED_VALUE"""),3)</f>
        <v>3</v>
      </c>
      <c r="G704" s="1" t="str">
        <f ca="1">IFERROR(__xludf.DUMMYFUNCTION("""COMPUTED_VALUE"""),"3 mos")</f>
        <v>3 mos</v>
      </c>
      <c r="H704" s="1" t="str">
        <f ca="1">IFERROR(__xludf.DUMMYFUNCTION("""COMPUTED_VALUE"""),"comment")</f>
        <v>comment</v>
      </c>
      <c r="I704" s="2" t="str">
        <f ca="1">IFERROR(__xludf.DUMMYFUNCTION("""COMPUTED_VALUE"""),"https://www.facebook.com/rapplerdotcom/photos/a.317154781638645/5597116770309060/")</f>
        <v>https://www.facebook.com/rapplerdotcom/photos/a.317154781638645/5597116770309060/</v>
      </c>
      <c r="J704" s="1" t="str">
        <f ca="1">IFERROR(__xludf.DUMMYFUNCTION("""COMPUTED_VALUE"""),"2022-07-04T11:15:29.863Z")</f>
        <v>2022-07-04T11:15:29.863Z</v>
      </c>
    </row>
    <row r="705" spans="1:10" x14ac:dyDescent="0.2">
      <c r="A705" s="2" t="str">
        <f ca="1">IFERROR(__xludf.DUMMYFUNCTION("""COMPUTED_VALUE"""),"https://www.facebook.com/rrtanales.7")</f>
        <v>https://www.facebook.com/rrtanales.7</v>
      </c>
      <c r="B705" s="1" t="str">
        <f ca="1">IFERROR(__xludf.DUMMYFUNCTION("""COMPUTED_VALUE"""),"Rimmon Reu Tanales")</f>
        <v>Rimmon Reu Tanales</v>
      </c>
      <c r="C705" s="1" t="str">
        <f ca="1">IFERROR(__xludf.DUMMYFUNCTION("""COMPUTED_VALUE"""),"Rimmon")</f>
        <v>Rimmon</v>
      </c>
      <c r="D705" s="1" t="str">
        <f ca="1">IFERROR(__xludf.DUMMYFUNCTION("""COMPUTED_VALUE"""),"Reu Tanales")</f>
        <v>Reu Tanales</v>
      </c>
      <c r="E705" s="1" t="str">
        <f ca="1">IFERROR(__xludf.DUMMYFUNCTION("""COMPUTED_VALUE"""),"Kailangan lang po natin magkaisa at sa pagkakaisa, tayo ay magsasama-sama. At dahil sa pagsasama at pagkakaisa tayo ay magkakaroon ng UNITY. Unity lang po ang kailangan. pati pera tao bayan pagkaisa ko at 203billion manalo kalimotan nyo na din.")</f>
        <v>Kailangan lang po natin magkaisa at sa pagkakaisa, tayo ay magsasama-sama. At dahil sa pagsasama at pagkakaisa tayo ay magkakaroon ng UNITY. Unity lang po ang kailangan. pati pera tao bayan pagkaisa ko at 203billion manalo kalimotan nyo na din.</v>
      </c>
      <c r="F705" s="1">
        <f ca="1">IFERROR(__xludf.DUMMYFUNCTION("""COMPUTED_VALUE"""),14)</f>
        <v>14</v>
      </c>
      <c r="G705" s="1" t="str">
        <f ca="1">IFERROR(__xludf.DUMMYFUNCTION("""COMPUTED_VALUE"""),"3 mos")</f>
        <v>3 mos</v>
      </c>
      <c r="H705" s="1" t="str">
        <f ca="1">IFERROR(__xludf.DUMMYFUNCTION("""COMPUTED_VALUE"""),"comment")</f>
        <v>comment</v>
      </c>
      <c r="I705" s="2" t="str">
        <f ca="1">IFERROR(__xludf.DUMMYFUNCTION("""COMPUTED_VALUE"""),"https://www.facebook.com/rapplerdotcom/photos/a.317154781638645/5597116770309060/")</f>
        <v>https://www.facebook.com/rapplerdotcom/photos/a.317154781638645/5597116770309060/</v>
      </c>
      <c r="J705" s="1" t="str">
        <f ca="1">IFERROR(__xludf.DUMMYFUNCTION("""COMPUTED_VALUE"""),"2022-07-04T11:15:29.863Z")</f>
        <v>2022-07-04T11:15:29.863Z</v>
      </c>
    </row>
    <row r="706" spans="1:10" x14ac:dyDescent="0.2">
      <c r="A706" s="2" t="str">
        <f ca="1">IFERROR(__xludf.DUMMYFUNCTION("""COMPUTED_VALUE"""),"https://www.facebook.com/sonia.olba")</f>
        <v>https://www.facebook.com/sonia.olba</v>
      </c>
      <c r="B706" s="1" t="str">
        <f ca="1">IFERROR(__xludf.DUMMYFUNCTION("""COMPUTED_VALUE"""),"Sonia Olba")</f>
        <v>Sonia Olba</v>
      </c>
      <c r="C706" s="1" t="str">
        <f ca="1">IFERROR(__xludf.DUMMYFUNCTION("""COMPUTED_VALUE"""),"Sonia")</f>
        <v>Sonia</v>
      </c>
      <c r="D706" s="1" t="str">
        <f ca="1">IFERROR(__xludf.DUMMYFUNCTION("""COMPUTED_VALUE"""),"Olba")</f>
        <v>Olba</v>
      </c>
      <c r="E706" s="1" t="str">
        <f ca="1">IFERROR(__xludf.DUMMYFUNCTION("""COMPUTED_VALUE"""),"Di nyo na mapigilan sila gusto ng tao")</f>
        <v>Di nyo na mapigilan sila gusto ng tao</v>
      </c>
      <c r="F706" s="1"/>
      <c r="G706" s="1" t="str">
        <f ca="1">IFERROR(__xludf.DUMMYFUNCTION("""COMPUTED_VALUE"""),"3 mos")</f>
        <v>3 mos</v>
      </c>
      <c r="H706" s="1" t="str">
        <f ca="1">IFERROR(__xludf.DUMMYFUNCTION("""COMPUTED_VALUE"""),"comment")</f>
        <v>comment</v>
      </c>
      <c r="I706" s="2" t="str">
        <f ca="1">IFERROR(__xludf.DUMMYFUNCTION("""COMPUTED_VALUE"""),"https://www.facebook.com/rapplerdotcom/photos/a.317154781638645/5597116770309060/")</f>
        <v>https://www.facebook.com/rapplerdotcom/photos/a.317154781638645/5597116770309060/</v>
      </c>
      <c r="J706" s="1" t="str">
        <f ca="1">IFERROR(__xludf.DUMMYFUNCTION("""COMPUTED_VALUE"""),"2022-07-04T11:15:29.863Z")</f>
        <v>2022-07-04T11:15:29.863Z</v>
      </c>
    </row>
    <row r="707" spans="1:10" x14ac:dyDescent="0.2">
      <c r="A707" s="2" t="str">
        <f ca="1">IFERROR(__xludf.DUMMYFUNCTION("""COMPUTED_VALUE"""),"https://www.facebook.com/marciano.garcia.7528")</f>
        <v>https://www.facebook.com/marciano.garcia.7528</v>
      </c>
      <c r="B707" s="1" t="str">
        <f ca="1">IFERROR(__xludf.DUMMYFUNCTION("""COMPUTED_VALUE"""),"Marciano Garcia")</f>
        <v>Marciano Garcia</v>
      </c>
      <c r="C707" s="1" t="str">
        <f ca="1">IFERROR(__xludf.DUMMYFUNCTION("""COMPUTED_VALUE"""),"Marciano")</f>
        <v>Marciano</v>
      </c>
      <c r="D707" s="1" t="str">
        <f ca="1">IFERROR(__xludf.DUMMYFUNCTION("""COMPUTED_VALUE"""),"Garcia")</f>
        <v>Garcia</v>
      </c>
      <c r="E707" s="1" t="str">
        <f ca="1">IFERROR(__xludf.DUMMYFUNCTION("""COMPUTED_VALUE"""),"Ang problema , ano ang solusyon sa pagpigil o paglaganap sa political dynasty . Kailangan my educational campaign nagawin kasi ang mga tao sa kasalukuyan hindi aware or mulat sa mga disadvantages sa political dynasty .")</f>
        <v>Ang problema , ano ang solusyon sa pagpigil o paglaganap sa political dynasty . Kailangan my educational campaign nagawin kasi ang mga tao sa kasalukuyan hindi aware or mulat sa mga disadvantages sa political dynasty .</v>
      </c>
      <c r="F707" s="1"/>
      <c r="G707" s="1" t="str">
        <f ca="1">IFERROR(__xludf.DUMMYFUNCTION("""COMPUTED_VALUE"""),"3 mos")</f>
        <v>3 mos</v>
      </c>
      <c r="H707" s="1" t="str">
        <f ca="1">IFERROR(__xludf.DUMMYFUNCTION("""COMPUTED_VALUE"""),"comment")</f>
        <v>comment</v>
      </c>
      <c r="I707" s="2" t="str">
        <f ca="1">IFERROR(__xludf.DUMMYFUNCTION("""COMPUTED_VALUE"""),"https://www.facebook.com/rapplerdotcom/photos/a.317154781638645/5597116770309060/")</f>
        <v>https://www.facebook.com/rapplerdotcom/photos/a.317154781638645/5597116770309060/</v>
      </c>
      <c r="J707" s="1" t="str">
        <f ca="1">IFERROR(__xludf.DUMMYFUNCTION("""COMPUTED_VALUE"""),"2022-07-04T11:15:29.863Z")</f>
        <v>2022-07-04T11:15:29.863Z</v>
      </c>
    </row>
    <row r="708" spans="1:10" x14ac:dyDescent="0.2">
      <c r="A708" s="2" t="str">
        <f ca="1">IFERROR(__xludf.DUMMYFUNCTION("""COMPUTED_VALUE"""),"https://www.facebook.com/molsky")</f>
        <v>https://www.facebook.com/molsky</v>
      </c>
      <c r="B708" s="1" t="str">
        <f ca="1">IFERROR(__xludf.DUMMYFUNCTION("""COMPUTED_VALUE"""),"Rene Molina")</f>
        <v>Rene Molina</v>
      </c>
      <c r="C708" s="1" t="str">
        <f ca="1">IFERROR(__xludf.DUMMYFUNCTION("""COMPUTED_VALUE"""),"Rene")</f>
        <v>Rene</v>
      </c>
      <c r="D708" s="1" t="str">
        <f ca="1">IFERROR(__xludf.DUMMYFUNCTION("""COMPUTED_VALUE"""),"Molina")</f>
        <v>Molina</v>
      </c>
      <c r="E708" s="1" t="str">
        <f ca="1">IFERROR(__xludf.DUMMYFUNCTION("""COMPUTED_VALUE"""),"End political dynasty now.")</f>
        <v>End political dynasty now.</v>
      </c>
      <c r="F708" s="1"/>
      <c r="G708" s="1" t="str">
        <f ca="1">IFERROR(__xludf.DUMMYFUNCTION("""COMPUTED_VALUE"""),"3 mos")</f>
        <v>3 mos</v>
      </c>
      <c r="H708" s="1" t="str">
        <f ca="1">IFERROR(__xludf.DUMMYFUNCTION("""COMPUTED_VALUE"""),"comment")</f>
        <v>comment</v>
      </c>
      <c r="I708" s="2" t="str">
        <f ca="1">IFERROR(__xludf.DUMMYFUNCTION("""COMPUTED_VALUE"""),"https://www.facebook.com/rapplerdotcom/photos/a.317154781638645/5597116770309060/")</f>
        <v>https://www.facebook.com/rapplerdotcom/photos/a.317154781638645/5597116770309060/</v>
      </c>
      <c r="J708" s="1" t="str">
        <f ca="1">IFERROR(__xludf.DUMMYFUNCTION("""COMPUTED_VALUE"""),"2022-07-04T11:15:29.863Z")</f>
        <v>2022-07-04T11:15:29.863Z</v>
      </c>
    </row>
    <row r="709" spans="1:10" x14ac:dyDescent="0.2">
      <c r="A709" s="2" t="str">
        <f ca="1">IFERROR(__xludf.DUMMYFUNCTION("""COMPUTED_VALUE"""),"https://www.facebook.com/profile.php?id=100005460137890")</f>
        <v>https://www.facebook.com/profile.php?id=100005460137890</v>
      </c>
      <c r="B709" s="1" t="str">
        <f ca="1">IFERROR(__xludf.DUMMYFUNCTION("""COMPUTED_VALUE"""),"Marilou Noda-Concepcion")</f>
        <v>Marilou Noda-Concepcion</v>
      </c>
      <c r="C709" s="1" t="str">
        <f ca="1">IFERROR(__xludf.DUMMYFUNCTION("""COMPUTED_VALUE"""),"Marilou")</f>
        <v>Marilou</v>
      </c>
      <c r="D709" s="1" t="str">
        <f ca="1">IFERROR(__xludf.DUMMYFUNCTION("""COMPUTED_VALUE"""),"Noda-Concepcion")</f>
        <v>Noda-Concepcion</v>
      </c>
      <c r="E709" s="1" t="str">
        <f ca="1">IFERROR(__xludf.DUMMYFUNCTION("""COMPUTED_VALUE"""),"Pamilyang walang delekadesa ......")</f>
        <v>Pamilyang walang delekadesa ......</v>
      </c>
      <c r="F709" s="1">
        <f ca="1">IFERROR(__xludf.DUMMYFUNCTION("""COMPUTED_VALUE"""),6)</f>
        <v>6</v>
      </c>
      <c r="G709" s="1" t="str">
        <f ca="1">IFERROR(__xludf.DUMMYFUNCTION("""COMPUTED_VALUE"""),"3 mos")</f>
        <v>3 mos</v>
      </c>
      <c r="H709" s="1" t="str">
        <f ca="1">IFERROR(__xludf.DUMMYFUNCTION("""COMPUTED_VALUE"""),"comment")</f>
        <v>comment</v>
      </c>
      <c r="I709" s="2" t="str">
        <f ca="1">IFERROR(__xludf.DUMMYFUNCTION("""COMPUTED_VALUE"""),"https://www.facebook.com/rapplerdotcom/photos/a.317154781638645/5597116770309060/")</f>
        <v>https://www.facebook.com/rapplerdotcom/photos/a.317154781638645/5597116770309060/</v>
      </c>
      <c r="J709" s="1" t="str">
        <f ca="1">IFERROR(__xludf.DUMMYFUNCTION("""COMPUTED_VALUE"""),"2022-07-04T11:15:29.863Z")</f>
        <v>2022-07-04T11:15:29.863Z</v>
      </c>
    </row>
    <row r="710" spans="1:10" x14ac:dyDescent="0.2">
      <c r="A710" s="2" t="str">
        <f ca="1">IFERROR(__xludf.DUMMYFUNCTION("""COMPUTED_VALUE"""),"https://www.facebook.com/melgalimba")</f>
        <v>https://www.facebook.com/melgalimba</v>
      </c>
      <c r="B710" s="1" t="str">
        <f ca="1">IFERROR(__xludf.DUMMYFUNCTION("""COMPUTED_VALUE"""),"Mel Galimba")</f>
        <v>Mel Galimba</v>
      </c>
      <c r="C710" s="1" t="str">
        <f ca="1">IFERROR(__xludf.DUMMYFUNCTION("""COMPUTED_VALUE"""),"Mel")</f>
        <v>Mel</v>
      </c>
      <c r="D710" s="1" t="str">
        <f ca="1">IFERROR(__xludf.DUMMYFUNCTION("""COMPUTED_VALUE"""),"Galimba")</f>
        <v>Galimba</v>
      </c>
      <c r="E710" s="1" t="str">
        <f ca="1">IFERROR(__xludf.DUMMYFUNCTION("""COMPUTED_VALUE"""),"Pamilyang nagpahirap sa pilipinas")</f>
        <v>Pamilyang nagpahirap sa pilipinas</v>
      </c>
      <c r="F710" s="1">
        <f ca="1">IFERROR(__xludf.DUMMYFUNCTION("""COMPUTED_VALUE"""),1)</f>
        <v>1</v>
      </c>
      <c r="G710" s="1" t="str">
        <f ca="1">IFERROR(__xludf.DUMMYFUNCTION("""COMPUTED_VALUE"""),"3 mos")</f>
        <v>3 mos</v>
      </c>
      <c r="H710" s="1" t="str">
        <f ca="1">IFERROR(__xludf.DUMMYFUNCTION("""COMPUTED_VALUE"""),"comment")</f>
        <v>comment</v>
      </c>
      <c r="I710" s="2" t="str">
        <f ca="1">IFERROR(__xludf.DUMMYFUNCTION("""COMPUTED_VALUE"""),"https://www.facebook.com/rapplerdotcom/photos/a.317154781638645/5597116770309060/")</f>
        <v>https://www.facebook.com/rapplerdotcom/photos/a.317154781638645/5597116770309060/</v>
      </c>
      <c r="J710" s="1" t="str">
        <f ca="1">IFERROR(__xludf.DUMMYFUNCTION("""COMPUTED_VALUE"""),"2022-07-04T11:15:29.863Z")</f>
        <v>2022-07-04T11:15:29.863Z</v>
      </c>
    </row>
    <row r="711" spans="1:10" x14ac:dyDescent="0.2">
      <c r="A711" s="2" t="str">
        <f ca="1">IFERROR(__xludf.DUMMYFUNCTION("""COMPUTED_VALUE"""),"https://www.facebook.com/remelyn.regnim.7")</f>
        <v>https://www.facebook.com/remelyn.regnim.7</v>
      </c>
      <c r="B711" s="1" t="str">
        <f ca="1">IFERROR(__xludf.DUMMYFUNCTION("""COMPUTED_VALUE"""),"Love Ejes")</f>
        <v>Love Ejes</v>
      </c>
      <c r="C711" s="1" t="str">
        <f ca="1">IFERROR(__xludf.DUMMYFUNCTION("""COMPUTED_VALUE"""),"Love")</f>
        <v>Love</v>
      </c>
      <c r="D711" s="1" t="str">
        <f ca="1">IFERROR(__xludf.DUMMYFUNCTION("""COMPUTED_VALUE"""),"Ejes")</f>
        <v>Ejes</v>
      </c>
      <c r="E711" s="1" t="str">
        <f ca="1">IFERROR(__xludf.DUMMYFUNCTION("""COMPUTED_VALUE"""),"pinaghahandaan lahat ng kapamilya paupuin para kahit ano pwde magawa...people of North wise wisely hind uuland ang pinas sa political dynasty lahat pwde nilang gawin ...sila lang ang maulad kayo ang kawawa")</f>
        <v>pinaghahandaan lahat ng kapamilya paupuin para kahit ano pwde magawa...people of North wise wisely hind uuland ang pinas sa political dynasty lahat pwde nilang gawin ...sila lang ang maulad kayo ang kawawa</v>
      </c>
      <c r="F711" s="1"/>
      <c r="G711" s="1" t="str">
        <f ca="1">IFERROR(__xludf.DUMMYFUNCTION("""COMPUTED_VALUE"""),"3 mos")</f>
        <v>3 mos</v>
      </c>
      <c r="H711" s="1" t="str">
        <f ca="1">IFERROR(__xludf.DUMMYFUNCTION("""COMPUTED_VALUE"""),"comment")</f>
        <v>comment</v>
      </c>
      <c r="I711" s="2" t="str">
        <f ca="1">IFERROR(__xludf.DUMMYFUNCTION("""COMPUTED_VALUE"""),"https://www.facebook.com/rapplerdotcom/photos/a.317154781638645/5597116770309060/")</f>
        <v>https://www.facebook.com/rapplerdotcom/photos/a.317154781638645/5597116770309060/</v>
      </c>
      <c r="J711" s="1" t="str">
        <f ca="1">IFERROR(__xludf.DUMMYFUNCTION("""COMPUTED_VALUE"""),"2022-07-04T11:15:29.863Z")</f>
        <v>2022-07-04T11:15:29.863Z</v>
      </c>
    </row>
    <row r="712" spans="1:10" x14ac:dyDescent="0.2">
      <c r="A712" s="2" t="str">
        <f ca="1">IFERROR(__xludf.DUMMYFUNCTION("""COMPUTED_VALUE"""),"https://www.facebook.com/Ejrdkdylan")</f>
        <v>https://www.facebook.com/Ejrdkdylan</v>
      </c>
      <c r="B712" s="1" t="str">
        <f ca="1">IFERROR(__xludf.DUMMYFUNCTION("""COMPUTED_VALUE"""),"Dy Lan")</f>
        <v>Dy Lan</v>
      </c>
      <c r="C712" s="1" t="str">
        <f ca="1">IFERROR(__xludf.DUMMYFUNCTION("""COMPUTED_VALUE"""),"Dy")</f>
        <v>Dy</v>
      </c>
      <c r="D712" s="1" t="str">
        <f ca="1">IFERROR(__xludf.DUMMYFUNCTION("""COMPUTED_VALUE"""),"Lan")</f>
        <v>Lan</v>
      </c>
      <c r="E712" s="1" t="str">
        <f ca="1">IFERROR(__xludf.DUMMYFUNCTION("""COMPUTED_VALUE"""),"After 60yrs straight in power still 4th class province pa rin?  https://cmci.dti.gov.ph/prov-profile.php?prov=Ilocos+Norte&amp;year=2019")</f>
        <v>After 60yrs straight in power still 4th class province pa rin?  https://cmci.dti.gov.ph/prov-profile.php?prov=Ilocos+Norte&amp;year=2019</v>
      </c>
      <c r="F712" s="1"/>
      <c r="G712" s="1" t="str">
        <f ca="1">IFERROR(__xludf.DUMMYFUNCTION("""COMPUTED_VALUE"""),"3 mos")</f>
        <v>3 mos</v>
      </c>
      <c r="H712" s="1" t="str">
        <f ca="1">IFERROR(__xludf.DUMMYFUNCTION("""COMPUTED_VALUE"""),"comment")</f>
        <v>comment</v>
      </c>
      <c r="I712" s="2" t="str">
        <f ca="1">IFERROR(__xludf.DUMMYFUNCTION("""COMPUTED_VALUE"""),"https://www.facebook.com/rapplerdotcom/photos/a.317154781638645/5597116770309060/")</f>
        <v>https://www.facebook.com/rapplerdotcom/photos/a.317154781638645/5597116770309060/</v>
      </c>
      <c r="J712" s="1" t="str">
        <f ca="1">IFERROR(__xludf.DUMMYFUNCTION("""COMPUTED_VALUE"""),"2022-07-04T11:15:29.863Z")</f>
        <v>2022-07-04T11:15:29.863Z</v>
      </c>
    </row>
    <row r="713" spans="1:10" x14ac:dyDescent="0.2">
      <c r="A713" s="2" t="str">
        <f ca="1">IFERROR(__xludf.DUMMYFUNCTION("""COMPUTED_VALUE"""),"https://www.facebook.com/john.oliver.965928")</f>
        <v>https://www.facebook.com/john.oliver.965928</v>
      </c>
      <c r="B713" s="1" t="str">
        <f ca="1">IFERROR(__xludf.DUMMYFUNCTION("""COMPUTED_VALUE"""),"John Oliver")</f>
        <v>John Oliver</v>
      </c>
      <c r="C713" s="1" t="str">
        <f ca="1">IFERROR(__xludf.DUMMYFUNCTION("""COMPUTED_VALUE"""),"John")</f>
        <v>John</v>
      </c>
      <c r="D713" s="1" t="str">
        <f ca="1">IFERROR(__xludf.DUMMYFUNCTION("""COMPUTED_VALUE"""),"Oliver")</f>
        <v>Oliver</v>
      </c>
      <c r="E713" s="1" t="str">
        <f ca="1">IFERROR(__xludf.DUMMYFUNCTION("""COMPUTED_VALUE"""),"Never and it will not happen again👎")</f>
        <v>Never and it will not happen again👎</v>
      </c>
      <c r="F713" s="1"/>
      <c r="G713" s="1" t="str">
        <f ca="1">IFERROR(__xludf.DUMMYFUNCTION("""COMPUTED_VALUE"""),"3 mos")</f>
        <v>3 mos</v>
      </c>
      <c r="H713" s="1" t="str">
        <f ca="1">IFERROR(__xludf.DUMMYFUNCTION("""COMPUTED_VALUE"""),"comment")</f>
        <v>comment</v>
      </c>
      <c r="I713" s="2" t="str">
        <f ca="1">IFERROR(__xludf.DUMMYFUNCTION("""COMPUTED_VALUE"""),"https://www.facebook.com/rapplerdotcom/photos/a.317154781638645/5597116770309060/")</f>
        <v>https://www.facebook.com/rapplerdotcom/photos/a.317154781638645/5597116770309060/</v>
      </c>
      <c r="J713" s="1" t="str">
        <f ca="1">IFERROR(__xludf.DUMMYFUNCTION("""COMPUTED_VALUE"""),"2022-07-04T11:15:29.863Z")</f>
        <v>2022-07-04T11:15:29.863Z</v>
      </c>
    </row>
    <row r="714" spans="1:10" x14ac:dyDescent="0.2">
      <c r="A714" s="2" t="str">
        <f ca="1">IFERROR(__xludf.DUMMYFUNCTION("""COMPUTED_VALUE"""),"https://www.facebook.com/profile.php?id=100073915835880")</f>
        <v>https://www.facebook.com/profile.php?id=100073915835880</v>
      </c>
      <c r="B714" s="1" t="str">
        <f ca="1">IFERROR(__xludf.DUMMYFUNCTION("""COMPUTED_VALUE"""),"Marcelina Damaso")</f>
        <v>Marcelina Damaso</v>
      </c>
      <c r="C714" s="1" t="str">
        <f ca="1">IFERROR(__xludf.DUMMYFUNCTION("""COMPUTED_VALUE"""),"Marcelina")</f>
        <v>Marcelina</v>
      </c>
      <c r="D714" s="1" t="str">
        <f ca="1">IFERROR(__xludf.DUMMYFUNCTION("""COMPUTED_VALUE"""),"Damaso")</f>
        <v>Damaso</v>
      </c>
      <c r="E714" s="1" t="str">
        <f ca="1">IFERROR(__xludf.DUMMYFUNCTION("""COMPUTED_VALUE"""),"hindi na yan makabalik sa Malakanyang dahil wala na silang babalikan")</f>
        <v>hindi na yan makabalik sa Malakanyang dahil wala na silang babalikan</v>
      </c>
      <c r="F714" s="1">
        <f ca="1">IFERROR(__xludf.DUMMYFUNCTION("""COMPUTED_VALUE"""),1)</f>
        <v>1</v>
      </c>
      <c r="G714" s="1" t="str">
        <f ca="1">IFERROR(__xludf.DUMMYFUNCTION("""COMPUTED_VALUE"""),"3 mos")</f>
        <v>3 mos</v>
      </c>
      <c r="H714" s="1" t="str">
        <f ca="1">IFERROR(__xludf.DUMMYFUNCTION("""COMPUTED_VALUE"""),"comment")</f>
        <v>comment</v>
      </c>
      <c r="I714" s="2" t="str">
        <f ca="1">IFERROR(__xludf.DUMMYFUNCTION("""COMPUTED_VALUE"""),"https://www.facebook.com/rapplerdotcom/photos/a.317154781638645/5597116770309060/")</f>
        <v>https://www.facebook.com/rapplerdotcom/photos/a.317154781638645/5597116770309060/</v>
      </c>
      <c r="J714" s="1" t="str">
        <f ca="1">IFERROR(__xludf.DUMMYFUNCTION("""COMPUTED_VALUE"""),"2022-07-04T11:15:29.863Z")</f>
        <v>2022-07-04T11:15:29.863Z</v>
      </c>
    </row>
    <row r="715" spans="1:10" x14ac:dyDescent="0.2">
      <c r="A715" s="2" t="str">
        <f ca="1">IFERROR(__xludf.DUMMYFUNCTION("""COMPUTED_VALUE"""),"https://www.facebook.com/profile.php?id=100009097937407")</f>
        <v>https://www.facebook.com/profile.php?id=100009097937407</v>
      </c>
      <c r="B715" s="1" t="str">
        <f ca="1">IFERROR(__xludf.DUMMYFUNCTION("""COMPUTED_VALUE"""),"Richard Gallardo")</f>
        <v>Richard Gallardo</v>
      </c>
      <c r="C715" s="1" t="str">
        <f ca="1">IFERROR(__xludf.DUMMYFUNCTION("""COMPUTED_VALUE"""),"Richard")</f>
        <v>Richard</v>
      </c>
      <c r="D715" s="1" t="str">
        <f ca="1">IFERROR(__xludf.DUMMYFUNCTION("""COMPUTED_VALUE"""),"Gallardo")</f>
        <v>Gallardo</v>
      </c>
      <c r="E715" s="1" t="str">
        <f ca="1">IFERROR(__xludf.DUMMYFUNCTION("""COMPUTED_VALUE"""),"Hanap huhay n nila kita mo Hanggang ngaun nsa 4 class prin cla Ilan dekada n cla n mumuno Dyan🙏🙏🙏🙏🙏")</f>
        <v>Hanap huhay n nila kita mo Hanggang ngaun nsa 4 class prin cla Ilan dekada n cla n mumuno Dyan🙏🙏🙏🙏🙏</v>
      </c>
      <c r="F715" s="1">
        <f ca="1">IFERROR(__xludf.DUMMYFUNCTION("""COMPUTED_VALUE"""),1)</f>
        <v>1</v>
      </c>
      <c r="G715" s="1" t="str">
        <f ca="1">IFERROR(__xludf.DUMMYFUNCTION("""COMPUTED_VALUE"""),"3 mos")</f>
        <v>3 mos</v>
      </c>
      <c r="H715" s="1" t="str">
        <f ca="1">IFERROR(__xludf.DUMMYFUNCTION("""COMPUTED_VALUE"""),"comment")</f>
        <v>comment</v>
      </c>
      <c r="I715" s="2" t="str">
        <f ca="1">IFERROR(__xludf.DUMMYFUNCTION("""COMPUTED_VALUE"""),"https://www.facebook.com/rapplerdotcom/photos/a.317154781638645/5597116770309060/")</f>
        <v>https://www.facebook.com/rapplerdotcom/photos/a.317154781638645/5597116770309060/</v>
      </c>
      <c r="J715" s="1" t="str">
        <f ca="1">IFERROR(__xludf.DUMMYFUNCTION("""COMPUTED_VALUE"""),"2022-07-04T11:15:29.863Z")</f>
        <v>2022-07-04T11:15:29.863Z</v>
      </c>
    </row>
    <row r="716" spans="1:10" x14ac:dyDescent="0.2">
      <c r="A716" s="2" t="str">
        <f ca="1">IFERROR(__xludf.DUMMYFUNCTION("""COMPUTED_VALUE"""),"https://www.facebook.com/rafaelfelicia.equipado")</f>
        <v>https://www.facebook.com/rafaelfelicia.equipado</v>
      </c>
      <c r="B716" s="1" t="str">
        <f ca="1">IFERROR(__xludf.DUMMYFUNCTION("""COMPUTED_VALUE"""),"Rafael Felicia Equipado")</f>
        <v>Rafael Felicia Equipado</v>
      </c>
      <c r="C716" s="1" t="str">
        <f ca="1">IFERROR(__xludf.DUMMYFUNCTION("""COMPUTED_VALUE"""),"Rafael")</f>
        <v>Rafael</v>
      </c>
      <c r="D716" s="1" t="str">
        <f ca="1">IFERROR(__xludf.DUMMYFUNCTION("""COMPUTED_VALUE"""),"Felicia Equipado")</f>
        <v>Felicia Equipado</v>
      </c>
      <c r="E716" s="1" t="str">
        <f ca="1">IFERROR(__xludf.DUMMYFUNCTION("""COMPUTED_VALUE"""),"sana maipasa na ang pol.dynasty.ginagawang gatasan !!!!!.")</f>
        <v>sana maipasa na ang pol.dynasty.ginagawang gatasan !!!!!.</v>
      </c>
      <c r="F716" s="1">
        <f ca="1">IFERROR(__xludf.DUMMYFUNCTION("""COMPUTED_VALUE"""),1)</f>
        <v>1</v>
      </c>
      <c r="G716" s="1" t="str">
        <f ca="1">IFERROR(__xludf.DUMMYFUNCTION("""COMPUTED_VALUE"""),"3 mos")</f>
        <v>3 mos</v>
      </c>
      <c r="H716" s="1" t="str">
        <f ca="1">IFERROR(__xludf.DUMMYFUNCTION("""COMPUTED_VALUE"""),"comment")</f>
        <v>comment</v>
      </c>
      <c r="I716" s="2" t="str">
        <f ca="1">IFERROR(__xludf.DUMMYFUNCTION("""COMPUTED_VALUE"""),"https://www.facebook.com/rapplerdotcom/photos/a.317154781638645/5597116770309060/")</f>
        <v>https://www.facebook.com/rapplerdotcom/photos/a.317154781638645/5597116770309060/</v>
      </c>
      <c r="J716" s="1" t="str">
        <f ca="1">IFERROR(__xludf.DUMMYFUNCTION("""COMPUTED_VALUE"""),"2022-07-04T11:15:29.863Z")</f>
        <v>2022-07-04T11:15:29.863Z</v>
      </c>
    </row>
    <row r="717" spans="1:10" x14ac:dyDescent="0.2">
      <c r="A717" s="2" t="str">
        <f ca="1">IFERROR(__xludf.DUMMYFUNCTION("""COMPUTED_VALUE"""),"https://www.facebook.com/cory.ander.3")</f>
        <v>https://www.facebook.com/cory.ander.3</v>
      </c>
      <c r="B717" s="1" t="str">
        <f ca="1">IFERROR(__xludf.DUMMYFUNCTION("""COMPUTED_VALUE"""),"Ernest A. Baunden")</f>
        <v>Ernest A. Baunden</v>
      </c>
      <c r="C717" s="1" t="str">
        <f ca="1">IFERROR(__xludf.DUMMYFUNCTION("""COMPUTED_VALUE"""),"Ernest")</f>
        <v>Ernest</v>
      </c>
      <c r="D717" s="1" t="str">
        <f ca="1">IFERROR(__xludf.DUMMYFUNCTION("""COMPUTED_VALUE"""),"A. Baunden")</f>
        <v>A. Baunden</v>
      </c>
      <c r="E717" s="1" t="str">
        <f ca="1">IFERROR(__xludf.DUMMYFUNCTION("""COMPUTED_VALUE"""),"FUTAENA MAY NAG-HEART.")</f>
        <v>FUTAENA MAY NAG-HEART.</v>
      </c>
      <c r="F717" s="1"/>
      <c r="G717" s="1" t="str">
        <f ca="1">IFERROR(__xludf.DUMMYFUNCTION("""COMPUTED_VALUE"""),"3 mos")</f>
        <v>3 mos</v>
      </c>
      <c r="H717" s="1" t="str">
        <f ca="1">IFERROR(__xludf.DUMMYFUNCTION("""COMPUTED_VALUE"""),"comment")</f>
        <v>comment</v>
      </c>
      <c r="I717" s="2" t="str">
        <f ca="1">IFERROR(__xludf.DUMMYFUNCTION("""COMPUTED_VALUE"""),"https://www.facebook.com/rapplerdotcom/photos/a.317154781638645/5597116770309060/")</f>
        <v>https://www.facebook.com/rapplerdotcom/photos/a.317154781638645/5597116770309060/</v>
      </c>
      <c r="J717" s="1" t="str">
        <f ca="1">IFERROR(__xludf.DUMMYFUNCTION("""COMPUTED_VALUE"""),"2022-07-04T11:15:29.863Z")</f>
        <v>2022-07-04T11:15:29.863Z</v>
      </c>
    </row>
    <row r="718" spans="1:10" x14ac:dyDescent="0.2">
      <c r="A718" s="2" t="str">
        <f ca="1">IFERROR(__xludf.DUMMYFUNCTION("""COMPUTED_VALUE"""),"https://www.facebook.com/tararirat")</f>
        <v>https://www.facebook.com/tararirat</v>
      </c>
      <c r="B718" s="1" t="str">
        <f ca="1">IFERROR(__xludf.DUMMYFUNCTION("""COMPUTED_VALUE"""),"Tara Mafrance")</f>
        <v>Tara Mafrance</v>
      </c>
      <c r="C718" s="1" t="str">
        <f ca="1">IFERROR(__xludf.DUMMYFUNCTION("""COMPUTED_VALUE"""),"Tara")</f>
        <v>Tara</v>
      </c>
      <c r="D718" s="1" t="str">
        <f ca="1">IFERROR(__xludf.DUMMYFUNCTION("""COMPUTED_VALUE"""),"Mafrance")</f>
        <v>Mafrance</v>
      </c>
      <c r="E718" s="1" t="str">
        <f ca="1">IFERROR(__xludf.DUMMYFUNCTION("""COMPUTED_VALUE"""),"Gamahan!")</f>
        <v>Gamahan!</v>
      </c>
      <c r="F718" s="1"/>
      <c r="G718" s="1" t="str">
        <f ca="1">IFERROR(__xludf.DUMMYFUNCTION("""COMPUTED_VALUE"""),"3 mos")</f>
        <v>3 mos</v>
      </c>
      <c r="H718" s="1" t="str">
        <f ca="1">IFERROR(__xludf.DUMMYFUNCTION("""COMPUTED_VALUE"""),"comment")</f>
        <v>comment</v>
      </c>
      <c r="I718" s="2" t="str">
        <f ca="1">IFERROR(__xludf.DUMMYFUNCTION("""COMPUTED_VALUE"""),"https://www.facebook.com/rapplerdotcom/photos/a.317154781638645/5597116770309060/")</f>
        <v>https://www.facebook.com/rapplerdotcom/photos/a.317154781638645/5597116770309060/</v>
      </c>
      <c r="J718" s="1" t="str">
        <f ca="1">IFERROR(__xludf.DUMMYFUNCTION("""COMPUTED_VALUE"""),"2022-07-04T11:15:29.863Z")</f>
        <v>2022-07-04T11:15:29.863Z</v>
      </c>
    </row>
    <row r="719" spans="1:10" x14ac:dyDescent="0.2">
      <c r="A719" s="2" t="str">
        <f ca="1">IFERROR(__xludf.DUMMYFUNCTION("""COMPUTED_VALUE"""),"https://www.facebook.com/profile.php?id=100000245313356")</f>
        <v>https://www.facebook.com/profile.php?id=100000245313356</v>
      </c>
      <c r="B719" s="1" t="str">
        <f ca="1">IFERROR(__xludf.DUMMYFUNCTION("""COMPUTED_VALUE"""),"Yang Macaspac")</f>
        <v>Yang Macaspac</v>
      </c>
      <c r="C719" s="1" t="str">
        <f ca="1">IFERROR(__xludf.DUMMYFUNCTION("""COMPUTED_VALUE"""),"Yang")</f>
        <v>Yang</v>
      </c>
      <c r="D719" s="1" t="str">
        <f ca="1">IFERROR(__xludf.DUMMYFUNCTION("""COMPUTED_VALUE"""),"Macaspac")</f>
        <v>Macaspac</v>
      </c>
      <c r="E719" s="1" t="str">
        <f ca="1">IFERROR(__xludf.DUMMYFUNCTION("""COMPUTED_VALUE"""),"TUMAKBO PA NGA HAHAHHA")</f>
        <v>TUMAKBO PA NGA HAHAHHA</v>
      </c>
      <c r="F719" s="1">
        <f ca="1">IFERROR(__xludf.DUMMYFUNCTION("""COMPUTED_VALUE"""),1)</f>
        <v>1</v>
      </c>
      <c r="G719" s="1" t="str">
        <f ca="1">IFERROR(__xludf.DUMMYFUNCTION("""COMPUTED_VALUE"""),"3 mos")</f>
        <v>3 mos</v>
      </c>
      <c r="H719" s="1" t="str">
        <f ca="1">IFERROR(__xludf.DUMMYFUNCTION("""COMPUTED_VALUE"""),"comment")</f>
        <v>comment</v>
      </c>
      <c r="I719" s="2" t="str">
        <f ca="1">IFERROR(__xludf.DUMMYFUNCTION("""COMPUTED_VALUE"""),"https://www.facebook.com/rapplerdotcom/photos/a.317154781638645/5597116770309060/")</f>
        <v>https://www.facebook.com/rapplerdotcom/photos/a.317154781638645/5597116770309060/</v>
      </c>
      <c r="J719" s="1" t="str">
        <f ca="1">IFERROR(__xludf.DUMMYFUNCTION("""COMPUTED_VALUE"""),"2022-07-04T11:15:29.863Z")</f>
        <v>2022-07-04T11:15:29.863Z</v>
      </c>
    </row>
    <row r="720" spans="1:10" x14ac:dyDescent="0.2">
      <c r="A720" s="2" t="str">
        <f ca="1">IFERROR(__xludf.DUMMYFUNCTION("""COMPUTED_VALUE"""),"https://www.facebook.com/herbiebnitura")</f>
        <v>https://www.facebook.com/herbiebnitura</v>
      </c>
      <c r="B720" s="1" t="str">
        <f ca="1">IFERROR(__xludf.DUMMYFUNCTION("""COMPUTED_VALUE"""),"Herbert Nitura Bilog")</f>
        <v>Herbert Nitura Bilog</v>
      </c>
      <c r="C720" s="1" t="str">
        <f ca="1">IFERROR(__xludf.DUMMYFUNCTION("""COMPUTED_VALUE"""),"Herbert")</f>
        <v>Herbert</v>
      </c>
      <c r="D720" s="1" t="str">
        <f ca="1">IFERROR(__xludf.DUMMYFUNCTION("""COMPUTED_VALUE"""),"Nitura Bilog")</f>
        <v>Nitura Bilog</v>
      </c>
      <c r="E720" s="1" t="str">
        <f ca="1">IFERROR(__xludf.DUMMYFUNCTION("""COMPUTED_VALUE"""),"Sinong Presidentiable kaya ang bubuhatin ng mga Fariñas?")</f>
        <v>Sinong Presidentiable kaya ang bubuhatin ng mga Fariñas?</v>
      </c>
      <c r="F720" s="1"/>
      <c r="G720" s="1" t="str">
        <f ca="1">IFERROR(__xludf.DUMMYFUNCTION("""COMPUTED_VALUE"""),"3 mos")</f>
        <v>3 mos</v>
      </c>
      <c r="H720" s="1" t="str">
        <f ca="1">IFERROR(__xludf.DUMMYFUNCTION("""COMPUTED_VALUE"""),"comment")</f>
        <v>comment</v>
      </c>
      <c r="I720" s="2" t="str">
        <f ca="1">IFERROR(__xludf.DUMMYFUNCTION("""COMPUTED_VALUE"""),"https://www.facebook.com/rapplerdotcom/photos/a.317154781638645/5597116770309060/")</f>
        <v>https://www.facebook.com/rapplerdotcom/photos/a.317154781638645/5597116770309060/</v>
      </c>
      <c r="J720" s="1" t="str">
        <f ca="1">IFERROR(__xludf.DUMMYFUNCTION("""COMPUTED_VALUE"""),"2022-07-04T11:15:29.863Z")</f>
        <v>2022-07-04T11:15:29.863Z</v>
      </c>
    </row>
    <row r="721" spans="1:10" x14ac:dyDescent="0.2">
      <c r="A721" s="2" t="str">
        <f ca="1">IFERROR(__xludf.DUMMYFUNCTION("""COMPUTED_VALUE"""),"https://www.facebook.com/profile.php?id=100070193447855")</f>
        <v>https://www.facebook.com/profile.php?id=100070193447855</v>
      </c>
      <c r="B721" s="1" t="str">
        <f ca="1">IFERROR(__xludf.DUMMYFUNCTION("""COMPUTED_VALUE"""),"Sensano Birog Lawrence")</f>
        <v>Sensano Birog Lawrence</v>
      </c>
      <c r="C721" s="1" t="str">
        <f ca="1">IFERROR(__xludf.DUMMYFUNCTION("""COMPUTED_VALUE"""),"Sensano")</f>
        <v>Sensano</v>
      </c>
      <c r="D721" s="1" t="str">
        <f ca="1">IFERROR(__xludf.DUMMYFUNCTION("""COMPUTED_VALUE"""),"Birog Lawrence")</f>
        <v>Birog Lawrence</v>
      </c>
      <c r="E721" s="1" t="str">
        <f ca="1">IFERROR(__xludf.DUMMYFUNCTION("""COMPUTED_VALUE"""),"Uhaw sa kapangyarihan")</f>
        <v>Uhaw sa kapangyarihan</v>
      </c>
      <c r="F721" s="1"/>
      <c r="G721" s="1" t="str">
        <f ca="1">IFERROR(__xludf.DUMMYFUNCTION("""COMPUTED_VALUE"""),"3 mos")</f>
        <v>3 mos</v>
      </c>
      <c r="H721" s="1" t="str">
        <f ca="1">IFERROR(__xludf.DUMMYFUNCTION("""COMPUTED_VALUE"""),"comment")</f>
        <v>comment</v>
      </c>
      <c r="I721" s="2" t="str">
        <f ca="1">IFERROR(__xludf.DUMMYFUNCTION("""COMPUTED_VALUE"""),"https://www.facebook.com/rapplerdotcom/photos/a.317154781638645/5597116770309060/")</f>
        <v>https://www.facebook.com/rapplerdotcom/photos/a.317154781638645/5597116770309060/</v>
      </c>
      <c r="J721" s="1" t="str">
        <f ca="1">IFERROR(__xludf.DUMMYFUNCTION("""COMPUTED_VALUE"""),"2022-07-04T11:15:29.863Z")</f>
        <v>2022-07-04T11:15:29.863Z</v>
      </c>
    </row>
    <row r="722" spans="1:10" x14ac:dyDescent="0.2">
      <c r="A722" s="2" t="str">
        <f ca="1">IFERROR(__xludf.DUMMYFUNCTION("""COMPUTED_VALUE"""),"https://www.facebook.com/nylezdrain1708")</f>
        <v>https://www.facebook.com/nylezdrain1708</v>
      </c>
      <c r="B722" s="1" t="str">
        <f ca="1">IFERROR(__xludf.DUMMYFUNCTION("""COMPUTED_VALUE"""),"Ian Ianskie")</f>
        <v>Ian Ianskie</v>
      </c>
      <c r="C722" s="1" t="str">
        <f ca="1">IFERROR(__xludf.DUMMYFUNCTION("""COMPUTED_VALUE"""),"Ian")</f>
        <v>Ian</v>
      </c>
      <c r="D722" s="1" t="str">
        <f ca="1">IFERROR(__xludf.DUMMYFUNCTION("""COMPUTED_VALUE"""),"Ianskie")</f>
        <v>Ianskie</v>
      </c>
      <c r="E722" s="1" t="str">
        <f ca="1">IFERROR(__xludf.DUMMYFUNCTION("""COMPUTED_VALUE"""),"kulay plang")</f>
        <v>kulay plang</v>
      </c>
      <c r="F722" s="1"/>
      <c r="G722" s="1" t="str">
        <f ca="1">IFERROR(__xludf.DUMMYFUNCTION("""COMPUTED_VALUE"""),"3 mos")</f>
        <v>3 mos</v>
      </c>
      <c r="H722" s="1" t="str">
        <f ca="1">IFERROR(__xludf.DUMMYFUNCTION("""COMPUTED_VALUE"""),"comment")</f>
        <v>comment</v>
      </c>
      <c r="I722" s="2" t="str">
        <f ca="1">IFERROR(__xludf.DUMMYFUNCTION("""COMPUTED_VALUE"""),"https://www.facebook.com/rapplerdotcom/photos/a.317154781638645/5597116770309060/")</f>
        <v>https://www.facebook.com/rapplerdotcom/photos/a.317154781638645/5597116770309060/</v>
      </c>
      <c r="J722" s="1" t="str">
        <f ca="1">IFERROR(__xludf.DUMMYFUNCTION("""COMPUTED_VALUE"""),"2022-07-04T11:15:29.863Z")</f>
        <v>2022-07-04T11:15:29.863Z</v>
      </c>
    </row>
    <row r="723" spans="1:10" x14ac:dyDescent="0.2">
      <c r="A723" s="2" t="str">
        <f ca="1">IFERROR(__xludf.DUMMYFUNCTION("""COMPUTED_VALUE"""),"https://www.facebook.com/profile.php?id=100075753714712")</f>
        <v>https://www.facebook.com/profile.php?id=100075753714712</v>
      </c>
      <c r="B723" s="1" t="str">
        <f ca="1">IFERROR(__xludf.DUMMYFUNCTION("""COMPUTED_VALUE"""),"Ricardo Jaromamay")</f>
        <v>Ricardo Jaromamay</v>
      </c>
      <c r="C723" s="1" t="str">
        <f ca="1">IFERROR(__xludf.DUMMYFUNCTION("""COMPUTED_VALUE"""),"Ricardo")</f>
        <v>Ricardo</v>
      </c>
      <c r="D723" s="1" t="str">
        <f ca="1">IFERROR(__xludf.DUMMYFUNCTION("""COMPUTED_VALUE"""),"Jaromamay")</f>
        <v>Jaromamay</v>
      </c>
      <c r="E723" s="1" t="str">
        <f ca="1">IFERROR(__xludf.DUMMYFUNCTION("""COMPUTED_VALUE"""),"ay naku !")</f>
        <v>ay naku !</v>
      </c>
      <c r="F723" s="1"/>
      <c r="G723" s="1" t="str">
        <f ca="1">IFERROR(__xludf.DUMMYFUNCTION("""COMPUTED_VALUE"""),"3 mos")</f>
        <v>3 mos</v>
      </c>
      <c r="H723" s="1" t="str">
        <f ca="1">IFERROR(__xludf.DUMMYFUNCTION("""COMPUTED_VALUE"""),"comment")</f>
        <v>comment</v>
      </c>
      <c r="I723" s="2" t="str">
        <f ca="1">IFERROR(__xludf.DUMMYFUNCTION("""COMPUTED_VALUE"""),"https://www.facebook.com/rapplerdotcom/photos/a.317154781638645/5597116770309060/")</f>
        <v>https://www.facebook.com/rapplerdotcom/photos/a.317154781638645/5597116770309060/</v>
      </c>
      <c r="J723" s="1" t="str">
        <f ca="1">IFERROR(__xludf.DUMMYFUNCTION("""COMPUTED_VALUE"""),"2022-07-04T11:15:29.863Z")</f>
        <v>2022-07-04T11:15:29.863Z</v>
      </c>
    </row>
    <row r="724" spans="1:10" x14ac:dyDescent="0.2">
      <c r="A724" s="2" t="str">
        <f ca="1">IFERROR(__xludf.DUMMYFUNCTION("""COMPUTED_VALUE"""),"https://www.facebook.com/beltrans1")</f>
        <v>https://www.facebook.com/beltrans1</v>
      </c>
      <c r="B724" s="1" t="str">
        <f ca="1">IFERROR(__xludf.DUMMYFUNCTION("""COMPUTED_VALUE"""),"Beltran Lapidez Sanchez")</f>
        <v>Beltran Lapidez Sanchez</v>
      </c>
      <c r="C724" s="1" t="str">
        <f ca="1">IFERROR(__xludf.DUMMYFUNCTION("""COMPUTED_VALUE"""),"Beltran")</f>
        <v>Beltran</v>
      </c>
      <c r="D724" s="1" t="str">
        <f ca="1">IFERROR(__xludf.DUMMYFUNCTION("""COMPUTED_VALUE"""),"Lapidez Sanchez")</f>
        <v>Lapidez Sanchez</v>
      </c>
      <c r="E724" s="1" t="str">
        <f ca="1">IFERROR(__xludf.DUMMYFUNCTION("""COMPUTED_VALUE"""),"gawin atang house speaker yan.")</f>
        <v>gawin atang house speaker yan.</v>
      </c>
      <c r="F724" s="1"/>
      <c r="G724" s="1" t="str">
        <f ca="1">IFERROR(__xludf.DUMMYFUNCTION("""COMPUTED_VALUE"""),"3 mos")</f>
        <v>3 mos</v>
      </c>
      <c r="H724" s="1" t="str">
        <f ca="1">IFERROR(__xludf.DUMMYFUNCTION("""COMPUTED_VALUE"""),"comment")</f>
        <v>comment</v>
      </c>
      <c r="I724" s="2" t="str">
        <f ca="1">IFERROR(__xludf.DUMMYFUNCTION("""COMPUTED_VALUE"""),"https://www.facebook.com/rapplerdotcom/photos/a.317154781638645/5597116770309060/")</f>
        <v>https://www.facebook.com/rapplerdotcom/photos/a.317154781638645/5597116770309060/</v>
      </c>
      <c r="J724" s="1" t="str">
        <f ca="1">IFERROR(__xludf.DUMMYFUNCTION("""COMPUTED_VALUE"""),"2022-07-04T11:15:29.863Z")</f>
        <v>2022-07-04T11:15:29.863Z</v>
      </c>
    </row>
    <row r="725" spans="1:10" x14ac:dyDescent="0.2">
      <c r="A725" s="2" t="str">
        <f ca="1">IFERROR(__xludf.DUMMYFUNCTION("""COMPUTED_VALUE"""),"https://www.facebook.com/johntheo.antog.1")</f>
        <v>https://www.facebook.com/johntheo.antog.1</v>
      </c>
      <c r="B725" s="1" t="str">
        <f ca="1">IFERROR(__xludf.DUMMYFUNCTION("""COMPUTED_VALUE"""),"John Theo Antog")</f>
        <v>John Theo Antog</v>
      </c>
      <c r="C725" s="1" t="str">
        <f ca="1">IFERROR(__xludf.DUMMYFUNCTION("""COMPUTED_VALUE"""),"John")</f>
        <v>John</v>
      </c>
      <c r="D725" s="1" t="str">
        <f ca="1">IFERROR(__xludf.DUMMYFUNCTION("""COMPUTED_VALUE"""),"Theo Antog")</f>
        <v>Theo Antog</v>
      </c>
      <c r="E725" s="1" t="str">
        <f ca="1">IFERROR(__xludf.DUMMYFUNCTION("""COMPUTED_VALUE"""),"Pag inggit pikit😂")</f>
        <v>Pag inggit pikit😂</v>
      </c>
      <c r="F725" s="1"/>
      <c r="G725" s="1" t="str">
        <f ca="1">IFERROR(__xludf.DUMMYFUNCTION("""COMPUTED_VALUE"""),"3 mos")</f>
        <v>3 mos</v>
      </c>
      <c r="H725" s="1" t="str">
        <f ca="1">IFERROR(__xludf.DUMMYFUNCTION("""COMPUTED_VALUE"""),"comment")</f>
        <v>comment</v>
      </c>
      <c r="I725" s="2" t="str">
        <f ca="1">IFERROR(__xludf.DUMMYFUNCTION("""COMPUTED_VALUE"""),"https://www.facebook.com/rapplerdotcom/photos/a.317154781638645/5597116770309060/")</f>
        <v>https://www.facebook.com/rapplerdotcom/photos/a.317154781638645/5597116770309060/</v>
      </c>
      <c r="J725" s="1" t="str">
        <f ca="1">IFERROR(__xludf.DUMMYFUNCTION("""COMPUTED_VALUE"""),"2022-07-04T11:15:29.863Z")</f>
        <v>2022-07-04T11:15:29.863Z</v>
      </c>
    </row>
    <row r="726" spans="1:10" x14ac:dyDescent="0.2">
      <c r="A726" s="2" t="str">
        <f ca="1">IFERROR(__xludf.DUMMYFUNCTION("""COMPUTED_VALUE"""),"https://www.facebook.com/profile.php?id=100077782688269")</f>
        <v>https://www.facebook.com/profile.php?id=100077782688269</v>
      </c>
      <c r="B726" s="1" t="str">
        <f ca="1">IFERROR(__xludf.DUMMYFUNCTION("""COMPUTED_VALUE"""),"Cynthia Lumanog")</f>
        <v>Cynthia Lumanog</v>
      </c>
      <c r="C726" s="1" t="str">
        <f ca="1">IFERROR(__xludf.DUMMYFUNCTION("""COMPUTED_VALUE"""),"Cynthia")</f>
        <v>Cynthia</v>
      </c>
      <c r="D726" s="1" t="str">
        <f ca="1">IFERROR(__xludf.DUMMYFUNCTION("""COMPUTED_VALUE"""),"Lumanog")</f>
        <v>Lumanog</v>
      </c>
      <c r="E726" s="1" t="str">
        <f ca="1">IFERROR(__xludf.DUMMYFUNCTION("""COMPUTED_VALUE"""),"Grabee ka ( greed) Swapang sa position pati si sander parang totoy lang pero ang utak Swapang narin manang mana sa lolo sa pamilya! Pro wala taung magawa kung ang mga tao dyan bulag sa Political dynasty sana gumising kau hindi kau nakaangat uy!!! Sana lal"&amp;"aban si farinas dyan!  Tingin ko mula pa noon yung kalaban bagsakan na ng pera para d na lalaban! Mahalin nyo lugar nyo wag kaung Ampaw!")</f>
        <v>Grabee ka ( greed) Swapang sa position pati si sander parang totoy lang pero ang utak Swapang narin manang mana sa lolo sa pamilya! Pro wala taung magawa kung ang mga tao dyan bulag sa Political dynasty sana gumising kau hindi kau nakaangat uy!!! Sana lalaban si farinas dyan!  Tingin ko mula pa noon yung kalaban bagsakan na ng pera para d na lalaban! Mahalin nyo lugar nyo wag kaung Ampaw!</v>
      </c>
      <c r="F726" s="1">
        <f ca="1">IFERROR(__xludf.DUMMYFUNCTION("""COMPUTED_VALUE"""),1)</f>
        <v>1</v>
      </c>
      <c r="G726" s="1" t="str">
        <f ca="1">IFERROR(__xludf.DUMMYFUNCTION("""COMPUTED_VALUE"""),"3 mos")</f>
        <v>3 mos</v>
      </c>
      <c r="H726" s="1" t="str">
        <f ca="1">IFERROR(__xludf.DUMMYFUNCTION("""COMPUTED_VALUE"""),"comment")</f>
        <v>comment</v>
      </c>
      <c r="I726" s="2" t="str">
        <f ca="1">IFERROR(__xludf.DUMMYFUNCTION("""COMPUTED_VALUE"""),"https://www.facebook.com/rapplerdotcom/photos/a.317154781638645/5597116770309060/")</f>
        <v>https://www.facebook.com/rapplerdotcom/photos/a.317154781638645/5597116770309060/</v>
      </c>
      <c r="J726" s="1" t="str">
        <f ca="1">IFERROR(__xludf.DUMMYFUNCTION("""COMPUTED_VALUE"""),"2022-07-04T11:15:29.864Z")</f>
        <v>2022-07-04T11:15:29.864Z</v>
      </c>
    </row>
    <row r="727" spans="1:10" x14ac:dyDescent="0.2">
      <c r="A727" s="2" t="str">
        <f ca="1">IFERROR(__xludf.DUMMYFUNCTION("""COMPUTED_VALUE"""),"https://www.facebook.com/danny.vedua")</f>
        <v>https://www.facebook.com/danny.vedua</v>
      </c>
      <c r="B727" s="1" t="str">
        <f ca="1">IFERROR(__xludf.DUMMYFUNCTION("""COMPUTED_VALUE"""),"Danny Vedua")</f>
        <v>Danny Vedua</v>
      </c>
      <c r="C727" s="1" t="str">
        <f ca="1">IFERROR(__xludf.DUMMYFUNCTION("""COMPUTED_VALUE"""),"Danny")</f>
        <v>Danny</v>
      </c>
      <c r="D727" s="1" t="str">
        <f ca="1">IFERROR(__xludf.DUMMYFUNCTION("""COMPUTED_VALUE"""),"Vedua")</f>
        <v>Vedua</v>
      </c>
      <c r="E727" s="1" t="str">
        <f ca="1">IFERROR(__xludf.DUMMYFUNCTION("""COMPUTED_VALUE"""),"GINAGAWA NILANG PALABIGASAN ANG PAG TAKBO HINDI MAHIRAP SA KANILA ANG TRABAHO HOY GUMISING NA KAYO")</f>
        <v>GINAGAWA NILANG PALABIGASAN ANG PAG TAKBO HINDI MAHIRAP SA KANILA ANG TRABAHO HOY GUMISING NA KAYO</v>
      </c>
      <c r="F727" s="1">
        <f ca="1">IFERROR(__xludf.DUMMYFUNCTION("""COMPUTED_VALUE"""),1)</f>
        <v>1</v>
      </c>
      <c r="G727" s="1" t="str">
        <f ca="1">IFERROR(__xludf.DUMMYFUNCTION("""COMPUTED_VALUE"""),"3 mos")</f>
        <v>3 mos</v>
      </c>
      <c r="H727" s="1" t="str">
        <f ca="1">IFERROR(__xludf.DUMMYFUNCTION("""COMPUTED_VALUE"""),"comment")</f>
        <v>comment</v>
      </c>
      <c r="I727" s="2" t="str">
        <f ca="1">IFERROR(__xludf.DUMMYFUNCTION("""COMPUTED_VALUE"""),"https://www.facebook.com/rapplerdotcom/photos/a.317154781638645/5597116770309060/")</f>
        <v>https://www.facebook.com/rapplerdotcom/photos/a.317154781638645/5597116770309060/</v>
      </c>
      <c r="J727" s="1" t="str">
        <f ca="1">IFERROR(__xludf.DUMMYFUNCTION("""COMPUTED_VALUE"""),"2022-07-04T11:15:29.864Z")</f>
        <v>2022-07-04T11:15:29.864Z</v>
      </c>
    </row>
    <row r="728" spans="1:10" x14ac:dyDescent="0.2">
      <c r="A728" s="2" t="str">
        <f ca="1">IFERROR(__xludf.DUMMYFUNCTION("""COMPUTED_VALUE"""),"https://www.facebook.com/profile.php?id=100075670464889")</f>
        <v>https://www.facebook.com/profile.php?id=100075670464889</v>
      </c>
      <c r="B728" s="1" t="str">
        <f ca="1">IFERROR(__xludf.DUMMYFUNCTION("""COMPUTED_VALUE"""),"Regen Tanjay")</f>
        <v>Regen Tanjay</v>
      </c>
      <c r="C728" s="1" t="str">
        <f ca="1">IFERROR(__xludf.DUMMYFUNCTION("""COMPUTED_VALUE"""),"Regen")</f>
        <v>Regen</v>
      </c>
      <c r="D728" s="1" t="str">
        <f ca="1">IFERROR(__xludf.DUMMYFUNCTION("""COMPUTED_VALUE"""),"Tanjay")</f>
        <v>Tanjay</v>
      </c>
      <c r="E728" s="1" t="str">
        <f ca="1">IFERROR(__xludf.DUMMYFUNCTION("""COMPUTED_VALUE"""),"Ahahahaha daming iyakin dito, political dynasty ba kamo? Ahahahaha i d talonin nyo sa election, i kung sila parin ang mananalo oh eh sila parin ang gusto nang tao, oh baka sabihin nyo kaya nanalo dahil namimigay nang pera, sa panahon ngayon may politiko p"&amp;"abah nah d namimigay nang pera?")</f>
        <v>Ahahahaha daming iyakin dito, political dynasty ba kamo? Ahahahaha i d talonin nyo sa election, i kung sila parin ang mananalo oh eh sila parin ang gusto nang tao, oh baka sabihin nyo kaya nanalo dahil namimigay nang pera, sa panahon ngayon may politiko pabah nah d namimigay nang pera?</v>
      </c>
      <c r="F728" s="1">
        <f ca="1">IFERROR(__xludf.DUMMYFUNCTION("""COMPUTED_VALUE"""),2)</f>
        <v>2</v>
      </c>
      <c r="G728" s="1" t="str">
        <f ca="1">IFERROR(__xludf.DUMMYFUNCTION("""COMPUTED_VALUE"""),"3 mos")</f>
        <v>3 mos</v>
      </c>
      <c r="H728" s="1" t="str">
        <f ca="1">IFERROR(__xludf.DUMMYFUNCTION("""COMPUTED_VALUE"""),"comment")</f>
        <v>comment</v>
      </c>
      <c r="I728" s="2" t="str">
        <f ca="1">IFERROR(__xludf.DUMMYFUNCTION("""COMPUTED_VALUE"""),"https://www.facebook.com/rapplerdotcom/photos/a.317154781638645/5597116770309060/")</f>
        <v>https://www.facebook.com/rapplerdotcom/photos/a.317154781638645/5597116770309060/</v>
      </c>
      <c r="J728" s="1" t="str">
        <f ca="1">IFERROR(__xludf.DUMMYFUNCTION("""COMPUTED_VALUE"""),"2022-07-04T11:15:29.864Z")</f>
        <v>2022-07-04T11:15:29.864Z</v>
      </c>
    </row>
    <row r="729" spans="1:10" x14ac:dyDescent="0.2">
      <c r="A729" s="2" t="str">
        <f ca="1">IFERROR(__xludf.DUMMYFUNCTION("""COMPUTED_VALUE"""),"https://www.facebook.com/jayfox73")</f>
        <v>https://www.facebook.com/jayfox73</v>
      </c>
      <c r="B729" s="1" t="str">
        <f ca="1">IFERROR(__xludf.DUMMYFUNCTION("""COMPUTED_VALUE"""),"Jay Mahusay Cainoy")</f>
        <v>Jay Mahusay Cainoy</v>
      </c>
      <c r="C729" s="1" t="str">
        <f ca="1">IFERROR(__xludf.DUMMYFUNCTION("""COMPUTED_VALUE"""),"Jay")</f>
        <v>Jay</v>
      </c>
      <c r="D729" s="1" t="str">
        <f ca="1">IFERROR(__xludf.DUMMYFUNCTION("""COMPUTED_VALUE"""),"Mahusay Cainoy")</f>
        <v>Mahusay Cainoy</v>
      </c>
      <c r="E729" s="1" t="str">
        <f ca="1">IFERROR(__xludf.DUMMYFUNCTION("""COMPUTED_VALUE"""),"Regen Tanjay Ano ang iyakin sa bisaya bai?")</f>
        <v>Regen Tanjay Ano ang iyakin sa bisaya bai?</v>
      </c>
      <c r="F729" s="1"/>
      <c r="G729" s="1" t="str">
        <f ca="1">IFERROR(__xludf.DUMMYFUNCTION("""COMPUTED_VALUE"""),"3 mos")</f>
        <v>3 mos</v>
      </c>
      <c r="H729" s="1" t="str">
        <f ca="1">IFERROR(__xludf.DUMMYFUNCTION("""COMPUTED_VALUE"""),"reply")</f>
        <v>reply</v>
      </c>
      <c r="I729" s="2" t="str">
        <f ca="1">IFERROR(__xludf.DUMMYFUNCTION("""COMPUTED_VALUE"""),"https://www.facebook.com/rapplerdotcom/photos/a.317154781638645/5597116770309060/")</f>
        <v>https://www.facebook.com/rapplerdotcom/photos/a.317154781638645/5597116770309060/</v>
      </c>
      <c r="J729" s="1" t="str">
        <f ca="1">IFERROR(__xludf.DUMMYFUNCTION("""COMPUTED_VALUE"""),"2022-07-04T11:15:29.864Z")</f>
        <v>2022-07-04T11:15:29.864Z</v>
      </c>
    </row>
    <row r="730" spans="1:10" x14ac:dyDescent="0.2">
      <c r="A730" s="2" t="str">
        <f ca="1">IFERROR(__xludf.DUMMYFUNCTION("""COMPUTED_VALUE"""),"https://www.facebook.com/profile.php?id=100075670464889")</f>
        <v>https://www.facebook.com/profile.php?id=100075670464889</v>
      </c>
      <c r="B730" s="1" t="str">
        <f ca="1">IFERROR(__xludf.DUMMYFUNCTION("""COMPUTED_VALUE"""),"Regen Tanjay")</f>
        <v>Regen Tanjay</v>
      </c>
      <c r="C730" s="1" t="str">
        <f ca="1">IFERROR(__xludf.DUMMYFUNCTION("""COMPUTED_VALUE"""),"Regen")</f>
        <v>Regen</v>
      </c>
      <c r="D730" s="1" t="str">
        <f ca="1">IFERROR(__xludf.DUMMYFUNCTION("""COMPUTED_VALUE"""),"Tanjay")</f>
        <v>Tanjay</v>
      </c>
      <c r="E730" s="1" t="str">
        <f ca="1">IFERROR(__xludf.DUMMYFUNCTION("""COMPUTED_VALUE"""),"Jay Mahusay Cainoy mahilak ahahahaha")</f>
        <v>Jay Mahusay Cainoy mahilak ahahahaha</v>
      </c>
      <c r="F730" s="1">
        <f ca="1">IFERROR(__xludf.DUMMYFUNCTION("""COMPUTED_VALUE"""),1)</f>
        <v>1</v>
      </c>
      <c r="G730" s="1" t="str">
        <f ca="1">IFERROR(__xludf.DUMMYFUNCTION("""COMPUTED_VALUE"""),"3 mos")</f>
        <v>3 mos</v>
      </c>
      <c r="H730" s="1" t="str">
        <f ca="1">IFERROR(__xludf.DUMMYFUNCTION("""COMPUTED_VALUE"""),"reply")</f>
        <v>reply</v>
      </c>
      <c r="I730" s="2" t="str">
        <f ca="1">IFERROR(__xludf.DUMMYFUNCTION("""COMPUTED_VALUE"""),"https://www.facebook.com/rapplerdotcom/photos/a.317154781638645/5597116770309060/")</f>
        <v>https://www.facebook.com/rapplerdotcom/photos/a.317154781638645/5597116770309060/</v>
      </c>
      <c r="J730" s="1" t="str">
        <f ca="1">IFERROR(__xludf.DUMMYFUNCTION("""COMPUTED_VALUE"""),"2022-07-04T11:15:29.864Z")</f>
        <v>2022-07-04T11:15:29.864Z</v>
      </c>
    </row>
    <row r="731" spans="1:10" x14ac:dyDescent="0.2">
      <c r="A731" s="2" t="str">
        <f ca="1">IFERROR(__xludf.DUMMYFUNCTION("""COMPUTED_VALUE"""),"https://www.facebook.com/primo.dinglasan.1")</f>
        <v>https://www.facebook.com/primo.dinglasan.1</v>
      </c>
      <c r="B731" s="1" t="str">
        <f ca="1">IFERROR(__xludf.DUMMYFUNCTION("""COMPUTED_VALUE"""),"Primo Cosa Dinglasan")</f>
        <v>Primo Cosa Dinglasan</v>
      </c>
      <c r="C731" s="1" t="str">
        <f ca="1">IFERROR(__xludf.DUMMYFUNCTION("""COMPUTED_VALUE"""),"Primo")</f>
        <v>Primo</v>
      </c>
      <c r="D731" s="1" t="str">
        <f ca="1">IFERROR(__xludf.DUMMYFUNCTION("""COMPUTED_VALUE"""),"Cosa Dinglasan")</f>
        <v>Cosa Dinglasan</v>
      </c>
      <c r="E731" s="1" t="str">
        <f ca="1">IFERROR(__xludf.DUMMYFUNCTION("""COMPUTED_VALUE"""),"Mga Ilocano palagi na lang kayo Minamarcos diyan. Sila lang umaasenso pero yung economy ng lugar nyo wala sa level ng ibang probinsiya")</f>
        <v>Mga Ilocano palagi na lang kayo Minamarcos diyan. Sila lang umaasenso pero yung economy ng lugar nyo wala sa level ng ibang probinsiya</v>
      </c>
      <c r="F731" s="1"/>
      <c r="G731" s="1" t="str">
        <f ca="1">IFERROR(__xludf.DUMMYFUNCTION("""COMPUTED_VALUE"""),"3 mos")</f>
        <v>3 mos</v>
      </c>
      <c r="H731" s="1" t="str">
        <f ca="1">IFERROR(__xludf.DUMMYFUNCTION("""COMPUTED_VALUE"""),"comment")</f>
        <v>comment</v>
      </c>
      <c r="I731" s="2" t="str">
        <f ca="1">IFERROR(__xludf.DUMMYFUNCTION("""COMPUTED_VALUE"""),"https://www.facebook.com/rapplerdotcom/photos/a.317154781638645/5597116770309060/")</f>
        <v>https://www.facebook.com/rapplerdotcom/photos/a.317154781638645/5597116770309060/</v>
      </c>
      <c r="J731" s="1" t="str">
        <f ca="1">IFERROR(__xludf.DUMMYFUNCTION("""COMPUTED_VALUE"""),"2022-07-04T11:15:29.864Z")</f>
        <v>2022-07-04T11:15:29.864Z</v>
      </c>
    </row>
    <row r="732" spans="1:10" x14ac:dyDescent="0.2">
      <c r="A732" s="2" t="str">
        <f ca="1">IFERROR(__xludf.DUMMYFUNCTION("""COMPUTED_VALUE"""),"https://www.facebook.com/edwin.marcelo.12")</f>
        <v>https://www.facebook.com/edwin.marcelo.12</v>
      </c>
      <c r="B732" s="1" t="str">
        <f ca="1">IFERROR(__xludf.DUMMYFUNCTION("""COMPUTED_VALUE"""),"Edwin Marcelo")</f>
        <v>Edwin Marcelo</v>
      </c>
      <c r="C732" s="1" t="str">
        <f ca="1">IFERROR(__xludf.DUMMYFUNCTION("""COMPUTED_VALUE"""),"Edwin")</f>
        <v>Edwin</v>
      </c>
      <c r="D732" s="1" t="str">
        <f ca="1">IFERROR(__xludf.DUMMYFUNCTION("""COMPUTED_VALUE"""),"Marcelo")</f>
        <v>Marcelo</v>
      </c>
      <c r="E732" s="1" t="str">
        <f ca="1">IFERROR(__xludf.DUMMYFUNCTION("""COMPUTED_VALUE"""),"Kung magaling mga yan, bakit di pa umaasenso ang ilocos?")</f>
        <v>Kung magaling mga yan, bakit di pa umaasenso ang ilocos?</v>
      </c>
      <c r="F732" s="1"/>
      <c r="G732" s="1" t="str">
        <f ca="1">IFERROR(__xludf.DUMMYFUNCTION("""COMPUTED_VALUE"""),"3 mos")</f>
        <v>3 mos</v>
      </c>
      <c r="H732" s="1" t="str">
        <f ca="1">IFERROR(__xludf.DUMMYFUNCTION("""COMPUTED_VALUE"""),"comment")</f>
        <v>comment</v>
      </c>
      <c r="I732" s="2" t="str">
        <f ca="1">IFERROR(__xludf.DUMMYFUNCTION("""COMPUTED_VALUE"""),"https://www.facebook.com/rapplerdotcom/photos/a.317154781638645/5597116770309060/")</f>
        <v>https://www.facebook.com/rapplerdotcom/photos/a.317154781638645/5597116770309060/</v>
      </c>
      <c r="J732" s="1" t="str">
        <f ca="1">IFERROR(__xludf.DUMMYFUNCTION("""COMPUTED_VALUE"""),"2022-07-04T11:15:29.864Z")</f>
        <v>2022-07-04T11:15:29.864Z</v>
      </c>
    </row>
    <row r="733" spans="1:10" x14ac:dyDescent="0.2">
      <c r="A733" s="2" t="str">
        <f ca="1">IFERROR(__xludf.DUMMYFUNCTION("""COMPUTED_VALUE"""),"https://www.facebook.com/eelnadyar")</f>
        <v>https://www.facebook.com/eelnadyar</v>
      </c>
      <c r="B733" s="1" t="str">
        <f ca="1">IFERROR(__xludf.DUMMYFUNCTION("""COMPUTED_VALUE"""),"Ray Dan Lee")</f>
        <v>Ray Dan Lee</v>
      </c>
      <c r="C733" s="1" t="str">
        <f ca="1">IFERROR(__xludf.DUMMYFUNCTION("""COMPUTED_VALUE"""),"Ray")</f>
        <v>Ray</v>
      </c>
      <c r="D733" s="1" t="str">
        <f ca="1">IFERROR(__xludf.DUMMYFUNCTION("""COMPUTED_VALUE"""),"Dan Lee")</f>
        <v>Dan Lee</v>
      </c>
      <c r="E733" s="1" t="str">
        <f ca="1">IFERROR(__xludf.DUMMYFUNCTION("""COMPUTED_VALUE"""),"Nakakaawa mga taga Ilocos Norte, nalinlang ng npkhbang pnhon")</f>
        <v>Nakakaawa mga taga Ilocos Norte, nalinlang ng npkhbang pnhon</v>
      </c>
      <c r="F733" s="1"/>
      <c r="G733" s="1" t="str">
        <f ca="1">IFERROR(__xludf.DUMMYFUNCTION("""COMPUTED_VALUE"""),"3 mos")</f>
        <v>3 mos</v>
      </c>
      <c r="H733" s="1" t="str">
        <f ca="1">IFERROR(__xludf.DUMMYFUNCTION("""COMPUTED_VALUE"""),"comment")</f>
        <v>comment</v>
      </c>
      <c r="I733" s="2" t="str">
        <f ca="1">IFERROR(__xludf.DUMMYFUNCTION("""COMPUTED_VALUE"""),"https://www.facebook.com/rapplerdotcom/photos/a.317154781638645/5597116770309060/")</f>
        <v>https://www.facebook.com/rapplerdotcom/photos/a.317154781638645/5597116770309060/</v>
      </c>
      <c r="J733" s="1" t="str">
        <f ca="1">IFERROR(__xludf.DUMMYFUNCTION("""COMPUTED_VALUE"""),"2022-07-04T11:15:29.864Z")</f>
        <v>2022-07-04T11:15:29.864Z</v>
      </c>
    </row>
    <row r="734" spans="1:10" x14ac:dyDescent="0.2">
      <c r="A734" s="2" t="str">
        <f ca="1">IFERROR(__xludf.DUMMYFUNCTION("""COMPUTED_VALUE"""),"https://www.facebook.com/martinpas11")</f>
        <v>https://www.facebook.com/martinpas11</v>
      </c>
      <c r="B734" s="1" t="str">
        <f ca="1">IFERROR(__xludf.DUMMYFUNCTION("""COMPUTED_VALUE"""),"Martin Pas")</f>
        <v>Martin Pas</v>
      </c>
      <c r="C734" s="1" t="str">
        <f ca="1">IFERROR(__xludf.DUMMYFUNCTION("""COMPUTED_VALUE"""),"Martin")</f>
        <v>Martin</v>
      </c>
      <c r="D734" s="1" t="str">
        <f ca="1">IFERROR(__xludf.DUMMYFUNCTION("""COMPUTED_VALUE"""),"Pas")</f>
        <v>Pas</v>
      </c>
      <c r="E734" s="1" t="str">
        <f ca="1">IFERROR(__xludf.DUMMYFUNCTION("""COMPUTED_VALUE"""),"Tignan niyo nalang ilocos kung umunlad ba….tapos lalagay niyo sa malacanang")</f>
        <v>Tignan niyo nalang ilocos kung umunlad ba….tapos lalagay niyo sa malacanang</v>
      </c>
      <c r="F734" s="1">
        <f ca="1">IFERROR(__xludf.DUMMYFUNCTION("""COMPUTED_VALUE"""),3)</f>
        <v>3</v>
      </c>
      <c r="G734" s="1" t="str">
        <f ca="1">IFERROR(__xludf.DUMMYFUNCTION("""COMPUTED_VALUE"""),"3 mos")</f>
        <v>3 mos</v>
      </c>
      <c r="H734" s="1" t="str">
        <f ca="1">IFERROR(__xludf.DUMMYFUNCTION("""COMPUTED_VALUE"""),"comment")</f>
        <v>comment</v>
      </c>
      <c r="I734" s="2" t="str">
        <f ca="1">IFERROR(__xludf.DUMMYFUNCTION("""COMPUTED_VALUE"""),"https://www.facebook.com/rapplerdotcom/photos/a.317154781638645/5597116770309060/")</f>
        <v>https://www.facebook.com/rapplerdotcom/photos/a.317154781638645/5597116770309060/</v>
      </c>
      <c r="J734" s="1" t="str">
        <f ca="1">IFERROR(__xludf.DUMMYFUNCTION("""COMPUTED_VALUE"""),"2022-07-04T11:15:29.864Z")</f>
        <v>2022-07-04T11:15:29.864Z</v>
      </c>
    </row>
    <row r="735" spans="1:10" x14ac:dyDescent="0.2">
      <c r="A735" s="2" t="str">
        <f ca="1">IFERROR(__xludf.DUMMYFUNCTION("""COMPUTED_VALUE"""),"https://www.facebook.com/mech.bracero")</f>
        <v>https://www.facebook.com/mech.bracero</v>
      </c>
      <c r="B735" s="1" t="str">
        <f ca="1">IFERROR(__xludf.DUMMYFUNCTION("""COMPUTED_VALUE"""),"Mech Bracero")</f>
        <v>Mech Bracero</v>
      </c>
      <c r="C735" s="1" t="str">
        <f ca="1">IFERROR(__xludf.DUMMYFUNCTION("""COMPUTED_VALUE"""),"Mech")</f>
        <v>Mech</v>
      </c>
      <c r="D735" s="1" t="str">
        <f ca="1">IFERROR(__xludf.DUMMYFUNCTION("""COMPUTED_VALUE"""),"Bracero")</f>
        <v>Bracero</v>
      </c>
      <c r="E735" s="1" t="str">
        <f ca="1">IFERROR(__xludf.DUMMYFUNCTION("""COMPUTED_VALUE"""),"Dami nyo sinasabe parepareho lang naman kayo ng hangarin jan..mga pa kunwaring may pag mamahal sa bansa....pero ang totoo kaban lang ng bayan ang tinatarget")</f>
        <v>Dami nyo sinasabe parepareho lang naman kayo ng hangarin jan..mga pa kunwaring may pag mamahal sa bansa....pero ang totoo kaban lang ng bayan ang tinatarget</v>
      </c>
      <c r="F735" s="1"/>
      <c r="G735" s="1" t="str">
        <f ca="1">IFERROR(__xludf.DUMMYFUNCTION("""COMPUTED_VALUE"""),"3 mos")</f>
        <v>3 mos</v>
      </c>
      <c r="H735" s="1" t="str">
        <f ca="1">IFERROR(__xludf.DUMMYFUNCTION("""COMPUTED_VALUE"""),"comment")</f>
        <v>comment</v>
      </c>
      <c r="I735" s="2" t="str">
        <f ca="1">IFERROR(__xludf.DUMMYFUNCTION("""COMPUTED_VALUE"""),"https://www.facebook.com/rapplerdotcom/photos/a.317154781638645/5597116770309060/")</f>
        <v>https://www.facebook.com/rapplerdotcom/photos/a.317154781638645/5597116770309060/</v>
      </c>
      <c r="J735" s="1" t="str">
        <f ca="1">IFERROR(__xludf.DUMMYFUNCTION("""COMPUTED_VALUE"""),"2022-07-04T11:15:29.864Z")</f>
        <v>2022-07-04T11:15:29.864Z</v>
      </c>
    </row>
    <row r="736" spans="1:10" x14ac:dyDescent="0.2">
      <c r="A736" s="2" t="str">
        <f ca="1">IFERROR(__xludf.DUMMYFUNCTION("""COMPUTED_VALUE"""),"https://www.facebook.com/arturo.rondolos.3")</f>
        <v>https://www.facebook.com/arturo.rondolos.3</v>
      </c>
      <c r="B736" s="1" t="str">
        <f ca="1">IFERROR(__xludf.DUMMYFUNCTION("""COMPUTED_VALUE"""),"Arturo Rondolos")</f>
        <v>Arturo Rondolos</v>
      </c>
      <c r="C736" s="1" t="str">
        <f ca="1">IFERROR(__xludf.DUMMYFUNCTION("""COMPUTED_VALUE"""),"Arturo")</f>
        <v>Arturo</v>
      </c>
      <c r="D736" s="1" t="str">
        <f ca="1">IFERROR(__xludf.DUMMYFUNCTION("""COMPUTED_VALUE"""),"Rondolos")</f>
        <v>Rondolos</v>
      </c>
      <c r="E736" s="1" t="str">
        <f ca="1">IFERROR(__xludf.DUMMYFUNCTION("""COMPUTED_VALUE"""),"Mahirap sa atin may humuhusga agad pa inglist inglist pa itagalog mo para maintindihan ikaw lang nagsasabi nian, husga agad,")</f>
        <v>Mahirap sa atin may humuhusga agad pa inglist inglist pa itagalog mo para maintindihan ikaw lang nagsasabi nian, husga agad,</v>
      </c>
      <c r="F736" s="1"/>
      <c r="G736" s="1" t="str">
        <f ca="1">IFERROR(__xludf.DUMMYFUNCTION("""COMPUTED_VALUE"""),"3 mos")</f>
        <v>3 mos</v>
      </c>
      <c r="H736" s="1" t="str">
        <f ca="1">IFERROR(__xludf.DUMMYFUNCTION("""COMPUTED_VALUE"""),"comment")</f>
        <v>comment</v>
      </c>
      <c r="I736" s="2" t="str">
        <f ca="1">IFERROR(__xludf.DUMMYFUNCTION("""COMPUTED_VALUE"""),"https://www.facebook.com/rapplerdotcom/photos/a.317154781638645/5597116770309060/")</f>
        <v>https://www.facebook.com/rapplerdotcom/photos/a.317154781638645/5597116770309060/</v>
      </c>
      <c r="J736" s="1" t="str">
        <f ca="1">IFERROR(__xludf.DUMMYFUNCTION("""COMPUTED_VALUE"""),"2022-07-04T11:15:29.864Z")</f>
        <v>2022-07-04T11:15:29.864Z</v>
      </c>
    </row>
    <row r="737" spans="1:10" x14ac:dyDescent="0.2">
      <c r="A737" s="2" t="str">
        <f ca="1">IFERROR(__xludf.DUMMYFUNCTION("""COMPUTED_VALUE"""),"https://www.facebook.com/herbiebnitura")</f>
        <v>https://www.facebook.com/herbiebnitura</v>
      </c>
      <c r="B737" s="1" t="str">
        <f ca="1">IFERROR(__xludf.DUMMYFUNCTION("""COMPUTED_VALUE"""),"Herbert Nitura Bilog")</f>
        <v>Herbert Nitura Bilog</v>
      </c>
      <c r="C737" s="1" t="str">
        <f ca="1">IFERROR(__xludf.DUMMYFUNCTION("""COMPUTED_VALUE"""),"Herbert")</f>
        <v>Herbert</v>
      </c>
      <c r="D737" s="1" t="str">
        <f ca="1">IFERROR(__xludf.DUMMYFUNCTION("""COMPUTED_VALUE"""),"Nitura Bilog")</f>
        <v>Nitura Bilog</v>
      </c>
      <c r="E737" s="1" t="str">
        <f ca="1">IFERROR(__xludf.DUMMYFUNCTION("""COMPUTED_VALUE"""),"Go TEAM FARIŇAS!!! Ilampaso nyo ang team narcos!!!")</f>
        <v>Go TEAM FARIŇAS!!! Ilampaso nyo ang team narcos!!!</v>
      </c>
      <c r="F737" s="1">
        <f ca="1">IFERROR(__xludf.DUMMYFUNCTION("""COMPUTED_VALUE"""),5)</f>
        <v>5</v>
      </c>
      <c r="G737" s="1" t="str">
        <f ca="1">IFERROR(__xludf.DUMMYFUNCTION("""COMPUTED_VALUE"""),"3 mos")</f>
        <v>3 mos</v>
      </c>
      <c r="H737" s="1" t="str">
        <f ca="1">IFERROR(__xludf.DUMMYFUNCTION("""COMPUTED_VALUE"""),"comment")</f>
        <v>comment</v>
      </c>
      <c r="I737" s="2" t="str">
        <f ca="1">IFERROR(__xludf.DUMMYFUNCTION("""COMPUTED_VALUE"""),"https://www.facebook.com/rapplerdotcom/photos/a.317154781638645/5597116770309060/")</f>
        <v>https://www.facebook.com/rapplerdotcom/photos/a.317154781638645/5597116770309060/</v>
      </c>
      <c r="J737" s="1" t="str">
        <f ca="1">IFERROR(__xludf.DUMMYFUNCTION("""COMPUTED_VALUE"""),"2022-07-04T11:15:29.864Z")</f>
        <v>2022-07-04T11:15:29.864Z</v>
      </c>
    </row>
    <row r="738" spans="1:10" x14ac:dyDescent="0.2">
      <c r="A738" s="2" t="str">
        <f ca="1">IFERROR(__xludf.DUMMYFUNCTION("""COMPUTED_VALUE"""),"https://www.facebook.com/profile.php?id=100077412090788")</f>
        <v>https://www.facebook.com/profile.php?id=100077412090788</v>
      </c>
      <c r="B738" s="1" t="str">
        <f ca="1">IFERROR(__xludf.DUMMYFUNCTION("""COMPUTED_VALUE"""),"Ladymiles Enerio Belinario Bautista")</f>
        <v>Ladymiles Enerio Belinario Bautista</v>
      </c>
      <c r="C738" s="1" t="str">
        <f ca="1">IFERROR(__xludf.DUMMYFUNCTION("""COMPUTED_VALUE"""),"Ladymiles")</f>
        <v>Ladymiles</v>
      </c>
      <c r="D738" s="1" t="str">
        <f ca="1">IFERROR(__xludf.DUMMYFUNCTION("""COMPUTED_VALUE"""),"Enerio Belinario Bautista")</f>
        <v>Enerio Belinario Bautista</v>
      </c>
      <c r="E738" s="1" t="str">
        <f ca="1">IFERROR(__xludf.DUMMYFUNCTION("""COMPUTED_VALUE"""),"Herbert Nitura Bilog in your dreams 🤣😂")</f>
        <v>Herbert Nitura Bilog in your dreams 🤣😂</v>
      </c>
      <c r="F738" s="1"/>
      <c r="G738" s="1" t="str">
        <f ca="1">IFERROR(__xludf.DUMMYFUNCTION("""COMPUTED_VALUE"""),"3 mos")</f>
        <v>3 mos</v>
      </c>
      <c r="H738" s="1" t="str">
        <f ca="1">IFERROR(__xludf.DUMMYFUNCTION("""COMPUTED_VALUE"""),"reply")</f>
        <v>reply</v>
      </c>
      <c r="I738" s="2" t="str">
        <f ca="1">IFERROR(__xludf.DUMMYFUNCTION("""COMPUTED_VALUE"""),"https://www.facebook.com/rapplerdotcom/photos/a.317154781638645/5597116770309060/")</f>
        <v>https://www.facebook.com/rapplerdotcom/photos/a.317154781638645/5597116770309060/</v>
      </c>
      <c r="J738" s="1" t="str">
        <f ca="1">IFERROR(__xludf.DUMMYFUNCTION("""COMPUTED_VALUE"""),"2022-07-04T11:15:29.864Z")</f>
        <v>2022-07-04T11:15:29.864Z</v>
      </c>
    </row>
    <row r="739" spans="1:10" x14ac:dyDescent="0.2">
      <c r="A739" s="2" t="str">
        <f ca="1">IFERROR(__xludf.DUMMYFUNCTION("""COMPUTED_VALUE"""),"https://www.facebook.com/profile.php?id=100009111409816")</f>
        <v>https://www.facebook.com/profile.php?id=100009111409816</v>
      </c>
      <c r="B739" s="1" t="str">
        <f ca="1">IFERROR(__xludf.DUMMYFUNCTION("""COMPUTED_VALUE"""),"Nida Saldivia")</f>
        <v>Nida Saldivia</v>
      </c>
      <c r="C739" s="1" t="str">
        <f ca="1">IFERROR(__xludf.DUMMYFUNCTION("""COMPUTED_VALUE"""),"Nida")</f>
        <v>Nida</v>
      </c>
      <c r="D739" s="1" t="str">
        <f ca="1">IFERROR(__xludf.DUMMYFUNCTION("""COMPUTED_VALUE"""),"Saldivia")</f>
        <v>Saldivia</v>
      </c>
      <c r="E739" s="1" t="str">
        <f ca="1">IFERROR(__xludf.DUMMYFUNCTION("""COMPUTED_VALUE"""),"Herbert Nitura Bilog 💔💚💖💚💖💚")</f>
        <v>Herbert Nitura Bilog 💔💚💖💚💖💚</v>
      </c>
      <c r="F739" s="1"/>
      <c r="G739" s="1" t="str">
        <f ca="1">IFERROR(__xludf.DUMMYFUNCTION("""COMPUTED_VALUE"""),"3 mos")</f>
        <v>3 mos</v>
      </c>
      <c r="H739" s="1" t="str">
        <f ca="1">IFERROR(__xludf.DUMMYFUNCTION("""COMPUTED_VALUE"""),"reply")</f>
        <v>reply</v>
      </c>
      <c r="I739" s="2" t="str">
        <f ca="1">IFERROR(__xludf.DUMMYFUNCTION("""COMPUTED_VALUE"""),"https://www.facebook.com/rapplerdotcom/photos/a.317154781638645/5597116770309060/")</f>
        <v>https://www.facebook.com/rapplerdotcom/photos/a.317154781638645/5597116770309060/</v>
      </c>
      <c r="J739" s="1" t="str">
        <f ca="1">IFERROR(__xludf.DUMMYFUNCTION("""COMPUTED_VALUE"""),"2022-07-04T11:15:29.864Z")</f>
        <v>2022-07-04T11:15:29.864Z</v>
      </c>
    </row>
    <row r="740" spans="1:10" x14ac:dyDescent="0.2">
      <c r="A740" s="2" t="str">
        <f ca="1">IFERROR(__xludf.DUMMYFUNCTION("""COMPUTED_VALUE"""),"https://www.facebook.com/ebelardo.liwanag.1")</f>
        <v>https://www.facebook.com/ebelardo.liwanag.1</v>
      </c>
      <c r="B740" s="1" t="str">
        <f ca="1">IFERROR(__xludf.DUMMYFUNCTION("""COMPUTED_VALUE"""),"Ebelardo Liwanag")</f>
        <v>Ebelardo Liwanag</v>
      </c>
      <c r="C740" s="1" t="str">
        <f ca="1">IFERROR(__xludf.DUMMYFUNCTION("""COMPUTED_VALUE"""),"Ebelardo")</f>
        <v>Ebelardo</v>
      </c>
      <c r="D740" s="1" t="str">
        <f ca="1">IFERROR(__xludf.DUMMYFUNCTION("""COMPUTED_VALUE"""),"Liwanag")</f>
        <v>Liwanag</v>
      </c>
      <c r="E740" s="1" t="str">
        <f ca="1">IFERROR(__xludf.DUMMYFUNCTION("""COMPUTED_VALUE"""),"Ang kalaban niya ay anak ni Fariñas. Political dynasty is there to stay. 🤯")</f>
        <v>Ang kalaban niya ay anak ni Fariñas. Political dynasty is there to stay. 🤯</v>
      </c>
      <c r="F740" s="1">
        <f ca="1">IFERROR(__xludf.DUMMYFUNCTION("""COMPUTED_VALUE"""),7)</f>
        <v>7</v>
      </c>
      <c r="G740" s="1" t="str">
        <f ca="1">IFERROR(__xludf.DUMMYFUNCTION("""COMPUTED_VALUE"""),"3 mos")</f>
        <v>3 mos</v>
      </c>
      <c r="H740" s="1" t="str">
        <f ca="1">IFERROR(__xludf.DUMMYFUNCTION("""COMPUTED_VALUE"""),"comment")</f>
        <v>comment</v>
      </c>
      <c r="I740" s="2" t="str">
        <f ca="1">IFERROR(__xludf.DUMMYFUNCTION("""COMPUTED_VALUE"""),"https://www.facebook.com/rapplerdotcom/photos/a.317154781638645/5597116770309060/")</f>
        <v>https://www.facebook.com/rapplerdotcom/photos/a.317154781638645/5597116770309060/</v>
      </c>
      <c r="J740" s="1" t="str">
        <f ca="1">IFERROR(__xludf.DUMMYFUNCTION("""COMPUTED_VALUE"""),"2022-07-04T11:15:29.864Z")</f>
        <v>2022-07-04T11:15:29.864Z</v>
      </c>
    </row>
    <row r="741" spans="1:10" x14ac:dyDescent="0.2">
      <c r="A741" s="2" t="str">
        <f ca="1">IFERROR(__xludf.DUMMYFUNCTION("""COMPUTED_VALUE"""),"https://www.facebook.com/dorsgf")</f>
        <v>https://www.facebook.com/dorsgf</v>
      </c>
      <c r="B741" s="1" t="str">
        <f ca="1">IFERROR(__xludf.DUMMYFUNCTION("""COMPUTED_VALUE"""),"Dorsky Farpale")</f>
        <v>Dorsky Farpale</v>
      </c>
      <c r="C741" s="1" t="str">
        <f ca="1">IFERROR(__xludf.DUMMYFUNCTION("""COMPUTED_VALUE"""),"Dorsky")</f>
        <v>Dorsky</v>
      </c>
      <c r="D741" s="1" t="str">
        <f ca="1">IFERROR(__xludf.DUMMYFUNCTION("""COMPUTED_VALUE"""),"Farpale")</f>
        <v>Farpale</v>
      </c>
      <c r="E741" s="1" t="str">
        <f ca="1">IFERROR(__xludf.DUMMYFUNCTION("""COMPUTED_VALUE"""),"Pwede din bang iangat nyo to class A ang  eco catergory ng mga prinoprotect nyo. Nastuck na sa C.")</f>
        <v>Pwede din bang iangat nyo to class A ang  eco catergory ng mga prinoprotect nyo. Nastuck na sa C.</v>
      </c>
      <c r="F741" s="1"/>
      <c r="G741" s="1" t="str">
        <f ca="1">IFERROR(__xludf.DUMMYFUNCTION("""COMPUTED_VALUE"""),"3 mos")</f>
        <v>3 mos</v>
      </c>
      <c r="H741" s="1" t="str">
        <f ca="1">IFERROR(__xludf.DUMMYFUNCTION("""COMPUTED_VALUE"""),"comment")</f>
        <v>comment</v>
      </c>
      <c r="I741" s="2" t="str">
        <f ca="1">IFERROR(__xludf.DUMMYFUNCTION("""COMPUTED_VALUE"""),"https://www.facebook.com/rapplerdotcom/photos/a.317154781638645/5597116770309060/")</f>
        <v>https://www.facebook.com/rapplerdotcom/photos/a.317154781638645/5597116770309060/</v>
      </c>
      <c r="J741" s="1" t="str">
        <f ca="1">IFERROR(__xludf.DUMMYFUNCTION("""COMPUTED_VALUE"""),"2022-07-04T11:15:29.864Z")</f>
        <v>2022-07-04T11:15:29.864Z</v>
      </c>
    </row>
    <row r="742" spans="1:10" x14ac:dyDescent="0.2">
      <c r="A742" s="2" t="str">
        <f ca="1">IFERROR(__xludf.DUMMYFUNCTION("""COMPUTED_VALUE"""),"https://www.facebook.com/Alvin3aces")</f>
        <v>https://www.facebook.com/Alvin3aces</v>
      </c>
      <c r="B742" s="1" t="str">
        <f ca="1">IFERROR(__xludf.DUMMYFUNCTION("""COMPUTED_VALUE"""),"Alvin Alcala")</f>
        <v>Alvin Alcala</v>
      </c>
      <c r="C742" s="1" t="str">
        <f ca="1">IFERROR(__xludf.DUMMYFUNCTION("""COMPUTED_VALUE"""),"Alvin")</f>
        <v>Alvin</v>
      </c>
      <c r="D742" s="1" t="str">
        <f ca="1">IFERROR(__xludf.DUMMYFUNCTION("""COMPUTED_VALUE"""),"Alcala")</f>
        <v>Alcala</v>
      </c>
      <c r="E742" s="1" t="str">
        <f ca="1">IFERROR(__xludf.DUMMYFUNCTION("""COMPUTED_VALUE"""),"Paru paru G..... Balik Balik pa more? Parang paru paro, dapo ng dapo pag may time.")</f>
        <v>Paru paru G..... Balik Balik pa more? Parang paru paro, dapo ng dapo pag may time.</v>
      </c>
      <c r="F742" s="1">
        <f ca="1">IFERROR(__xludf.DUMMYFUNCTION("""COMPUTED_VALUE"""),1)</f>
        <v>1</v>
      </c>
      <c r="G742" s="1" t="str">
        <f ca="1">IFERROR(__xludf.DUMMYFUNCTION("""COMPUTED_VALUE"""),"3 mos")</f>
        <v>3 mos</v>
      </c>
      <c r="H742" s="1" t="str">
        <f ca="1">IFERROR(__xludf.DUMMYFUNCTION("""COMPUTED_VALUE"""),"comment")</f>
        <v>comment</v>
      </c>
      <c r="I742" s="2" t="str">
        <f ca="1">IFERROR(__xludf.DUMMYFUNCTION("""COMPUTED_VALUE"""),"https://www.facebook.com/rapplerdotcom/photos/a.317154781638645/5597116770309060/")</f>
        <v>https://www.facebook.com/rapplerdotcom/photos/a.317154781638645/5597116770309060/</v>
      </c>
      <c r="J742" s="1" t="str">
        <f ca="1">IFERROR(__xludf.DUMMYFUNCTION("""COMPUTED_VALUE"""),"2022-07-04T11:15:29.864Z")</f>
        <v>2022-07-04T11:15:29.864Z</v>
      </c>
    </row>
    <row r="743" spans="1:10" x14ac:dyDescent="0.2">
      <c r="A743" s="2" t="str">
        <f ca="1">IFERROR(__xludf.DUMMYFUNCTION("""COMPUTED_VALUE"""),"https://www.facebook.com/otep.delaroz")</f>
        <v>https://www.facebook.com/otep.delaroz</v>
      </c>
      <c r="B743" s="1" t="str">
        <f ca="1">IFERROR(__xludf.DUMMYFUNCTION("""COMPUTED_VALUE"""),"Otep Delaroz")</f>
        <v>Otep Delaroz</v>
      </c>
      <c r="C743" s="1" t="str">
        <f ca="1">IFERROR(__xludf.DUMMYFUNCTION("""COMPUTED_VALUE"""),"Otep")</f>
        <v>Otep</v>
      </c>
      <c r="D743" s="1" t="str">
        <f ca="1">IFERROR(__xludf.DUMMYFUNCTION("""COMPUTED_VALUE"""),"Delaroz")</f>
        <v>Delaroz</v>
      </c>
      <c r="E743" s="1" t="str">
        <f ca="1">IFERROR(__xludf.DUMMYFUNCTION("""COMPUTED_VALUE"""),"Third class province pa rin")</f>
        <v>Third class province pa rin</v>
      </c>
      <c r="F743" s="1">
        <f ca="1">IFERROR(__xludf.DUMMYFUNCTION("""COMPUTED_VALUE"""),10)</f>
        <v>10</v>
      </c>
      <c r="G743" s="1" t="str">
        <f ca="1">IFERROR(__xludf.DUMMYFUNCTION("""COMPUTED_VALUE"""),"3 mos")</f>
        <v>3 mos</v>
      </c>
      <c r="H743" s="1" t="str">
        <f ca="1">IFERROR(__xludf.DUMMYFUNCTION("""COMPUTED_VALUE"""),"comment")</f>
        <v>comment</v>
      </c>
      <c r="I743" s="2" t="str">
        <f ca="1">IFERROR(__xludf.DUMMYFUNCTION("""COMPUTED_VALUE"""),"https://www.facebook.com/rapplerdotcom/photos/a.317154781638645/5597116770309060/")</f>
        <v>https://www.facebook.com/rapplerdotcom/photos/a.317154781638645/5597116770309060/</v>
      </c>
      <c r="J743" s="1" t="str">
        <f ca="1">IFERROR(__xludf.DUMMYFUNCTION("""COMPUTED_VALUE"""),"2022-07-04T11:15:29.864Z")</f>
        <v>2022-07-04T11:15:29.864Z</v>
      </c>
    </row>
    <row r="744" spans="1:10" x14ac:dyDescent="0.2">
      <c r="A744" s="2" t="str">
        <f ca="1">IFERROR(__xludf.DUMMYFUNCTION("""COMPUTED_VALUE"""),"https://www.facebook.com/arturo.rondolos.3")</f>
        <v>https://www.facebook.com/arturo.rondolos.3</v>
      </c>
      <c r="B744" s="1" t="str">
        <f ca="1">IFERROR(__xludf.DUMMYFUNCTION("""COMPUTED_VALUE"""),"Arturo Rondolos")</f>
        <v>Arturo Rondolos</v>
      </c>
      <c r="C744" s="1" t="str">
        <f ca="1">IFERROR(__xludf.DUMMYFUNCTION("""COMPUTED_VALUE"""),"Arturo")</f>
        <v>Arturo</v>
      </c>
      <c r="D744" s="1" t="str">
        <f ca="1">IFERROR(__xludf.DUMMYFUNCTION("""COMPUTED_VALUE"""),"Rondolos")</f>
        <v>Rondolos</v>
      </c>
      <c r="E744" s="1" t="str">
        <f ca="1">IFERROR(__xludf.DUMMYFUNCTION("""COMPUTED_VALUE"""),"Sabang ciudad iba Ang ilocos huag mo igaya")</f>
        <v>Sabang ciudad iba Ang ilocos huag mo igaya</v>
      </c>
      <c r="F744" s="1"/>
      <c r="G744" s="1" t="str">
        <f ca="1">IFERROR(__xludf.DUMMYFUNCTION("""COMPUTED_VALUE"""),"3 mos")</f>
        <v>3 mos</v>
      </c>
      <c r="H744" s="1" t="str">
        <f ca="1">IFERROR(__xludf.DUMMYFUNCTION("""COMPUTED_VALUE"""),"comment")</f>
        <v>comment</v>
      </c>
      <c r="I744" s="2" t="str">
        <f ca="1">IFERROR(__xludf.DUMMYFUNCTION("""COMPUTED_VALUE"""),"https://www.facebook.com/rapplerdotcom/photos/a.317154781638645/5597116770309060/")</f>
        <v>https://www.facebook.com/rapplerdotcom/photos/a.317154781638645/5597116770309060/</v>
      </c>
      <c r="J744" s="1" t="str">
        <f ca="1">IFERROR(__xludf.DUMMYFUNCTION("""COMPUTED_VALUE"""),"2022-07-04T11:15:29.864Z")</f>
        <v>2022-07-04T11:15:29.864Z</v>
      </c>
    </row>
    <row r="745" spans="1:10" x14ac:dyDescent="0.2">
      <c r="A745" s="2" t="str">
        <f ca="1">IFERROR(__xludf.DUMMYFUNCTION("""COMPUTED_VALUE"""),"https://www.facebook.com/rufino.baldovino")</f>
        <v>https://www.facebook.com/rufino.baldovino</v>
      </c>
      <c r="B745" s="1" t="str">
        <f ca="1">IFERROR(__xludf.DUMMYFUNCTION("""COMPUTED_VALUE"""),"Rufino Baldovino")</f>
        <v>Rufino Baldovino</v>
      </c>
      <c r="C745" s="1" t="str">
        <f ca="1">IFERROR(__xludf.DUMMYFUNCTION("""COMPUTED_VALUE"""),"Rufino")</f>
        <v>Rufino</v>
      </c>
      <c r="D745" s="1" t="str">
        <f ca="1">IFERROR(__xludf.DUMMYFUNCTION("""COMPUTED_VALUE"""),"Baldovino")</f>
        <v>Baldovino</v>
      </c>
      <c r="E745" s="1" t="str">
        <f ca="1">IFERROR(__xludf.DUMMYFUNCTION("""COMPUTED_VALUE"""),"kayo kayo na lang dyan wala pa rin asenso")</f>
        <v>kayo kayo na lang dyan wala pa rin asenso</v>
      </c>
      <c r="F745" s="1">
        <f ca="1">IFERROR(__xludf.DUMMYFUNCTION("""COMPUTED_VALUE"""),1)</f>
        <v>1</v>
      </c>
      <c r="G745" s="1" t="str">
        <f ca="1">IFERROR(__xludf.DUMMYFUNCTION("""COMPUTED_VALUE"""),"3 mos")</f>
        <v>3 mos</v>
      </c>
      <c r="H745" s="1" t="str">
        <f ca="1">IFERROR(__xludf.DUMMYFUNCTION("""COMPUTED_VALUE"""),"comment")</f>
        <v>comment</v>
      </c>
      <c r="I745" s="2" t="str">
        <f ca="1">IFERROR(__xludf.DUMMYFUNCTION("""COMPUTED_VALUE"""),"https://www.facebook.com/rapplerdotcom/photos/a.317154781638645/5597116770309060/")</f>
        <v>https://www.facebook.com/rapplerdotcom/photos/a.317154781638645/5597116770309060/</v>
      </c>
      <c r="J745" s="1" t="str">
        <f ca="1">IFERROR(__xludf.DUMMYFUNCTION("""COMPUTED_VALUE"""),"2022-07-04T11:15:29.864Z")</f>
        <v>2022-07-04T11:15:29.864Z</v>
      </c>
    </row>
    <row r="746" spans="1:10" x14ac:dyDescent="0.2">
      <c r="A746" s="2" t="str">
        <f ca="1">IFERROR(__xludf.DUMMYFUNCTION("""COMPUTED_VALUE"""),"https://www.facebook.com/jwharch")</f>
        <v>https://www.facebook.com/jwharch</v>
      </c>
      <c r="B746" s="1" t="str">
        <f ca="1">IFERROR(__xludf.DUMMYFUNCTION("""COMPUTED_VALUE"""),"Jimmy Hermogenes")</f>
        <v>Jimmy Hermogenes</v>
      </c>
      <c r="C746" s="1" t="str">
        <f ca="1">IFERROR(__xludf.DUMMYFUNCTION("""COMPUTED_VALUE"""),"Jimmy")</f>
        <v>Jimmy</v>
      </c>
      <c r="D746" s="1" t="str">
        <f ca="1">IFERROR(__xludf.DUMMYFUNCTION("""COMPUTED_VALUE"""),"Hermogenes")</f>
        <v>Hermogenes</v>
      </c>
      <c r="E746" s="1" t="str">
        <f ca="1">IFERROR(__xludf.DUMMYFUNCTION("""COMPUTED_VALUE"""),"Marunong ba mag ilocano yan?")</f>
        <v>Marunong ba mag ilocano yan?</v>
      </c>
      <c r="F746" s="1"/>
      <c r="G746" s="1" t="str">
        <f ca="1">IFERROR(__xludf.DUMMYFUNCTION("""COMPUTED_VALUE"""),"3 mos")</f>
        <v>3 mos</v>
      </c>
      <c r="H746" s="1" t="str">
        <f ca="1">IFERROR(__xludf.DUMMYFUNCTION("""COMPUTED_VALUE"""),"comment")</f>
        <v>comment</v>
      </c>
      <c r="I746" s="2" t="str">
        <f ca="1">IFERROR(__xludf.DUMMYFUNCTION("""COMPUTED_VALUE"""),"https://www.facebook.com/rapplerdotcom/photos/a.317154781638645/5597116770309060/")</f>
        <v>https://www.facebook.com/rapplerdotcom/photos/a.317154781638645/5597116770309060/</v>
      </c>
      <c r="J746" s="1" t="str">
        <f ca="1">IFERROR(__xludf.DUMMYFUNCTION("""COMPUTED_VALUE"""),"2022-07-04T11:15:29.864Z")</f>
        <v>2022-07-04T11:15:29.864Z</v>
      </c>
    </row>
    <row r="747" spans="1:10" x14ac:dyDescent="0.2">
      <c r="A747" s="2" t="str">
        <f ca="1">IFERROR(__xludf.DUMMYFUNCTION("""COMPUTED_VALUE"""),"https://www.facebook.com/rafaelfelicia.equipado")</f>
        <v>https://www.facebook.com/rafaelfelicia.equipado</v>
      </c>
      <c r="B747" s="1" t="str">
        <f ca="1">IFERROR(__xludf.DUMMYFUNCTION("""COMPUTED_VALUE"""),"Rafael Felicia Equipado")</f>
        <v>Rafael Felicia Equipado</v>
      </c>
      <c r="C747" s="1" t="str">
        <f ca="1">IFERROR(__xludf.DUMMYFUNCTION("""COMPUTED_VALUE"""),"Rafael")</f>
        <v>Rafael</v>
      </c>
      <c r="D747" s="1" t="str">
        <f ca="1">IFERROR(__xludf.DUMMYFUNCTION("""COMPUTED_VALUE"""),"Felicia Equipado")</f>
        <v>Felicia Equipado</v>
      </c>
      <c r="E747" s="1" t="str">
        <f ca="1">IFERROR(__xludf.DUMMYFUNCTION("""COMPUTED_VALUE"""),"stop politikal dynasty!!!!.")</f>
        <v>stop politikal dynasty!!!!.</v>
      </c>
      <c r="F747" s="1"/>
      <c r="G747" s="1" t="str">
        <f ca="1">IFERROR(__xludf.DUMMYFUNCTION("""COMPUTED_VALUE"""),"3 mos")</f>
        <v>3 mos</v>
      </c>
      <c r="H747" s="1" t="str">
        <f ca="1">IFERROR(__xludf.DUMMYFUNCTION("""COMPUTED_VALUE"""),"comment")</f>
        <v>comment</v>
      </c>
      <c r="I747" s="2" t="str">
        <f ca="1">IFERROR(__xludf.DUMMYFUNCTION("""COMPUTED_VALUE"""),"https://www.facebook.com/rapplerdotcom/photos/a.317154781638645/5597116770309060/")</f>
        <v>https://www.facebook.com/rapplerdotcom/photos/a.317154781638645/5597116770309060/</v>
      </c>
      <c r="J747" s="1" t="str">
        <f ca="1">IFERROR(__xludf.DUMMYFUNCTION("""COMPUTED_VALUE"""),"2022-07-04T11:15:29.864Z")</f>
        <v>2022-07-04T11:15:29.864Z</v>
      </c>
    </row>
    <row r="748" spans="1:10" x14ac:dyDescent="0.2">
      <c r="A748" s="2" t="str">
        <f ca="1">IFERROR(__xludf.DUMMYFUNCTION("""COMPUTED_VALUE"""),"https://www.facebook.com/profile.php?id=100008264059333")</f>
        <v>https://www.facebook.com/profile.php?id=100008264059333</v>
      </c>
      <c r="B748" s="1" t="str">
        <f ca="1">IFERROR(__xludf.DUMMYFUNCTION("""COMPUTED_VALUE"""),"Beneboy Gabales Bacol")</f>
        <v>Beneboy Gabales Bacol</v>
      </c>
      <c r="C748" s="1" t="str">
        <f ca="1">IFERROR(__xludf.DUMMYFUNCTION("""COMPUTED_VALUE"""),"Beneboy")</f>
        <v>Beneboy</v>
      </c>
      <c r="D748" s="1" t="str">
        <f ca="1">IFERROR(__xludf.DUMMYFUNCTION("""COMPUTED_VALUE"""),"Gabales Bacol")</f>
        <v>Gabales Bacol</v>
      </c>
      <c r="E748" s="1" t="str">
        <f ca="1">IFERROR(__xludf.DUMMYFUNCTION("""COMPUTED_VALUE"""),"Nasa tao na yan kung gisto ng tao. Demokrasya yan")</f>
        <v>Nasa tao na yan kung gisto ng tao. Demokrasya yan</v>
      </c>
      <c r="F748" s="1"/>
      <c r="G748" s="1" t="str">
        <f ca="1">IFERROR(__xludf.DUMMYFUNCTION("""COMPUTED_VALUE"""),"3 mos")</f>
        <v>3 mos</v>
      </c>
      <c r="H748" s="1" t="str">
        <f ca="1">IFERROR(__xludf.DUMMYFUNCTION("""COMPUTED_VALUE"""),"comment")</f>
        <v>comment</v>
      </c>
      <c r="I748" s="2" t="str">
        <f ca="1">IFERROR(__xludf.DUMMYFUNCTION("""COMPUTED_VALUE"""),"https://www.facebook.com/rapplerdotcom/photos/a.317154781638645/5597116770309060/")</f>
        <v>https://www.facebook.com/rapplerdotcom/photos/a.317154781638645/5597116770309060/</v>
      </c>
      <c r="J748" s="1" t="str">
        <f ca="1">IFERROR(__xludf.DUMMYFUNCTION("""COMPUTED_VALUE"""),"2022-07-04T11:15:29.864Z")</f>
        <v>2022-07-04T11:15:29.864Z</v>
      </c>
    </row>
    <row r="749" spans="1:10" x14ac:dyDescent="0.2">
      <c r="A749" s="2" t="str">
        <f ca="1">IFERROR(__xludf.DUMMYFUNCTION("""COMPUTED_VALUE"""),"https://www.facebook.com/rahnlloyd.iliscupidez")</f>
        <v>https://www.facebook.com/rahnlloyd.iliscupidez</v>
      </c>
      <c r="B749" s="1" t="str">
        <f ca="1">IFERROR(__xludf.DUMMYFUNCTION("""COMPUTED_VALUE"""),"RL Lloydy Samson Iliscupidez")</f>
        <v>RL Lloydy Samson Iliscupidez</v>
      </c>
      <c r="C749" s="1" t="str">
        <f ca="1">IFERROR(__xludf.DUMMYFUNCTION("""COMPUTED_VALUE"""),"RL")</f>
        <v>RL</v>
      </c>
      <c r="D749" s="1" t="str">
        <f ca="1">IFERROR(__xludf.DUMMYFUNCTION("""COMPUTED_VALUE"""),"Lloydy Samson Iliscupidez")</f>
        <v>Lloydy Samson Iliscupidez</v>
      </c>
      <c r="E749" s="1" t="str">
        <f ca="1">IFERROR(__xludf.DUMMYFUNCTION("""COMPUTED_VALUE"""),"Buwagin na ang Political Dynasty sa Pilipinas Panahon na sila ay Panagutin at Parusahan at Ibang Tao nman may Pagkakataon na Tumakbo hindi LNG iisang Pamilya na Sabay na Tatakbo kya hindi umuulad ang Pilipinas dahil sa Political Dynasty sila ang Nagpapaks"&amp;"asa at Umaabuso bilang Pulitiko nkakadismaya")</f>
        <v>Buwagin na ang Political Dynasty sa Pilipinas Panahon na sila ay Panagutin at Parusahan at Ibang Tao nman may Pagkakataon na Tumakbo hindi LNG iisang Pamilya na Sabay na Tatakbo kya hindi umuulad ang Pilipinas dahil sa Political Dynasty sila ang Nagpapaksasa at Umaabuso bilang Pulitiko nkakadismaya</v>
      </c>
      <c r="F749" s="1">
        <f ca="1">IFERROR(__xludf.DUMMYFUNCTION("""COMPUTED_VALUE"""),8)</f>
        <v>8</v>
      </c>
      <c r="G749" s="1" t="str">
        <f ca="1">IFERROR(__xludf.DUMMYFUNCTION("""COMPUTED_VALUE"""),"3 mos")</f>
        <v>3 mos</v>
      </c>
      <c r="H749" s="1" t="str">
        <f ca="1">IFERROR(__xludf.DUMMYFUNCTION("""COMPUTED_VALUE"""),"comment")</f>
        <v>comment</v>
      </c>
      <c r="I749" s="2" t="str">
        <f ca="1">IFERROR(__xludf.DUMMYFUNCTION("""COMPUTED_VALUE"""),"https://www.facebook.com/rapplerdotcom/photos/a.317154781638645/5597116770309060/")</f>
        <v>https://www.facebook.com/rapplerdotcom/photos/a.317154781638645/5597116770309060/</v>
      </c>
      <c r="J749" s="1" t="str">
        <f ca="1">IFERROR(__xludf.DUMMYFUNCTION("""COMPUTED_VALUE"""),"2022-07-04T11:15:29.864Z")</f>
        <v>2022-07-04T11:15:29.864Z</v>
      </c>
    </row>
    <row r="750" spans="1:10" x14ac:dyDescent="0.2">
      <c r="A750" s="2" t="str">
        <f ca="1">IFERROR(__xludf.DUMMYFUNCTION("""COMPUTED_VALUE"""),"https://www.facebook.com/vlademir.peraja")</f>
        <v>https://www.facebook.com/vlademir.peraja</v>
      </c>
      <c r="B750" s="1" t="str">
        <f ca="1">IFERROR(__xludf.DUMMYFUNCTION("""COMPUTED_VALUE"""),"Vlad Deem")</f>
        <v>Vlad Deem</v>
      </c>
      <c r="C750" s="1" t="str">
        <f ca="1">IFERROR(__xludf.DUMMYFUNCTION("""COMPUTED_VALUE"""),"Vlad")</f>
        <v>Vlad</v>
      </c>
      <c r="D750" s="1" t="str">
        <f ca="1">IFERROR(__xludf.DUMMYFUNCTION("""COMPUTED_VALUE"""),"Deem")</f>
        <v>Deem</v>
      </c>
      <c r="E750" s="1" t="str">
        <f ca="1">IFERROR(__xludf.DUMMYFUNCTION("""COMPUTED_VALUE"""),"wala ba silang alam na ibang career?")</f>
        <v>wala ba silang alam na ibang career?</v>
      </c>
      <c r="F750" s="1">
        <f ca="1">IFERROR(__xludf.DUMMYFUNCTION("""COMPUTED_VALUE"""),2)</f>
        <v>2</v>
      </c>
      <c r="G750" s="1" t="str">
        <f ca="1">IFERROR(__xludf.DUMMYFUNCTION("""COMPUTED_VALUE"""),"3 mos")</f>
        <v>3 mos</v>
      </c>
      <c r="H750" s="1" t="str">
        <f ca="1">IFERROR(__xludf.DUMMYFUNCTION("""COMPUTED_VALUE"""),"comment")</f>
        <v>comment</v>
      </c>
      <c r="I750" s="2" t="str">
        <f ca="1">IFERROR(__xludf.DUMMYFUNCTION("""COMPUTED_VALUE"""),"https://www.facebook.com/rapplerdotcom/photos/a.317154781638645/5597116770309060/")</f>
        <v>https://www.facebook.com/rapplerdotcom/photos/a.317154781638645/5597116770309060/</v>
      </c>
      <c r="J750" s="1" t="str">
        <f ca="1">IFERROR(__xludf.DUMMYFUNCTION("""COMPUTED_VALUE"""),"2022-07-04T11:15:29.864Z")</f>
        <v>2022-07-04T11:15:29.864Z</v>
      </c>
    </row>
    <row r="751" spans="1:10" x14ac:dyDescent="0.2">
      <c r="A751" s="2" t="str">
        <f ca="1">IFERROR(__xludf.DUMMYFUNCTION("""COMPUTED_VALUE"""),"https://www.facebook.com/ferdinand.pacleb.37")</f>
        <v>https://www.facebook.com/ferdinand.pacleb.37</v>
      </c>
      <c r="B751" s="1" t="str">
        <f ca="1">IFERROR(__xludf.DUMMYFUNCTION("""COMPUTED_VALUE"""),"Ferdinand Pacleb")</f>
        <v>Ferdinand Pacleb</v>
      </c>
      <c r="C751" s="1" t="str">
        <f ca="1">IFERROR(__xludf.DUMMYFUNCTION("""COMPUTED_VALUE"""),"Ferdinand")</f>
        <v>Ferdinand</v>
      </c>
      <c r="D751" s="1" t="str">
        <f ca="1">IFERROR(__xludf.DUMMYFUNCTION("""COMPUTED_VALUE"""),"Pacleb")</f>
        <v>Pacleb</v>
      </c>
      <c r="E751" s="1" t="str">
        <f ca="1">IFERROR(__xludf.DUMMYFUNCTION("""COMPUTED_VALUE"""),"Ma")</f>
        <v>Ma</v>
      </c>
      <c r="F751" s="1"/>
      <c r="G751" s="1" t="str">
        <f ca="1">IFERROR(__xludf.DUMMYFUNCTION("""COMPUTED_VALUE"""),"3 mos")</f>
        <v>3 mos</v>
      </c>
      <c r="H751" s="1" t="str">
        <f ca="1">IFERROR(__xludf.DUMMYFUNCTION("""COMPUTED_VALUE"""),"comment")</f>
        <v>comment</v>
      </c>
      <c r="I751" s="2" t="str">
        <f ca="1">IFERROR(__xludf.DUMMYFUNCTION("""COMPUTED_VALUE"""),"https://www.facebook.com/rapplerdotcom/photos/a.317154781638645/5597116770309060/")</f>
        <v>https://www.facebook.com/rapplerdotcom/photos/a.317154781638645/5597116770309060/</v>
      </c>
      <c r="J751" s="1" t="str">
        <f ca="1">IFERROR(__xludf.DUMMYFUNCTION("""COMPUTED_VALUE"""),"2022-07-04T11:15:29.864Z")</f>
        <v>2022-07-04T11:15:29.864Z</v>
      </c>
    </row>
    <row r="752" spans="1:10" x14ac:dyDescent="0.2">
      <c r="A752" s="2" t="str">
        <f ca="1">IFERROR(__xludf.DUMMYFUNCTION("""COMPUTED_VALUE"""),"https://www.facebook.com/kurugaligala")</f>
        <v>https://www.facebook.com/kurugaligala</v>
      </c>
      <c r="B752" s="1" t="str">
        <f ca="1">IFERROR(__xludf.DUMMYFUNCTION("""COMPUTED_VALUE"""),"Kurugali Gala")</f>
        <v>Kurugali Gala</v>
      </c>
      <c r="C752" s="1" t="str">
        <f ca="1">IFERROR(__xludf.DUMMYFUNCTION("""COMPUTED_VALUE"""),"Kurugali")</f>
        <v>Kurugali</v>
      </c>
      <c r="D752" s="1" t="str">
        <f ca="1">IFERROR(__xludf.DUMMYFUNCTION("""COMPUTED_VALUE"""),"Gala")</f>
        <v>Gala</v>
      </c>
      <c r="E752" s="1" t="str">
        <f ca="1">IFERROR(__xludf.DUMMYFUNCTION("""COMPUTED_VALUE"""),"Kaya mahirap ang Ilocos kasi mahilig sila sa Dynasty.")</f>
        <v>Kaya mahirap ang Ilocos kasi mahilig sila sa Dynasty.</v>
      </c>
      <c r="F752" s="1">
        <f ca="1">IFERROR(__xludf.DUMMYFUNCTION("""COMPUTED_VALUE"""),6)</f>
        <v>6</v>
      </c>
      <c r="G752" s="1" t="str">
        <f ca="1">IFERROR(__xludf.DUMMYFUNCTION("""COMPUTED_VALUE"""),"3 mos")</f>
        <v>3 mos</v>
      </c>
      <c r="H752" s="1" t="str">
        <f ca="1">IFERROR(__xludf.DUMMYFUNCTION("""COMPUTED_VALUE"""),"comment")</f>
        <v>comment</v>
      </c>
      <c r="I752" s="2" t="str">
        <f ca="1">IFERROR(__xludf.DUMMYFUNCTION("""COMPUTED_VALUE"""),"https://www.facebook.com/rapplerdotcom/photos/a.317154781638645/5597116770309060/")</f>
        <v>https://www.facebook.com/rapplerdotcom/photos/a.317154781638645/5597116770309060/</v>
      </c>
      <c r="J752" s="1" t="str">
        <f ca="1">IFERROR(__xludf.DUMMYFUNCTION("""COMPUTED_VALUE"""),"2022-07-04T11:15:29.864Z")</f>
        <v>2022-07-04T11:15:29.864Z</v>
      </c>
    </row>
    <row r="753" spans="1:10" x14ac:dyDescent="0.2">
      <c r="A753" s="2" t="str">
        <f ca="1">IFERROR(__xludf.DUMMYFUNCTION("""COMPUTED_VALUE"""),"https://www.facebook.com/ralphanthony.edu")</f>
        <v>https://www.facebook.com/ralphanthony.edu</v>
      </c>
      <c r="B753" s="1" t="str">
        <f ca="1">IFERROR(__xludf.DUMMYFUNCTION("""COMPUTED_VALUE"""),"Harlp Due")</f>
        <v>Harlp Due</v>
      </c>
      <c r="C753" s="1" t="str">
        <f ca="1">IFERROR(__xludf.DUMMYFUNCTION("""COMPUTED_VALUE"""),"Harlp")</f>
        <v>Harlp</v>
      </c>
      <c r="D753" s="1" t="str">
        <f ca="1">IFERROR(__xludf.DUMMYFUNCTION("""COMPUTED_VALUE"""),"Due")</f>
        <v>Due</v>
      </c>
      <c r="E753" s="1" t="str">
        <f ca="1">IFERROR(__xludf.DUMMYFUNCTION("""COMPUTED_VALUE"""),"Kurugali Gala sino nagsabing mahirap ang Ilocos maghulos diri ka sa sinasabi mo. Wala kang pruweba. Sabagay bagay kayo ng nanay mong fenk ang budhi mahilig mamaintang at manisi 🤣🤣🤣")</f>
        <v>Kurugali Gala sino nagsabing mahirap ang Ilocos maghulos diri ka sa sinasabi mo. Wala kang pruweba. Sabagay bagay kayo ng nanay mong fenk ang budhi mahilig mamaintang at manisi 🤣🤣🤣</v>
      </c>
      <c r="F753" s="1"/>
      <c r="G753" s="1" t="str">
        <f ca="1">IFERROR(__xludf.DUMMYFUNCTION("""COMPUTED_VALUE"""),"3 mos")</f>
        <v>3 mos</v>
      </c>
      <c r="H753" s="1" t="str">
        <f ca="1">IFERROR(__xludf.DUMMYFUNCTION("""COMPUTED_VALUE"""),"reply")</f>
        <v>reply</v>
      </c>
      <c r="I753" s="2" t="str">
        <f ca="1">IFERROR(__xludf.DUMMYFUNCTION("""COMPUTED_VALUE"""),"https://www.facebook.com/rapplerdotcom/photos/a.317154781638645/5597116770309060/")</f>
        <v>https://www.facebook.com/rapplerdotcom/photos/a.317154781638645/5597116770309060/</v>
      </c>
      <c r="J753" s="1" t="str">
        <f ca="1">IFERROR(__xludf.DUMMYFUNCTION("""COMPUTED_VALUE"""),"2022-07-04T11:15:29.864Z")</f>
        <v>2022-07-04T11:15:29.864Z</v>
      </c>
    </row>
    <row r="754" spans="1:10" x14ac:dyDescent="0.2">
      <c r="A754" s="2" t="str">
        <f ca="1">IFERROR(__xludf.DUMMYFUNCTION("""COMPUTED_VALUE"""),"https://www.facebook.com/kurugaligala")</f>
        <v>https://www.facebook.com/kurugaligala</v>
      </c>
      <c r="B754" s="1" t="str">
        <f ca="1">IFERROR(__xludf.DUMMYFUNCTION("""COMPUTED_VALUE"""),"Kurugali Gala")</f>
        <v>Kurugali Gala</v>
      </c>
      <c r="C754" s="1" t="str">
        <f ca="1">IFERROR(__xludf.DUMMYFUNCTION("""COMPUTED_VALUE"""),"Kurugali")</f>
        <v>Kurugali</v>
      </c>
      <c r="D754" s="1" t="str">
        <f ca="1">IFERROR(__xludf.DUMMYFUNCTION("""COMPUTED_VALUE"""),"Gala")</f>
        <v>Gala</v>
      </c>
      <c r="E754" s="1" t="str">
        <f ca="1">IFERROR(__xludf.DUMMYFUNCTION("""COMPUTED_VALUE"""),"Harlp Due check mo ano mga class ng municipalities nila sa Ilocos Norte, isaisahin mo. Of the 21 municipalities, ilan ang 1st class?")</f>
        <v>Harlp Due check mo ano mga class ng municipalities nila sa Ilocos Norte, isaisahin mo. Of the 21 municipalities, ilan ang 1st class?</v>
      </c>
      <c r="F754" s="1"/>
      <c r="G754" s="1" t="str">
        <f ca="1">IFERROR(__xludf.DUMMYFUNCTION("""COMPUTED_VALUE"""),"3 mos")</f>
        <v>3 mos</v>
      </c>
      <c r="H754" s="1" t="str">
        <f ca="1">IFERROR(__xludf.DUMMYFUNCTION("""COMPUTED_VALUE"""),"reply")</f>
        <v>reply</v>
      </c>
      <c r="I754" s="2" t="str">
        <f ca="1">IFERROR(__xludf.DUMMYFUNCTION("""COMPUTED_VALUE"""),"https://www.facebook.com/rapplerdotcom/photos/a.317154781638645/5597116770309060/")</f>
        <v>https://www.facebook.com/rapplerdotcom/photos/a.317154781638645/5597116770309060/</v>
      </c>
      <c r="J754" s="1" t="str">
        <f ca="1">IFERROR(__xludf.DUMMYFUNCTION("""COMPUTED_VALUE"""),"2022-07-04T11:15:29.864Z")</f>
        <v>2022-07-04T11:15:29.864Z</v>
      </c>
    </row>
    <row r="755" spans="1:10" x14ac:dyDescent="0.2">
      <c r="A755" s="2" t="str">
        <f ca="1">IFERROR(__xludf.DUMMYFUNCTION("""COMPUTED_VALUE"""),"https://www.facebook.com/rlduldulao")</f>
        <v>https://www.facebook.com/rlduldulao</v>
      </c>
      <c r="B755" s="1" t="str">
        <f ca="1">IFERROR(__xludf.DUMMYFUNCTION("""COMPUTED_VALUE"""),"Randy Duldulao")</f>
        <v>Randy Duldulao</v>
      </c>
      <c r="C755" s="1" t="str">
        <f ca="1">IFERROR(__xludf.DUMMYFUNCTION("""COMPUTED_VALUE"""),"Randy")</f>
        <v>Randy</v>
      </c>
      <c r="D755" s="1" t="str">
        <f ca="1">IFERROR(__xludf.DUMMYFUNCTION("""COMPUTED_VALUE"""),"Duldulao")</f>
        <v>Duldulao</v>
      </c>
      <c r="E755" s="1" t="str">
        <f ca="1">IFERROR(__xludf.DUMMYFUNCTION("""COMPUTED_VALUE"""),"📍 GANITO ang pagpikit: 😔")</f>
        <v>📍 GANITO ang pagpikit: 😔</v>
      </c>
      <c r="F755" s="1">
        <f ca="1">IFERROR(__xludf.DUMMYFUNCTION("""COMPUTED_VALUE"""),1)</f>
        <v>1</v>
      </c>
      <c r="G755" s="1" t="str">
        <f ca="1">IFERROR(__xludf.DUMMYFUNCTION("""COMPUTED_VALUE"""),"3 mos")</f>
        <v>3 mos</v>
      </c>
      <c r="H755" s="1" t="str">
        <f ca="1">IFERROR(__xludf.DUMMYFUNCTION("""COMPUTED_VALUE"""),"comment")</f>
        <v>comment</v>
      </c>
      <c r="I755" s="2" t="str">
        <f ca="1">IFERROR(__xludf.DUMMYFUNCTION("""COMPUTED_VALUE"""),"https://www.facebook.com/rapplerdotcom/photos/a.317154781638645/5597116770309060/")</f>
        <v>https://www.facebook.com/rapplerdotcom/photos/a.317154781638645/5597116770309060/</v>
      </c>
      <c r="J755" s="1" t="str">
        <f ca="1">IFERROR(__xludf.DUMMYFUNCTION("""COMPUTED_VALUE"""),"2022-07-04T11:15:29.864Z")</f>
        <v>2022-07-04T11:15:29.864Z</v>
      </c>
    </row>
    <row r="756" spans="1:10" x14ac:dyDescent="0.2">
      <c r="A756" s="2" t="str">
        <f ca="1">IFERROR(__xludf.DUMMYFUNCTION("""COMPUTED_VALUE"""),"https://www.facebook.com/cleofe.nicolas.7")</f>
        <v>https://www.facebook.com/cleofe.nicolas.7</v>
      </c>
      <c r="B756" s="1" t="str">
        <f ca="1">IFERROR(__xludf.DUMMYFUNCTION("""COMPUTED_VALUE"""),"Cleofe Nicolas")</f>
        <v>Cleofe Nicolas</v>
      </c>
      <c r="C756" s="1" t="str">
        <f ca="1">IFERROR(__xludf.DUMMYFUNCTION("""COMPUTED_VALUE"""),"Cleofe")</f>
        <v>Cleofe</v>
      </c>
      <c r="D756" s="1" t="str">
        <f ca="1">IFERROR(__xludf.DUMMYFUNCTION("""COMPUTED_VALUE"""),"Nicolas")</f>
        <v>Nicolas</v>
      </c>
      <c r="E756" s="1" t="str">
        <f ca="1">IFERROR(__xludf.DUMMYFUNCTION("""COMPUTED_VALUE"""),"Gusto niyo ng malinis na gobyerno? Need to pass the anti-dynasty law 🔜 🔜 🔜 🔜 🔜")</f>
        <v>Gusto niyo ng malinis na gobyerno? Need to pass the anti-dynasty law 🔜 🔜 🔜 🔜 🔜</v>
      </c>
      <c r="F756" s="1"/>
      <c r="G756" s="1" t="str">
        <f ca="1">IFERROR(__xludf.DUMMYFUNCTION("""COMPUTED_VALUE"""),"3 mos")</f>
        <v>3 mos</v>
      </c>
      <c r="H756" s="1" t="str">
        <f ca="1">IFERROR(__xludf.DUMMYFUNCTION("""COMPUTED_VALUE"""),"comment")</f>
        <v>comment</v>
      </c>
      <c r="I756" s="2" t="str">
        <f ca="1">IFERROR(__xludf.DUMMYFUNCTION("""COMPUTED_VALUE"""),"https://www.facebook.com/rapplerdotcom/photos/a.317154781638645/5597116770309060/")</f>
        <v>https://www.facebook.com/rapplerdotcom/photos/a.317154781638645/5597116770309060/</v>
      </c>
      <c r="J756" s="1" t="str">
        <f ca="1">IFERROR(__xludf.DUMMYFUNCTION("""COMPUTED_VALUE"""),"2022-07-04T11:15:29.864Z")</f>
        <v>2022-07-04T11:15:29.864Z</v>
      </c>
    </row>
    <row r="757" spans="1:10" x14ac:dyDescent="0.2">
      <c r="A757" s="2" t="str">
        <f ca="1">IFERROR(__xludf.DUMMYFUNCTION("""COMPUTED_VALUE"""),"https://www.facebook.com/william.baang")</f>
        <v>https://www.facebook.com/william.baang</v>
      </c>
      <c r="B757" s="1" t="str">
        <f ca="1">IFERROR(__xludf.DUMMYFUNCTION("""COMPUTED_VALUE"""),"William Baang")</f>
        <v>William Baang</v>
      </c>
      <c r="C757" s="1" t="str">
        <f ca="1">IFERROR(__xludf.DUMMYFUNCTION("""COMPUTED_VALUE"""),"William")</f>
        <v>William</v>
      </c>
      <c r="D757" s="1" t="str">
        <f ca="1">IFERROR(__xludf.DUMMYFUNCTION("""COMPUTED_VALUE"""),"Baang")</f>
        <v>Baang</v>
      </c>
      <c r="E757" s="1" t="str">
        <f ca="1">IFERROR(__xludf.DUMMYFUNCTION("""COMPUTED_VALUE"""),"Magbayad muna ng buwis.")</f>
        <v>Magbayad muna ng buwis.</v>
      </c>
      <c r="F757" s="1"/>
      <c r="G757" s="1" t="str">
        <f ca="1">IFERROR(__xludf.DUMMYFUNCTION("""COMPUTED_VALUE"""),"3 mos")</f>
        <v>3 mos</v>
      </c>
      <c r="H757" s="1" t="str">
        <f ca="1">IFERROR(__xludf.DUMMYFUNCTION("""COMPUTED_VALUE"""),"comment")</f>
        <v>comment</v>
      </c>
      <c r="I757" s="2" t="str">
        <f ca="1">IFERROR(__xludf.DUMMYFUNCTION("""COMPUTED_VALUE"""),"https://www.facebook.com/rapplerdotcom/photos/a.317154781638645/5597116770309060/")</f>
        <v>https://www.facebook.com/rapplerdotcom/photos/a.317154781638645/5597116770309060/</v>
      </c>
      <c r="J757" s="1" t="str">
        <f ca="1">IFERROR(__xludf.DUMMYFUNCTION("""COMPUTED_VALUE"""),"2022-07-04T11:15:29.864Z")</f>
        <v>2022-07-04T11:15:29.864Z</v>
      </c>
    </row>
    <row r="758" spans="1:10" x14ac:dyDescent="0.2">
      <c r="A758" s="2" t="str">
        <f ca="1">IFERROR(__xludf.DUMMYFUNCTION("""COMPUTED_VALUE"""),"https://www.facebook.com/lydia.demecais")</f>
        <v>https://www.facebook.com/lydia.demecais</v>
      </c>
      <c r="B758" s="1" t="str">
        <f ca="1">IFERROR(__xludf.DUMMYFUNCTION("""COMPUTED_VALUE"""),"Lydia Serrano Demecais")</f>
        <v>Lydia Serrano Demecais</v>
      </c>
      <c r="C758" s="1" t="str">
        <f ca="1">IFERROR(__xludf.DUMMYFUNCTION("""COMPUTED_VALUE"""),"Lydia")</f>
        <v>Lydia</v>
      </c>
      <c r="D758" s="1" t="str">
        <f ca="1">IFERROR(__xludf.DUMMYFUNCTION("""COMPUTED_VALUE"""),"Serrano Demecais")</f>
        <v>Serrano Demecais</v>
      </c>
      <c r="E758" s="1" t="str">
        <f ca="1">IFERROR(__xludf.DUMMYFUNCTION("""COMPUTED_VALUE"""),"Wala ng solid north!!!!")</f>
        <v>Wala ng solid north!!!!</v>
      </c>
      <c r="F758" s="1">
        <f ca="1">IFERROR(__xludf.DUMMYFUNCTION("""COMPUTED_VALUE"""),12)</f>
        <v>12</v>
      </c>
      <c r="G758" s="1" t="str">
        <f ca="1">IFERROR(__xludf.DUMMYFUNCTION("""COMPUTED_VALUE"""),"3 mos")</f>
        <v>3 mos</v>
      </c>
      <c r="H758" s="1" t="str">
        <f ca="1">IFERROR(__xludf.DUMMYFUNCTION("""COMPUTED_VALUE"""),"comment")</f>
        <v>comment</v>
      </c>
      <c r="I758" s="2" t="str">
        <f ca="1">IFERROR(__xludf.DUMMYFUNCTION("""COMPUTED_VALUE"""),"https://www.facebook.com/rapplerdotcom/photos/a.317154781638645/5597116770309060/")</f>
        <v>https://www.facebook.com/rapplerdotcom/photos/a.317154781638645/5597116770309060/</v>
      </c>
      <c r="J758" s="1" t="str">
        <f ca="1">IFERROR(__xludf.DUMMYFUNCTION("""COMPUTED_VALUE"""),"2022-07-04T11:15:29.864Z")</f>
        <v>2022-07-04T11:15:29.864Z</v>
      </c>
    </row>
    <row r="759" spans="1:10" x14ac:dyDescent="0.2">
      <c r="A759" s="2" t="str">
        <f ca="1">IFERROR(__xludf.DUMMYFUNCTION("""COMPUTED_VALUE"""),"https://www.facebook.com/herbiebnitura")</f>
        <v>https://www.facebook.com/herbiebnitura</v>
      </c>
      <c r="B759" s="1" t="str">
        <f ca="1">IFERROR(__xludf.DUMMYFUNCTION("""COMPUTED_VALUE"""),"Herbert Nitura Bilog")</f>
        <v>Herbert Nitura Bilog</v>
      </c>
      <c r="C759" s="1" t="str">
        <f ca="1">IFERROR(__xludf.DUMMYFUNCTION("""COMPUTED_VALUE"""),"Herbert")</f>
        <v>Herbert</v>
      </c>
      <c r="D759" s="1" t="str">
        <f ca="1">IFERROR(__xludf.DUMMYFUNCTION("""COMPUTED_VALUE"""),"Nitura Bilog")</f>
        <v>Nitura Bilog</v>
      </c>
      <c r="E759" s="1" t="str">
        <f ca="1">IFERROR(__xludf.DUMMYFUNCTION("""COMPUTED_VALUE"""),"Lydia Serrano Demecais meron pa.. solid sNORT!!! 😂😂😂")</f>
        <v>Lydia Serrano Demecais meron pa.. solid sNORT!!! 😂😂😂</v>
      </c>
      <c r="F759" s="1">
        <f ca="1">IFERROR(__xludf.DUMMYFUNCTION("""COMPUTED_VALUE"""),1)</f>
        <v>1</v>
      </c>
      <c r="G759" s="1" t="str">
        <f ca="1">IFERROR(__xludf.DUMMYFUNCTION("""COMPUTED_VALUE"""),"3 mos")</f>
        <v>3 mos</v>
      </c>
      <c r="H759" s="1" t="str">
        <f ca="1">IFERROR(__xludf.DUMMYFUNCTION("""COMPUTED_VALUE"""),"reply")</f>
        <v>reply</v>
      </c>
      <c r="I759" s="2" t="str">
        <f ca="1">IFERROR(__xludf.DUMMYFUNCTION("""COMPUTED_VALUE"""),"https://www.facebook.com/rapplerdotcom/photos/a.317154781638645/5597116770309060/")</f>
        <v>https://www.facebook.com/rapplerdotcom/photos/a.317154781638645/5597116770309060/</v>
      </c>
      <c r="J759" s="1" t="str">
        <f ca="1">IFERROR(__xludf.DUMMYFUNCTION("""COMPUTED_VALUE"""),"2022-07-04T11:15:29.864Z")</f>
        <v>2022-07-04T11:15:29.864Z</v>
      </c>
    </row>
    <row r="760" spans="1:10" x14ac:dyDescent="0.2">
      <c r="A760" s="2" t="str">
        <f ca="1">IFERROR(__xludf.DUMMYFUNCTION("""COMPUTED_VALUE"""),"https://www.facebook.com/WinterMemoir")</f>
        <v>https://www.facebook.com/WinterMemoir</v>
      </c>
      <c r="B760" s="1" t="str">
        <f ca="1">IFERROR(__xludf.DUMMYFUNCTION("""COMPUTED_VALUE"""),"Ber Na")</f>
        <v>Ber Na</v>
      </c>
      <c r="C760" s="1" t="str">
        <f ca="1">IFERROR(__xludf.DUMMYFUNCTION("""COMPUTED_VALUE"""),"Ber")</f>
        <v>Ber</v>
      </c>
      <c r="D760" s="1" t="str">
        <f ca="1">IFERROR(__xludf.DUMMYFUNCTION("""COMPUTED_VALUE"""),"Na")</f>
        <v>Na</v>
      </c>
      <c r="E760" s="1" t="str">
        <f ca="1">IFERROR(__xludf.DUMMYFUNCTION("""COMPUTED_VALUE"""),"Herbert Nitura Bilog HAHAHAH PERIOD!")</f>
        <v>Herbert Nitura Bilog HAHAHAH PERIOD!</v>
      </c>
      <c r="F760" s="1">
        <f ca="1">IFERROR(__xludf.DUMMYFUNCTION("""COMPUTED_VALUE"""),1)</f>
        <v>1</v>
      </c>
      <c r="G760" s="1" t="str">
        <f ca="1">IFERROR(__xludf.DUMMYFUNCTION("""COMPUTED_VALUE"""),"3 mos")</f>
        <v>3 mos</v>
      </c>
      <c r="H760" s="1" t="str">
        <f ca="1">IFERROR(__xludf.DUMMYFUNCTION("""COMPUTED_VALUE"""),"reply")</f>
        <v>reply</v>
      </c>
      <c r="I760" s="2" t="str">
        <f ca="1">IFERROR(__xludf.DUMMYFUNCTION("""COMPUTED_VALUE"""),"https://www.facebook.com/rapplerdotcom/photos/a.317154781638645/5597116770309060/")</f>
        <v>https://www.facebook.com/rapplerdotcom/photos/a.317154781638645/5597116770309060/</v>
      </c>
      <c r="J760" s="1" t="str">
        <f ca="1">IFERROR(__xludf.DUMMYFUNCTION("""COMPUTED_VALUE"""),"2022-07-04T11:15:29.864Z")</f>
        <v>2022-07-04T11:15:29.864Z</v>
      </c>
    </row>
    <row r="761" spans="1:10" x14ac:dyDescent="0.2">
      <c r="A761" s="2" t="str">
        <f ca="1">IFERROR(__xludf.DUMMYFUNCTION("""COMPUTED_VALUE"""),"https://www.facebook.com/herbiebnitura")</f>
        <v>https://www.facebook.com/herbiebnitura</v>
      </c>
      <c r="B761" s="1" t="str">
        <f ca="1">IFERROR(__xludf.DUMMYFUNCTION("""COMPUTED_VALUE"""),"Herbert Nitura Bilog")</f>
        <v>Herbert Nitura Bilog</v>
      </c>
      <c r="C761" s="1" t="str">
        <f ca="1">IFERROR(__xludf.DUMMYFUNCTION("""COMPUTED_VALUE"""),"Herbert")</f>
        <v>Herbert</v>
      </c>
      <c r="D761" s="1" t="str">
        <f ca="1">IFERROR(__xludf.DUMMYFUNCTION("""COMPUTED_VALUE"""),"Nitura Bilog")</f>
        <v>Nitura Bilog</v>
      </c>
      <c r="E761" s="1" t="str">
        <f ca="1">IFERROR(__xludf.DUMMYFUNCTION("""COMPUTED_VALUE"""),"Ber Na from La Union ako at masasabi ko na mga kabarangay ko ay solid sNORT talaga..")</f>
        <v>Ber Na from La Union ako at masasabi ko na mga kabarangay ko ay solid sNORT talaga..</v>
      </c>
      <c r="F761" s="1">
        <f ca="1">IFERROR(__xludf.DUMMYFUNCTION("""COMPUTED_VALUE"""),1)</f>
        <v>1</v>
      </c>
      <c r="G761" s="1" t="str">
        <f ca="1">IFERROR(__xludf.DUMMYFUNCTION("""COMPUTED_VALUE"""),"3 mos")</f>
        <v>3 mos</v>
      </c>
      <c r="H761" s="1" t="str">
        <f ca="1">IFERROR(__xludf.DUMMYFUNCTION("""COMPUTED_VALUE"""),"reply")</f>
        <v>reply</v>
      </c>
      <c r="I761" s="2" t="str">
        <f ca="1">IFERROR(__xludf.DUMMYFUNCTION("""COMPUTED_VALUE"""),"https://www.facebook.com/rapplerdotcom/photos/a.317154781638645/5597116770309060/")</f>
        <v>https://www.facebook.com/rapplerdotcom/photos/a.317154781638645/5597116770309060/</v>
      </c>
      <c r="J761" s="1" t="str">
        <f ca="1">IFERROR(__xludf.DUMMYFUNCTION("""COMPUTED_VALUE"""),"2022-07-04T11:15:29.864Z")</f>
        <v>2022-07-04T11:15:29.864Z</v>
      </c>
    </row>
    <row r="762" spans="1:10" x14ac:dyDescent="0.2">
      <c r="A762" s="2" t="str">
        <f ca="1">IFERROR(__xludf.DUMMYFUNCTION("""COMPUTED_VALUE"""),"https://www.facebook.com/lorna.felipe.1694")</f>
        <v>https://www.facebook.com/lorna.felipe.1694</v>
      </c>
      <c r="B762" s="1" t="str">
        <f ca="1">IFERROR(__xludf.DUMMYFUNCTION("""COMPUTED_VALUE"""),"Lorna Felipe")</f>
        <v>Lorna Felipe</v>
      </c>
      <c r="C762" s="1" t="str">
        <f ca="1">IFERROR(__xludf.DUMMYFUNCTION("""COMPUTED_VALUE"""),"Lorna")</f>
        <v>Lorna</v>
      </c>
      <c r="D762" s="1" t="str">
        <f ca="1">IFERROR(__xludf.DUMMYFUNCTION("""COMPUTED_VALUE"""),"Felipe")</f>
        <v>Felipe</v>
      </c>
      <c r="E762" s="1" t="str">
        <f ca="1">IFERROR(__xludf.DUMMYFUNCTION("""COMPUTED_VALUE"""),"ang tawag na sa kanila....SWAPANG....")</f>
        <v>ang tawag na sa kanila....SWAPANG....</v>
      </c>
      <c r="F762" s="1">
        <f ca="1">IFERROR(__xludf.DUMMYFUNCTION("""COMPUTED_VALUE"""),1)</f>
        <v>1</v>
      </c>
      <c r="G762" s="1" t="str">
        <f ca="1">IFERROR(__xludf.DUMMYFUNCTION("""COMPUTED_VALUE"""),"3 mos")</f>
        <v>3 mos</v>
      </c>
      <c r="H762" s="1" t="str">
        <f ca="1">IFERROR(__xludf.DUMMYFUNCTION("""COMPUTED_VALUE"""),"comment")</f>
        <v>comment</v>
      </c>
      <c r="I762" s="2" t="str">
        <f ca="1">IFERROR(__xludf.DUMMYFUNCTION("""COMPUTED_VALUE"""),"https://www.facebook.com/rapplerdotcom/photos/a.317154781638645/5597116770309060/")</f>
        <v>https://www.facebook.com/rapplerdotcom/photos/a.317154781638645/5597116770309060/</v>
      </c>
      <c r="J762" s="1" t="str">
        <f ca="1">IFERROR(__xludf.DUMMYFUNCTION("""COMPUTED_VALUE"""),"2022-07-04T11:15:29.864Z")</f>
        <v>2022-07-04T11:15:29.864Z</v>
      </c>
    </row>
    <row r="763" spans="1:10" x14ac:dyDescent="0.2">
      <c r="A763" s="2" t="str">
        <f ca="1">IFERROR(__xludf.DUMMYFUNCTION("""COMPUTED_VALUE"""),"https://www.facebook.com/Louweegeee")</f>
        <v>https://www.facebook.com/Louweegeee</v>
      </c>
      <c r="B763" s="1" t="str">
        <f ca="1">IFERROR(__xludf.DUMMYFUNCTION("""COMPUTED_VALUE"""),"Luigi Manangu")</f>
        <v>Luigi Manangu</v>
      </c>
      <c r="C763" s="1" t="str">
        <f ca="1">IFERROR(__xludf.DUMMYFUNCTION("""COMPUTED_VALUE"""),"Luigi")</f>
        <v>Luigi</v>
      </c>
      <c r="D763" s="1" t="str">
        <f ca="1">IFERROR(__xludf.DUMMYFUNCTION("""COMPUTED_VALUE"""),"Manangu")</f>
        <v>Manangu</v>
      </c>
      <c r="E763" s="1" t="str">
        <f ca="1">IFERROR(__xludf.DUMMYFUNCTION("""COMPUTED_VALUE"""),"Di ba nagtataka man lang mga Ilocano bakit hindi na umangat probinsya nila?")</f>
        <v>Di ba nagtataka man lang mga Ilocano bakit hindi na umangat probinsya nila?</v>
      </c>
      <c r="F763" s="1"/>
      <c r="G763" s="1" t="str">
        <f ca="1">IFERROR(__xludf.DUMMYFUNCTION("""COMPUTED_VALUE"""),"3 mos")</f>
        <v>3 mos</v>
      </c>
      <c r="H763" s="1" t="str">
        <f ca="1">IFERROR(__xludf.DUMMYFUNCTION("""COMPUTED_VALUE"""),"comment")</f>
        <v>comment</v>
      </c>
      <c r="I763" s="2" t="str">
        <f ca="1">IFERROR(__xludf.DUMMYFUNCTION("""COMPUTED_VALUE"""),"https://www.facebook.com/rapplerdotcom/photos/a.317154781638645/5597116770309060/")</f>
        <v>https://www.facebook.com/rapplerdotcom/photos/a.317154781638645/5597116770309060/</v>
      </c>
      <c r="J763" s="1" t="str">
        <f ca="1">IFERROR(__xludf.DUMMYFUNCTION("""COMPUTED_VALUE"""),"2022-07-04T11:15:29.864Z")</f>
        <v>2022-07-04T11:15:29.864Z</v>
      </c>
    </row>
    <row r="764" spans="1:10" x14ac:dyDescent="0.2">
      <c r="A764" s="2" t="str">
        <f ca="1">IFERROR(__xludf.DUMMYFUNCTION("""COMPUTED_VALUE"""),"https://www.facebook.com/billyvuelta")</f>
        <v>https://www.facebook.com/billyvuelta</v>
      </c>
      <c r="B764" s="1" t="str">
        <f ca="1">IFERROR(__xludf.DUMMYFUNCTION("""COMPUTED_VALUE"""),"Billy Jason Vuelta")</f>
        <v>Billy Jason Vuelta</v>
      </c>
      <c r="C764" s="1" t="str">
        <f ca="1">IFERROR(__xludf.DUMMYFUNCTION("""COMPUTED_VALUE"""),"Billy")</f>
        <v>Billy</v>
      </c>
      <c r="D764" s="1" t="str">
        <f ca="1">IFERROR(__xludf.DUMMYFUNCTION("""COMPUTED_VALUE"""),"Jason Vuelta")</f>
        <v>Jason Vuelta</v>
      </c>
      <c r="E764" s="1" t="str">
        <f ca="1">IFERROR(__xludf.DUMMYFUNCTION("""COMPUTED_VALUE"""),"Bakit kaya walang naglalakas-loob na lumaban sa dalawang ito?")</f>
        <v>Bakit kaya walang naglalakas-loob na lumaban sa dalawang ito?</v>
      </c>
      <c r="F764" s="1"/>
      <c r="G764" s="1" t="str">
        <f ca="1">IFERROR(__xludf.DUMMYFUNCTION("""COMPUTED_VALUE"""),"3 mos")</f>
        <v>3 mos</v>
      </c>
      <c r="H764" s="1" t="str">
        <f ca="1">IFERROR(__xludf.DUMMYFUNCTION("""COMPUTED_VALUE"""),"comment")</f>
        <v>comment</v>
      </c>
      <c r="I764" s="2" t="str">
        <f ca="1">IFERROR(__xludf.DUMMYFUNCTION("""COMPUTED_VALUE"""),"https://www.facebook.com/rapplerdotcom/photos/a.317154781638645/5597116770309060/")</f>
        <v>https://www.facebook.com/rapplerdotcom/photos/a.317154781638645/5597116770309060/</v>
      </c>
      <c r="J764" s="1" t="str">
        <f ca="1">IFERROR(__xludf.DUMMYFUNCTION("""COMPUTED_VALUE"""),"2022-07-04T11:15:29.864Z")</f>
        <v>2022-07-04T11:15:29.864Z</v>
      </c>
    </row>
    <row r="765" spans="1:10" x14ac:dyDescent="0.2">
      <c r="A765" s="2" t="str">
        <f ca="1">IFERROR(__xludf.DUMMYFUNCTION("""COMPUTED_VALUE"""),"https://www.facebook.com/profile.php?id=100076549753166")</f>
        <v>https://www.facebook.com/profile.php?id=100076549753166</v>
      </c>
      <c r="B765" s="1" t="str">
        <f ca="1">IFERROR(__xludf.DUMMYFUNCTION("""COMPUTED_VALUE"""),"Mike Encina")</f>
        <v>Mike Encina</v>
      </c>
      <c r="C765" s="1" t="str">
        <f ca="1">IFERROR(__xludf.DUMMYFUNCTION("""COMPUTED_VALUE"""),"Mike")</f>
        <v>Mike</v>
      </c>
      <c r="D765" s="1" t="str">
        <f ca="1">IFERROR(__xludf.DUMMYFUNCTION("""COMPUTED_VALUE"""),"Encina")</f>
        <v>Encina</v>
      </c>
      <c r="E765" s="1" t="str">
        <f ca="1">IFERROR(__xludf.DUMMYFUNCTION("""COMPUTED_VALUE"""),"YES!! Iboto si “Charisse” Jake Zyrus na pala!!! 😂🤣😂")</f>
        <v>YES!! Iboto si “Charisse” Jake Zyrus na pala!!! 😂🤣😂</v>
      </c>
      <c r="F765" s="1">
        <f ca="1">IFERROR(__xludf.DUMMYFUNCTION("""COMPUTED_VALUE"""),2)</f>
        <v>2</v>
      </c>
      <c r="G765" s="1" t="str">
        <f ca="1">IFERROR(__xludf.DUMMYFUNCTION("""COMPUTED_VALUE"""),"3 mos")</f>
        <v>3 mos</v>
      </c>
      <c r="H765" s="1" t="str">
        <f ca="1">IFERROR(__xludf.DUMMYFUNCTION("""COMPUTED_VALUE"""),"comment")</f>
        <v>comment</v>
      </c>
      <c r="I765" s="2" t="str">
        <f ca="1">IFERROR(__xludf.DUMMYFUNCTION("""COMPUTED_VALUE"""),"https://www.facebook.com/rapplerdotcom/photos/a.317154781638645/5597116770309060/")</f>
        <v>https://www.facebook.com/rapplerdotcom/photos/a.317154781638645/5597116770309060/</v>
      </c>
      <c r="J765" s="1" t="str">
        <f ca="1">IFERROR(__xludf.DUMMYFUNCTION("""COMPUTED_VALUE"""),"2022-07-04T11:15:29.864Z")</f>
        <v>2022-07-04T11:15:29.864Z</v>
      </c>
    </row>
    <row r="766" spans="1:10" x14ac:dyDescent="0.2">
      <c r="A766" s="2" t="str">
        <f ca="1">IFERROR(__xludf.DUMMYFUNCTION("""COMPUTED_VALUE"""),"https://www.facebook.com/profile.php?id=100069088022643")</f>
        <v>https://www.facebook.com/profile.php?id=100069088022643</v>
      </c>
      <c r="B766" s="1" t="str">
        <f ca="1">IFERROR(__xludf.DUMMYFUNCTION("""COMPUTED_VALUE"""),"Leon Monterola")</f>
        <v>Leon Monterola</v>
      </c>
      <c r="C766" s="1" t="str">
        <f ca="1">IFERROR(__xludf.DUMMYFUNCTION("""COMPUTED_VALUE"""),"Leon")</f>
        <v>Leon</v>
      </c>
      <c r="D766" s="1" t="str">
        <f ca="1">IFERROR(__xludf.DUMMYFUNCTION("""COMPUTED_VALUE"""),"Monterola")</f>
        <v>Monterola</v>
      </c>
      <c r="E766" s="1" t="str">
        <f ca="1">IFERROR(__xludf.DUMMYFUNCTION("""COMPUTED_VALUE"""),"The most popular candidate? I don't think so.")</f>
        <v>The most popular candidate? I don't think so.</v>
      </c>
      <c r="F766" s="1"/>
      <c r="G766" s="1" t="str">
        <f ca="1">IFERROR(__xludf.DUMMYFUNCTION("""COMPUTED_VALUE"""),"3 mos")</f>
        <v>3 mos</v>
      </c>
      <c r="H766" s="1" t="str">
        <f ca="1">IFERROR(__xludf.DUMMYFUNCTION("""COMPUTED_VALUE"""),"comment")</f>
        <v>comment</v>
      </c>
      <c r="I766" s="2" t="str">
        <f ca="1">IFERROR(__xludf.DUMMYFUNCTION("""COMPUTED_VALUE"""),"https://www.facebook.com/rapplerdotcom/photos/a.317154781638645/5597116770309060/")</f>
        <v>https://www.facebook.com/rapplerdotcom/photos/a.317154781638645/5597116770309060/</v>
      </c>
      <c r="J766" s="1" t="str">
        <f ca="1">IFERROR(__xludf.DUMMYFUNCTION("""COMPUTED_VALUE"""),"2022-07-04T11:15:29.864Z")</f>
        <v>2022-07-04T11:15:29.864Z</v>
      </c>
    </row>
    <row r="767" spans="1:10" x14ac:dyDescent="0.2">
      <c r="A767" s="2" t="str">
        <f ca="1">IFERROR(__xludf.DUMMYFUNCTION("""COMPUTED_VALUE"""),"https://www.facebook.com/profile.php?id=100078611073162")</f>
        <v>https://www.facebook.com/profile.php?id=100078611073162</v>
      </c>
      <c r="B767" s="1" t="str">
        <f ca="1">IFERROR(__xludf.DUMMYFUNCTION("""COMPUTED_VALUE"""),"Roy Bannedagain")</f>
        <v>Roy Bannedagain</v>
      </c>
      <c r="C767" s="1" t="str">
        <f ca="1">IFERROR(__xludf.DUMMYFUNCTION("""COMPUTED_VALUE"""),"Roy")</f>
        <v>Roy</v>
      </c>
      <c r="D767" s="1" t="str">
        <f ca="1">IFERROR(__xludf.DUMMYFUNCTION("""COMPUTED_VALUE"""),"Bannedagain")</f>
        <v>Bannedagain</v>
      </c>
      <c r="E767" s="1" t="str">
        <f ca="1">IFERROR(__xludf.DUMMYFUNCTION("""COMPUTED_VALUE"""),"Ginawa na nila source of income yang politika. Masyadong uhaw sa otoridad.")</f>
        <v>Ginawa na nila source of income yang politika. Masyadong uhaw sa otoridad.</v>
      </c>
      <c r="F767" s="1">
        <f ca="1">IFERROR(__xludf.DUMMYFUNCTION("""COMPUTED_VALUE"""),2)</f>
        <v>2</v>
      </c>
      <c r="G767" s="1" t="str">
        <f ca="1">IFERROR(__xludf.DUMMYFUNCTION("""COMPUTED_VALUE"""),"3 mos")</f>
        <v>3 mos</v>
      </c>
      <c r="H767" s="1" t="str">
        <f ca="1">IFERROR(__xludf.DUMMYFUNCTION("""COMPUTED_VALUE"""),"comment")</f>
        <v>comment</v>
      </c>
      <c r="I767" s="2" t="str">
        <f ca="1">IFERROR(__xludf.DUMMYFUNCTION("""COMPUTED_VALUE"""),"https://www.facebook.com/rapplerdotcom/photos/a.317154781638645/5597116770309060/")</f>
        <v>https://www.facebook.com/rapplerdotcom/photos/a.317154781638645/5597116770309060/</v>
      </c>
      <c r="J767" s="1" t="str">
        <f ca="1">IFERROR(__xludf.DUMMYFUNCTION("""COMPUTED_VALUE"""),"2022-07-04T11:15:29.864Z")</f>
        <v>2022-07-04T11:15:29.864Z</v>
      </c>
    </row>
    <row r="768" spans="1:10" x14ac:dyDescent="0.2">
      <c r="A768" s="2" t="str">
        <f ca="1">IFERROR(__xludf.DUMMYFUNCTION("""COMPUTED_VALUE"""),"https://www.facebook.com/arnel.dean.31")</f>
        <v>https://www.facebook.com/arnel.dean.31</v>
      </c>
      <c r="B768" s="1" t="str">
        <f ca="1">IFERROR(__xludf.DUMMYFUNCTION("""COMPUTED_VALUE"""),"Rivera Jodi")</f>
        <v>Rivera Jodi</v>
      </c>
      <c r="C768" s="1" t="str">
        <f ca="1">IFERROR(__xludf.DUMMYFUNCTION("""COMPUTED_VALUE"""),"Rivera")</f>
        <v>Rivera</v>
      </c>
      <c r="D768" s="1" t="str">
        <f ca="1">IFERROR(__xludf.DUMMYFUNCTION("""COMPUTED_VALUE"""),"Jodi")</f>
        <v>Jodi</v>
      </c>
      <c r="E768" s="1" t="str">
        <f ca="1">IFERROR(__xludf.DUMMYFUNCTION("""COMPUTED_VALUE"""),"HINDI TOTOO...")</f>
        <v>HINDI TOTOO...</v>
      </c>
      <c r="F768" s="1"/>
      <c r="G768" s="1" t="str">
        <f ca="1">IFERROR(__xludf.DUMMYFUNCTION("""COMPUTED_VALUE"""),"3 mos")</f>
        <v>3 mos</v>
      </c>
      <c r="H768" s="1" t="str">
        <f ca="1">IFERROR(__xludf.DUMMYFUNCTION("""COMPUTED_VALUE"""),"comment")</f>
        <v>comment</v>
      </c>
      <c r="I768" s="2" t="str">
        <f ca="1">IFERROR(__xludf.DUMMYFUNCTION("""COMPUTED_VALUE"""),"https://www.facebook.com/rapplerdotcom/photos/a.317154781638645/5597116770309060/")</f>
        <v>https://www.facebook.com/rapplerdotcom/photos/a.317154781638645/5597116770309060/</v>
      </c>
      <c r="J768" s="1" t="str">
        <f ca="1">IFERROR(__xludf.DUMMYFUNCTION("""COMPUTED_VALUE"""),"2022-07-04T11:15:29.864Z")</f>
        <v>2022-07-04T11:15:29.864Z</v>
      </c>
    </row>
    <row r="769" spans="1:10" x14ac:dyDescent="0.2">
      <c r="A769" s="2" t="str">
        <f ca="1">IFERROR(__xludf.DUMMYFUNCTION("""COMPUTED_VALUE"""),"https://www.facebook.com/DodiPaul")</f>
        <v>https://www.facebook.com/DodiPaul</v>
      </c>
      <c r="B769" s="1" t="str">
        <f ca="1">IFERROR(__xludf.DUMMYFUNCTION("""COMPUTED_VALUE"""),"Doods Paul Lebron-Duterte Alcala")</f>
        <v>Doods Paul Lebron-Duterte Alcala</v>
      </c>
      <c r="C769" s="1" t="str">
        <f ca="1">IFERROR(__xludf.DUMMYFUNCTION("""COMPUTED_VALUE"""),"Doods")</f>
        <v>Doods</v>
      </c>
      <c r="D769" s="1" t="str">
        <f ca="1">IFERROR(__xludf.DUMMYFUNCTION("""COMPUTED_VALUE"""),"Paul Lebron-Duterte Alcala")</f>
        <v>Paul Lebron-Duterte Alcala</v>
      </c>
      <c r="E769" s="1" t="str">
        <f ca="1">IFERROR(__xludf.DUMMYFUNCTION("""COMPUTED_VALUE"""),"Inggit pikit 😆")</f>
        <v>Inggit pikit 😆</v>
      </c>
      <c r="F769" s="1"/>
      <c r="G769" s="1" t="str">
        <f ca="1">IFERROR(__xludf.DUMMYFUNCTION("""COMPUTED_VALUE"""),"3 mos")</f>
        <v>3 mos</v>
      </c>
      <c r="H769" s="1" t="str">
        <f ca="1">IFERROR(__xludf.DUMMYFUNCTION("""COMPUTED_VALUE"""),"comment")</f>
        <v>comment</v>
      </c>
      <c r="I769" s="2" t="str">
        <f ca="1">IFERROR(__xludf.DUMMYFUNCTION("""COMPUTED_VALUE"""),"https://www.facebook.com/rapplerdotcom/photos/a.317154781638645/5597116770309060/")</f>
        <v>https://www.facebook.com/rapplerdotcom/photos/a.317154781638645/5597116770309060/</v>
      </c>
      <c r="J769" s="1" t="str">
        <f ca="1">IFERROR(__xludf.DUMMYFUNCTION("""COMPUTED_VALUE"""),"2022-07-04T11:15:29.864Z")</f>
        <v>2022-07-04T11:15:29.864Z</v>
      </c>
    </row>
    <row r="770" spans="1:10" x14ac:dyDescent="0.2">
      <c r="A770" s="2" t="str">
        <f ca="1">IFERROR(__xludf.DUMMYFUNCTION("""COMPUTED_VALUE"""),"https://www.facebook.com/paul.gatmaitan")</f>
        <v>https://www.facebook.com/paul.gatmaitan</v>
      </c>
      <c r="B770" s="1" t="str">
        <f ca="1">IFERROR(__xludf.DUMMYFUNCTION("""COMPUTED_VALUE"""),"Paul Gatmaitan")</f>
        <v>Paul Gatmaitan</v>
      </c>
      <c r="C770" s="1" t="str">
        <f ca="1">IFERROR(__xludf.DUMMYFUNCTION("""COMPUTED_VALUE"""),"Paul")</f>
        <v>Paul</v>
      </c>
      <c r="D770" s="1" t="str">
        <f ca="1">IFERROR(__xludf.DUMMYFUNCTION("""COMPUTED_VALUE"""),"Gatmaitan")</f>
        <v>Gatmaitan</v>
      </c>
      <c r="E770" s="1" t="str">
        <f ca="1">IFERROR(__xludf.DUMMYFUNCTION("""COMPUTED_VALUE"""),"Kaya ang Probinsya nila 4th class pa din yun mga Pulitiko lang ang First Class.")</f>
        <v>Kaya ang Probinsya nila 4th class pa din yun mga Pulitiko lang ang First Class.</v>
      </c>
      <c r="F770" s="1">
        <f ca="1">IFERROR(__xludf.DUMMYFUNCTION("""COMPUTED_VALUE"""),1)</f>
        <v>1</v>
      </c>
      <c r="G770" s="1" t="str">
        <f ca="1">IFERROR(__xludf.DUMMYFUNCTION("""COMPUTED_VALUE"""),"3 mos")</f>
        <v>3 mos</v>
      </c>
      <c r="H770" s="1" t="str">
        <f ca="1">IFERROR(__xludf.DUMMYFUNCTION("""COMPUTED_VALUE"""),"comment")</f>
        <v>comment</v>
      </c>
      <c r="I770" s="2" t="str">
        <f ca="1">IFERROR(__xludf.DUMMYFUNCTION("""COMPUTED_VALUE"""),"https://www.facebook.com/rapplerdotcom/photos/a.317154781638645/5597116770309060/")</f>
        <v>https://www.facebook.com/rapplerdotcom/photos/a.317154781638645/5597116770309060/</v>
      </c>
      <c r="J770" s="1" t="str">
        <f ca="1">IFERROR(__xludf.DUMMYFUNCTION("""COMPUTED_VALUE"""),"2022-07-04T11:15:29.864Z")</f>
        <v>2022-07-04T11:15:29.864Z</v>
      </c>
    </row>
    <row r="771" spans="1:10" x14ac:dyDescent="0.2">
      <c r="A771" s="2" t="str">
        <f ca="1">IFERROR(__xludf.DUMMYFUNCTION("""COMPUTED_VALUE"""),"https://www.facebook.com/lito.sarmiento.129")</f>
        <v>https://www.facebook.com/lito.sarmiento.129</v>
      </c>
      <c r="B771" s="1" t="str">
        <f ca="1">IFERROR(__xludf.DUMMYFUNCTION("""COMPUTED_VALUE"""),"Magno Lito")</f>
        <v>Magno Lito</v>
      </c>
      <c r="C771" s="1" t="str">
        <f ca="1">IFERROR(__xludf.DUMMYFUNCTION("""COMPUTED_VALUE"""),"Magno")</f>
        <v>Magno</v>
      </c>
      <c r="D771" s="1" t="str">
        <f ca="1">IFERROR(__xludf.DUMMYFUNCTION("""COMPUTED_VALUE"""),"Lito")</f>
        <v>Lito</v>
      </c>
      <c r="E771" s="1" t="str">
        <f ca="1">IFERROR(__xludf.DUMMYFUNCTION("""COMPUTED_VALUE"""),"Mga lahi talaga ng dimonyo kapal ng mga mukha")</f>
        <v>Mga lahi talaga ng dimonyo kapal ng mga mukha</v>
      </c>
      <c r="F771" s="1"/>
      <c r="G771" s="1" t="str">
        <f ca="1">IFERROR(__xludf.DUMMYFUNCTION("""COMPUTED_VALUE"""),"3 mos")</f>
        <v>3 mos</v>
      </c>
      <c r="H771" s="1" t="str">
        <f ca="1">IFERROR(__xludf.DUMMYFUNCTION("""COMPUTED_VALUE"""),"comment")</f>
        <v>comment</v>
      </c>
      <c r="I771" s="2" t="str">
        <f ca="1">IFERROR(__xludf.DUMMYFUNCTION("""COMPUTED_VALUE"""),"https://www.facebook.com/rapplerdotcom/photos/a.317154781638645/5597116770309060/")</f>
        <v>https://www.facebook.com/rapplerdotcom/photos/a.317154781638645/5597116770309060/</v>
      </c>
      <c r="J771" s="1" t="str">
        <f ca="1">IFERROR(__xludf.DUMMYFUNCTION("""COMPUTED_VALUE"""),"2022-07-04T11:15:29.865Z")</f>
        <v>2022-07-04T11:15:29.865Z</v>
      </c>
    </row>
    <row r="772" spans="1:10" x14ac:dyDescent="0.2">
      <c r="A772" s="2" t="str">
        <f ca="1">IFERROR(__xludf.DUMMYFUNCTION("""COMPUTED_VALUE"""),"https://www.facebook.com/Era1427")</f>
        <v>https://www.facebook.com/Era1427</v>
      </c>
      <c r="B772" s="1" t="str">
        <f ca="1">IFERROR(__xludf.DUMMYFUNCTION("""COMPUTED_VALUE"""),"John Kenneth Dejoras")</f>
        <v>John Kenneth Dejoras</v>
      </c>
      <c r="C772" s="1" t="str">
        <f ca="1">IFERROR(__xludf.DUMMYFUNCTION("""COMPUTED_VALUE"""),"John")</f>
        <v>John</v>
      </c>
      <c r="D772" s="1" t="str">
        <f ca="1">IFERROR(__xludf.DUMMYFUNCTION("""COMPUTED_VALUE"""),"Kenneth Dejoras")</f>
        <v>Kenneth Dejoras</v>
      </c>
      <c r="E772" s="1" t="str">
        <f ca="1">IFERROR(__xludf.DUMMYFUNCTION("""COMPUTED_VALUE"""),"Comeback is real")</f>
        <v>Comeback is real</v>
      </c>
      <c r="F772" s="1"/>
      <c r="G772" s="1" t="str">
        <f ca="1">IFERROR(__xludf.DUMMYFUNCTION("""COMPUTED_VALUE"""),"3 mos")</f>
        <v>3 mos</v>
      </c>
      <c r="H772" s="1" t="str">
        <f ca="1">IFERROR(__xludf.DUMMYFUNCTION("""COMPUTED_VALUE"""),"comment")</f>
        <v>comment</v>
      </c>
      <c r="I772" s="2" t="str">
        <f ca="1">IFERROR(__xludf.DUMMYFUNCTION("""COMPUTED_VALUE"""),"https://www.facebook.com/rapplerdotcom/photos/a.317154781638645/5597116770309060/")</f>
        <v>https://www.facebook.com/rapplerdotcom/photos/a.317154781638645/5597116770309060/</v>
      </c>
      <c r="J772" s="1" t="str">
        <f ca="1">IFERROR(__xludf.DUMMYFUNCTION("""COMPUTED_VALUE"""),"2022-07-04T11:15:29.865Z")</f>
        <v>2022-07-04T11:15:29.865Z</v>
      </c>
    </row>
    <row r="773" spans="1:10" x14ac:dyDescent="0.2">
      <c r="A773" s="2" t="str">
        <f ca="1">IFERROR(__xludf.DUMMYFUNCTION("""COMPUTED_VALUE"""),"https://www.facebook.com/profile.php?id=100076601927157")</f>
        <v>https://www.facebook.com/profile.php?id=100076601927157</v>
      </c>
      <c r="B773" s="1" t="str">
        <f ca="1">IFERROR(__xludf.DUMMYFUNCTION("""COMPUTED_VALUE"""),"Federico Alde")</f>
        <v>Federico Alde</v>
      </c>
      <c r="C773" s="1" t="str">
        <f ca="1">IFERROR(__xludf.DUMMYFUNCTION("""COMPUTED_VALUE"""),"Federico")</f>
        <v>Federico</v>
      </c>
      <c r="D773" s="1" t="str">
        <f ca="1">IFERROR(__xludf.DUMMYFUNCTION("""COMPUTED_VALUE"""),"Alde")</f>
        <v>Alde</v>
      </c>
      <c r="E773" s="1" t="str">
        <f ca="1">IFERROR(__xludf.DUMMYFUNCTION("""COMPUTED_VALUE"""),"#NoToBbm #NoToMagnanakaw")</f>
        <v>#NoToBbm #NoToMagnanakaw</v>
      </c>
      <c r="F773" s="1"/>
      <c r="G773" s="1" t="str">
        <f ca="1">IFERROR(__xludf.DUMMYFUNCTION("""COMPUTED_VALUE"""),"3 mos")</f>
        <v>3 mos</v>
      </c>
      <c r="H773" s="1" t="str">
        <f ca="1">IFERROR(__xludf.DUMMYFUNCTION("""COMPUTED_VALUE"""),"comment")</f>
        <v>comment</v>
      </c>
      <c r="I773" s="2" t="str">
        <f ca="1">IFERROR(__xludf.DUMMYFUNCTION("""COMPUTED_VALUE"""),"https://www.facebook.com/rapplerdotcom/photos/a.317154781638645/5597116770309060/")</f>
        <v>https://www.facebook.com/rapplerdotcom/photos/a.317154781638645/5597116770309060/</v>
      </c>
      <c r="J773" s="1" t="str">
        <f ca="1">IFERROR(__xludf.DUMMYFUNCTION("""COMPUTED_VALUE"""),"2022-07-04T11:15:29.865Z")</f>
        <v>2022-07-04T11:15:29.865Z</v>
      </c>
    </row>
    <row r="774" spans="1:10" x14ac:dyDescent="0.2">
      <c r="A774" s="2" t="str">
        <f ca="1">IFERROR(__xludf.DUMMYFUNCTION("""COMPUTED_VALUE"""),"https://www.facebook.com/josephine.ramos.376")</f>
        <v>https://www.facebook.com/josephine.ramos.376</v>
      </c>
      <c r="B774" s="1" t="str">
        <f ca="1">IFERROR(__xludf.DUMMYFUNCTION("""COMPUTED_VALUE"""),"Josephine Ramos")</f>
        <v>Josephine Ramos</v>
      </c>
      <c r="C774" s="1" t="str">
        <f ca="1">IFERROR(__xludf.DUMMYFUNCTION("""COMPUTED_VALUE"""),"Josephine")</f>
        <v>Josephine</v>
      </c>
      <c r="D774" s="1" t="str">
        <f ca="1">IFERROR(__xludf.DUMMYFUNCTION("""COMPUTED_VALUE"""),"Ramos")</f>
        <v>Ramos</v>
      </c>
      <c r="E774" s="1" t="str">
        <f ca="1">IFERROR(__xludf.DUMMYFUNCTION("""COMPUTED_VALUE"""),"#NeveragaintotheNarcoses.")</f>
        <v>#NeveragaintotheNarcoses.</v>
      </c>
      <c r="F774" s="1">
        <f ca="1">IFERROR(__xludf.DUMMYFUNCTION("""COMPUTED_VALUE"""),2)</f>
        <v>2</v>
      </c>
      <c r="G774" s="1" t="str">
        <f ca="1">IFERROR(__xludf.DUMMYFUNCTION("""COMPUTED_VALUE"""),"3 mos")</f>
        <v>3 mos</v>
      </c>
      <c r="H774" s="1" t="str">
        <f ca="1">IFERROR(__xludf.DUMMYFUNCTION("""COMPUTED_VALUE"""),"comment")</f>
        <v>comment</v>
      </c>
      <c r="I774" s="2" t="str">
        <f ca="1">IFERROR(__xludf.DUMMYFUNCTION("""COMPUTED_VALUE"""),"https://www.facebook.com/rapplerdotcom/photos/a.317154781638645/5597116770309060/")</f>
        <v>https://www.facebook.com/rapplerdotcom/photos/a.317154781638645/5597116770309060/</v>
      </c>
      <c r="J774" s="1" t="str">
        <f ca="1">IFERROR(__xludf.DUMMYFUNCTION("""COMPUTED_VALUE"""),"2022-07-04T11:15:29.865Z")</f>
        <v>2022-07-04T11:15:29.865Z</v>
      </c>
    </row>
    <row r="775" spans="1:10" x14ac:dyDescent="0.2">
      <c r="A775" s="2" t="str">
        <f ca="1">IFERROR(__xludf.DUMMYFUNCTION("""COMPUTED_VALUE"""),"https://www.facebook.com/mcdolawcarla")</f>
        <v>https://www.facebook.com/mcdolawcarla</v>
      </c>
      <c r="B775" s="1" t="str">
        <f ca="1">IFERROR(__xludf.DUMMYFUNCTION("""COMPUTED_VALUE"""),"Carla Ofilada")</f>
        <v>Carla Ofilada</v>
      </c>
      <c r="C775" s="1" t="str">
        <f ca="1">IFERROR(__xludf.DUMMYFUNCTION("""COMPUTED_VALUE"""),"Carla")</f>
        <v>Carla</v>
      </c>
      <c r="D775" s="1" t="str">
        <f ca="1">IFERROR(__xludf.DUMMYFUNCTION("""COMPUTED_VALUE"""),"Ofilada")</f>
        <v>Ofilada</v>
      </c>
      <c r="E775" s="1" t="str">
        <f ca="1">IFERROR(__xludf.DUMMYFUNCTION("""COMPUTED_VALUE"""),"#LeniKiko2022  #WalangSolidNorth  #KikoAngManokKo")</f>
        <v>#LeniKiko2022  #WalangSolidNorth  #KikoAngManokKo</v>
      </c>
      <c r="F775" s="1"/>
      <c r="G775" s="1" t="str">
        <f ca="1">IFERROR(__xludf.DUMMYFUNCTION("""COMPUTED_VALUE"""),"3 mos")</f>
        <v>3 mos</v>
      </c>
      <c r="H775" s="1" t="str">
        <f ca="1">IFERROR(__xludf.DUMMYFUNCTION("""COMPUTED_VALUE"""),"comment")</f>
        <v>comment</v>
      </c>
      <c r="I775" s="2" t="str">
        <f ca="1">IFERROR(__xludf.DUMMYFUNCTION("""COMPUTED_VALUE"""),"https://www.facebook.com/rapplerdotcom/photos/a.317154781638645/5597116770309060/")</f>
        <v>https://www.facebook.com/rapplerdotcom/photos/a.317154781638645/5597116770309060/</v>
      </c>
      <c r="J775" s="1" t="str">
        <f ca="1">IFERROR(__xludf.DUMMYFUNCTION("""COMPUTED_VALUE"""),"2022-07-04T11:15:29.865Z")</f>
        <v>2022-07-04T11:15:29.865Z</v>
      </c>
    </row>
    <row r="776" spans="1:10" x14ac:dyDescent="0.2">
      <c r="A776" s="2" t="str">
        <f ca="1">IFERROR(__xludf.DUMMYFUNCTION("""COMPUTED_VALUE"""),"https://www.facebook.com/jeanpaul.jazmin")</f>
        <v>https://www.facebook.com/jeanpaul.jazmin</v>
      </c>
      <c r="B776" s="1" t="str">
        <f ca="1">IFERROR(__xludf.DUMMYFUNCTION("""COMPUTED_VALUE"""),"Jaypee Jazmin")</f>
        <v>Jaypee Jazmin</v>
      </c>
      <c r="C776" s="1" t="str">
        <f ca="1">IFERROR(__xludf.DUMMYFUNCTION("""COMPUTED_VALUE"""),"Jaypee")</f>
        <v>Jaypee</v>
      </c>
      <c r="D776" s="1" t="str">
        <f ca="1">IFERROR(__xludf.DUMMYFUNCTION("""COMPUTED_VALUE"""),"Jazmin")</f>
        <v>Jazmin</v>
      </c>
      <c r="E776" s="1" t="str">
        <f ca="1">IFERROR(__xludf.DUMMYFUNCTION("""COMPUTED_VALUE"""),"#neveragain")</f>
        <v>#neveragain</v>
      </c>
      <c r="F776" s="1"/>
      <c r="G776" s="1" t="str">
        <f ca="1">IFERROR(__xludf.DUMMYFUNCTION("""COMPUTED_VALUE"""),"3 mos")</f>
        <v>3 mos</v>
      </c>
      <c r="H776" s="1" t="str">
        <f ca="1">IFERROR(__xludf.DUMMYFUNCTION("""COMPUTED_VALUE"""),"comment")</f>
        <v>comment</v>
      </c>
      <c r="I776" s="2" t="str">
        <f ca="1">IFERROR(__xludf.DUMMYFUNCTION("""COMPUTED_VALUE"""),"https://www.facebook.com/rapplerdotcom/photos/a.317154781638645/5597116770309060/")</f>
        <v>https://www.facebook.com/rapplerdotcom/photos/a.317154781638645/5597116770309060/</v>
      </c>
      <c r="J776" s="1" t="str">
        <f ca="1">IFERROR(__xludf.DUMMYFUNCTION("""COMPUTED_VALUE"""),"2022-07-04T11:15:29.865Z")</f>
        <v>2022-07-04T11:15:29.865Z</v>
      </c>
    </row>
    <row r="777" spans="1:10" x14ac:dyDescent="0.2">
      <c r="A777" s="2" t="str">
        <f ca="1">IFERROR(__xludf.DUMMYFUNCTION("""COMPUTED_VALUE"""),"https://www.facebook.com/jf.ortega.9")</f>
        <v>https://www.facebook.com/jf.ortega.9</v>
      </c>
      <c r="B777" s="1" t="str">
        <f ca="1">IFERROR(__xludf.DUMMYFUNCTION("""COMPUTED_VALUE"""),"Andy Ortega")</f>
        <v>Andy Ortega</v>
      </c>
      <c r="C777" s="1" t="str">
        <f ca="1">IFERROR(__xludf.DUMMYFUNCTION("""COMPUTED_VALUE"""),"Andy")</f>
        <v>Andy</v>
      </c>
      <c r="D777" s="1" t="str">
        <f ca="1">IFERROR(__xludf.DUMMYFUNCTION("""COMPUTED_VALUE"""),"Ortega")</f>
        <v>Ortega</v>
      </c>
      <c r="E777" s="1" t="str">
        <f ca="1">IFERROR(__xludf.DUMMYFUNCTION("""COMPUTED_VALUE"""),"#NeverAgainToMarcoses")</f>
        <v>#NeverAgainToMarcoses</v>
      </c>
      <c r="F777" s="1">
        <f ca="1">IFERROR(__xludf.DUMMYFUNCTION("""COMPUTED_VALUE"""),7)</f>
        <v>7</v>
      </c>
      <c r="G777" s="1" t="str">
        <f ca="1">IFERROR(__xludf.DUMMYFUNCTION("""COMPUTED_VALUE"""),"3 mos")</f>
        <v>3 mos</v>
      </c>
      <c r="H777" s="1" t="str">
        <f ca="1">IFERROR(__xludf.DUMMYFUNCTION("""COMPUTED_VALUE"""),"comment")</f>
        <v>comment</v>
      </c>
      <c r="I777" s="2" t="str">
        <f ca="1">IFERROR(__xludf.DUMMYFUNCTION("""COMPUTED_VALUE"""),"https://www.facebook.com/rapplerdotcom/photos/a.317154781638645/5597116770309060/")</f>
        <v>https://www.facebook.com/rapplerdotcom/photos/a.317154781638645/5597116770309060/</v>
      </c>
      <c r="J777" s="1" t="str">
        <f ca="1">IFERROR(__xludf.DUMMYFUNCTION("""COMPUTED_VALUE"""),"2022-07-04T11:15:29.865Z")</f>
        <v>2022-07-04T11:15:29.865Z</v>
      </c>
    </row>
    <row r="778" spans="1:10" x14ac:dyDescent="0.2">
      <c r="A778" s="2" t="str">
        <f ca="1">IFERROR(__xludf.DUMMYFUNCTION("""COMPUTED_VALUE"""),"https://www.facebook.com/nato.basilio")</f>
        <v>https://www.facebook.com/nato.basilio</v>
      </c>
      <c r="B778" s="1" t="str">
        <f ca="1">IFERROR(__xludf.DUMMYFUNCTION("""COMPUTED_VALUE"""),"Nato Basilio")</f>
        <v>Nato Basilio</v>
      </c>
      <c r="C778" s="1" t="str">
        <f ca="1">IFERROR(__xludf.DUMMYFUNCTION("""COMPUTED_VALUE"""),"Nato")</f>
        <v>Nato</v>
      </c>
      <c r="D778" s="1" t="str">
        <f ca="1">IFERROR(__xludf.DUMMYFUNCTION("""COMPUTED_VALUE"""),"Basilio")</f>
        <v>Basilio</v>
      </c>
      <c r="E778" s="1" t="str">
        <f ca="1">IFERROR(__xludf.DUMMYFUNCTION("""COMPUTED_VALUE"""),"Andy Ortega and dutaes")</f>
        <v>Andy Ortega and dutaes</v>
      </c>
      <c r="F778" s="1"/>
      <c r="G778" s="1" t="str">
        <f ca="1">IFERROR(__xludf.DUMMYFUNCTION("""COMPUTED_VALUE"""),"3 mos")</f>
        <v>3 mos</v>
      </c>
      <c r="H778" s="1" t="str">
        <f ca="1">IFERROR(__xludf.DUMMYFUNCTION("""COMPUTED_VALUE"""),"reply")</f>
        <v>reply</v>
      </c>
      <c r="I778" s="2" t="str">
        <f ca="1">IFERROR(__xludf.DUMMYFUNCTION("""COMPUTED_VALUE"""),"https://www.facebook.com/rapplerdotcom/photos/a.317154781638645/5597116770309060/")</f>
        <v>https://www.facebook.com/rapplerdotcom/photos/a.317154781638645/5597116770309060/</v>
      </c>
      <c r="J778" s="1" t="str">
        <f ca="1">IFERROR(__xludf.DUMMYFUNCTION("""COMPUTED_VALUE"""),"2022-07-04T11:15:29.865Z")</f>
        <v>2022-07-04T11:15:29.865Z</v>
      </c>
    </row>
    <row r="779" spans="1:10" x14ac:dyDescent="0.2">
      <c r="A779" s="2" t="str">
        <f ca="1">IFERROR(__xludf.DUMMYFUNCTION("""COMPUTED_VALUE"""),"https://www.facebook.com/chelle.seyer")</f>
        <v>https://www.facebook.com/chelle.seyer</v>
      </c>
      <c r="B779" s="1" t="str">
        <f ca="1">IFERROR(__xludf.DUMMYFUNCTION("""COMPUTED_VALUE"""),"Michelle Halayahay Reyes")</f>
        <v>Michelle Halayahay Reyes</v>
      </c>
      <c r="C779" s="1" t="str">
        <f ca="1">IFERROR(__xludf.DUMMYFUNCTION("""COMPUTED_VALUE"""),"Michelle")</f>
        <v>Michelle</v>
      </c>
      <c r="D779" s="1" t="str">
        <f ca="1">IFERROR(__xludf.DUMMYFUNCTION("""COMPUTED_VALUE"""),"Halayahay Reyes")</f>
        <v>Halayahay Reyes</v>
      </c>
      <c r="E779" s="1" t="str">
        <f ca="1">IFERROR(__xludf.DUMMYFUNCTION("""COMPUTED_VALUE"""),"#BBM-SARA 2022! #UNITEAM! #✌️✌️✌️✌️✌️👊👊👊👊👊 #❤❤❤❤❤💚💚💚💚💚")</f>
        <v>#BBM-SARA 2022! #UNITEAM! #✌️✌️✌️✌️✌️👊👊👊👊👊 #❤❤❤❤❤💚💚💚💚💚</v>
      </c>
      <c r="F779" s="1"/>
      <c r="G779" s="1" t="str">
        <f ca="1">IFERROR(__xludf.DUMMYFUNCTION("""COMPUTED_VALUE"""),"3 mos")</f>
        <v>3 mos</v>
      </c>
      <c r="H779" s="1" t="str">
        <f ca="1">IFERROR(__xludf.DUMMYFUNCTION("""COMPUTED_VALUE"""),"reply")</f>
        <v>reply</v>
      </c>
      <c r="I779" s="2" t="str">
        <f ca="1">IFERROR(__xludf.DUMMYFUNCTION("""COMPUTED_VALUE"""),"https://www.facebook.com/rapplerdotcom/photos/a.317154781638645/5597116770309060/")</f>
        <v>https://www.facebook.com/rapplerdotcom/photos/a.317154781638645/5597116770309060/</v>
      </c>
      <c r="J779" s="1" t="str">
        <f ca="1">IFERROR(__xludf.DUMMYFUNCTION("""COMPUTED_VALUE"""),"2022-07-04T11:15:29.865Z")</f>
        <v>2022-07-04T11:15:29.865Z</v>
      </c>
    </row>
    <row r="780" spans="1:10" x14ac:dyDescent="0.2">
      <c r="A780" s="2" t="str">
        <f ca="1">IFERROR(__xludf.DUMMYFUNCTION("""COMPUTED_VALUE"""),"https://www.facebook.com/benny.mendoza.39948")</f>
        <v>https://www.facebook.com/benny.mendoza.39948</v>
      </c>
      <c r="B780" s="1" t="str">
        <f ca="1">IFERROR(__xludf.DUMMYFUNCTION("""COMPUTED_VALUE"""),"Benny Mendoza")</f>
        <v>Benny Mendoza</v>
      </c>
      <c r="C780" s="1" t="str">
        <f ca="1">IFERROR(__xludf.DUMMYFUNCTION("""COMPUTED_VALUE"""),"Benny")</f>
        <v>Benny</v>
      </c>
      <c r="D780" s="1" t="str">
        <f ca="1">IFERROR(__xludf.DUMMYFUNCTION("""COMPUTED_VALUE"""),"Mendoza")</f>
        <v>Mendoza</v>
      </c>
      <c r="E780" s="1" t="str">
        <f ca="1">IFERROR(__xludf.DUMMYFUNCTION("""COMPUTED_VALUE"""),"Andy Ortega never again to dilapinks")</f>
        <v>Andy Ortega never again to dilapinks</v>
      </c>
      <c r="F780" s="1"/>
      <c r="G780" s="1" t="str">
        <f ca="1">IFERROR(__xludf.DUMMYFUNCTION("""COMPUTED_VALUE"""),"3 mos")</f>
        <v>3 mos</v>
      </c>
      <c r="H780" s="1" t="str">
        <f ca="1">IFERROR(__xludf.DUMMYFUNCTION("""COMPUTED_VALUE"""),"reply")</f>
        <v>reply</v>
      </c>
      <c r="I780" s="2" t="str">
        <f ca="1">IFERROR(__xludf.DUMMYFUNCTION("""COMPUTED_VALUE"""),"https://www.facebook.com/rapplerdotcom/photos/a.317154781638645/5597116770309060/")</f>
        <v>https://www.facebook.com/rapplerdotcom/photos/a.317154781638645/5597116770309060/</v>
      </c>
      <c r="J780" s="1" t="str">
        <f ca="1">IFERROR(__xludf.DUMMYFUNCTION("""COMPUTED_VALUE"""),"2022-07-04T11:15:29.865Z")</f>
        <v>2022-07-04T11:15:29.865Z</v>
      </c>
    </row>
    <row r="781" spans="1:10" x14ac:dyDescent="0.2">
      <c r="A781" s="2" t="str">
        <f ca="1">IFERROR(__xludf.DUMMYFUNCTION("""COMPUTED_VALUE"""),"https://www.facebook.com/Aprilche888")</f>
        <v>https://www.facebook.com/Aprilche888</v>
      </c>
      <c r="B781" s="1" t="str">
        <f ca="1">IFERROR(__xludf.DUMMYFUNCTION("""COMPUTED_VALUE"""),"Che Rry")</f>
        <v>Che Rry</v>
      </c>
      <c r="C781" s="1" t="str">
        <f ca="1">IFERROR(__xludf.DUMMYFUNCTION("""COMPUTED_VALUE"""),"Che")</f>
        <v>Che</v>
      </c>
      <c r="D781" s="1" t="str">
        <f ca="1">IFERROR(__xludf.DUMMYFUNCTION("""COMPUTED_VALUE"""),"Rry")</f>
        <v>Rry</v>
      </c>
      <c r="E781" s="1" t="str">
        <f ca="1">IFERROR(__xludf.DUMMYFUNCTION("""COMPUTED_VALUE"""),"Che Rry")</f>
        <v>Che Rry</v>
      </c>
      <c r="F781" s="1"/>
      <c r="G781" s="1" t="str">
        <f ca="1">IFERROR(__xludf.DUMMYFUNCTION("""COMPUTED_VALUE"""),"3 mos")</f>
        <v>3 mos</v>
      </c>
      <c r="H781" s="1" t="str">
        <f ca="1">IFERROR(__xludf.DUMMYFUNCTION("""COMPUTED_VALUE"""),"comment")</f>
        <v>comment</v>
      </c>
      <c r="I781" s="2" t="str">
        <f ca="1">IFERROR(__xludf.DUMMYFUNCTION("""COMPUTED_VALUE"""),"https://www.facebook.com/rapplerdotcom/photos/a.317154781638645/5597116770309060/")</f>
        <v>https://www.facebook.com/rapplerdotcom/photos/a.317154781638645/5597116770309060/</v>
      </c>
      <c r="J781" s="1" t="str">
        <f ca="1">IFERROR(__xludf.DUMMYFUNCTION("""COMPUTED_VALUE"""),"2022-07-04T11:15:29.865Z")</f>
        <v>2022-07-04T11:15:29.865Z</v>
      </c>
    </row>
    <row r="782" spans="1:10" x14ac:dyDescent="0.2">
      <c r="A782" s="2" t="str">
        <f ca="1">IFERROR(__xludf.DUMMYFUNCTION("""COMPUTED_VALUE"""),"https://www.facebook.com/profile.php?id=100040658171991")</f>
        <v>https://www.facebook.com/profile.php?id=100040658171991</v>
      </c>
      <c r="B782" s="1" t="str">
        <f ca="1">IFERROR(__xludf.DUMMYFUNCTION("""COMPUTED_VALUE"""),"Ben Jammin")</f>
        <v>Ben Jammin</v>
      </c>
      <c r="C782" s="1" t="str">
        <f ca="1">IFERROR(__xludf.DUMMYFUNCTION("""COMPUTED_VALUE"""),"Ben")</f>
        <v>Ben</v>
      </c>
      <c r="D782" s="1" t="str">
        <f ca="1">IFERROR(__xludf.DUMMYFUNCTION("""COMPUTED_VALUE"""),"Jammin")</f>
        <v>Jammin</v>
      </c>
      <c r="E782" s="1" t="str">
        <f ca="1">IFERROR(__xludf.DUMMYFUNCTION("""COMPUTED_VALUE"""),"Ben Jammin")</f>
        <v>Ben Jammin</v>
      </c>
      <c r="F782" s="1"/>
      <c r="G782" s="1" t="str">
        <f ca="1">IFERROR(__xludf.DUMMYFUNCTION("""COMPUTED_VALUE"""),"3 mos")</f>
        <v>3 mos</v>
      </c>
      <c r="H782" s="1" t="str">
        <f ca="1">IFERROR(__xludf.DUMMYFUNCTION("""COMPUTED_VALUE"""),"comment")</f>
        <v>comment</v>
      </c>
      <c r="I782" s="2" t="str">
        <f ca="1">IFERROR(__xludf.DUMMYFUNCTION("""COMPUTED_VALUE"""),"https://www.facebook.com/rapplerdotcom/photos/a.317154781638645/5597116770309060/")</f>
        <v>https://www.facebook.com/rapplerdotcom/photos/a.317154781638645/5597116770309060/</v>
      </c>
      <c r="J782" s="1" t="str">
        <f ca="1">IFERROR(__xludf.DUMMYFUNCTION("""COMPUTED_VALUE"""),"2022-07-04T11:15:29.865Z")</f>
        <v>2022-07-04T11:15:29.865Z</v>
      </c>
    </row>
    <row r="783" spans="1:10" x14ac:dyDescent="0.2">
      <c r="A783" s="2" t="str">
        <f ca="1">IFERROR(__xludf.DUMMYFUNCTION("""COMPUTED_VALUE"""),"https://www.facebook.com/manchelle01")</f>
        <v>https://www.facebook.com/manchelle01</v>
      </c>
      <c r="B783" s="1" t="str">
        <f ca="1">IFERROR(__xludf.DUMMYFUNCTION("""COMPUTED_VALUE"""),"Bernardo Emmanuel")</f>
        <v>Bernardo Emmanuel</v>
      </c>
      <c r="C783" s="1" t="str">
        <f ca="1">IFERROR(__xludf.DUMMYFUNCTION("""COMPUTED_VALUE"""),"Bernardo")</f>
        <v>Bernardo</v>
      </c>
      <c r="D783" s="1" t="str">
        <f ca="1">IFERROR(__xludf.DUMMYFUNCTION("""COMPUTED_VALUE"""),"Emmanuel")</f>
        <v>Emmanuel</v>
      </c>
      <c r="E783" s="1" t="str">
        <f ca="1">IFERROR(__xludf.DUMMYFUNCTION("""COMPUTED_VALUE"""),"Bernardo Emmanuel")</f>
        <v>Bernardo Emmanuel</v>
      </c>
      <c r="F783" s="1"/>
      <c r="G783" s="1" t="str">
        <f ca="1">IFERROR(__xludf.DUMMYFUNCTION("""COMPUTED_VALUE"""),"3 mos")</f>
        <v>3 mos</v>
      </c>
      <c r="H783" s="1" t="str">
        <f ca="1">IFERROR(__xludf.DUMMYFUNCTION("""COMPUTED_VALUE"""),"comment")</f>
        <v>comment</v>
      </c>
      <c r="I783" s="2" t="str">
        <f ca="1">IFERROR(__xludf.DUMMYFUNCTION("""COMPUTED_VALUE"""),"https://www.facebook.com/rapplerdotcom/photos/a.317154781638645/5597116770309060/")</f>
        <v>https://www.facebook.com/rapplerdotcom/photos/a.317154781638645/5597116770309060/</v>
      </c>
      <c r="J783" s="1" t="str">
        <f ca="1">IFERROR(__xludf.DUMMYFUNCTION("""COMPUTED_VALUE"""),"2022-07-04T11:15:29.865Z")</f>
        <v>2022-07-04T11:15:29.865Z</v>
      </c>
    </row>
    <row r="784" spans="1:10" x14ac:dyDescent="0.2">
      <c r="A784" s="2" t="str">
        <f ca="1">IFERROR(__xludf.DUMMYFUNCTION("""COMPUTED_VALUE"""),"https://www.facebook.com/cruz.marc.9")</f>
        <v>https://www.facebook.com/cruz.marc.9</v>
      </c>
      <c r="B784" s="1" t="str">
        <f ca="1">IFERROR(__xludf.DUMMYFUNCTION("""COMPUTED_VALUE"""),"Cram Zurc")</f>
        <v>Cram Zurc</v>
      </c>
      <c r="C784" s="1" t="str">
        <f ca="1">IFERROR(__xludf.DUMMYFUNCTION("""COMPUTED_VALUE"""),"Cram")</f>
        <v>Cram</v>
      </c>
      <c r="D784" s="1" t="str">
        <f ca="1">IFERROR(__xludf.DUMMYFUNCTION("""COMPUTED_VALUE"""),"Zurc")</f>
        <v>Zurc</v>
      </c>
      <c r="E784" s="1" t="str">
        <f ca="1">IFERROR(__xludf.DUMMYFUNCTION("""COMPUTED_VALUE"""),"Cram Zurc")</f>
        <v>Cram Zurc</v>
      </c>
      <c r="F784" s="1"/>
      <c r="G784" s="1" t="str">
        <f ca="1">IFERROR(__xludf.DUMMYFUNCTION("""COMPUTED_VALUE"""),"3 mos")</f>
        <v>3 mos</v>
      </c>
      <c r="H784" s="1" t="str">
        <f ca="1">IFERROR(__xludf.DUMMYFUNCTION("""COMPUTED_VALUE"""),"comment")</f>
        <v>comment</v>
      </c>
      <c r="I784" s="2" t="str">
        <f ca="1">IFERROR(__xludf.DUMMYFUNCTION("""COMPUTED_VALUE"""),"https://www.facebook.com/rapplerdotcom/photos/a.317154781638645/5597116770309060/")</f>
        <v>https://www.facebook.com/rapplerdotcom/photos/a.317154781638645/5597116770309060/</v>
      </c>
      <c r="J784" s="1" t="str">
        <f ca="1">IFERROR(__xludf.DUMMYFUNCTION("""COMPUTED_VALUE"""),"2022-07-04T11:15:29.865Z")</f>
        <v>2022-07-04T11:15:29.865Z</v>
      </c>
    </row>
    <row r="785" spans="1:10" x14ac:dyDescent="0.2">
      <c r="A785" s="2" t="str">
        <f ca="1">IFERROR(__xludf.DUMMYFUNCTION("""COMPUTED_VALUE"""),"https://www.facebook.com/king.siquete")</f>
        <v>https://www.facebook.com/king.siquete</v>
      </c>
      <c r="B785" s="1" t="str">
        <f ca="1">IFERROR(__xludf.DUMMYFUNCTION("""COMPUTED_VALUE"""),"Bong Donguines")</f>
        <v>Bong Donguines</v>
      </c>
      <c r="C785" s="1" t="str">
        <f ca="1">IFERROR(__xludf.DUMMYFUNCTION("""COMPUTED_VALUE"""),"Bong")</f>
        <v>Bong</v>
      </c>
      <c r="D785" s="1" t="str">
        <f ca="1">IFERROR(__xludf.DUMMYFUNCTION("""COMPUTED_VALUE"""),"Donguines")</f>
        <v>Donguines</v>
      </c>
      <c r="E785" s="1" t="str">
        <f ca="1">IFERROR(__xludf.DUMMYFUNCTION("""COMPUTED_VALUE"""),"Bong Donguines")</f>
        <v>Bong Donguines</v>
      </c>
      <c r="F785" s="1"/>
      <c r="G785" s="1" t="str">
        <f ca="1">IFERROR(__xludf.DUMMYFUNCTION("""COMPUTED_VALUE"""),"3 mos")</f>
        <v>3 mos</v>
      </c>
      <c r="H785" s="1" t="str">
        <f ca="1">IFERROR(__xludf.DUMMYFUNCTION("""COMPUTED_VALUE"""),"comment")</f>
        <v>comment</v>
      </c>
      <c r="I785" s="2" t="str">
        <f ca="1">IFERROR(__xludf.DUMMYFUNCTION("""COMPUTED_VALUE"""),"https://www.facebook.com/rapplerdotcom/photos/a.317154781638645/5597116770309060/")</f>
        <v>https://www.facebook.com/rapplerdotcom/photos/a.317154781638645/5597116770309060/</v>
      </c>
      <c r="J785" s="1" t="str">
        <f ca="1">IFERROR(__xludf.DUMMYFUNCTION("""COMPUTED_VALUE"""),"2022-07-04T11:15:29.865Z")</f>
        <v>2022-07-04T11:15:29.865Z</v>
      </c>
    </row>
    <row r="786" spans="1:10" x14ac:dyDescent="0.2">
      <c r="A786" s="2" t="str">
        <f ca="1">IFERROR(__xludf.DUMMYFUNCTION("""COMPUTED_VALUE"""),"https://www.facebook.com/profile.php?id=100004342516925")</f>
        <v>https://www.facebook.com/profile.php?id=100004342516925</v>
      </c>
      <c r="B786" s="1" t="str">
        <f ca="1">IFERROR(__xludf.DUMMYFUNCTION("""COMPUTED_VALUE"""),"Nimpha May Yukkz")</f>
        <v>Nimpha May Yukkz</v>
      </c>
      <c r="C786" s="1" t="str">
        <f ca="1">IFERROR(__xludf.DUMMYFUNCTION("""COMPUTED_VALUE"""),"Nimpha")</f>
        <v>Nimpha</v>
      </c>
      <c r="D786" s="1" t="str">
        <f ca="1">IFERROR(__xludf.DUMMYFUNCTION("""COMPUTED_VALUE"""),"May Yukkz")</f>
        <v>May Yukkz</v>
      </c>
      <c r="E786" s="1" t="str">
        <f ca="1">IFERROR(__xludf.DUMMYFUNCTION("""COMPUTED_VALUE"""),"Nimpha May Yukkz")</f>
        <v>Nimpha May Yukkz</v>
      </c>
      <c r="F786" s="1"/>
      <c r="G786" s="1" t="str">
        <f ca="1">IFERROR(__xludf.DUMMYFUNCTION("""COMPUTED_VALUE"""),"3 mos")</f>
        <v>3 mos</v>
      </c>
      <c r="H786" s="1" t="str">
        <f ca="1">IFERROR(__xludf.DUMMYFUNCTION("""COMPUTED_VALUE"""),"comment")</f>
        <v>comment</v>
      </c>
      <c r="I786" s="2" t="str">
        <f ca="1">IFERROR(__xludf.DUMMYFUNCTION("""COMPUTED_VALUE"""),"https://www.facebook.com/rapplerdotcom/photos/a.317154781638645/5597116770309060/")</f>
        <v>https://www.facebook.com/rapplerdotcom/photos/a.317154781638645/5597116770309060/</v>
      </c>
      <c r="J786" s="1" t="str">
        <f ca="1">IFERROR(__xludf.DUMMYFUNCTION("""COMPUTED_VALUE"""),"2022-07-04T11:15:29.865Z")</f>
        <v>2022-07-04T11:15:29.865Z</v>
      </c>
    </row>
    <row r="787" spans="1:10" x14ac:dyDescent="0.2">
      <c r="A787" s="2" t="str">
        <f ca="1">IFERROR(__xludf.DUMMYFUNCTION("""COMPUTED_VALUE"""),"https://www.facebook.com/profile.php?id=100004342516925")</f>
        <v>https://www.facebook.com/profile.php?id=100004342516925</v>
      </c>
      <c r="B787" s="1" t="str">
        <f ca="1">IFERROR(__xludf.DUMMYFUNCTION("""COMPUTED_VALUE"""),"Nimpha May Yukkz")</f>
        <v>Nimpha May Yukkz</v>
      </c>
      <c r="C787" s="1" t="str">
        <f ca="1">IFERROR(__xludf.DUMMYFUNCTION("""COMPUTED_VALUE"""),"Nimpha")</f>
        <v>Nimpha</v>
      </c>
      <c r="D787" s="1" t="str">
        <f ca="1">IFERROR(__xludf.DUMMYFUNCTION("""COMPUTED_VALUE"""),"May Yukkz")</f>
        <v>May Yukkz</v>
      </c>
      <c r="E787" s="1" t="str">
        <f ca="1">IFERROR(__xludf.DUMMYFUNCTION("""COMPUTED_VALUE"""),"Nimpha May Yukkz")</f>
        <v>Nimpha May Yukkz</v>
      </c>
      <c r="F787" s="1"/>
      <c r="G787" s="1" t="str">
        <f ca="1">IFERROR(__xludf.DUMMYFUNCTION("""COMPUTED_VALUE"""),"3 mos")</f>
        <v>3 mos</v>
      </c>
      <c r="H787" s="1" t="str">
        <f ca="1">IFERROR(__xludf.DUMMYFUNCTION("""COMPUTED_VALUE"""),"comment")</f>
        <v>comment</v>
      </c>
      <c r="I787" s="2" t="str">
        <f ca="1">IFERROR(__xludf.DUMMYFUNCTION("""COMPUTED_VALUE"""),"https://www.facebook.com/rapplerdotcom/photos/a.317154781638645/5597116770309060/")</f>
        <v>https://www.facebook.com/rapplerdotcom/photos/a.317154781638645/5597116770309060/</v>
      </c>
      <c r="J787" s="1" t="str">
        <f ca="1">IFERROR(__xludf.DUMMYFUNCTION("""COMPUTED_VALUE"""),"2022-07-04T11:15:29.865Z")</f>
        <v>2022-07-04T11:15:29.865Z</v>
      </c>
    </row>
    <row r="788" spans="1:10" x14ac:dyDescent="0.2">
      <c r="A788" s="2" t="str">
        <f ca="1">IFERROR(__xludf.DUMMYFUNCTION("""COMPUTED_VALUE"""),"https://www.facebook.com/ramselyn.ocedaobrero")</f>
        <v>https://www.facebook.com/ramselyn.ocedaobrero</v>
      </c>
      <c r="B788" s="1" t="str">
        <f ca="1">IFERROR(__xludf.DUMMYFUNCTION("""COMPUTED_VALUE"""),"Ramselyn Oceda Obrero")</f>
        <v>Ramselyn Oceda Obrero</v>
      </c>
      <c r="C788" s="1" t="str">
        <f ca="1">IFERROR(__xludf.DUMMYFUNCTION("""COMPUTED_VALUE"""),"Ramselyn")</f>
        <v>Ramselyn</v>
      </c>
      <c r="D788" s="1" t="str">
        <f ca="1">IFERROR(__xludf.DUMMYFUNCTION("""COMPUTED_VALUE"""),"Oceda Obrero")</f>
        <v>Oceda Obrero</v>
      </c>
      <c r="E788" s="1" t="str">
        <f ca="1">IFERROR(__xludf.DUMMYFUNCTION("""COMPUTED_VALUE"""),"✌👊✋❤💚")</f>
        <v>✌👊✋❤💚</v>
      </c>
      <c r="F788" s="1"/>
      <c r="G788" s="1" t="str">
        <f ca="1">IFERROR(__xludf.DUMMYFUNCTION("""COMPUTED_VALUE"""),"3 mos")</f>
        <v>3 mos</v>
      </c>
      <c r="H788" s="1" t="str">
        <f ca="1">IFERROR(__xludf.DUMMYFUNCTION("""COMPUTED_VALUE"""),"comment")</f>
        <v>comment</v>
      </c>
      <c r="I788" s="2" t="str">
        <f ca="1">IFERROR(__xludf.DUMMYFUNCTION("""COMPUTED_VALUE"""),"https://www.facebook.com/rapplerdotcom/photos/a.317154781638645/5597116770309060/")</f>
        <v>https://www.facebook.com/rapplerdotcom/photos/a.317154781638645/5597116770309060/</v>
      </c>
      <c r="J788" s="1" t="str">
        <f ca="1">IFERROR(__xludf.DUMMYFUNCTION("""COMPUTED_VALUE"""),"2022-07-04T11:15:29.865Z")</f>
        <v>2022-07-04T11:15:29.865Z</v>
      </c>
    </row>
    <row r="789" spans="1:10" x14ac:dyDescent="0.2">
      <c r="A789" s="2" t="str">
        <f ca="1">IFERROR(__xludf.DUMMYFUNCTION("""COMPUTED_VALUE"""),"https://www.facebook.com/florante.lumaban")</f>
        <v>https://www.facebook.com/florante.lumaban</v>
      </c>
      <c r="B789" s="1" t="str">
        <f ca="1">IFERROR(__xludf.DUMMYFUNCTION("""COMPUTED_VALUE"""),"Florante Jamon Lumaban")</f>
        <v>Florante Jamon Lumaban</v>
      </c>
      <c r="C789" s="1" t="str">
        <f ca="1">IFERROR(__xludf.DUMMYFUNCTION("""COMPUTED_VALUE"""),"Florante")</f>
        <v>Florante</v>
      </c>
      <c r="D789" s="1" t="str">
        <f ca="1">IFERROR(__xludf.DUMMYFUNCTION("""COMPUTED_VALUE"""),"Jamon Lumaban")</f>
        <v>Jamon Lumaban</v>
      </c>
      <c r="E789" s="1" t="str">
        <f ca="1">IFERROR(__xludf.DUMMYFUNCTION("""COMPUTED_VALUE"""),"✌️✌️✌️♥️♥️♥️💚💚💚")</f>
        <v>✌️✌️✌️♥️♥️♥️💚💚💚</v>
      </c>
      <c r="F789" s="1"/>
      <c r="G789" s="1" t="str">
        <f ca="1">IFERROR(__xludf.DUMMYFUNCTION("""COMPUTED_VALUE"""),"3 mos")</f>
        <v>3 mos</v>
      </c>
      <c r="H789" s="1" t="str">
        <f ca="1">IFERROR(__xludf.DUMMYFUNCTION("""COMPUTED_VALUE"""),"comment")</f>
        <v>comment</v>
      </c>
      <c r="I789" s="2" t="str">
        <f ca="1">IFERROR(__xludf.DUMMYFUNCTION("""COMPUTED_VALUE"""),"https://www.facebook.com/rapplerdotcom/photos/a.317154781638645/5597116770309060/")</f>
        <v>https://www.facebook.com/rapplerdotcom/photos/a.317154781638645/5597116770309060/</v>
      </c>
      <c r="J789" s="1" t="str">
        <f ca="1">IFERROR(__xludf.DUMMYFUNCTION("""COMPUTED_VALUE"""),"2022-07-04T11:15:29.865Z")</f>
        <v>2022-07-04T11:15:29.865Z</v>
      </c>
    </row>
    <row r="790" spans="1:10" x14ac:dyDescent="0.2">
      <c r="A790" s="2" t="str">
        <f ca="1">IFERROR(__xludf.DUMMYFUNCTION("""COMPUTED_VALUE"""),"https://www.facebook.com/nel.mendoza.127201")</f>
        <v>https://www.facebook.com/nel.mendoza.127201</v>
      </c>
      <c r="B790" s="1" t="str">
        <f ca="1">IFERROR(__xludf.DUMMYFUNCTION("""COMPUTED_VALUE"""),"Nel Mendoza")</f>
        <v>Nel Mendoza</v>
      </c>
      <c r="C790" s="1" t="str">
        <f ca="1">IFERROR(__xludf.DUMMYFUNCTION("""COMPUTED_VALUE"""),"Nel")</f>
        <v>Nel</v>
      </c>
      <c r="D790" s="1" t="str">
        <f ca="1">IFERROR(__xludf.DUMMYFUNCTION("""COMPUTED_VALUE"""),"Mendoza")</f>
        <v>Mendoza</v>
      </c>
      <c r="E790" s="1" t="str">
        <f ca="1">IFERROR(__xludf.DUMMYFUNCTION("""COMPUTED_VALUE"""),"Nel Mendoza")</f>
        <v>Nel Mendoza</v>
      </c>
      <c r="F790" s="1"/>
      <c r="G790" s="1" t="str">
        <f ca="1">IFERROR(__xludf.DUMMYFUNCTION("""COMPUTED_VALUE"""),"3 mos")</f>
        <v>3 mos</v>
      </c>
      <c r="H790" s="1" t="str">
        <f ca="1">IFERROR(__xludf.DUMMYFUNCTION("""COMPUTED_VALUE"""),"comment")</f>
        <v>comment</v>
      </c>
      <c r="I790" s="2" t="str">
        <f ca="1">IFERROR(__xludf.DUMMYFUNCTION("""COMPUTED_VALUE"""),"https://www.facebook.com/rapplerdotcom/photos/a.317154781638645/5597116770309060/")</f>
        <v>https://www.facebook.com/rapplerdotcom/photos/a.317154781638645/5597116770309060/</v>
      </c>
      <c r="J790" s="1" t="str">
        <f ca="1">IFERROR(__xludf.DUMMYFUNCTION("""COMPUTED_VALUE"""),"2022-07-04T11:15:29.865Z")</f>
        <v>2022-07-04T11:15:29.865Z</v>
      </c>
    </row>
    <row r="791" spans="1:10" x14ac:dyDescent="0.2">
      <c r="A791" s="2" t="str">
        <f ca="1">IFERROR(__xludf.DUMMYFUNCTION("""COMPUTED_VALUE"""),"https://www.facebook.com/gracepenetrante.udarbe")</f>
        <v>https://www.facebook.com/gracepenetrante.udarbe</v>
      </c>
      <c r="B791" s="1" t="str">
        <f ca="1">IFERROR(__xludf.DUMMYFUNCTION("""COMPUTED_VALUE"""),"Grace Dan Gabriel")</f>
        <v>Grace Dan Gabriel</v>
      </c>
      <c r="C791" s="1" t="str">
        <f ca="1">IFERROR(__xludf.DUMMYFUNCTION("""COMPUTED_VALUE"""),"Grace")</f>
        <v>Grace</v>
      </c>
      <c r="D791" s="1" t="str">
        <f ca="1">IFERROR(__xludf.DUMMYFUNCTION("""COMPUTED_VALUE"""),"Dan Gabriel")</f>
        <v>Dan Gabriel</v>
      </c>
      <c r="E791" s="1" t="str">
        <f ca="1">IFERROR(__xludf.DUMMYFUNCTION("""COMPUTED_VALUE"""),"❤️💚🕊")</f>
        <v>❤️💚🕊</v>
      </c>
      <c r="F791" s="1"/>
      <c r="G791" s="1" t="str">
        <f ca="1">IFERROR(__xludf.DUMMYFUNCTION("""COMPUTED_VALUE"""),"3 mos")</f>
        <v>3 mos</v>
      </c>
      <c r="H791" s="1" t="str">
        <f ca="1">IFERROR(__xludf.DUMMYFUNCTION("""COMPUTED_VALUE"""),"comment")</f>
        <v>comment</v>
      </c>
      <c r="I791" s="2" t="str">
        <f ca="1">IFERROR(__xludf.DUMMYFUNCTION("""COMPUTED_VALUE"""),"https://www.facebook.com/rapplerdotcom/photos/a.317154781638645/5597116770309060/")</f>
        <v>https://www.facebook.com/rapplerdotcom/photos/a.317154781638645/5597116770309060/</v>
      </c>
      <c r="J791" s="1" t="str">
        <f ca="1">IFERROR(__xludf.DUMMYFUNCTION("""COMPUTED_VALUE"""),"2022-07-04T11:15:29.865Z")</f>
        <v>2022-07-04T11:15:29.865Z</v>
      </c>
    </row>
    <row r="792" spans="1:10" x14ac:dyDescent="0.2">
      <c r="A792" s="2" t="str">
        <f ca="1">IFERROR(__xludf.DUMMYFUNCTION("""COMPUTED_VALUE"""),"https://www.facebook.com/holaissa.jaboneta")</f>
        <v>https://www.facebook.com/holaissa.jaboneta</v>
      </c>
      <c r="B792" s="1" t="str">
        <f ca="1">IFERROR(__xludf.DUMMYFUNCTION("""COMPUTED_VALUE"""),"Holaissa Jaboneta")</f>
        <v>Holaissa Jaboneta</v>
      </c>
      <c r="C792" s="1" t="str">
        <f ca="1">IFERROR(__xludf.DUMMYFUNCTION("""COMPUTED_VALUE"""),"Holaissa")</f>
        <v>Holaissa</v>
      </c>
      <c r="D792" s="1" t="str">
        <f ca="1">IFERROR(__xludf.DUMMYFUNCTION("""COMPUTED_VALUE"""),"Jaboneta")</f>
        <v>Jaboneta</v>
      </c>
      <c r="E792" s="1" t="str">
        <f ca="1">IFERROR(__xludf.DUMMYFUNCTION("""COMPUTED_VALUE"""),"🤭")</f>
        <v>🤭</v>
      </c>
      <c r="F792" s="1"/>
      <c r="G792" s="1" t="str">
        <f ca="1">IFERROR(__xludf.DUMMYFUNCTION("""COMPUTED_VALUE"""),"3 mos")</f>
        <v>3 mos</v>
      </c>
      <c r="H792" s="1" t="str">
        <f ca="1">IFERROR(__xludf.DUMMYFUNCTION("""COMPUTED_VALUE"""),"comment")</f>
        <v>comment</v>
      </c>
      <c r="I792" s="2" t="str">
        <f ca="1">IFERROR(__xludf.DUMMYFUNCTION("""COMPUTED_VALUE"""),"https://www.facebook.com/rapplerdotcom/photos/a.317154781638645/5597116770309060/")</f>
        <v>https://www.facebook.com/rapplerdotcom/photos/a.317154781638645/5597116770309060/</v>
      </c>
      <c r="J792" s="1" t="str">
        <f ca="1">IFERROR(__xludf.DUMMYFUNCTION("""COMPUTED_VALUE"""),"2022-07-04T11:15:29.865Z")</f>
        <v>2022-07-04T11:15:29.865Z</v>
      </c>
    </row>
    <row r="793" spans="1:10" x14ac:dyDescent="0.2">
      <c r="A793" s="2" t="str">
        <f ca="1">IFERROR(__xludf.DUMMYFUNCTION("""COMPUTED_VALUE"""),"https://www.facebook.com/biennes.balloons")</f>
        <v>https://www.facebook.com/biennes.balloons</v>
      </c>
      <c r="B793" s="1" t="str">
        <f ca="1">IFERROR(__xludf.DUMMYFUNCTION("""COMPUTED_VALUE"""),"Bienvenido Dio Jr.")</f>
        <v>Bienvenido Dio Jr.</v>
      </c>
      <c r="C793" s="1" t="str">
        <f ca="1">IFERROR(__xludf.DUMMYFUNCTION("""COMPUTED_VALUE"""),"Bienvenido")</f>
        <v>Bienvenido</v>
      </c>
      <c r="D793" s="1" t="str">
        <f ca="1">IFERROR(__xludf.DUMMYFUNCTION("""COMPUTED_VALUE"""),"Dio Jr.")</f>
        <v>Dio Jr.</v>
      </c>
      <c r="E793" s="1" t="str">
        <f ca="1">IFERROR(__xludf.DUMMYFUNCTION("""COMPUTED_VALUE"""),"😂")</f>
        <v>😂</v>
      </c>
      <c r="F793" s="1"/>
      <c r="G793" s="1" t="str">
        <f ca="1">IFERROR(__xludf.DUMMYFUNCTION("""COMPUTED_VALUE"""),"3 mos")</f>
        <v>3 mos</v>
      </c>
      <c r="H793" s="1" t="str">
        <f ca="1">IFERROR(__xludf.DUMMYFUNCTION("""COMPUTED_VALUE"""),"comment")</f>
        <v>comment</v>
      </c>
      <c r="I793" s="2" t="str">
        <f ca="1">IFERROR(__xludf.DUMMYFUNCTION("""COMPUTED_VALUE"""),"https://www.facebook.com/rapplerdotcom/photos/a.317154781638645/5597116770309060/")</f>
        <v>https://www.facebook.com/rapplerdotcom/photos/a.317154781638645/5597116770309060/</v>
      </c>
      <c r="J793" s="1" t="str">
        <f ca="1">IFERROR(__xludf.DUMMYFUNCTION("""COMPUTED_VALUE"""),"2022-07-04T11:15:29.865Z")</f>
        <v>2022-07-04T11:15:29.865Z</v>
      </c>
    </row>
    <row r="794" spans="1:10" x14ac:dyDescent="0.2">
      <c r="A794" s="2" t="str">
        <f ca="1">IFERROR(__xludf.DUMMYFUNCTION("""COMPUTED_VALUE"""),"https://www.facebook.com/francrolan.manansala")</f>
        <v>https://www.facebook.com/francrolan.manansala</v>
      </c>
      <c r="B794" s="1" t="str">
        <f ca="1">IFERROR(__xludf.DUMMYFUNCTION("""COMPUTED_VALUE"""),"Franc Rolan Manansala")</f>
        <v>Franc Rolan Manansala</v>
      </c>
      <c r="C794" s="1" t="str">
        <f ca="1">IFERROR(__xludf.DUMMYFUNCTION("""COMPUTED_VALUE"""),"Franc")</f>
        <v>Franc</v>
      </c>
      <c r="D794" s="1" t="str">
        <f ca="1">IFERROR(__xludf.DUMMYFUNCTION("""COMPUTED_VALUE"""),"Rolan Manansala")</f>
        <v>Rolan Manansala</v>
      </c>
      <c r="E794" s="1" t="str">
        <f ca="1">IFERROR(__xludf.DUMMYFUNCTION("""COMPUTED_VALUE"""),"#neveragain")</f>
        <v>#neveragain</v>
      </c>
      <c r="F794" s="1">
        <f ca="1">IFERROR(__xludf.DUMMYFUNCTION("""COMPUTED_VALUE"""),9)</f>
        <v>9</v>
      </c>
      <c r="G794" s="1" t="str">
        <f ca="1">IFERROR(__xludf.DUMMYFUNCTION("""COMPUTED_VALUE"""),"3 mos")</f>
        <v>3 mos</v>
      </c>
      <c r="H794" s="1" t="str">
        <f ca="1">IFERROR(__xludf.DUMMYFUNCTION("""COMPUTED_VALUE"""),"comment")</f>
        <v>comment</v>
      </c>
      <c r="I794" s="2" t="str">
        <f ca="1">IFERROR(__xludf.DUMMYFUNCTION("""COMPUTED_VALUE"""),"https://www.facebook.com/rapplerdotcom/photos/a.317154781638645/5597116770309060/")</f>
        <v>https://www.facebook.com/rapplerdotcom/photos/a.317154781638645/5597116770309060/</v>
      </c>
      <c r="J794" s="1" t="str">
        <f ca="1">IFERROR(__xludf.DUMMYFUNCTION("""COMPUTED_VALUE"""),"2022-07-04T11:15:29.865Z")</f>
        <v>2022-07-04T11:15:29.865Z</v>
      </c>
    </row>
    <row r="795" spans="1:10" x14ac:dyDescent="0.2">
      <c r="A795" s="2" t="str">
        <f ca="1">IFERROR(__xludf.DUMMYFUNCTION("""COMPUTED_VALUE"""),"https://www.facebook.com/profile.php?id=100009152090546")</f>
        <v>https://www.facebook.com/profile.php?id=100009152090546</v>
      </c>
      <c r="B795" s="1" t="str">
        <f ca="1">IFERROR(__xludf.DUMMYFUNCTION("""COMPUTED_VALUE"""),"Kowboy Santos")</f>
        <v>Kowboy Santos</v>
      </c>
      <c r="C795" s="1" t="str">
        <f ca="1">IFERROR(__xludf.DUMMYFUNCTION("""COMPUTED_VALUE"""),"Kowboy")</f>
        <v>Kowboy</v>
      </c>
      <c r="D795" s="1" t="str">
        <f ca="1">IFERROR(__xludf.DUMMYFUNCTION("""COMPUTED_VALUE"""),"Santos")</f>
        <v>Santos</v>
      </c>
      <c r="E795" s="1" t="str">
        <f ca="1">IFERROR(__xludf.DUMMYFUNCTION("""COMPUTED_VALUE"""),"NO CHOICE")</f>
        <v>NO CHOICE</v>
      </c>
      <c r="F795" s="1">
        <f ca="1">IFERROR(__xludf.DUMMYFUNCTION("""COMPUTED_VALUE"""),1)</f>
        <v>1</v>
      </c>
      <c r="G795" s="1" t="str">
        <f ca="1">IFERROR(__xludf.DUMMYFUNCTION("""COMPUTED_VALUE"""),"3 mos")</f>
        <v>3 mos</v>
      </c>
      <c r="H795" s="1" t="str">
        <f ca="1">IFERROR(__xludf.DUMMYFUNCTION("""COMPUTED_VALUE"""),"comment")</f>
        <v>comment</v>
      </c>
      <c r="I795"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795" s="1" t="str">
        <f ca="1">IFERROR(__xludf.DUMMYFUNCTION("""COMPUTED_VALUE"""),"2022-07-04T11:16:08.715Z")</f>
        <v>2022-07-04T11:16:08.715Z</v>
      </c>
    </row>
    <row r="796" spans="1:10" x14ac:dyDescent="0.2">
      <c r="A796" s="2" t="str">
        <f ca="1">IFERROR(__xludf.DUMMYFUNCTION("""COMPUTED_VALUE"""),"https://www.facebook.com/docrly")</f>
        <v>https://www.facebook.com/docrly</v>
      </c>
      <c r="B796" s="1" t="str">
        <f ca="1">IFERROR(__xludf.DUMMYFUNCTION("""COMPUTED_VALUE"""),"Docrly L. RvYbanez")</f>
        <v>Docrly L. RvYbanez</v>
      </c>
      <c r="C796" s="1" t="str">
        <f ca="1">IFERROR(__xludf.DUMMYFUNCTION("""COMPUTED_VALUE"""),"Docrly")</f>
        <v>Docrly</v>
      </c>
      <c r="D796" s="1" t="str">
        <f ca="1">IFERROR(__xludf.DUMMYFUNCTION("""COMPUTED_VALUE"""),"L. RvYbanez")</f>
        <v>L. RvYbanez</v>
      </c>
      <c r="E796" s="1" t="str">
        <f ca="1">IFERROR(__xludf.DUMMYFUNCTION("""COMPUTED_VALUE"""),"More than 60yrs na cla sa ilocos norte.. Talo pa cla sa bukidnon, leyte.. Wala cla sa top10 richest provinces.. Didn't uplift the lives of garlic &amp; tobacco farmers.. Iba naman..")</f>
        <v>More than 60yrs na cla sa ilocos norte.. Talo pa cla sa bukidnon, leyte.. Wala cla sa top10 richest provinces.. Didn't uplift the lives of garlic &amp; tobacco farmers.. Iba naman..</v>
      </c>
      <c r="F796" s="1">
        <f ca="1">IFERROR(__xludf.DUMMYFUNCTION("""COMPUTED_VALUE"""),59)</f>
        <v>59</v>
      </c>
      <c r="G796" s="1" t="str">
        <f ca="1">IFERROR(__xludf.DUMMYFUNCTION("""COMPUTED_VALUE"""),"3 mos")</f>
        <v>3 mos</v>
      </c>
      <c r="H796" s="1" t="str">
        <f ca="1">IFERROR(__xludf.DUMMYFUNCTION("""COMPUTED_VALUE"""),"comment")</f>
        <v>comment</v>
      </c>
      <c r="I796"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796" s="1" t="str">
        <f ca="1">IFERROR(__xludf.DUMMYFUNCTION("""COMPUTED_VALUE"""),"2022-07-04T11:16:08.715Z")</f>
        <v>2022-07-04T11:16:08.715Z</v>
      </c>
    </row>
    <row r="797" spans="1:10" x14ac:dyDescent="0.2">
      <c r="A797" s="2" t="str">
        <f ca="1">IFERROR(__xludf.DUMMYFUNCTION("""COMPUTED_VALUE"""),"https://www.facebook.com/elie.cosep.75")</f>
        <v>https://www.facebook.com/elie.cosep.75</v>
      </c>
      <c r="B797" s="1" t="str">
        <f ca="1">IFERROR(__xludf.DUMMYFUNCTION("""COMPUTED_VALUE"""),"Elie Cosep")</f>
        <v>Elie Cosep</v>
      </c>
      <c r="C797" s="1" t="str">
        <f ca="1">IFERROR(__xludf.DUMMYFUNCTION("""COMPUTED_VALUE"""),"Elie")</f>
        <v>Elie</v>
      </c>
      <c r="D797" s="1" t="str">
        <f ca="1">IFERROR(__xludf.DUMMYFUNCTION("""COMPUTED_VALUE"""),"Cosep")</f>
        <v>Cosep</v>
      </c>
      <c r="E797" s="1" t="str">
        <f ca="1">IFERROR(__xludf.DUMMYFUNCTION("""COMPUTED_VALUE"""),"Docrly L. RvYbanez Botbot")</f>
        <v>Docrly L. RvYbanez Botbot</v>
      </c>
      <c r="F797" s="1"/>
      <c r="G797" s="1" t="str">
        <f ca="1">IFERROR(__xludf.DUMMYFUNCTION("""COMPUTED_VALUE"""),"3 mos")</f>
        <v>3 mos</v>
      </c>
      <c r="H797" s="1" t="str">
        <f ca="1">IFERROR(__xludf.DUMMYFUNCTION("""COMPUTED_VALUE"""),"reply")</f>
        <v>reply</v>
      </c>
      <c r="I797"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797" s="1" t="str">
        <f ca="1">IFERROR(__xludf.DUMMYFUNCTION("""COMPUTED_VALUE"""),"2022-07-04T11:16:08.716Z")</f>
        <v>2022-07-04T11:16:08.716Z</v>
      </c>
    </row>
    <row r="798" spans="1:10" x14ac:dyDescent="0.2">
      <c r="A798" s="2" t="str">
        <f ca="1">IFERROR(__xludf.DUMMYFUNCTION("""COMPUTED_VALUE"""),"https://www.facebook.com/amjad.lacman")</f>
        <v>https://www.facebook.com/amjad.lacman</v>
      </c>
      <c r="B798" s="1" t="str">
        <f ca="1">IFERROR(__xludf.DUMMYFUNCTION("""COMPUTED_VALUE"""),"Luck Man II")</f>
        <v>Luck Man II</v>
      </c>
      <c r="C798" s="1" t="str">
        <f ca="1">IFERROR(__xludf.DUMMYFUNCTION("""COMPUTED_VALUE"""),"Luck")</f>
        <v>Luck</v>
      </c>
      <c r="D798" s="1" t="str">
        <f ca="1">IFERROR(__xludf.DUMMYFUNCTION("""COMPUTED_VALUE"""),"Man II")</f>
        <v>Man II</v>
      </c>
      <c r="E798" s="1" t="str">
        <f ca="1">IFERROR(__xludf.DUMMYFUNCTION("""COMPUTED_VALUE"""),"Docrly L. RvYbanez  👍")</f>
        <v>Docrly L. RvYbanez  👍</v>
      </c>
      <c r="F798" s="1"/>
      <c r="G798" s="1" t="str">
        <f ca="1">IFERROR(__xludf.DUMMYFUNCTION("""COMPUTED_VALUE"""),"3 mos")</f>
        <v>3 mos</v>
      </c>
      <c r="H798" s="1" t="str">
        <f ca="1">IFERROR(__xludf.DUMMYFUNCTION("""COMPUTED_VALUE"""),"reply")</f>
        <v>reply</v>
      </c>
      <c r="I798"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798" s="1" t="str">
        <f ca="1">IFERROR(__xludf.DUMMYFUNCTION("""COMPUTED_VALUE"""),"2022-07-04T11:16:08.716Z")</f>
        <v>2022-07-04T11:16:08.716Z</v>
      </c>
    </row>
    <row r="799" spans="1:10" x14ac:dyDescent="0.2">
      <c r="A799" s="2" t="str">
        <f ca="1">IFERROR(__xludf.DUMMYFUNCTION("""COMPUTED_VALUE"""),"https://www.facebook.com/DBTunacao")</f>
        <v>https://www.facebook.com/DBTunacao</v>
      </c>
      <c r="B799" s="1" t="str">
        <f ca="1">IFERROR(__xludf.DUMMYFUNCTION("""COMPUTED_VALUE"""),"DB Tunacao")</f>
        <v>DB Tunacao</v>
      </c>
      <c r="C799" s="1" t="str">
        <f ca="1">IFERROR(__xludf.DUMMYFUNCTION("""COMPUTED_VALUE"""),"DB")</f>
        <v>DB</v>
      </c>
      <c r="D799" s="1" t="str">
        <f ca="1">IFERROR(__xludf.DUMMYFUNCTION("""COMPUTED_VALUE"""),"Tunacao")</f>
        <v>Tunacao</v>
      </c>
      <c r="E799" s="1" t="str">
        <f ca="1">IFERROR(__xludf.DUMMYFUNCTION("""COMPUTED_VALUE"""),"Docrly L. RvYbanez politically immature kasi tao doon. Kaya kita mo parang panahon pa rin ng kastila.")</f>
        <v>Docrly L. RvYbanez politically immature kasi tao doon. Kaya kita mo parang panahon pa rin ng kastila.</v>
      </c>
      <c r="F799" s="1"/>
      <c r="G799" s="1" t="str">
        <f ca="1">IFERROR(__xludf.DUMMYFUNCTION("""COMPUTED_VALUE"""),"3 mos")</f>
        <v>3 mos</v>
      </c>
      <c r="H799" s="1" t="str">
        <f ca="1">IFERROR(__xludf.DUMMYFUNCTION("""COMPUTED_VALUE"""),"reply")</f>
        <v>reply</v>
      </c>
      <c r="I799"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799" s="1" t="str">
        <f ca="1">IFERROR(__xludf.DUMMYFUNCTION("""COMPUTED_VALUE"""),"2022-07-04T11:16:08.716Z")</f>
        <v>2022-07-04T11:16:08.716Z</v>
      </c>
    </row>
    <row r="800" spans="1:10" x14ac:dyDescent="0.2">
      <c r="A800" s="2" t="str">
        <f ca="1">IFERROR(__xludf.DUMMYFUNCTION("""COMPUTED_VALUE"""),"https://www.facebook.com/mila.magsayo")</f>
        <v>https://www.facebook.com/mila.magsayo</v>
      </c>
      <c r="B800" s="1" t="str">
        <f ca="1">IFERROR(__xludf.DUMMYFUNCTION("""COMPUTED_VALUE"""),"Mila Liwagon Magsayo")</f>
        <v>Mila Liwagon Magsayo</v>
      </c>
      <c r="C800" s="1" t="str">
        <f ca="1">IFERROR(__xludf.DUMMYFUNCTION("""COMPUTED_VALUE"""),"Mila")</f>
        <v>Mila</v>
      </c>
      <c r="D800" s="1" t="str">
        <f ca="1">IFERROR(__xludf.DUMMYFUNCTION("""COMPUTED_VALUE"""),"Liwagon Magsayo")</f>
        <v>Liwagon Magsayo</v>
      </c>
      <c r="E800" s="1" t="str">
        <f ca="1">IFERROR(__xludf.DUMMYFUNCTION("""COMPUTED_VALUE"""),"Depende Yun sa pamilyang naninilbihan sa gobyerno. Tingnan ninyo ang Davao City, kumpara ang noon at ngayon. Malaki ang pagbabago, Kaya Depende Yun sa pamilya. Bakit iboboto PA rin NG mga tao, HINDI  dahil sa Pera kundi ang serbisyo nila. Natural naman na"&amp;" may mga against sa kanila kasi HINDI sila sang-ayonsa mga patakaran. Sa Davao City bawal manigarilyo sa publikong lugar, bawal magkalat, may curfew, bawal backer, bawal ang korap, lahat may patakaran. Kaya, yung mga taong HINDI gusto sa mga bawal ay yung"&amp;" mga naninira sa kanila. Isa yun c Pantaleon Alvarez sa mga against NG mga Duterte kasi may mga ginawa siyang.... Kaya ayaw NG mga Duterte sa kaniya. ""Sour grapes"" c Alvarez 🤔😀😂 Alam namin Yan.")</f>
        <v>Depende Yun sa pamilyang naninilbihan sa gobyerno. Tingnan ninyo ang Davao City, kumpara ang noon at ngayon. Malaki ang pagbabago, Kaya Depende Yun sa pamilya. Bakit iboboto PA rin NG mga tao, HINDI  dahil sa Pera kundi ang serbisyo nila. Natural naman na may mga against sa kanila kasi HINDI sila sang-ayonsa mga patakaran. Sa Davao City bawal manigarilyo sa publikong lugar, bawal magkalat, may curfew, bawal backer, bawal ang korap, lahat may patakaran. Kaya, yung mga taong HINDI gusto sa mga bawal ay yung mga naninira sa kanila. Isa yun c Pantaleon Alvarez sa mga against NG mga Duterte kasi may mga ginawa siyang.... Kaya ayaw NG mga Duterte sa kaniya. "Sour grapes" c Alvarez 🤔😀😂 Alam namin Yan.</v>
      </c>
      <c r="F800" s="1"/>
      <c r="G800" s="1" t="str">
        <f ca="1">IFERROR(__xludf.DUMMYFUNCTION("""COMPUTED_VALUE"""),"3 mos")</f>
        <v>3 mos</v>
      </c>
      <c r="H800" s="1" t="str">
        <f ca="1">IFERROR(__xludf.DUMMYFUNCTION("""COMPUTED_VALUE"""),"comment")</f>
        <v>comment</v>
      </c>
      <c r="I800"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00" s="1" t="str">
        <f ca="1">IFERROR(__xludf.DUMMYFUNCTION("""COMPUTED_VALUE"""),"2022-07-04T11:16:08.716Z")</f>
        <v>2022-07-04T11:16:08.716Z</v>
      </c>
    </row>
    <row r="801" spans="1:10" x14ac:dyDescent="0.2">
      <c r="A801" s="2" t="str">
        <f ca="1">IFERROR(__xludf.DUMMYFUNCTION("""COMPUTED_VALUE"""),"https://www.facebook.com/profile.php?id=100006370367395")</f>
        <v>https://www.facebook.com/profile.php?id=100006370367395</v>
      </c>
      <c r="B801" s="1" t="str">
        <f ca="1">IFERROR(__xludf.DUMMYFUNCTION("""COMPUTED_VALUE"""),"Casey Briones Sr.")</f>
        <v>Casey Briones Sr.</v>
      </c>
      <c r="C801" s="1" t="str">
        <f ca="1">IFERROR(__xludf.DUMMYFUNCTION("""COMPUTED_VALUE"""),"Casey")</f>
        <v>Casey</v>
      </c>
      <c r="D801" s="1" t="str">
        <f ca="1">IFERROR(__xludf.DUMMYFUNCTION("""COMPUTED_VALUE"""),"Briones Sr.")</f>
        <v>Briones Sr.</v>
      </c>
      <c r="E801" s="1" t="str">
        <f ca="1">IFERROR(__xludf.DUMMYFUNCTION("""COMPUTED_VALUE"""),"Ilocanos gising NO to marcoses")</f>
        <v>Ilocanos gising NO to marcoses</v>
      </c>
      <c r="F801" s="1">
        <f ca="1">IFERROR(__xludf.DUMMYFUNCTION("""COMPUTED_VALUE"""),7)</f>
        <v>7</v>
      </c>
      <c r="G801" s="1" t="str">
        <f ca="1">IFERROR(__xludf.DUMMYFUNCTION("""COMPUTED_VALUE"""),"3 mos")</f>
        <v>3 mos</v>
      </c>
      <c r="H801" s="1" t="str">
        <f ca="1">IFERROR(__xludf.DUMMYFUNCTION("""COMPUTED_VALUE"""),"comment")</f>
        <v>comment</v>
      </c>
      <c r="I801"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01" s="1" t="str">
        <f ca="1">IFERROR(__xludf.DUMMYFUNCTION("""COMPUTED_VALUE"""),"2022-07-04T11:16:08.716Z")</f>
        <v>2022-07-04T11:16:08.716Z</v>
      </c>
    </row>
    <row r="802" spans="1:10" x14ac:dyDescent="0.2">
      <c r="A802" s="2" t="str">
        <f ca="1">IFERROR(__xludf.DUMMYFUNCTION("""COMPUTED_VALUE"""),"https://www.facebook.com/profile.php?id=100077649885354")</f>
        <v>https://www.facebook.com/profile.php?id=100077649885354</v>
      </c>
      <c r="B802" s="1" t="str">
        <f ca="1">IFERROR(__xludf.DUMMYFUNCTION("""COMPUTED_VALUE"""),"Bentley Borja")</f>
        <v>Bentley Borja</v>
      </c>
      <c r="C802" s="1" t="str">
        <f ca="1">IFERROR(__xludf.DUMMYFUNCTION("""COMPUTED_VALUE"""),"Bentley")</f>
        <v>Bentley</v>
      </c>
      <c r="D802" s="1" t="str">
        <f ca="1">IFERROR(__xludf.DUMMYFUNCTION("""COMPUTED_VALUE"""),"Borja")</f>
        <v>Borja</v>
      </c>
      <c r="E802" s="1" t="str">
        <f ca="1">IFERROR(__xludf.DUMMYFUNCTION("""COMPUTED_VALUE"""),"#IpanaloNa10To #NeverAgainToMarcoses #HindiItoAngHulingEDSA #neveragain #neverforget #Kakampinks #KulayRosasAngBukas #kakampink2022 #pinkangpinoy #LeniKiko2022 #Kakampink #LetLeniLead #KikoPangilinan2022 #KikoIsMyVP2022 #kikopangilinanforvicepresident2022"&amp;" #IpanaloNa10To #UniThieves #MarcosMagnanakaw #MarcosSinungaling #MarcosDuwag #AngatBuhayLahatKayLeni #AngatBuhayAngLahat #KulayRosasAngBukas #liwanagsadilim")</f>
        <v>#IpanaloNa10To #NeverAgainToMarcoses #HindiItoAngHulingEDSA #neveragain #neverforget #Kakampinks #KulayRosasAngBukas #kakampink2022 #pinkangpinoy #LeniKiko2022 #Kakampink #LetLeniLead #KikoPangilinan2022 #KikoIsMyVP2022 #kikopangilinanforvicepresident2022 #IpanaloNa10To #UniThieves #MarcosMagnanakaw #MarcosSinungaling #MarcosDuwag #AngatBuhayLahatKayLeni #AngatBuhayAngLahat #KulayRosasAngBukas #liwanagsadilim</v>
      </c>
      <c r="F802" s="1">
        <f ca="1">IFERROR(__xludf.DUMMYFUNCTION("""COMPUTED_VALUE"""),5)</f>
        <v>5</v>
      </c>
      <c r="G802" s="1" t="str">
        <f ca="1">IFERROR(__xludf.DUMMYFUNCTION("""COMPUTED_VALUE"""),"3 mos")</f>
        <v>3 mos</v>
      </c>
      <c r="H802" s="1" t="str">
        <f ca="1">IFERROR(__xludf.DUMMYFUNCTION("""COMPUTED_VALUE"""),"comment")</f>
        <v>comment</v>
      </c>
      <c r="I802"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02" s="1" t="str">
        <f ca="1">IFERROR(__xludf.DUMMYFUNCTION("""COMPUTED_VALUE"""),"2022-07-04T11:16:08.716Z")</f>
        <v>2022-07-04T11:16:08.716Z</v>
      </c>
    </row>
    <row r="803" spans="1:10" x14ac:dyDescent="0.2">
      <c r="A803" s="2" t="str">
        <f ca="1">IFERROR(__xludf.DUMMYFUNCTION("""COMPUTED_VALUE"""),"https://www.facebook.com/edward.deloso")</f>
        <v>https://www.facebook.com/edward.deloso</v>
      </c>
      <c r="B803" s="1" t="str">
        <f ca="1">IFERROR(__xludf.DUMMYFUNCTION("""COMPUTED_VALUE"""),"Edward Deloso")</f>
        <v>Edward Deloso</v>
      </c>
      <c r="C803" s="1" t="str">
        <f ca="1">IFERROR(__xludf.DUMMYFUNCTION("""COMPUTED_VALUE"""),"Edward")</f>
        <v>Edward</v>
      </c>
      <c r="D803" s="1" t="str">
        <f ca="1">IFERROR(__xludf.DUMMYFUNCTION("""COMPUTED_VALUE"""),"Deloso")</f>
        <v>Deloso</v>
      </c>
      <c r="E803" s="1" t="str">
        <f ca="1">IFERROR(__xludf.DUMMYFUNCTION("""COMPUTED_VALUE"""),"Bentley Borja sorry po hindi aq adik ,hinde po aq gusto sumali ung anak sa druga kc lahat ng phils.last liberal party  lahat sulok ng phils.nasa druga patay tayo!!!")</f>
        <v>Bentley Borja sorry po hindi aq adik ,hinde po aq gusto sumali ung anak sa druga kc lahat ng phils.last liberal party  lahat sulok ng phils.nasa druga patay tayo!!!</v>
      </c>
      <c r="F803" s="1"/>
      <c r="G803" s="1" t="str">
        <f ca="1">IFERROR(__xludf.DUMMYFUNCTION("""COMPUTED_VALUE"""),"3 mos")</f>
        <v>3 mos</v>
      </c>
      <c r="H803" s="1" t="str">
        <f ca="1">IFERROR(__xludf.DUMMYFUNCTION("""COMPUTED_VALUE"""),"reply")</f>
        <v>reply</v>
      </c>
      <c r="I803"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03" s="1" t="str">
        <f ca="1">IFERROR(__xludf.DUMMYFUNCTION("""COMPUTED_VALUE"""),"2022-07-04T11:16:08.716Z")</f>
        <v>2022-07-04T11:16:08.716Z</v>
      </c>
    </row>
    <row r="804" spans="1:10" x14ac:dyDescent="0.2">
      <c r="A804" s="2" t="str">
        <f ca="1">IFERROR(__xludf.DUMMYFUNCTION("""COMPUTED_VALUE"""),"https://www.facebook.com/aroemeyen")</f>
        <v>https://www.facebook.com/aroemeyen</v>
      </c>
      <c r="B804" s="1" t="str">
        <f ca="1">IFERROR(__xludf.DUMMYFUNCTION("""COMPUTED_VALUE"""),"Boyet Gargantiel")</f>
        <v>Boyet Gargantiel</v>
      </c>
      <c r="C804" s="1" t="str">
        <f ca="1">IFERROR(__xludf.DUMMYFUNCTION("""COMPUTED_VALUE"""),"Boyet")</f>
        <v>Boyet</v>
      </c>
      <c r="D804" s="1" t="str">
        <f ca="1">IFERROR(__xludf.DUMMYFUNCTION("""COMPUTED_VALUE"""),"Gargantiel")</f>
        <v>Gargantiel</v>
      </c>
      <c r="E804" s="1" t="str">
        <f ca="1">IFERROR(__xludf.DUMMYFUNCTION("""COMPUTED_VALUE"""),"Here is where the 'Lesser of two evils"" dictum applies.")</f>
        <v>Here is where the 'Lesser of two evils" dictum applies.</v>
      </c>
      <c r="F804" s="1">
        <f ca="1">IFERROR(__xludf.DUMMYFUNCTION("""COMPUTED_VALUE"""),3)</f>
        <v>3</v>
      </c>
      <c r="G804" s="1" t="str">
        <f ca="1">IFERROR(__xludf.DUMMYFUNCTION("""COMPUTED_VALUE"""),"3 mos")</f>
        <v>3 mos</v>
      </c>
      <c r="H804" s="1" t="str">
        <f ca="1">IFERROR(__xludf.DUMMYFUNCTION("""COMPUTED_VALUE"""),"comment")</f>
        <v>comment</v>
      </c>
      <c r="I804"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04" s="1" t="str">
        <f ca="1">IFERROR(__xludf.DUMMYFUNCTION("""COMPUTED_VALUE"""),"2022-07-04T11:16:08.716Z")</f>
        <v>2022-07-04T11:16:08.716Z</v>
      </c>
    </row>
    <row r="805" spans="1:10" x14ac:dyDescent="0.2">
      <c r="A805" s="2" t="str">
        <f ca="1">IFERROR(__xludf.DUMMYFUNCTION("""COMPUTED_VALUE"""),"https://www.facebook.com/QuenitoKing")</f>
        <v>https://www.facebook.com/QuenitoKing</v>
      </c>
      <c r="B805" s="1" t="str">
        <f ca="1">IFERROR(__xludf.DUMMYFUNCTION("""COMPUTED_VALUE"""),"Quenito King")</f>
        <v>Quenito King</v>
      </c>
      <c r="C805" s="1" t="str">
        <f ca="1">IFERROR(__xludf.DUMMYFUNCTION("""COMPUTED_VALUE"""),"Quenito")</f>
        <v>Quenito</v>
      </c>
      <c r="D805" s="1" t="str">
        <f ca="1">IFERROR(__xludf.DUMMYFUNCTION("""COMPUTED_VALUE"""),"King")</f>
        <v>King</v>
      </c>
      <c r="E805" s="1" t="str">
        <f ca="1">IFERROR(__xludf.DUMMYFUNCTION("""COMPUTED_VALUE"""),"Nag aaway away cla sa politiko..dahil ba big business ang nasa puesto na pede ipamana sa nearest next of kin..Only know the turns and ways sa gobyerno, ang mga polpolitiko unli monies na unli power pa")</f>
        <v>Nag aaway away cla sa politiko..dahil ba big business ang nasa puesto na pede ipamana sa nearest next of kin..Only know the turns and ways sa gobyerno, ang mga polpolitiko unli monies na unli power pa</v>
      </c>
      <c r="F805" s="1">
        <f ca="1">IFERROR(__xludf.DUMMYFUNCTION("""COMPUTED_VALUE"""),4)</f>
        <v>4</v>
      </c>
      <c r="G805" s="1" t="str">
        <f ca="1">IFERROR(__xludf.DUMMYFUNCTION("""COMPUTED_VALUE"""),"3 mos")</f>
        <v>3 mos</v>
      </c>
      <c r="H805" s="1" t="str">
        <f ca="1">IFERROR(__xludf.DUMMYFUNCTION("""COMPUTED_VALUE"""),"comment")</f>
        <v>comment</v>
      </c>
      <c r="I805"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05" s="1" t="str">
        <f ca="1">IFERROR(__xludf.DUMMYFUNCTION("""COMPUTED_VALUE"""),"2022-07-04T11:16:08.716Z")</f>
        <v>2022-07-04T11:16:08.716Z</v>
      </c>
    </row>
    <row r="806" spans="1:10" x14ac:dyDescent="0.2">
      <c r="A806" s="2" t="str">
        <f ca="1">IFERROR(__xludf.DUMMYFUNCTION("""COMPUTED_VALUE"""),"https://www.facebook.com/ngorab.ngidnam")</f>
        <v>https://www.facebook.com/ngorab.ngidnam</v>
      </c>
      <c r="B806" s="1" t="str">
        <f ca="1">IFERROR(__xludf.DUMMYFUNCTION("""COMPUTED_VALUE"""),"Vic B Dal")</f>
        <v>Vic B Dal</v>
      </c>
      <c r="C806" s="1" t="str">
        <f ca="1">IFERROR(__xludf.DUMMYFUNCTION("""COMPUTED_VALUE"""),"Vic")</f>
        <v>Vic</v>
      </c>
      <c r="D806" s="1" t="str">
        <f ca="1">IFERROR(__xludf.DUMMYFUNCTION("""COMPUTED_VALUE"""),"B Dal")</f>
        <v>B Dal</v>
      </c>
      <c r="E806" s="1" t="str">
        <f ca="1">IFERROR(__xludf.DUMMYFUNCTION("""COMPUTED_VALUE"""),"Political dynasties: The Marcoses, Arroyos, Farinas, Dutertes, Binays, Estradas, Villafuertes, Zamoras, Remullas, Villars, etc., treated public office like an inheritance which they could pass to their children/heirs. These political dynasties have lorded"&amp;" and wielded the reins of power in their bailiwicks for many decades, but majority of their constituents remained poor, who kept on voting these political dynasties due to their false messianic hope from these political dynasties that they could resurrect"&amp;" the majority of their constituents from the graveyard of poverty when in reality these political dynasties buried the majority of their constituents more than 6 feet below the ground, which there could be no more resurrection from their haplessness and h"&amp;"elplessness.")</f>
        <v>Political dynasties: The Marcoses, Arroyos, Farinas, Dutertes, Binays, Estradas, Villafuertes, Zamoras, Remullas, Villars, etc., treated public office like an inheritance which they could pass to their children/heirs. These political dynasties have lorded and wielded the reins of power in their bailiwicks for many decades, but majority of their constituents remained poor, who kept on voting these political dynasties due to their false messianic hope from these political dynasties that they could resurrect the majority of their constituents from the graveyard of poverty when in reality these political dynasties buried the majority of their constituents more than 6 feet below the ground, which there could be no more resurrection from their haplessness and helplessness.</v>
      </c>
      <c r="F806" s="1">
        <f ca="1">IFERROR(__xludf.DUMMYFUNCTION("""COMPUTED_VALUE"""),47)</f>
        <v>47</v>
      </c>
      <c r="G806" s="1" t="str">
        <f ca="1">IFERROR(__xludf.DUMMYFUNCTION("""COMPUTED_VALUE"""),"3 mos")</f>
        <v>3 mos</v>
      </c>
      <c r="H806" s="1" t="str">
        <f ca="1">IFERROR(__xludf.DUMMYFUNCTION("""COMPUTED_VALUE"""),"comment")</f>
        <v>comment</v>
      </c>
      <c r="I806"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06" s="1" t="str">
        <f ca="1">IFERROR(__xludf.DUMMYFUNCTION("""COMPUTED_VALUE"""),"2022-07-04T11:16:08.716Z")</f>
        <v>2022-07-04T11:16:08.716Z</v>
      </c>
    </row>
    <row r="807" spans="1:10" x14ac:dyDescent="0.2">
      <c r="A807" s="2" t="str">
        <f ca="1">IFERROR(__xludf.DUMMYFUNCTION("""COMPUTED_VALUE"""),"https://www.facebook.com/profile.php?id=100001866881530")</f>
        <v>https://www.facebook.com/profile.php?id=100001866881530</v>
      </c>
      <c r="B807" s="1" t="str">
        <f ca="1">IFERROR(__xludf.DUMMYFUNCTION("""COMPUTED_VALUE"""),"Julius Pabs")</f>
        <v>Julius Pabs</v>
      </c>
      <c r="C807" s="1" t="str">
        <f ca="1">IFERROR(__xludf.DUMMYFUNCTION("""COMPUTED_VALUE"""),"Julius")</f>
        <v>Julius</v>
      </c>
      <c r="D807" s="1" t="str">
        <f ca="1">IFERROR(__xludf.DUMMYFUNCTION("""COMPUTED_VALUE"""),"Pabs")</f>
        <v>Pabs</v>
      </c>
      <c r="E807" s="1" t="str">
        <f ca="1">IFERROR(__xludf.DUMMYFUNCTION("""COMPUTED_VALUE"""),"Vic B Dal daming bobotante bigyan lng ng 500 mga yang magiging loyal parin hahah")</f>
        <v>Vic B Dal daming bobotante bigyan lng ng 500 mga yang magiging loyal parin hahah</v>
      </c>
      <c r="F807" s="1">
        <f ca="1">IFERROR(__xludf.DUMMYFUNCTION("""COMPUTED_VALUE"""),3)</f>
        <v>3</v>
      </c>
      <c r="G807" s="1" t="str">
        <f ca="1">IFERROR(__xludf.DUMMYFUNCTION("""COMPUTED_VALUE"""),"3 mos")</f>
        <v>3 mos</v>
      </c>
      <c r="H807" s="1" t="str">
        <f ca="1">IFERROR(__xludf.DUMMYFUNCTION("""COMPUTED_VALUE"""),"reply")</f>
        <v>reply</v>
      </c>
      <c r="I807"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07" s="1" t="str">
        <f ca="1">IFERROR(__xludf.DUMMYFUNCTION("""COMPUTED_VALUE"""),"2022-07-04T11:16:08.716Z")</f>
        <v>2022-07-04T11:16:08.716Z</v>
      </c>
    </row>
    <row r="808" spans="1:10" x14ac:dyDescent="0.2">
      <c r="A808" s="2" t="str">
        <f ca="1">IFERROR(__xludf.DUMMYFUNCTION("""COMPUTED_VALUE"""),"https://www.facebook.com/cenizanestor")</f>
        <v>https://www.facebook.com/cenizanestor</v>
      </c>
      <c r="B808" s="1" t="str">
        <f ca="1">IFERROR(__xludf.DUMMYFUNCTION("""COMPUTED_VALUE"""),"Nestor Ceniza")</f>
        <v>Nestor Ceniza</v>
      </c>
      <c r="C808" s="1" t="str">
        <f ca="1">IFERROR(__xludf.DUMMYFUNCTION("""COMPUTED_VALUE"""),"Nestor")</f>
        <v>Nestor</v>
      </c>
      <c r="D808" s="1" t="str">
        <f ca="1">IFERROR(__xludf.DUMMYFUNCTION("""COMPUTED_VALUE"""),"Ceniza")</f>
        <v>Ceniza</v>
      </c>
      <c r="E808" s="1" t="str">
        <f ca="1">IFERROR(__xludf.DUMMYFUNCTION("""COMPUTED_VALUE"""),"Julius Pabs Totoo Yan ,Kasi gusto nang mga politiko namahirap Sila para Kong kuntong in bigay ay mag samba na Sa kanila Ang mga taong  na Yan ,kaeawa na man Sila na walang madyadong kaalaman Sa palikid nila Sa kaunting ibigay para bang na loko Sila Sa kau"&amp;"nting Bagay.")</f>
        <v>Julius Pabs Totoo Yan ,Kasi gusto nang mga politiko namahirap Sila para Kong kuntong in bigay ay mag samba na Sa kanila Ang mga taong  na Yan ,kaeawa na man Sila na walang madyadong kaalaman Sa palikid nila Sa kaunting ibigay para bang na loko Sila Sa kaunting Bagay.</v>
      </c>
      <c r="F808" s="1">
        <f ca="1">IFERROR(__xludf.DUMMYFUNCTION("""COMPUTED_VALUE"""),4)</f>
        <v>4</v>
      </c>
      <c r="G808" s="1" t="str">
        <f ca="1">IFERROR(__xludf.DUMMYFUNCTION("""COMPUTED_VALUE"""),"3 mos")</f>
        <v>3 mos</v>
      </c>
      <c r="H808" s="1" t="str">
        <f ca="1">IFERROR(__xludf.DUMMYFUNCTION("""COMPUTED_VALUE"""),"reply")</f>
        <v>reply</v>
      </c>
      <c r="I808"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08" s="1" t="str">
        <f ca="1">IFERROR(__xludf.DUMMYFUNCTION("""COMPUTED_VALUE"""),"2022-07-04T11:16:08.716Z")</f>
        <v>2022-07-04T11:16:08.716Z</v>
      </c>
    </row>
    <row r="809" spans="1:10" x14ac:dyDescent="0.2">
      <c r="A809" s="2" t="str">
        <f ca="1">IFERROR(__xludf.DUMMYFUNCTION("""COMPUTED_VALUE"""),"https://www.facebook.com/nilo.asas")</f>
        <v>https://www.facebook.com/nilo.asas</v>
      </c>
      <c r="B809" s="1" t="str">
        <f ca="1">IFERROR(__xludf.DUMMYFUNCTION("""COMPUTED_VALUE"""),"Nilo Asas")</f>
        <v>Nilo Asas</v>
      </c>
      <c r="C809" s="1" t="str">
        <f ca="1">IFERROR(__xludf.DUMMYFUNCTION("""COMPUTED_VALUE"""),"Nilo")</f>
        <v>Nilo</v>
      </c>
      <c r="D809" s="1" t="str">
        <f ca="1">IFERROR(__xludf.DUMMYFUNCTION("""COMPUTED_VALUE"""),"Asas")</f>
        <v>Asas</v>
      </c>
      <c r="E809" s="1" t="str">
        <f ca="1">IFERROR(__xludf.DUMMYFUNCTION("""COMPUTED_VALUE"""),"Nestor Ceniza diba my gumawa ng batas na ipag bawal dynaste sa politika pero hindi umubra kaya nasa tao yan kung iboboto parin nila.")</f>
        <v>Nestor Ceniza diba my gumawa ng batas na ipag bawal dynaste sa politika pero hindi umubra kaya nasa tao yan kung iboboto parin nila.</v>
      </c>
      <c r="F809" s="1"/>
      <c r="G809" s="1" t="str">
        <f ca="1">IFERROR(__xludf.DUMMYFUNCTION("""COMPUTED_VALUE"""),"3 mos")</f>
        <v>3 mos</v>
      </c>
      <c r="H809" s="1" t="str">
        <f ca="1">IFERROR(__xludf.DUMMYFUNCTION("""COMPUTED_VALUE"""),"reply")</f>
        <v>reply</v>
      </c>
      <c r="I809"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09" s="1" t="str">
        <f ca="1">IFERROR(__xludf.DUMMYFUNCTION("""COMPUTED_VALUE"""),"2022-07-04T11:16:08.716Z")</f>
        <v>2022-07-04T11:16:08.716Z</v>
      </c>
    </row>
    <row r="810" spans="1:10" x14ac:dyDescent="0.2">
      <c r="A810" s="2" t="str">
        <f ca="1">IFERROR(__xludf.DUMMYFUNCTION("""COMPUTED_VALUE"""),"https://www.facebook.com/profile.php?id=100008332086519")</f>
        <v>https://www.facebook.com/profile.php?id=100008332086519</v>
      </c>
      <c r="B810" s="1" t="str">
        <f ca="1">IFERROR(__xludf.DUMMYFUNCTION("""COMPUTED_VALUE"""),"Alex Jacinto")</f>
        <v>Alex Jacinto</v>
      </c>
      <c r="C810" s="1" t="str">
        <f ca="1">IFERROR(__xludf.DUMMYFUNCTION("""COMPUTED_VALUE"""),"Alex")</f>
        <v>Alex</v>
      </c>
      <c r="D810" s="1" t="str">
        <f ca="1">IFERROR(__xludf.DUMMYFUNCTION("""COMPUTED_VALUE"""),"Jacinto")</f>
        <v>Jacinto</v>
      </c>
      <c r="E810" s="1" t="str">
        <f ca="1">IFERROR(__xludf.DUMMYFUNCTION("""COMPUTED_VALUE"""),"Kaya ayaw umasenso ng Pilipinas, dahil sa mga political dynasty na yan, dapat i-implement ng husto ang anti dynasty law, for our beloved country to rise up.")</f>
        <v>Kaya ayaw umasenso ng Pilipinas, dahil sa mga political dynasty na yan, dapat i-implement ng husto ang anti dynasty law, for our beloved country to rise up.</v>
      </c>
      <c r="F810" s="1">
        <f ca="1">IFERROR(__xludf.DUMMYFUNCTION("""COMPUTED_VALUE"""),8)</f>
        <v>8</v>
      </c>
      <c r="G810" s="1" t="str">
        <f ca="1">IFERROR(__xludf.DUMMYFUNCTION("""COMPUTED_VALUE"""),"3 mos")</f>
        <v>3 mos</v>
      </c>
      <c r="H810" s="1" t="str">
        <f ca="1">IFERROR(__xludf.DUMMYFUNCTION("""COMPUTED_VALUE"""),"comment")</f>
        <v>comment</v>
      </c>
      <c r="I810"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10" s="1" t="str">
        <f ca="1">IFERROR(__xludf.DUMMYFUNCTION("""COMPUTED_VALUE"""),"2022-07-04T11:16:08.716Z")</f>
        <v>2022-07-04T11:16:08.716Z</v>
      </c>
    </row>
    <row r="811" spans="1:10" x14ac:dyDescent="0.2">
      <c r="A811" s="2" t="str">
        <f ca="1">IFERROR(__xludf.DUMMYFUNCTION("""COMPUTED_VALUE"""),"https://www.facebook.com/profile.php?id=100077412090788")</f>
        <v>https://www.facebook.com/profile.php?id=100077412090788</v>
      </c>
      <c r="B811" s="1" t="str">
        <f ca="1">IFERROR(__xludf.DUMMYFUNCTION("""COMPUTED_VALUE"""),"Ladymiles Enerio Belinario Bautista")</f>
        <v>Ladymiles Enerio Belinario Bautista</v>
      </c>
      <c r="C811" s="1" t="str">
        <f ca="1">IFERROR(__xludf.DUMMYFUNCTION("""COMPUTED_VALUE"""),"Ladymiles")</f>
        <v>Ladymiles</v>
      </c>
      <c r="D811" s="1" t="str">
        <f ca="1">IFERROR(__xludf.DUMMYFUNCTION("""COMPUTED_VALUE"""),"Enerio Belinario Bautista")</f>
        <v>Enerio Belinario Bautista</v>
      </c>
      <c r="E811" s="1" t="str">
        <f ca="1">IFERROR(__xludf.DUMMYFUNCTION("""COMPUTED_VALUE"""),"Iyak na mga pinklawans kaya niyo yan 🤣🤣🤣🤣")</f>
        <v>Iyak na mga pinklawans kaya niyo yan 🤣🤣🤣🤣</v>
      </c>
      <c r="F811" s="1">
        <f ca="1">IFERROR(__xludf.DUMMYFUNCTION("""COMPUTED_VALUE"""),1)</f>
        <v>1</v>
      </c>
      <c r="G811" s="1" t="str">
        <f ca="1">IFERROR(__xludf.DUMMYFUNCTION("""COMPUTED_VALUE"""),"3 mos")</f>
        <v>3 mos</v>
      </c>
      <c r="H811" s="1" t="str">
        <f ca="1">IFERROR(__xludf.DUMMYFUNCTION("""COMPUTED_VALUE"""),"comment")</f>
        <v>comment</v>
      </c>
      <c r="I811"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11" s="1" t="str">
        <f ca="1">IFERROR(__xludf.DUMMYFUNCTION("""COMPUTED_VALUE"""),"2022-07-04T11:16:08.716Z")</f>
        <v>2022-07-04T11:16:08.716Z</v>
      </c>
    </row>
    <row r="812" spans="1:10" x14ac:dyDescent="0.2">
      <c r="A812" s="2" t="str">
        <f ca="1">IFERROR(__xludf.DUMMYFUNCTION("""COMPUTED_VALUE"""),"https://www.facebook.com/helen.y.dizon")</f>
        <v>https://www.facebook.com/helen.y.dizon</v>
      </c>
      <c r="B812" s="1" t="str">
        <f ca="1">IFERROR(__xludf.DUMMYFUNCTION("""COMPUTED_VALUE"""),"Helen Yu Dizon")</f>
        <v>Helen Yu Dizon</v>
      </c>
      <c r="C812" s="1" t="str">
        <f ca="1">IFERROR(__xludf.DUMMYFUNCTION("""COMPUTED_VALUE"""),"Helen")</f>
        <v>Helen</v>
      </c>
      <c r="D812" s="1" t="str">
        <f ca="1">IFERROR(__xludf.DUMMYFUNCTION("""COMPUTED_VALUE"""),"Yu Dizon")</f>
        <v>Yu Dizon</v>
      </c>
      <c r="E812" s="1" t="str">
        <f ca="1">IFERROR(__xludf.DUMMYFUNCTION("""COMPUTED_VALUE"""),"Its clear - these Marcoses want POWER over everyone, anyone. The GREED. Please mga  kababayan ko, gising po. May oras at chance oa nating mabago … dahil after election … wala na tayong kapangyarihan. Gamitin natin ang Boto na mailagay ang matino at walang"&amp;" bahid ng kurapsyon at lider na may totoong puso sa tao. Lubog na ang pilipino, gamitin natin ang natitirang lakas pra sa ikabubuti ng ating bansa. Pinamumugaran tayo ng mga GANID AT hayok sa kapangyarihan… pami pamilya na silang gustong umupo kasama ng m"&amp;"ga kauri nila… yan ang matinding dagok sa kinabukasan ng Pilipino. Dasal po na magawa natin ang tama.")</f>
        <v>Its clear - these Marcoses want POWER over everyone, anyone. The GREED. Please mga  kababayan ko, gising po. May oras at chance oa nating mabago … dahil after election … wala na tayong kapangyarihan. Gamitin natin ang Boto na mailagay ang matino at walang bahid ng kurapsyon at lider na may totoong puso sa tao. Lubog na ang pilipino, gamitin natin ang natitirang lakas pra sa ikabubuti ng ating bansa. Pinamumugaran tayo ng mga GANID AT hayok sa kapangyarihan… pami pamilya na silang gustong umupo kasama ng mga kauri nila… yan ang matinding dagok sa kinabukasan ng Pilipino. Dasal po na magawa natin ang tama.</v>
      </c>
      <c r="F812" s="1">
        <f ca="1">IFERROR(__xludf.DUMMYFUNCTION("""COMPUTED_VALUE"""),1)</f>
        <v>1</v>
      </c>
      <c r="G812" s="1" t="str">
        <f ca="1">IFERROR(__xludf.DUMMYFUNCTION("""COMPUTED_VALUE"""),"3 mos")</f>
        <v>3 mos</v>
      </c>
      <c r="H812" s="1" t="str">
        <f ca="1">IFERROR(__xludf.DUMMYFUNCTION("""COMPUTED_VALUE"""),"comment")</f>
        <v>comment</v>
      </c>
      <c r="I812"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12" s="1" t="str">
        <f ca="1">IFERROR(__xludf.DUMMYFUNCTION("""COMPUTED_VALUE"""),"2022-07-04T11:16:08.716Z")</f>
        <v>2022-07-04T11:16:08.716Z</v>
      </c>
    </row>
    <row r="813" spans="1:10" x14ac:dyDescent="0.2">
      <c r="A813" s="2" t="str">
        <f ca="1">IFERROR(__xludf.DUMMYFUNCTION("""COMPUTED_VALUE"""),"https://www.facebook.com/rose.orain")</f>
        <v>https://www.facebook.com/rose.orain</v>
      </c>
      <c r="B813" s="1" t="str">
        <f ca="1">IFERROR(__xludf.DUMMYFUNCTION("""COMPUTED_VALUE"""),"Sweetty Pie Dz Roze")</f>
        <v>Sweetty Pie Dz Roze</v>
      </c>
      <c r="C813" s="1" t="str">
        <f ca="1">IFERROR(__xludf.DUMMYFUNCTION("""COMPUTED_VALUE"""),"Sweetty")</f>
        <v>Sweetty</v>
      </c>
      <c r="D813" s="1" t="str">
        <f ca="1">IFERROR(__xludf.DUMMYFUNCTION("""COMPUTED_VALUE"""),"Pie Dz Roze")</f>
        <v>Pie Dz Roze</v>
      </c>
      <c r="E813" s="1" t="str">
        <f ca="1">IFERROR(__xludf.DUMMYFUNCTION("""COMPUTED_VALUE"""),"For me,dynasty is the best 👍because if we want to improve our towns or city.madali lang malapitan ang familya mo.ang projects  tutulungan ka kaya madali lang maaprove.pero paghindi ka kadikit at iba and partido mo. Hindi ka tutulungan.that's politics.")</f>
        <v>For me,dynasty is the best 👍because if we want to improve our towns or city.madali lang malapitan ang familya mo.ang projects  tutulungan ka kaya madali lang maaprove.pero paghindi ka kadikit at iba and partido mo. Hindi ka tutulungan.that's politics.</v>
      </c>
      <c r="F813" s="1">
        <f ca="1">IFERROR(__xludf.DUMMYFUNCTION("""COMPUTED_VALUE"""),9)</f>
        <v>9</v>
      </c>
      <c r="G813" s="1" t="str">
        <f ca="1">IFERROR(__xludf.DUMMYFUNCTION("""COMPUTED_VALUE"""),"3 mos")</f>
        <v>3 mos</v>
      </c>
      <c r="H813" s="1" t="str">
        <f ca="1">IFERROR(__xludf.DUMMYFUNCTION("""COMPUTED_VALUE"""),"comment")</f>
        <v>comment</v>
      </c>
      <c r="I813"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13" s="1" t="str">
        <f ca="1">IFERROR(__xludf.DUMMYFUNCTION("""COMPUTED_VALUE"""),"2022-07-04T11:16:08.716Z")</f>
        <v>2022-07-04T11:16:08.716Z</v>
      </c>
    </row>
    <row r="814" spans="1:10" x14ac:dyDescent="0.2">
      <c r="A814" s="2" t="str">
        <f ca="1">IFERROR(__xludf.DUMMYFUNCTION("""COMPUTED_VALUE"""),"https://www.facebook.com/virgenia.estrada.1")</f>
        <v>https://www.facebook.com/virgenia.estrada.1</v>
      </c>
      <c r="B814" s="1" t="str">
        <f ca="1">IFERROR(__xludf.DUMMYFUNCTION("""COMPUTED_VALUE"""),"Virginia Estrada")</f>
        <v>Virginia Estrada</v>
      </c>
      <c r="C814" s="1" t="str">
        <f ca="1">IFERROR(__xludf.DUMMYFUNCTION("""COMPUTED_VALUE"""),"Virginia")</f>
        <v>Virginia</v>
      </c>
      <c r="D814" s="1" t="str">
        <f ca="1">IFERROR(__xludf.DUMMYFUNCTION("""COMPUTED_VALUE"""),"Estrada")</f>
        <v>Estrada</v>
      </c>
      <c r="E814" s="1" t="str">
        <f ca="1">IFERROR(__xludf.DUMMYFUNCTION("""COMPUTED_VALUE"""),"Serbisyo nila ang hinahanap ng mamamayan kaya sila binoboto at  pinipili ng mga Ilokano hindi sila sugarol kgya ng ibang poltiko")</f>
        <v>Serbisyo nila ang hinahanap ng mamamayan kaya sila binoboto at  pinipili ng mga Ilokano hindi sila sugarol kgya ng ibang poltiko</v>
      </c>
      <c r="F814" s="1">
        <f ca="1">IFERROR(__xludf.DUMMYFUNCTION("""COMPUTED_VALUE"""),14)</f>
        <v>14</v>
      </c>
      <c r="G814" s="1" t="str">
        <f ca="1">IFERROR(__xludf.DUMMYFUNCTION("""COMPUTED_VALUE"""),"3 mos")</f>
        <v>3 mos</v>
      </c>
      <c r="H814" s="1" t="str">
        <f ca="1">IFERROR(__xludf.DUMMYFUNCTION("""COMPUTED_VALUE"""),"comment")</f>
        <v>comment</v>
      </c>
      <c r="I814"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14" s="1" t="str">
        <f ca="1">IFERROR(__xludf.DUMMYFUNCTION("""COMPUTED_VALUE"""),"2022-07-04T11:16:08.716Z")</f>
        <v>2022-07-04T11:16:08.716Z</v>
      </c>
    </row>
    <row r="815" spans="1:10" x14ac:dyDescent="0.2">
      <c r="A815" s="2" t="str">
        <f ca="1">IFERROR(__xludf.DUMMYFUNCTION("""COMPUTED_VALUE"""),"https://www.facebook.com/profile.php?id=100007389911616")</f>
        <v>https://www.facebook.com/profile.php?id=100007389911616</v>
      </c>
      <c r="B815" s="1" t="str">
        <f ca="1">IFERROR(__xludf.DUMMYFUNCTION("""COMPUTED_VALUE"""),"Omar Castro")</f>
        <v>Omar Castro</v>
      </c>
      <c r="C815" s="1" t="str">
        <f ca="1">IFERROR(__xludf.DUMMYFUNCTION("""COMPUTED_VALUE"""),"Omar")</f>
        <v>Omar</v>
      </c>
      <c r="D815" s="1" t="str">
        <f ca="1">IFERROR(__xludf.DUMMYFUNCTION("""COMPUTED_VALUE"""),"Castro")</f>
        <v>Castro</v>
      </c>
      <c r="E815" s="1" t="str">
        <f ca="1">IFERROR(__xludf.DUMMYFUNCTION("""COMPUTED_VALUE"""),"Virginia Estrada ang Tanong bkit Hindi umuunlad ang Probinsya Nila 😉")</f>
        <v>Virginia Estrada ang Tanong bkit Hindi umuunlad ang Probinsya Nila 😉</v>
      </c>
      <c r="F815" s="1">
        <f ca="1">IFERROR(__xludf.DUMMYFUNCTION("""COMPUTED_VALUE"""),3)</f>
        <v>3</v>
      </c>
      <c r="G815" s="1" t="str">
        <f ca="1">IFERROR(__xludf.DUMMYFUNCTION("""COMPUTED_VALUE"""),"3 mos")</f>
        <v>3 mos</v>
      </c>
      <c r="H815" s="1" t="str">
        <f ca="1">IFERROR(__xludf.DUMMYFUNCTION("""COMPUTED_VALUE"""),"reply")</f>
        <v>reply</v>
      </c>
      <c r="I815"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15" s="1" t="str">
        <f ca="1">IFERROR(__xludf.DUMMYFUNCTION("""COMPUTED_VALUE"""),"2022-07-04T11:16:08.716Z")</f>
        <v>2022-07-04T11:16:08.716Z</v>
      </c>
    </row>
    <row r="816" spans="1:10" x14ac:dyDescent="0.2">
      <c r="A816" s="2" t="str">
        <f ca="1">IFERROR(__xludf.DUMMYFUNCTION("""COMPUTED_VALUE"""),"https://www.facebook.com/virgenia.estrada.1")</f>
        <v>https://www.facebook.com/virgenia.estrada.1</v>
      </c>
      <c r="B816" s="1" t="str">
        <f ca="1">IFERROR(__xludf.DUMMYFUNCTION("""COMPUTED_VALUE"""),"Virginia Estrada")</f>
        <v>Virginia Estrada</v>
      </c>
      <c r="C816" s="1" t="str">
        <f ca="1">IFERROR(__xludf.DUMMYFUNCTION("""COMPUTED_VALUE"""),"Virginia")</f>
        <v>Virginia</v>
      </c>
      <c r="D816" s="1" t="str">
        <f ca="1">IFERROR(__xludf.DUMMYFUNCTION("""COMPUTED_VALUE"""),"Estrada")</f>
        <v>Estrada</v>
      </c>
      <c r="E816" s="1" t="str">
        <f ca="1">IFERROR(__xludf.DUMMYFUNCTION("""COMPUTED_VALUE"""),"Omar Castro ikaw lng ang may sabi at mga kakampink")</f>
        <v>Omar Castro ikaw lng ang may sabi at mga kakampink</v>
      </c>
      <c r="F816" s="1">
        <f ca="1">IFERROR(__xludf.DUMMYFUNCTION("""COMPUTED_VALUE"""),4)</f>
        <v>4</v>
      </c>
      <c r="G816" s="1" t="str">
        <f ca="1">IFERROR(__xludf.DUMMYFUNCTION("""COMPUTED_VALUE"""),"3 mos")</f>
        <v>3 mos</v>
      </c>
      <c r="H816" s="1" t="str">
        <f ca="1">IFERROR(__xludf.DUMMYFUNCTION("""COMPUTED_VALUE"""),"reply")</f>
        <v>reply</v>
      </c>
      <c r="I816"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16" s="1" t="str">
        <f ca="1">IFERROR(__xludf.DUMMYFUNCTION("""COMPUTED_VALUE"""),"2022-07-04T11:16:08.716Z")</f>
        <v>2022-07-04T11:16:08.716Z</v>
      </c>
    </row>
    <row r="817" spans="1:10" x14ac:dyDescent="0.2">
      <c r="A817" s="2" t="str">
        <f ca="1">IFERROR(__xludf.DUMMYFUNCTION("""COMPUTED_VALUE"""),"https://www.facebook.com/ramon.l.escueta")</f>
        <v>https://www.facebook.com/ramon.l.escueta</v>
      </c>
      <c r="B817" s="1" t="str">
        <f ca="1">IFERROR(__xludf.DUMMYFUNCTION("""COMPUTED_VALUE"""),"Ramon L. Escueta")</f>
        <v>Ramon L. Escueta</v>
      </c>
      <c r="C817" s="1" t="str">
        <f ca="1">IFERROR(__xludf.DUMMYFUNCTION("""COMPUTED_VALUE"""),"Ramon")</f>
        <v>Ramon</v>
      </c>
      <c r="D817" s="1" t="str">
        <f ca="1">IFERROR(__xludf.DUMMYFUNCTION("""COMPUTED_VALUE"""),"L. Escueta")</f>
        <v>L. Escueta</v>
      </c>
      <c r="E817" s="1" t="str">
        <f ca="1">IFERROR(__xludf.DUMMYFUNCTION("""COMPUTED_VALUE"""),"Politics is very profitable business😀")</f>
        <v>Politics is very profitable business😀</v>
      </c>
      <c r="F817" s="1">
        <f ca="1">IFERROR(__xludf.DUMMYFUNCTION("""COMPUTED_VALUE"""),9)</f>
        <v>9</v>
      </c>
      <c r="G817" s="1" t="str">
        <f ca="1">IFERROR(__xludf.DUMMYFUNCTION("""COMPUTED_VALUE"""),"3 mos")</f>
        <v>3 mos</v>
      </c>
      <c r="H817" s="1" t="str">
        <f ca="1">IFERROR(__xludf.DUMMYFUNCTION("""COMPUTED_VALUE"""),"comment")</f>
        <v>comment</v>
      </c>
      <c r="I817"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17" s="1" t="str">
        <f ca="1">IFERROR(__xludf.DUMMYFUNCTION("""COMPUTED_VALUE"""),"2022-07-04T11:16:08.716Z")</f>
        <v>2022-07-04T11:16:08.716Z</v>
      </c>
    </row>
    <row r="818" spans="1:10" x14ac:dyDescent="0.2">
      <c r="A818" s="2" t="str">
        <f ca="1">IFERROR(__xludf.DUMMYFUNCTION("""COMPUTED_VALUE"""),"https://www.facebook.com/rapkarl04")</f>
        <v>https://www.facebook.com/rapkarl04</v>
      </c>
      <c r="B818" s="1" t="str">
        <f ca="1">IFERROR(__xludf.DUMMYFUNCTION("""COMPUTED_VALUE"""),"Ralphs Carlo Centeno")</f>
        <v>Ralphs Carlo Centeno</v>
      </c>
      <c r="C818" s="1" t="str">
        <f ca="1">IFERROR(__xludf.DUMMYFUNCTION("""COMPUTED_VALUE"""),"Ralphs")</f>
        <v>Ralphs</v>
      </c>
      <c r="D818" s="1" t="str">
        <f ca="1">IFERROR(__xludf.DUMMYFUNCTION("""COMPUTED_VALUE"""),"Carlo Centeno")</f>
        <v>Carlo Centeno</v>
      </c>
      <c r="E818" s="1" t="str">
        <f ca="1">IFERROR(__xludf.DUMMYFUNCTION("""COMPUTED_VALUE"""),"Kleptocracy is a government whose corrupt leaders use political power to appropriate the wealth of the people and land they govern, typically by embezzling or misappropriating government funds at the expense of the wider population.🚩")</f>
        <v>Kleptocracy is a government whose corrupt leaders use political power to appropriate the wealth of the people and land they govern, typically by embezzling or misappropriating government funds at the expense of the wider population.🚩</v>
      </c>
      <c r="F818" s="1">
        <f ca="1">IFERROR(__xludf.DUMMYFUNCTION("""COMPUTED_VALUE"""),12)</f>
        <v>12</v>
      </c>
      <c r="G818" s="1" t="str">
        <f ca="1">IFERROR(__xludf.DUMMYFUNCTION("""COMPUTED_VALUE"""),"3 mos")</f>
        <v>3 mos</v>
      </c>
      <c r="H818" s="1" t="str">
        <f ca="1">IFERROR(__xludf.DUMMYFUNCTION("""COMPUTED_VALUE"""),"comment")</f>
        <v>comment</v>
      </c>
      <c r="I818"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18" s="1" t="str">
        <f ca="1">IFERROR(__xludf.DUMMYFUNCTION("""COMPUTED_VALUE"""),"2022-07-04T11:16:08.716Z")</f>
        <v>2022-07-04T11:16:08.716Z</v>
      </c>
    </row>
    <row r="819" spans="1:10" x14ac:dyDescent="0.2">
      <c r="A819" s="2" t="str">
        <f ca="1">IFERROR(__xludf.DUMMYFUNCTION("""COMPUTED_VALUE"""),"https://www.facebook.com/rodel.franco.925")</f>
        <v>https://www.facebook.com/rodel.franco.925</v>
      </c>
      <c r="B819" s="1" t="str">
        <f ca="1">IFERROR(__xludf.DUMMYFUNCTION("""COMPUTED_VALUE"""),"Franco Del")</f>
        <v>Franco Del</v>
      </c>
      <c r="C819" s="1" t="str">
        <f ca="1">IFERROR(__xludf.DUMMYFUNCTION("""COMPUTED_VALUE"""),"Franco")</f>
        <v>Franco</v>
      </c>
      <c r="D819" s="1" t="str">
        <f ca="1">IFERROR(__xludf.DUMMYFUNCTION("""COMPUTED_VALUE"""),"Del")</f>
        <v>Del</v>
      </c>
      <c r="E819" s="1" t="str">
        <f ca="1">IFERROR(__xludf.DUMMYFUNCTION("""COMPUTED_VALUE"""),"Fariñas are far better than Marcoses")</f>
        <v>Fariñas are far better than Marcoses</v>
      </c>
      <c r="F819" s="1">
        <f ca="1">IFERROR(__xludf.DUMMYFUNCTION("""COMPUTED_VALUE"""),7)</f>
        <v>7</v>
      </c>
      <c r="G819" s="1" t="str">
        <f ca="1">IFERROR(__xludf.DUMMYFUNCTION("""COMPUTED_VALUE"""),"3 mos")</f>
        <v>3 mos</v>
      </c>
      <c r="H819" s="1" t="str">
        <f ca="1">IFERROR(__xludf.DUMMYFUNCTION("""COMPUTED_VALUE"""),"comment")</f>
        <v>comment</v>
      </c>
      <c r="I819"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19" s="1" t="str">
        <f ca="1">IFERROR(__xludf.DUMMYFUNCTION("""COMPUTED_VALUE"""),"2022-07-04T11:16:08.716Z")</f>
        <v>2022-07-04T11:16:08.716Z</v>
      </c>
    </row>
    <row r="820" spans="1:10" x14ac:dyDescent="0.2">
      <c r="A820" s="2" t="str">
        <f ca="1">IFERROR(__xludf.DUMMYFUNCTION("""COMPUTED_VALUE"""),"https://www.facebook.com/profile.php?id=100002846509290")</f>
        <v>https://www.facebook.com/profile.php?id=100002846509290</v>
      </c>
      <c r="B820" s="1" t="str">
        <f ca="1">IFERROR(__xludf.DUMMYFUNCTION("""COMPUTED_VALUE"""),"Teng Vic Kabisote")</f>
        <v>Teng Vic Kabisote</v>
      </c>
      <c r="C820" s="1" t="str">
        <f ca="1">IFERROR(__xludf.DUMMYFUNCTION("""COMPUTED_VALUE"""),"Teng")</f>
        <v>Teng</v>
      </c>
      <c r="D820" s="1" t="str">
        <f ca="1">IFERROR(__xludf.DUMMYFUNCTION("""COMPUTED_VALUE"""),"Vic Kabisote")</f>
        <v>Vic Kabisote</v>
      </c>
      <c r="E820" s="1" t="str">
        <f ca="1">IFERROR(__xludf.DUMMYFUNCTION("""COMPUTED_VALUE"""),"Tumakbo kau sa ilocos norte, para may choice sila.. 😂🤣😂😂")</f>
        <v>Tumakbo kau sa ilocos norte, para may choice sila.. 😂🤣😂😂</v>
      </c>
      <c r="F820" s="1"/>
      <c r="G820" s="1" t="str">
        <f ca="1">IFERROR(__xludf.DUMMYFUNCTION("""COMPUTED_VALUE"""),"3 mos")</f>
        <v>3 mos</v>
      </c>
      <c r="H820" s="1" t="str">
        <f ca="1">IFERROR(__xludf.DUMMYFUNCTION("""COMPUTED_VALUE"""),"comment")</f>
        <v>comment</v>
      </c>
      <c r="I820"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20" s="1" t="str">
        <f ca="1">IFERROR(__xludf.DUMMYFUNCTION("""COMPUTED_VALUE"""),"2022-07-04T11:16:08.717Z")</f>
        <v>2022-07-04T11:16:08.717Z</v>
      </c>
    </row>
    <row r="821" spans="1:10" x14ac:dyDescent="0.2">
      <c r="A821" s="2" t="str">
        <f ca="1">IFERROR(__xludf.DUMMYFUNCTION("""COMPUTED_VALUE"""),"https://www.facebook.com/0menP0")</f>
        <v>https://www.facebook.com/0menP0</v>
      </c>
      <c r="B821" s="1" t="str">
        <f ca="1">IFERROR(__xludf.DUMMYFUNCTION("""COMPUTED_VALUE"""),"Omen Po")</f>
        <v>Omen Po</v>
      </c>
      <c r="C821" s="1" t="str">
        <f ca="1">IFERROR(__xludf.DUMMYFUNCTION("""COMPUTED_VALUE"""),"Omen")</f>
        <v>Omen</v>
      </c>
      <c r="D821" s="1" t="str">
        <f ca="1">IFERROR(__xludf.DUMMYFUNCTION("""COMPUTED_VALUE"""),"Po")</f>
        <v>Po</v>
      </c>
      <c r="E821" s="1" t="str">
        <f ca="1">IFERROR(__xludf.DUMMYFUNCTION("""COMPUTED_VALUE"""),"Ang malas naman pala talaga ng mga taga Ilocos Norte... namimili kung sinong buwaya ang ihahalal")</f>
        <v>Ang malas naman pala talaga ng mga taga Ilocos Norte... namimili kung sinong buwaya ang ihahalal</v>
      </c>
      <c r="F821" s="1">
        <f ca="1">IFERROR(__xludf.DUMMYFUNCTION("""COMPUTED_VALUE"""),7)</f>
        <v>7</v>
      </c>
      <c r="G821" s="1" t="str">
        <f ca="1">IFERROR(__xludf.DUMMYFUNCTION("""COMPUTED_VALUE"""),"3 mos")</f>
        <v>3 mos</v>
      </c>
      <c r="H821" s="1" t="str">
        <f ca="1">IFERROR(__xludf.DUMMYFUNCTION("""COMPUTED_VALUE"""),"comment")</f>
        <v>comment</v>
      </c>
      <c r="I821"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21" s="1" t="str">
        <f ca="1">IFERROR(__xludf.DUMMYFUNCTION("""COMPUTED_VALUE"""),"2022-07-04T11:16:08.717Z")</f>
        <v>2022-07-04T11:16:08.717Z</v>
      </c>
    </row>
    <row r="822" spans="1:10" x14ac:dyDescent="0.2">
      <c r="A822" s="2" t="str">
        <f ca="1">IFERROR(__xludf.DUMMYFUNCTION("""COMPUTED_VALUE"""),"https://www.facebook.com/jun.dizon.129")</f>
        <v>https://www.facebook.com/jun.dizon.129</v>
      </c>
      <c r="B822" s="1" t="str">
        <f ca="1">IFERROR(__xludf.DUMMYFUNCTION("""COMPUTED_VALUE"""),"Jun Dizon")</f>
        <v>Jun Dizon</v>
      </c>
      <c r="C822" s="1" t="str">
        <f ca="1">IFERROR(__xludf.DUMMYFUNCTION("""COMPUTED_VALUE"""),"Jun")</f>
        <v>Jun</v>
      </c>
      <c r="D822" s="1" t="str">
        <f ca="1">IFERROR(__xludf.DUMMYFUNCTION("""COMPUTED_VALUE"""),"Dizon")</f>
        <v>Dizon</v>
      </c>
      <c r="E822" s="1" t="str">
        <f ca="1">IFERROR(__xludf.DUMMYFUNCTION("""COMPUTED_VALUE"""),"Hindi kayo kasama sa plano nila…pamilya lang nila ang poprotektahan nila")</f>
        <v>Hindi kayo kasama sa plano nila…pamilya lang nila ang poprotektahan nila</v>
      </c>
      <c r="F822" s="1">
        <f ca="1">IFERROR(__xludf.DUMMYFUNCTION("""COMPUTED_VALUE"""),2)</f>
        <v>2</v>
      </c>
      <c r="G822" s="1" t="str">
        <f ca="1">IFERROR(__xludf.DUMMYFUNCTION("""COMPUTED_VALUE"""),"3 mos")</f>
        <v>3 mos</v>
      </c>
      <c r="H822" s="1" t="str">
        <f ca="1">IFERROR(__xludf.DUMMYFUNCTION("""COMPUTED_VALUE"""),"comment")</f>
        <v>comment</v>
      </c>
      <c r="I822"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22" s="1" t="str">
        <f ca="1">IFERROR(__xludf.DUMMYFUNCTION("""COMPUTED_VALUE"""),"2022-07-04T11:16:08.717Z")</f>
        <v>2022-07-04T11:16:08.717Z</v>
      </c>
    </row>
    <row r="823" spans="1:10" x14ac:dyDescent="0.2">
      <c r="A823" s="2" t="str">
        <f ca="1">IFERROR(__xludf.DUMMYFUNCTION("""COMPUTED_VALUE"""),"https://www.facebook.com/nes.jularbal.69")</f>
        <v>https://www.facebook.com/nes.jularbal.69</v>
      </c>
      <c r="B823" s="1" t="str">
        <f ca="1">IFERROR(__xludf.DUMMYFUNCTION("""COMPUTED_VALUE"""),"Nes Jularbal")</f>
        <v>Nes Jularbal</v>
      </c>
      <c r="C823" s="1" t="str">
        <f ca="1">IFERROR(__xludf.DUMMYFUNCTION("""COMPUTED_VALUE"""),"Nes")</f>
        <v>Nes</v>
      </c>
      <c r="D823" s="1" t="str">
        <f ca="1">IFERROR(__xludf.DUMMYFUNCTION("""COMPUTED_VALUE"""),"Jularbal")</f>
        <v>Jularbal</v>
      </c>
      <c r="E823" s="1" t="str">
        <f ca="1">IFERROR(__xludf.DUMMYFUNCTION("""COMPUTED_VALUE"""),"Magtiis kayo. Gusto niyo yan e. 4th CLASS FOREVER!! 🤣🤣🤣")</f>
        <v>Magtiis kayo. Gusto niyo yan e. 4th CLASS FOREVER!! 🤣🤣🤣</v>
      </c>
      <c r="F823" s="1"/>
      <c r="G823" s="1" t="str">
        <f ca="1">IFERROR(__xludf.DUMMYFUNCTION("""COMPUTED_VALUE"""),"3 mos")</f>
        <v>3 mos</v>
      </c>
      <c r="H823" s="1" t="str">
        <f ca="1">IFERROR(__xludf.DUMMYFUNCTION("""COMPUTED_VALUE"""),"comment")</f>
        <v>comment</v>
      </c>
      <c r="I823"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23" s="1" t="str">
        <f ca="1">IFERROR(__xludf.DUMMYFUNCTION("""COMPUTED_VALUE"""),"2022-07-04T11:16:08.717Z")</f>
        <v>2022-07-04T11:16:08.717Z</v>
      </c>
    </row>
    <row r="824" spans="1:10" x14ac:dyDescent="0.2">
      <c r="A824" s="2" t="str">
        <f ca="1">IFERROR(__xludf.DUMMYFUNCTION("""COMPUTED_VALUE"""),"https://www.facebook.com/antondee60")</f>
        <v>https://www.facebook.com/antondee60</v>
      </c>
      <c r="B824" s="1" t="str">
        <f ca="1">IFERROR(__xludf.DUMMYFUNCTION("""COMPUTED_VALUE"""),"Antonio Dee")</f>
        <v>Antonio Dee</v>
      </c>
      <c r="C824" s="1" t="str">
        <f ca="1">IFERROR(__xludf.DUMMYFUNCTION("""COMPUTED_VALUE"""),"Antonio")</f>
        <v>Antonio</v>
      </c>
      <c r="D824" s="1" t="str">
        <f ca="1">IFERROR(__xludf.DUMMYFUNCTION("""COMPUTED_VALUE"""),"Dee")</f>
        <v>Dee</v>
      </c>
      <c r="E824" s="1" t="str">
        <f ca="1">IFERROR(__xludf.DUMMYFUNCTION("""COMPUTED_VALUE"""),"Political dynasty strategy is for people to remain poor so they could buy their vote easily")</f>
        <v>Political dynasty strategy is for people to remain poor so they could buy their vote easily</v>
      </c>
      <c r="F824" s="1">
        <f ca="1">IFERROR(__xludf.DUMMYFUNCTION("""COMPUTED_VALUE"""),19)</f>
        <v>19</v>
      </c>
      <c r="G824" s="1" t="str">
        <f ca="1">IFERROR(__xludf.DUMMYFUNCTION("""COMPUTED_VALUE"""),"3 mos")</f>
        <v>3 mos</v>
      </c>
      <c r="H824" s="1" t="str">
        <f ca="1">IFERROR(__xludf.DUMMYFUNCTION("""COMPUTED_VALUE"""),"comment")</f>
        <v>comment</v>
      </c>
      <c r="I824"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24" s="1" t="str">
        <f ca="1">IFERROR(__xludf.DUMMYFUNCTION("""COMPUTED_VALUE"""),"2022-07-04T11:16:08.717Z")</f>
        <v>2022-07-04T11:16:08.717Z</v>
      </c>
    </row>
    <row r="825" spans="1:10" x14ac:dyDescent="0.2">
      <c r="A825" s="2" t="str">
        <f ca="1">IFERROR(__xludf.DUMMYFUNCTION("""COMPUTED_VALUE"""),"https://www.facebook.com/DBTunacao")</f>
        <v>https://www.facebook.com/DBTunacao</v>
      </c>
      <c r="B825" s="1" t="str">
        <f ca="1">IFERROR(__xludf.DUMMYFUNCTION("""COMPUTED_VALUE"""),"DB Tunacao")</f>
        <v>DB Tunacao</v>
      </c>
      <c r="C825" s="1" t="str">
        <f ca="1">IFERROR(__xludf.DUMMYFUNCTION("""COMPUTED_VALUE"""),"DB")</f>
        <v>DB</v>
      </c>
      <c r="D825" s="1" t="str">
        <f ca="1">IFERROR(__xludf.DUMMYFUNCTION("""COMPUTED_VALUE"""),"Tunacao")</f>
        <v>Tunacao</v>
      </c>
      <c r="E825" s="1" t="str">
        <f ca="1">IFERROR(__xludf.DUMMYFUNCTION("""COMPUTED_VALUE"""),"Antonio Dee true")</f>
        <v>Antonio Dee true</v>
      </c>
      <c r="F825" s="1"/>
      <c r="G825" s="1" t="str">
        <f ca="1">IFERROR(__xludf.DUMMYFUNCTION("""COMPUTED_VALUE"""),"3 mos")</f>
        <v>3 mos</v>
      </c>
      <c r="H825" s="1" t="str">
        <f ca="1">IFERROR(__xludf.DUMMYFUNCTION("""COMPUTED_VALUE"""),"reply")</f>
        <v>reply</v>
      </c>
      <c r="I825"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25" s="1" t="str">
        <f ca="1">IFERROR(__xludf.DUMMYFUNCTION("""COMPUTED_VALUE"""),"2022-07-04T11:16:08.717Z")</f>
        <v>2022-07-04T11:16:08.717Z</v>
      </c>
    </row>
    <row r="826" spans="1:10" x14ac:dyDescent="0.2">
      <c r="A826" s="2" t="str">
        <f ca="1">IFERROR(__xludf.DUMMYFUNCTION("""COMPUTED_VALUE"""),"https://www.facebook.com/ZenUnchi")</f>
        <v>https://www.facebook.com/ZenUnchi</v>
      </c>
      <c r="B826" s="1" t="str">
        <f ca="1">IFERROR(__xludf.DUMMYFUNCTION("""COMPUTED_VALUE"""),"Mackerz San Diego Racuya")</f>
        <v>Mackerz San Diego Racuya</v>
      </c>
      <c r="C826" s="1" t="str">
        <f ca="1">IFERROR(__xludf.DUMMYFUNCTION("""COMPUTED_VALUE"""),"Mackerz")</f>
        <v>Mackerz</v>
      </c>
      <c r="D826" s="1" t="str">
        <f ca="1">IFERROR(__xludf.DUMMYFUNCTION("""COMPUTED_VALUE"""),"San Diego Racuya")</f>
        <v>San Diego Racuya</v>
      </c>
      <c r="E826" s="1" t="str">
        <f ca="1">IFERROR(__xludf.DUMMYFUNCTION("""COMPUTED_VALUE"""),"We are Filipinos living in a Democratic country so Let the people decide!!! May political Dynasty kc cla ang gustong iboto ng tao, kaya hnd ang politiko ang May dahilan ng Dynasty..pag ayaw s politiko wag iboto un lng un")</f>
        <v>We are Filipinos living in a Democratic country so Let the people decide!!! May political Dynasty kc cla ang gustong iboto ng tao, kaya hnd ang politiko ang May dahilan ng Dynasty..pag ayaw s politiko wag iboto un lng un</v>
      </c>
      <c r="F826" s="1"/>
      <c r="G826" s="1" t="str">
        <f ca="1">IFERROR(__xludf.DUMMYFUNCTION("""COMPUTED_VALUE"""),"3 mos")</f>
        <v>3 mos</v>
      </c>
      <c r="H826" s="1" t="str">
        <f ca="1">IFERROR(__xludf.DUMMYFUNCTION("""COMPUTED_VALUE"""),"comment")</f>
        <v>comment</v>
      </c>
      <c r="I826"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26" s="1" t="str">
        <f ca="1">IFERROR(__xludf.DUMMYFUNCTION("""COMPUTED_VALUE"""),"2022-07-04T11:16:08.717Z")</f>
        <v>2022-07-04T11:16:08.717Z</v>
      </c>
    </row>
    <row r="827" spans="1:10" x14ac:dyDescent="0.2">
      <c r="A827" s="2" t="str">
        <f ca="1">IFERROR(__xludf.DUMMYFUNCTION("""COMPUTED_VALUE"""),"https://www.facebook.com/oteng.gai")</f>
        <v>https://www.facebook.com/oteng.gai</v>
      </c>
      <c r="B827" s="1" t="str">
        <f ca="1">IFERROR(__xludf.DUMMYFUNCTION("""COMPUTED_VALUE"""),"Oteng Gai")</f>
        <v>Oteng Gai</v>
      </c>
      <c r="C827" s="1" t="str">
        <f ca="1">IFERROR(__xludf.DUMMYFUNCTION("""COMPUTED_VALUE"""),"Oteng")</f>
        <v>Oteng</v>
      </c>
      <c r="D827" s="1" t="str">
        <f ca="1">IFERROR(__xludf.DUMMYFUNCTION("""COMPUTED_VALUE"""),"Gai")</f>
        <v>Gai</v>
      </c>
      <c r="E827" s="1" t="str">
        <f ca="1">IFERROR(__xludf.DUMMYFUNCTION("""COMPUTED_VALUE"""),"Ano nangyari s political dynasty ni digong")</f>
        <v>Ano nangyari s political dynasty ni digong</v>
      </c>
      <c r="F827" s="1"/>
      <c r="G827" s="1" t="str">
        <f ca="1">IFERROR(__xludf.DUMMYFUNCTION("""COMPUTED_VALUE"""),"3 mos")</f>
        <v>3 mos</v>
      </c>
      <c r="H827" s="1" t="str">
        <f ca="1">IFERROR(__xludf.DUMMYFUNCTION("""COMPUTED_VALUE"""),"comment")</f>
        <v>comment</v>
      </c>
      <c r="I827"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27" s="1" t="str">
        <f ca="1">IFERROR(__xludf.DUMMYFUNCTION("""COMPUTED_VALUE"""),"2022-07-04T11:16:08.717Z")</f>
        <v>2022-07-04T11:16:08.717Z</v>
      </c>
    </row>
    <row r="828" spans="1:10" x14ac:dyDescent="0.2">
      <c r="A828" s="2" t="str">
        <f ca="1">IFERROR(__xludf.DUMMYFUNCTION("""COMPUTED_VALUE"""),"https://www.facebook.com/Derolferrot")</f>
        <v>https://www.facebook.com/Derolferrot</v>
      </c>
      <c r="B828" s="1" t="str">
        <f ca="1">IFERROR(__xludf.DUMMYFUNCTION("""COMPUTED_VALUE"""),"Roland Dela Torre")</f>
        <v>Roland Dela Torre</v>
      </c>
      <c r="C828" s="1" t="str">
        <f ca="1">IFERROR(__xludf.DUMMYFUNCTION("""COMPUTED_VALUE"""),"Roland")</f>
        <v>Roland</v>
      </c>
      <c r="D828" s="1" t="str">
        <f ca="1">IFERROR(__xludf.DUMMYFUNCTION("""COMPUTED_VALUE"""),"Dela Torre")</f>
        <v>Dela Torre</v>
      </c>
      <c r="E828" s="1" t="str">
        <f ca="1">IFERROR(__xludf.DUMMYFUNCTION("""COMPUTED_VALUE"""),"Bagong dugo sana sa Ilocos. Baka mareporma pa yan.")</f>
        <v>Bagong dugo sana sa Ilocos. Baka mareporma pa yan.</v>
      </c>
      <c r="F828" s="1">
        <f ca="1">IFERROR(__xludf.DUMMYFUNCTION("""COMPUTED_VALUE"""),11)</f>
        <v>11</v>
      </c>
      <c r="G828" s="1" t="str">
        <f ca="1">IFERROR(__xludf.DUMMYFUNCTION("""COMPUTED_VALUE"""),"3 mos")</f>
        <v>3 mos</v>
      </c>
      <c r="H828" s="1" t="str">
        <f ca="1">IFERROR(__xludf.DUMMYFUNCTION("""COMPUTED_VALUE"""),"comment")</f>
        <v>comment</v>
      </c>
      <c r="I828"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28" s="1" t="str">
        <f ca="1">IFERROR(__xludf.DUMMYFUNCTION("""COMPUTED_VALUE"""),"2022-07-04T11:16:08.717Z")</f>
        <v>2022-07-04T11:16:08.717Z</v>
      </c>
    </row>
    <row r="829" spans="1:10" x14ac:dyDescent="0.2">
      <c r="A829" s="2" t="str">
        <f ca="1">IFERROR(__xludf.DUMMYFUNCTION("""COMPUTED_VALUE"""),"https://www.facebook.com/henkendeman")</f>
        <v>https://www.facebook.com/henkendeman</v>
      </c>
      <c r="B829" s="1" t="str">
        <f ca="1">IFERROR(__xludf.DUMMYFUNCTION("""COMPUTED_VALUE"""),"Hendrik Endeman")</f>
        <v>Hendrik Endeman</v>
      </c>
      <c r="C829" s="1" t="str">
        <f ca="1">IFERROR(__xludf.DUMMYFUNCTION("""COMPUTED_VALUE"""),"Hendrik")</f>
        <v>Hendrik</v>
      </c>
      <c r="D829" s="1" t="str">
        <f ca="1">IFERROR(__xludf.DUMMYFUNCTION("""COMPUTED_VALUE"""),"Endeman")</f>
        <v>Endeman</v>
      </c>
      <c r="E829" s="1" t="str">
        <f ca="1">IFERROR(__xludf.DUMMYFUNCTION("""COMPUTED_VALUE"""),"Away with dynasties !!!")</f>
        <v>Away with dynasties !!!</v>
      </c>
      <c r="F829" s="1"/>
      <c r="G829" s="1" t="str">
        <f ca="1">IFERROR(__xludf.DUMMYFUNCTION("""COMPUTED_VALUE"""),"3 mos")</f>
        <v>3 mos</v>
      </c>
      <c r="H829" s="1" t="str">
        <f ca="1">IFERROR(__xludf.DUMMYFUNCTION("""COMPUTED_VALUE"""),"comment")</f>
        <v>comment</v>
      </c>
      <c r="I829"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29" s="1" t="str">
        <f ca="1">IFERROR(__xludf.DUMMYFUNCTION("""COMPUTED_VALUE"""),"2022-07-04T11:16:08.717Z")</f>
        <v>2022-07-04T11:16:08.717Z</v>
      </c>
    </row>
    <row r="830" spans="1:10" x14ac:dyDescent="0.2">
      <c r="A830" s="2" t="str">
        <f ca="1">IFERROR(__xludf.DUMMYFUNCTION("""COMPUTED_VALUE"""),"https://www.facebook.com/profile.php?id=100078647222981")</f>
        <v>https://www.facebook.com/profile.php?id=100078647222981</v>
      </c>
      <c r="B830" s="1" t="str">
        <f ca="1">IFERROR(__xludf.DUMMYFUNCTION("""COMPUTED_VALUE"""),"Roger Juan Full")</f>
        <v>Roger Juan Full</v>
      </c>
      <c r="C830" s="1" t="str">
        <f ca="1">IFERROR(__xludf.DUMMYFUNCTION("""COMPUTED_VALUE"""),"Roger")</f>
        <v>Roger</v>
      </c>
      <c r="D830" s="1" t="str">
        <f ca="1">IFERROR(__xludf.DUMMYFUNCTION("""COMPUTED_VALUE"""),"Juan Full")</f>
        <v>Juan Full</v>
      </c>
      <c r="E830" s="1" t="str">
        <f ca="1">IFERROR(__xludf.DUMMYFUNCTION("""COMPUTED_VALUE"""),"Kawawang ilocos norte napagkaisahan na iboto nyo pa din until now still 4th class province ang home town ni bleng blong")</f>
        <v>Kawawang ilocos norte napagkaisahan na iboto nyo pa din until now still 4th class province ang home town ni bleng blong</v>
      </c>
      <c r="F830" s="1">
        <f ca="1">IFERROR(__xludf.DUMMYFUNCTION("""COMPUTED_VALUE"""),11)</f>
        <v>11</v>
      </c>
      <c r="G830" s="1" t="str">
        <f ca="1">IFERROR(__xludf.DUMMYFUNCTION("""COMPUTED_VALUE"""),"3 mos")</f>
        <v>3 mos</v>
      </c>
      <c r="H830" s="1" t="str">
        <f ca="1">IFERROR(__xludf.DUMMYFUNCTION("""COMPUTED_VALUE"""),"comment")</f>
        <v>comment</v>
      </c>
      <c r="I830"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30" s="1" t="str">
        <f ca="1">IFERROR(__xludf.DUMMYFUNCTION("""COMPUTED_VALUE"""),"2022-07-04T11:16:08.717Z")</f>
        <v>2022-07-04T11:16:08.717Z</v>
      </c>
    </row>
    <row r="831" spans="1:10" x14ac:dyDescent="0.2">
      <c r="A831" s="2" t="str">
        <f ca="1">IFERROR(__xludf.DUMMYFUNCTION("""COMPUTED_VALUE"""),"https://www.facebook.com/mabelen.a.cartago")</f>
        <v>https://www.facebook.com/mabelen.a.cartago</v>
      </c>
      <c r="B831" s="1" t="str">
        <f ca="1">IFERROR(__xludf.DUMMYFUNCTION("""COMPUTED_VALUE"""),"Maria Belen")</f>
        <v>Maria Belen</v>
      </c>
      <c r="C831" s="1" t="str">
        <f ca="1">IFERROR(__xludf.DUMMYFUNCTION("""COMPUTED_VALUE"""),"Maria")</f>
        <v>Maria</v>
      </c>
      <c r="D831" s="1" t="str">
        <f ca="1">IFERROR(__xludf.DUMMYFUNCTION("""COMPUTED_VALUE"""),"Belen")</f>
        <v>Belen</v>
      </c>
      <c r="E831" s="1" t="str">
        <f ca="1">IFERROR(__xludf.DUMMYFUNCTION("""COMPUTED_VALUE"""),"Mas nakakaalam kayo sa mga  mamamayan ng Ilocos")</f>
        <v>Mas nakakaalam kayo sa mga  mamamayan ng Ilocos</v>
      </c>
      <c r="F831" s="1">
        <f ca="1">IFERROR(__xludf.DUMMYFUNCTION("""COMPUTED_VALUE"""),2)</f>
        <v>2</v>
      </c>
      <c r="G831" s="1" t="str">
        <f ca="1">IFERROR(__xludf.DUMMYFUNCTION("""COMPUTED_VALUE"""),"3 mos")</f>
        <v>3 mos</v>
      </c>
      <c r="H831" s="1" t="str">
        <f ca="1">IFERROR(__xludf.DUMMYFUNCTION("""COMPUTED_VALUE"""),"reply")</f>
        <v>reply</v>
      </c>
      <c r="I831"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31" s="1" t="str">
        <f ca="1">IFERROR(__xludf.DUMMYFUNCTION("""COMPUTED_VALUE"""),"2022-07-04T11:16:08.717Z")</f>
        <v>2022-07-04T11:16:08.717Z</v>
      </c>
    </row>
    <row r="832" spans="1:10" x14ac:dyDescent="0.2">
      <c r="A832" s="2" t="str">
        <f ca="1">IFERROR(__xludf.DUMMYFUNCTION("""COMPUTED_VALUE"""),"https://www.facebook.com/pampilo.layson")</f>
        <v>https://www.facebook.com/pampilo.layson</v>
      </c>
      <c r="B832" s="1" t="str">
        <f ca="1">IFERROR(__xludf.DUMMYFUNCTION("""COMPUTED_VALUE"""),"Pampilo Layson")</f>
        <v>Pampilo Layson</v>
      </c>
      <c r="C832" s="1" t="str">
        <f ca="1">IFERROR(__xludf.DUMMYFUNCTION("""COMPUTED_VALUE"""),"Pampilo")</f>
        <v>Pampilo</v>
      </c>
      <c r="D832" s="1" t="str">
        <f ca="1">IFERROR(__xludf.DUMMYFUNCTION("""COMPUTED_VALUE"""),"Layson")</f>
        <v>Layson</v>
      </c>
      <c r="E832" s="1" t="str">
        <f ca="1">IFERROR(__xludf.DUMMYFUNCTION("""COMPUTED_VALUE"""),"Maria Belen nasa stats po maam.4th class province..")</f>
        <v>Maria Belen nasa stats po maam.4th class province..</v>
      </c>
      <c r="F832" s="1">
        <f ca="1">IFERROR(__xludf.DUMMYFUNCTION("""COMPUTED_VALUE"""),2)</f>
        <v>2</v>
      </c>
      <c r="G832" s="1" t="str">
        <f ca="1">IFERROR(__xludf.DUMMYFUNCTION("""COMPUTED_VALUE"""),"3 mos")</f>
        <v>3 mos</v>
      </c>
      <c r="H832" s="1" t="str">
        <f ca="1">IFERROR(__xludf.DUMMYFUNCTION("""COMPUTED_VALUE"""),"reply")</f>
        <v>reply</v>
      </c>
      <c r="I832"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32" s="1" t="str">
        <f ca="1">IFERROR(__xludf.DUMMYFUNCTION("""COMPUTED_VALUE"""),"2022-07-04T11:16:08.717Z")</f>
        <v>2022-07-04T11:16:08.717Z</v>
      </c>
    </row>
    <row r="833" spans="1:10" x14ac:dyDescent="0.2">
      <c r="A833" s="2" t="str">
        <f ca="1">IFERROR(__xludf.DUMMYFUNCTION("""COMPUTED_VALUE"""),"https://www.facebook.com/profile.php?id=100078745816266")</f>
        <v>https://www.facebook.com/profile.php?id=100078745816266</v>
      </c>
      <c r="B833" s="1" t="str">
        <f ca="1">IFERROR(__xludf.DUMMYFUNCTION("""COMPUTED_VALUE"""),"Kalen Daryo")</f>
        <v>Kalen Daryo</v>
      </c>
      <c r="C833" s="1" t="str">
        <f ca="1">IFERROR(__xludf.DUMMYFUNCTION("""COMPUTED_VALUE"""),"Kalen")</f>
        <v>Kalen</v>
      </c>
      <c r="D833" s="1" t="str">
        <f ca="1">IFERROR(__xludf.DUMMYFUNCTION("""COMPUTED_VALUE"""),"Daryo")</f>
        <v>Daryo</v>
      </c>
      <c r="E833" s="1" t="str">
        <f ca="1">IFERROR(__xludf.DUMMYFUNCTION("""COMPUTED_VALUE"""),"Hindi kami kawawa rito sa ilocos,namumuhay kami ng masagana at nakakain ng sobra,kaya pinagbebenta na namin mga sobrang ani para may makain tga syudad, nkakapag aral din")</f>
        <v>Hindi kami kawawa rito sa ilocos,namumuhay kami ng masagana at nakakain ng sobra,kaya pinagbebenta na namin mga sobrang ani para may makain tga syudad, nkakapag aral din</v>
      </c>
      <c r="F833" s="1">
        <f ca="1">IFERROR(__xludf.DUMMYFUNCTION("""COMPUTED_VALUE"""),1)</f>
        <v>1</v>
      </c>
      <c r="G833" s="1" t="str">
        <f ca="1">IFERROR(__xludf.DUMMYFUNCTION("""COMPUTED_VALUE"""),"3 mos")</f>
        <v>3 mos</v>
      </c>
      <c r="H833" s="1" t="str">
        <f ca="1">IFERROR(__xludf.DUMMYFUNCTION("""COMPUTED_VALUE"""),"reply")</f>
        <v>reply</v>
      </c>
      <c r="I833"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33" s="1" t="str">
        <f ca="1">IFERROR(__xludf.DUMMYFUNCTION("""COMPUTED_VALUE"""),"2022-07-04T11:16:08.717Z")</f>
        <v>2022-07-04T11:16:08.717Z</v>
      </c>
    </row>
    <row r="834" spans="1:10" x14ac:dyDescent="0.2">
      <c r="A834" s="2" t="str">
        <f ca="1">IFERROR(__xludf.DUMMYFUNCTION("""COMPUTED_VALUE"""),"https://www.facebook.com/cruz.marc.9")</f>
        <v>https://www.facebook.com/cruz.marc.9</v>
      </c>
      <c r="B834" s="1" t="str">
        <f ca="1">IFERROR(__xludf.DUMMYFUNCTION("""COMPUTED_VALUE"""),"Cram Zurc")</f>
        <v>Cram Zurc</v>
      </c>
      <c r="C834" s="1" t="str">
        <f ca="1">IFERROR(__xludf.DUMMYFUNCTION("""COMPUTED_VALUE"""),"Cram")</f>
        <v>Cram</v>
      </c>
      <c r="D834" s="1" t="str">
        <f ca="1">IFERROR(__xludf.DUMMYFUNCTION("""COMPUTED_VALUE"""),"Zurc")</f>
        <v>Zurc</v>
      </c>
      <c r="E834" s="1" t="str">
        <f ca="1">IFERROR(__xludf.DUMMYFUNCTION("""COMPUTED_VALUE"""),"Cram Zurc")</f>
        <v>Cram Zurc</v>
      </c>
      <c r="F834" s="1">
        <f ca="1">IFERROR(__xludf.DUMMYFUNCTION("""COMPUTED_VALUE"""),1)</f>
        <v>1</v>
      </c>
      <c r="G834" s="1" t="str">
        <f ca="1">IFERROR(__xludf.DUMMYFUNCTION("""COMPUTED_VALUE"""),"3 mos")</f>
        <v>3 mos</v>
      </c>
      <c r="H834" s="1" t="str">
        <f ca="1">IFERROR(__xludf.DUMMYFUNCTION("""COMPUTED_VALUE"""),"comment")</f>
        <v>comment</v>
      </c>
      <c r="I834"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34" s="1" t="str">
        <f ca="1">IFERROR(__xludf.DUMMYFUNCTION("""COMPUTED_VALUE"""),"2022-07-04T11:16:08.717Z")</f>
        <v>2022-07-04T11:16:08.717Z</v>
      </c>
    </row>
    <row r="835" spans="1:10" x14ac:dyDescent="0.2">
      <c r="A835" s="2" t="str">
        <f ca="1">IFERROR(__xludf.DUMMYFUNCTION("""COMPUTED_VALUE"""),"https://www.facebook.com/dan.mendoza.5602")</f>
        <v>https://www.facebook.com/dan.mendoza.5602</v>
      </c>
      <c r="B835" s="1" t="str">
        <f ca="1">IFERROR(__xludf.DUMMYFUNCTION("""COMPUTED_VALUE"""),"Dan Don Mendoza")</f>
        <v>Dan Don Mendoza</v>
      </c>
      <c r="C835" s="1" t="str">
        <f ca="1">IFERROR(__xludf.DUMMYFUNCTION("""COMPUTED_VALUE"""),"Dan")</f>
        <v>Dan</v>
      </c>
      <c r="D835" s="1" t="str">
        <f ca="1">IFERROR(__xludf.DUMMYFUNCTION("""COMPUTED_VALUE"""),"Don Mendoza")</f>
        <v>Don Mendoza</v>
      </c>
      <c r="E835" s="1" t="str">
        <f ca="1">IFERROR(__xludf.DUMMYFUNCTION("""COMPUTED_VALUE"""),"Kailan kaya gigising ang mga Ilocano???")</f>
        <v>Kailan kaya gigising ang mga Ilocano???</v>
      </c>
      <c r="F835" s="1"/>
      <c r="G835" s="1" t="str">
        <f ca="1">IFERROR(__xludf.DUMMYFUNCTION("""COMPUTED_VALUE"""),"3 mos")</f>
        <v>3 mos</v>
      </c>
      <c r="H835" s="1" t="str">
        <f ca="1">IFERROR(__xludf.DUMMYFUNCTION("""COMPUTED_VALUE"""),"comment")</f>
        <v>comment</v>
      </c>
      <c r="I835"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35" s="1" t="str">
        <f ca="1">IFERROR(__xludf.DUMMYFUNCTION("""COMPUTED_VALUE"""),"2022-07-04T11:16:08.717Z")</f>
        <v>2022-07-04T11:16:08.717Z</v>
      </c>
    </row>
    <row r="836" spans="1:10" x14ac:dyDescent="0.2">
      <c r="A836" s="2" t="str">
        <f ca="1">IFERROR(__xludf.DUMMYFUNCTION("""COMPUTED_VALUE"""),"https://www.facebook.com/carlreyes09")</f>
        <v>https://www.facebook.com/carlreyes09</v>
      </c>
      <c r="B836" s="1" t="str">
        <f ca="1">IFERROR(__xludf.DUMMYFUNCTION("""COMPUTED_VALUE"""),"Carlzan Jay Reyes")</f>
        <v>Carlzan Jay Reyes</v>
      </c>
      <c r="C836" s="1" t="str">
        <f ca="1">IFERROR(__xludf.DUMMYFUNCTION("""COMPUTED_VALUE"""),"Carlzan")</f>
        <v>Carlzan</v>
      </c>
      <c r="D836" s="1" t="str">
        <f ca="1">IFERROR(__xludf.DUMMYFUNCTION("""COMPUTED_VALUE"""),"Jay Reyes")</f>
        <v>Jay Reyes</v>
      </c>
      <c r="E836" s="1" t="str">
        <f ca="1">IFERROR(__xludf.DUMMYFUNCTION("""COMPUTED_VALUE"""),"Ginawang negosyo ang pulitika. Haha.")</f>
        <v>Ginawang negosyo ang pulitika. Haha.</v>
      </c>
      <c r="F836" s="1">
        <f ca="1">IFERROR(__xludf.DUMMYFUNCTION("""COMPUTED_VALUE"""),1)</f>
        <v>1</v>
      </c>
      <c r="G836" s="1" t="str">
        <f ca="1">IFERROR(__xludf.DUMMYFUNCTION("""COMPUTED_VALUE"""),"3 mos")</f>
        <v>3 mos</v>
      </c>
      <c r="H836" s="1" t="str">
        <f ca="1">IFERROR(__xludf.DUMMYFUNCTION("""COMPUTED_VALUE"""),"comment")</f>
        <v>comment</v>
      </c>
      <c r="I836"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36" s="1" t="str">
        <f ca="1">IFERROR(__xludf.DUMMYFUNCTION("""COMPUTED_VALUE"""),"2022-07-04T11:16:08.717Z")</f>
        <v>2022-07-04T11:16:08.717Z</v>
      </c>
    </row>
    <row r="837" spans="1:10" x14ac:dyDescent="0.2">
      <c r="A837" s="2" t="str">
        <f ca="1">IFERROR(__xludf.DUMMYFUNCTION("""COMPUTED_VALUE"""),"https://www.facebook.com/eddie.d.cruz.7")</f>
        <v>https://www.facebook.com/eddie.d.cruz.7</v>
      </c>
      <c r="B837" s="1" t="str">
        <f ca="1">IFERROR(__xludf.DUMMYFUNCTION("""COMPUTED_VALUE"""),"Eddie Dela Cruz")</f>
        <v>Eddie Dela Cruz</v>
      </c>
      <c r="C837" s="1" t="str">
        <f ca="1">IFERROR(__xludf.DUMMYFUNCTION("""COMPUTED_VALUE"""),"Eddie")</f>
        <v>Eddie</v>
      </c>
      <c r="D837" s="1" t="str">
        <f ca="1">IFERROR(__xludf.DUMMYFUNCTION("""COMPUTED_VALUE"""),"Dela Cruz")</f>
        <v>Dela Cruz</v>
      </c>
      <c r="E837" s="1" t="str">
        <f ca="1">IFERROR(__xludf.DUMMYFUNCTION("""COMPUTED_VALUE"""),"If the voters did it to Estradas you can do it to marcoses too and others..")</f>
        <v>If the voters did it to Estradas you can do it to marcoses too and others..</v>
      </c>
      <c r="F837" s="1">
        <f ca="1">IFERROR(__xludf.DUMMYFUNCTION("""COMPUTED_VALUE"""),11)</f>
        <v>11</v>
      </c>
      <c r="G837" s="1" t="str">
        <f ca="1">IFERROR(__xludf.DUMMYFUNCTION("""COMPUTED_VALUE"""),"3 mos")</f>
        <v>3 mos</v>
      </c>
      <c r="H837" s="1" t="str">
        <f ca="1">IFERROR(__xludf.DUMMYFUNCTION("""COMPUTED_VALUE"""),"comment")</f>
        <v>comment</v>
      </c>
      <c r="I837" s="2" t="str">
        <f ca="1">IFERROR(__xludf.DUMMYFUNCTION("""COMPUTED_VALUE"""),"https://www.facebook.com/rapplerdotcom/posts/pfbid02AsSA4LQqjQ2Y8SVathQmtduoE3fhoGvQSNhvrzsMerDaJSQJ6jDvApCCiuaE7XCol")</f>
        <v>https://www.facebook.com/rapplerdotcom/posts/pfbid02AsSA4LQqjQ2Y8SVathQmtduoE3fhoGvQSNhvrzsMerDaJSQJ6jDvApCCiuaE7XCol</v>
      </c>
      <c r="J837" s="1" t="str">
        <f ca="1">IFERROR(__xludf.DUMMYFUNCTION("""COMPUTED_VALUE"""),"2022-07-04T11:16:08.717Z")</f>
        <v>2022-07-04T11:16:08.717Z</v>
      </c>
    </row>
    <row r="838" spans="1:10" x14ac:dyDescent="0.2">
      <c r="A838" s="2" t="str">
        <f ca="1">IFERROR(__xludf.DUMMYFUNCTION("""COMPUTED_VALUE"""),"https://www.facebook.com/julius.alonzo.5")</f>
        <v>https://www.facebook.com/julius.alonzo.5</v>
      </c>
      <c r="B838" s="1" t="str">
        <f ca="1">IFERROR(__xludf.DUMMYFUNCTION("""COMPUTED_VALUE"""),"Julius Aquino Alonzo")</f>
        <v>Julius Aquino Alonzo</v>
      </c>
      <c r="C838" s="1" t="str">
        <f ca="1">IFERROR(__xludf.DUMMYFUNCTION("""COMPUTED_VALUE"""),"Julius")</f>
        <v>Julius</v>
      </c>
      <c r="D838" s="1" t="str">
        <f ca="1">IFERROR(__xludf.DUMMYFUNCTION("""COMPUTED_VALUE"""),"Aquino Alonzo")</f>
        <v>Aquino Alonzo</v>
      </c>
      <c r="E838" s="1" t="str">
        <f ca="1">IFERROR(__xludf.DUMMYFUNCTION("""COMPUTED_VALUE"""),"Choose a leader for the 🇵🇭 with the following attributes   1. Honesty or integrity  2. Competence  3. Inspiring leadership  4. Vision for change or platform  5. Moral courage to face challenges")</f>
        <v>Choose a leader for the 🇵🇭 with the following attributes   1. Honesty or integrity  2. Competence  3. Inspiring leadership  4. Vision for change or platform  5. Moral courage to face challenges</v>
      </c>
      <c r="F838" s="1">
        <f ca="1">IFERROR(__xludf.DUMMYFUNCTION("""COMPUTED_VALUE"""),51)</f>
        <v>51</v>
      </c>
      <c r="G838" s="1" t="str">
        <f ca="1">IFERROR(__xludf.DUMMYFUNCTION("""COMPUTED_VALUE"""),"3 mos")</f>
        <v>3 mos</v>
      </c>
      <c r="H838" s="1" t="str">
        <f ca="1">IFERROR(__xludf.DUMMYFUNCTION("""COMPUTED_VALUE"""),"comment")</f>
        <v>comment</v>
      </c>
      <c r="I838" s="2" t="str">
        <f ca="1">IFERROR(__xludf.DUMMYFUNCTION("""COMPUTED_VALUE"""),"https://www.facebook.com/rapplerdotcom/photos/a.317154781638645/5596043783749692/")</f>
        <v>https://www.facebook.com/rapplerdotcom/photos/a.317154781638645/5596043783749692/</v>
      </c>
      <c r="J838" s="1" t="str">
        <f ca="1">IFERROR(__xludf.DUMMYFUNCTION("""COMPUTED_VALUE"""),"2022-07-04T15:38:38.274Z")</f>
        <v>2022-07-04T15:38:38.274Z</v>
      </c>
    </row>
    <row r="839" spans="1:10" x14ac:dyDescent="0.2">
      <c r="A839" s="2" t="str">
        <f ca="1">IFERROR(__xludf.DUMMYFUNCTION("""COMPUTED_VALUE"""),"https://www.facebook.com/dr.julius.uy")</f>
        <v>https://www.facebook.com/dr.julius.uy</v>
      </c>
      <c r="B839" s="1" t="str">
        <f ca="1">IFERROR(__xludf.DUMMYFUNCTION("""COMPUTED_VALUE"""),"Julius Uy")</f>
        <v>Julius Uy</v>
      </c>
      <c r="C839" s="1" t="str">
        <f ca="1">IFERROR(__xludf.DUMMYFUNCTION("""COMPUTED_VALUE"""),"Julius")</f>
        <v>Julius</v>
      </c>
      <c r="D839" s="1" t="str">
        <f ca="1">IFERROR(__xludf.DUMMYFUNCTION("""COMPUTED_VALUE"""),"Uy")</f>
        <v>Uy</v>
      </c>
      <c r="E839" s="1" t="str">
        <f ca="1">IFERROR(__xludf.DUMMYFUNCTION("""COMPUTED_VALUE"""),"#CaMaNaVaIsPink  #CaMaNaVaForLeni  #LeniKiko2022 #LeniKikoAllTheWay  #LeniForPresident2022  #LetLeniLead #sagobyernongtapatangatbuhayanglahat #kulayrosasangbukas #ipanalana10to 💗💗💗")</f>
        <v>#CaMaNaVaIsPink  #CaMaNaVaForLeni  #LeniKiko2022 #LeniKikoAllTheWay  #LeniForPresident2022  #LetLeniLead #sagobyernongtapatangatbuhayanglahat #kulayrosasangbukas #ipanalana10to 💗💗💗</v>
      </c>
      <c r="F839" s="1">
        <f ca="1">IFERROR(__xludf.DUMMYFUNCTION("""COMPUTED_VALUE"""),8)</f>
        <v>8</v>
      </c>
      <c r="G839" s="1" t="str">
        <f ca="1">IFERROR(__xludf.DUMMYFUNCTION("""COMPUTED_VALUE"""),"3 mos")</f>
        <v>3 mos</v>
      </c>
      <c r="H839" s="1" t="str">
        <f ca="1">IFERROR(__xludf.DUMMYFUNCTION("""COMPUTED_VALUE"""),"comment")</f>
        <v>comment</v>
      </c>
      <c r="I839" s="2" t="str">
        <f ca="1">IFERROR(__xludf.DUMMYFUNCTION("""COMPUTED_VALUE"""),"https://www.facebook.com/rapplerdotcom/photos/a.317154781638645/5596043783749692/")</f>
        <v>https://www.facebook.com/rapplerdotcom/photos/a.317154781638645/5596043783749692/</v>
      </c>
      <c r="J839" s="1" t="str">
        <f ca="1">IFERROR(__xludf.DUMMYFUNCTION("""COMPUTED_VALUE"""),"2022-07-04T15:38:38.274Z")</f>
        <v>2022-07-04T15:38:38.274Z</v>
      </c>
    </row>
    <row r="840" spans="1:10" x14ac:dyDescent="0.2">
      <c r="A840" s="2" t="str">
        <f ca="1">IFERROR(__xludf.DUMMYFUNCTION("""COMPUTED_VALUE"""),"https://www.facebook.com/pepe.ledesma.7140")</f>
        <v>https://www.facebook.com/pepe.ledesma.7140</v>
      </c>
      <c r="B840" s="1" t="str">
        <f ca="1">IFERROR(__xludf.DUMMYFUNCTION("""COMPUTED_VALUE"""),"Pepe Ledesma")</f>
        <v>Pepe Ledesma</v>
      </c>
      <c r="C840" s="1" t="str">
        <f ca="1">IFERROR(__xludf.DUMMYFUNCTION("""COMPUTED_VALUE"""),"Pepe")</f>
        <v>Pepe</v>
      </c>
      <c r="D840" s="1" t="str">
        <f ca="1">IFERROR(__xludf.DUMMYFUNCTION("""COMPUTED_VALUE"""),"Ledesma")</f>
        <v>Ledesma</v>
      </c>
      <c r="E840" s="1" t="str">
        <f ca="1">IFERROR(__xludf.DUMMYFUNCTION("""COMPUTED_VALUE"""),"#RosasAngKulayNgBukas #GobyernongTapatAngatBuhayLahat #KayLeniKikoPanaloAngPilipino #HusayAtTibay #BangonPilipinas #TaraIpanalNaNa10To")</f>
        <v>#RosasAngKulayNgBukas #GobyernongTapatAngatBuhayLahat #KayLeniKikoPanaloAngPilipino #HusayAtTibay #BangonPilipinas #TaraIpanalNaNa10To</v>
      </c>
      <c r="F840" s="1"/>
      <c r="G840" s="1" t="str">
        <f ca="1">IFERROR(__xludf.DUMMYFUNCTION("""COMPUTED_VALUE"""),"3 mos")</f>
        <v>3 mos</v>
      </c>
      <c r="H840" s="1" t="str">
        <f ca="1">IFERROR(__xludf.DUMMYFUNCTION("""COMPUTED_VALUE"""),"comment")</f>
        <v>comment</v>
      </c>
      <c r="I840" s="2" t="str">
        <f ca="1">IFERROR(__xludf.DUMMYFUNCTION("""COMPUTED_VALUE"""),"https://www.facebook.com/rapplerdotcom/photos/a.317154781638645/5596043783749692/")</f>
        <v>https://www.facebook.com/rapplerdotcom/photos/a.317154781638645/5596043783749692/</v>
      </c>
      <c r="J840" s="1" t="str">
        <f ca="1">IFERROR(__xludf.DUMMYFUNCTION("""COMPUTED_VALUE"""),"2022-07-04T15:38:38.274Z")</f>
        <v>2022-07-04T15:38:38.274Z</v>
      </c>
    </row>
    <row r="841" spans="1:10" x14ac:dyDescent="0.2">
      <c r="A841" s="2" t="str">
        <f ca="1">IFERROR(__xludf.DUMMYFUNCTION("""COMPUTED_VALUE"""),"https://www.facebook.com/jening.martinez")</f>
        <v>https://www.facebook.com/jening.martinez</v>
      </c>
      <c r="B841" s="1" t="str">
        <f ca="1">IFERROR(__xludf.DUMMYFUNCTION("""COMPUTED_VALUE"""),"Jenine Cayetano Magcalayo Martinez")</f>
        <v>Jenine Cayetano Magcalayo Martinez</v>
      </c>
      <c r="C841" s="1" t="str">
        <f ca="1">IFERROR(__xludf.DUMMYFUNCTION("""COMPUTED_VALUE"""),"Jenine")</f>
        <v>Jenine</v>
      </c>
      <c r="D841" s="1" t="str">
        <f ca="1">IFERROR(__xludf.DUMMYFUNCTION("""COMPUTED_VALUE"""),"Cayetano Magcalayo Martinez")</f>
        <v>Cayetano Magcalayo Martinez</v>
      </c>
      <c r="E841" s="1" t="str">
        <f ca="1">IFERROR(__xludf.DUMMYFUNCTION("""COMPUTED_VALUE"""),"Dami pa sa labas Hindi n nka pasok #GobyernongTapatAngatBuhayAngLahat")</f>
        <v>Dami pa sa labas Hindi n nka pasok #GobyernongTapatAngatBuhayAngLahat</v>
      </c>
      <c r="F841" s="1">
        <f ca="1">IFERROR(__xludf.DUMMYFUNCTION("""COMPUTED_VALUE"""),26)</f>
        <v>26</v>
      </c>
      <c r="G841" s="1" t="str">
        <f ca="1">IFERROR(__xludf.DUMMYFUNCTION("""COMPUTED_VALUE"""),"3 mos")</f>
        <v>3 mos</v>
      </c>
      <c r="H841" s="1" t="str">
        <f ca="1">IFERROR(__xludf.DUMMYFUNCTION("""COMPUTED_VALUE"""),"comment")</f>
        <v>comment</v>
      </c>
      <c r="I841" s="2" t="str">
        <f ca="1">IFERROR(__xludf.DUMMYFUNCTION("""COMPUTED_VALUE"""),"https://www.facebook.com/rapplerdotcom/photos/a.317154781638645/5596043783749692/")</f>
        <v>https://www.facebook.com/rapplerdotcom/photos/a.317154781638645/5596043783749692/</v>
      </c>
      <c r="J841" s="1" t="str">
        <f ca="1">IFERROR(__xludf.DUMMYFUNCTION("""COMPUTED_VALUE"""),"2022-07-04T15:38:38.275Z")</f>
        <v>2022-07-04T15:38:38.275Z</v>
      </c>
    </row>
    <row r="842" spans="1:10" x14ac:dyDescent="0.2">
      <c r="A842" s="2" t="str">
        <f ca="1">IFERROR(__xludf.DUMMYFUNCTION("""COMPUTED_VALUE"""),"https://www.facebook.com/yongcoonang")</f>
        <v>https://www.facebook.com/yongcoonang</v>
      </c>
      <c r="B842" s="1" t="str">
        <f ca="1">IFERROR(__xludf.DUMMYFUNCTION("""COMPUTED_VALUE"""),"Kelvin Billy")</f>
        <v>Kelvin Billy</v>
      </c>
      <c r="C842" s="1" t="str">
        <f ca="1">IFERROR(__xludf.DUMMYFUNCTION("""COMPUTED_VALUE"""),"Kelvin")</f>
        <v>Kelvin</v>
      </c>
      <c r="D842" s="1" t="str">
        <f ca="1">IFERROR(__xludf.DUMMYFUNCTION("""COMPUTED_VALUE"""),"Billy")</f>
        <v>Billy</v>
      </c>
      <c r="E842" s="1" t="str">
        <f ca="1">IFERROR(__xludf.DUMMYFUNCTION("""COMPUTED_VALUE"""),"Jenine Cayetano Magcalayo Martinez   ⚙️ EARN MONEY ONLINE WITHOUT GOING TO WORK OR STRESS YOURSELF  ⚙️if you're interested ☝️☝️☝️ just kindly click on the link to contact my Senior Cryptofx account manager for guidance 📩  Link 🔗🔗🔗  https://www.faceboo"&amp;"k.com/evlira.cryptofxtrader")</f>
        <v>Jenine Cayetano Magcalayo Martinez   ⚙️ EARN MONEY ONLINE WITHOUT GOING TO WORK OR STRESS YOURSELF  ⚙️if you're interested ☝️☝️☝️ just kindly click on the link to contact my Senior Cryptofx account manager for guidance 📩  Link 🔗🔗🔗  https://www.facebook.com/evlira.cryptofxtrader</v>
      </c>
      <c r="F842" s="1"/>
      <c r="G842" s="1" t="str">
        <f ca="1">IFERROR(__xludf.DUMMYFUNCTION("""COMPUTED_VALUE"""),"3 mos")</f>
        <v>3 mos</v>
      </c>
      <c r="H842" s="1" t="str">
        <f ca="1">IFERROR(__xludf.DUMMYFUNCTION("""COMPUTED_VALUE"""),"reply")</f>
        <v>reply</v>
      </c>
      <c r="I842" s="2" t="str">
        <f ca="1">IFERROR(__xludf.DUMMYFUNCTION("""COMPUTED_VALUE"""),"https://www.facebook.com/rapplerdotcom/photos/a.317154781638645/5596043783749692/")</f>
        <v>https://www.facebook.com/rapplerdotcom/photos/a.317154781638645/5596043783749692/</v>
      </c>
      <c r="J842" s="1" t="str">
        <f ca="1">IFERROR(__xludf.DUMMYFUNCTION("""COMPUTED_VALUE"""),"2022-07-04T15:38:38.275Z")</f>
        <v>2022-07-04T15:38:38.275Z</v>
      </c>
    </row>
    <row r="843" spans="1:10" x14ac:dyDescent="0.2">
      <c r="A843" s="2" t="str">
        <f ca="1">IFERROR(__xludf.DUMMYFUNCTION("""COMPUTED_VALUE"""),"https://www.facebook.com/nedned.anobla")</f>
        <v>https://www.facebook.com/nedned.anobla</v>
      </c>
      <c r="B843" s="1" t="str">
        <f ca="1">IFERROR(__xludf.DUMMYFUNCTION("""COMPUTED_VALUE"""),"Lier Hakami")</f>
        <v>Lier Hakami</v>
      </c>
      <c r="C843" s="1" t="str">
        <f ca="1">IFERROR(__xludf.DUMMYFUNCTION("""COMPUTED_VALUE"""),"Lier")</f>
        <v>Lier</v>
      </c>
      <c r="D843" s="1" t="str">
        <f ca="1">IFERROR(__xludf.DUMMYFUNCTION("""COMPUTED_VALUE"""),"Hakami")</f>
        <v>Hakami</v>
      </c>
      <c r="E843" s="1" t="str">
        <f ca="1">IFERROR(__xludf.DUMMYFUNCTION("""COMPUTED_VALUE"""),"Jenine Cayetano Magcalayo Martinez pag nakaupo na corrupt kawawa ka bulag")</f>
        <v>Jenine Cayetano Magcalayo Martinez pag nakaupo na corrupt kawawa ka bulag</v>
      </c>
      <c r="F843" s="1"/>
      <c r="G843" s="1" t="str">
        <f ca="1">IFERROR(__xludf.DUMMYFUNCTION("""COMPUTED_VALUE"""),"3 mos")</f>
        <v>3 mos</v>
      </c>
      <c r="H843" s="1" t="str">
        <f ca="1">IFERROR(__xludf.DUMMYFUNCTION("""COMPUTED_VALUE"""),"reply")</f>
        <v>reply</v>
      </c>
      <c r="I843" s="2" t="str">
        <f ca="1">IFERROR(__xludf.DUMMYFUNCTION("""COMPUTED_VALUE"""),"https://www.facebook.com/rapplerdotcom/photos/a.317154781638645/5596043783749692/")</f>
        <v>https://www.facebook.com/rapplerdotcom/photos/a.317154781638645/5596043783749692/</v>
      </c>
      <c r="J843" s="1" t="str">
        <f ca="1">IFERROR(__xludf.DUMMYFUNCTION("""COMPUTED_VALUE"""),"2022-07-04T15:38:38.275Z")</f>
        <v>2022-07-04T15:38:38.275Z</v>
      </c>
    </row>
    <row r="844" spans="1:10" x14ac:dyDescent="0.2">
      <c r="A844" s="2" t="str">
        <f ca="1">IFERROR(__xludf.DUMMYFUNCTION("""COMPUTED_VALUE"""),"https://www.facebook.com/tony.deguzman.104")</f>
        <v>https://www.facebook.com/tony.deguzman.104</v>
      </c>
      <c r="B844" s="1" t="str">
        <f ca="1">IFERROR(__xludf.DUMMYFUNCTION("""COMPUTED_VALUE"""),"Tony de Guzman")</f>
        <v>Tony de Guzman</v>
      </c>
      <c r="C844" s="1" t="str">
        <f ca="1">IFERROR(__xludf.DUMMYFUNCTION("""COMPUTED_VALUE"""),"Tony")</f>
        <v>Tony</v>
      </c>
      <c r="D844" s="1" t="str">
        <f ca="1">IFERROR(__xludf.DUMMYFUNCTION("""COMPUTED_VALUE"""),"de Guzman")</f>
        <v>de Guzman</v>
      </c>
      <c r="E844" s="1" t="str">
        <f ca="1">IFERROR(__xludf.DUMMYFUNCTION("""COMPUTED_VALUE"""),"Jenine Cayetano Magcalayo Martinez angat buhay ka jan, atras nga kay prof. Carlos! #leniduwagkayprofcarlos")</f>
        <v>Jenine Cayetano Magcalayo Martinez angat buhay ka jan, atras nga kay prof. Carlos! #leniduwagkayprofcarlos</v>
      </c>
      <c r="F844" s="1"/>
      <c r="G844" s="1" t="str">
        <f ca="1">IFERROR(__xludf.DUMMYFUNCTION("""COMPUTED_VALUE"""),"3 mos")</f>
        <v>3 mos</v>
      </c>
      <c r="H844" s="1" t="str">
        <f ca="1">IFERROR(__xludf.DUMMYFUNCTION("""COMPUTED_VALUE"""),"reply")</f>
        <v>reply</v>
      </c>
      <c r="I844" s="2" t="str">
        <f ca="1">IFERROR(__xludf.DUMMYFUNCTION("""COMPUTED_VALUE"""),"https://www.facebook.com/rapplerdotcom/photos/a.317154781638645/5596043783749692/")</f>
        <v>https://www.facebook.com/rapplerdotcom/photos/a.317154781638645/5596043783749692/</v>
      </c>
      <c r="J844" s="1" t="str">
        <f ca="1">IFERROR(__xludf.DUMMYFUNCTION("""COMPUTED_VALUE"""),"2022-07-04T15:38:38.275Z")</f>
        <v>2022-07-04T15:38:38.275Z</v>
      </c>
    </row>
    <row r="845" spans="1:10" x14ac:dyDescent="0.2">
      <c r="A845" s="2" t="str">
        <f ca="1">IFERROR(__xludf.DUMMYFUNCTION("""COMPUTED_VALUE"""),"https://www.facebook.com/kenneth.shinkim")</f>
        <v>https://www.facebook.com/kenneth.shinkim</v>
      </c>
      <c r="B845" s="1" t="str">
        <f ca="1">IFERROR(__xludf.DUMMYFUNCTION("""COMPUTED_VALUE"""),"Kenneth Shin Kim")</f>
        <v>Kenneth Shin Kim</v>
      </c>
      <c r="C845" s="1" t="str">
        <f ca="1">IFERROR(__xludf.DUMMYFUNCTION("""COMPUTED_VALUE"""),"Kenneth")</f>
        <v>Kenneth</v>
      </c>
      <c r="D845" s="1" t="str">
        <f ca="1">IFERROR(__xludf.DUMMYFUNCTION("""COMPUTED_VALUE"""),"Shin Kim")</f>
        <v>Shin Kim</v>
      </c>
      <c r="E845" s="1" t="str">
        <f ca="1">IFERROR(__xludf.DUMMYFUNCTION("""COMPUTED_VALUE"""),"Parami na ng parami ang gusto ng #GobyerongTapat para #AngatBuhayLahat ng mga Pilipino sa Pilipinas at sa buong mundo!! 🌷🇵🇭💕   Maraming salamat mga #Kakampink tuloy-tuloy ang laban at tindig natin!  #KulayRosasAngBukas #IbobotoKoSiLeni #10RobredoForPr"&amp;"esident #7PangilinanForVicePresident #LeniRobredoIsMyPresident #KikoPangilinanForVicePresident #ChelDioknoforSenator2022 #AntonioTrillanesforSenator2022. #LeilaDeLimaforSenator2022  #RissaHontiverosforSenator2022.  #TeddyBaguilatforSenator2022. #AlexLacso"&amp;"nforSenator2022. #SonnyMatulaforSenaror2022.  #TROPA2022 #LeniKiko2022")</f>
        <v>Parami na ng parami ang gusto ng #GobyerongTapat para #AngatBuhayLahat ng mga Pilipino sa Pilipinas at sa buong mundo!! 🌷🇵🇭💕   Maraming salamat mga #Kakampink tuloy-tuloy ang laban at tindig natin!  #KulayRosasAngBukas #IbobotoKoSiLeni #10RobredoForPresident #7PangilinanForVicePresident #LeniRobredoIsMyPresident #KikoPangilinanForVicePresident #ChelDioknoforSenator2022 #AntonioTrillanesforSenator2022. #LeilaDeLimaforSenator2022  #RissaHontiverosforSenator2022.  #TeddyBaguilatforSenator2022. #AlexLacsonforSenator2022. #SonnyMatulaforSenaror2022.  #TROPA2022 #LeniKiko2022</v>
      </c>
      <c r="F845" s="1">
        <f ca="1">IFERROR(__xludf.DUMMYFUNCTION("""COMPUTED_VALUE"""),40)</f>
        <v>40</v>
      </c>
      <c r="G845" s="1" t="str">
        <f ca="1">IFERROR(__xludf.DUMMYFUNCTION("""COMPUTED_VALUE"""),"3 mos")</f>
        <v>3 mos</v>
      </c>
      <c r="H845" s="1" t="str">
        <f ca="1">IFERROR(__xludf.DUMMYFUNCTION("""COMPUTED_VALUE"""),"comment")</f>
        <v>comment</v>
      </c>
      <c r="I845" s="2" t="str">
        <f ca="1">IFERROR(__xludf.DUMMYFUNCTION("""COMPUTED_VALUE"""),"https://www.facebook.com/rapplerdotcom/photos/a.317154781638645/5596043783749692/")</f>
        <v>https://www.facebook.com/rapplerdotcom/photos/a.317154781638645/5596043783749692/</v>
      </c>
      <c r="J845" s="1" t="str">
        <f ca="1">IFERROR(__xludf.DUMMYFUNCTION("""COMPUTED_VALUE"""),"2022-07-04T15:38:38.275Z")</f>
        <v>2022-07-04T15:38:38.275Z</v>
      </c>
    </row>
    <row r="846" spans="1:10" x14ac:dyDescent="0.2">
      <c r="A846" s="2" t="str">
        <f ca="1">IFERROR(__xludf.DUMMYFUNCTION("""COMPUTED_VALUE"""),"https://www.facebook.com/yongcoonang")</f>
        <v>https://www.facebook.com/yongcoonang</v>
      </c>
      <c r="B846" s="1" t="str">
        <f ca="1">IFERROR(__xludf.DUMMYFUNCTION("""COMPUTED_VALUE"""),"Kelvin Billy")</f>
        <v>Kelvin Billy</v>
      </c>
      <c r="C846" s="1" t="str">
        <f ca="1">IFERROR(__xludf.DUMMYFUNCTION("""COMPUTED_VALUE"""),"Kelvin")</f>
        <v>Kelvin</v>
      </c>
      <c r="D846" s="1" t="str">
        <f ca="1">IFERROR(__xludf.DUMMYFUNCTION("""COMPUTED_VALUE"""),"Billy")</f>
        <v>Billy</v>
      </c>
      <c r="E846" s="1" t="str">
        <f ca="1">IFERROR(__xludf.DUMMYFUNCTION("""COMPUTED_VALUE"""),"Kenneth Shin Kim   ⚙️ EARN MONEY ONLINE WITHOUT GOING TO WORK OR STRESS YOURSELF  ⚙️if you're interested ☝️☝️☝️ just kindly click on the link to contact my Senior Cryptofx account manager for guidance 📩  Link 🔗🔗🔗  https://www.facebook.com/evlira.crypt"&amp;"ofxtrader")</f>
        <v>Kenneth Shin Kim   ⚙️ EARN MONEY ONLINE WITHOUT GOING TO WORK OR STRESS YOURSELF  ⚙️if you're interested ☝️☝️☝️ just kindly click on the link to contact my Senior Cryptofx account manager for guidance 📩  Link 🔗🔗🔗  https://www.facebook.com/evlira.cryptofxtrader</v>
      </c>
      <c r="F846" s="1"/>
      <c r="G846" s="1" t="str">
        <f ca="1">IFERROR(__xludf.DUMMYFUNCTION("""COMPUTED_VALUE"""),"3 mos")</f>
        <v>3 mos</v>
      </c>
      <c r="H846" s="1" t="str">
        <f ca="1">IFERROR(__xludf.DUMMYFUNCTION("""COMPUTED_VALUE"""),"reply")</f>
        <v>reply</v>
      </c>
      <c r="I846" s="2" t="str">
        <f ca="1">IFERROR(__xludf.DUMMYFUNCTION("""COMPUTED_VALUE"""),"https://www.facebook.com/rapplerdotcom/photos/a.317154781638645/5596043783749692/")</f>
        <v>https://www.facebook.com/rapplerdotcom/photos/a.317154781638645/5596043783749692/</v>
      </c>
      <c r="J846" s="1" t="str">
        <f ca="1">IFERROR(__xludf.DUMMYFUNCTION("""COMPUTED_VALUE"""),"2022-07-04T15:38:38.275Z")</f>
        <v>2022-07-04T15:38:38.275Z</v>
      </c>
    </row>
    <row r="847" spans="1:10" x14ac:dyDescent="0.2">
      <c r="A847" s="2" t="str">
        <f ca="1">IFERROR(__xludf.DUMMYFUNCTION("""COMPUTED_VALUE"""),"https://www.facebook.com/ricollections08")</f>
        <v>https://www.facebook.com/ricollections08</v>
      </c>
      <c r="B847" s="1" t="str">
        <f ca="1">IFERROR(__xludf.DUMMYFUNCTION("""COMPUTED_VALUE"""),"Rico Si")</f>
        <v>Rico Si</v>
      </c>
      <c r="C847" s="1" t="str">
        <f ca="1">IFERROR(__xludf.DUMMYFUNCTION("""COMPUTED_VALUE"""),"Rico")</f>
        <v>Rico</v>
      </c>
      <c r="D847" s="1" t="str">
        <f ca="1">IFERROR(__xludf.DUMMYFUNCTION("""COMPUTED_VALUE"""),"Si")</f>
        <v>Si</v>
      </c>
      <c r="E847" s="1" t="str">
        <f ca="1">IFERROR(__xludf.DUMMYFUNCTION("""COMPUTED_VALUE"""),"Yung ganyan kakapal na tao half million na sa kabila.")</f>
        <v>Yung ganyan kakapal na tao half million na sa kabila.</v>
      </c>
      <c r="F847" s="1">
        <f ca="1">IFERROR(__xludf.DUMMYFUNCTION("""COMPUTED_VALUE"""),1)</f>
        <v>1</v>
      </c>
      <c r="G847" s="1" t="str">
        <f ca="1">IFERROR(__xludf.DUMMYFUNCTION("""COMPUTED_VALUE"""),"3 mos")</f>
        <v>3 mos</v>
      </c>
      <c r="H847" s="1" t="str">
        <f ca="1">IFERROR(__xludf.DUMMYFUNCTION("""COMPUTED_VALUE"""),"comment")</f>
        <v>comment</v>
      </c>
      <c r="I847" s="2" t="str">
        <f ca="1">IFERROR(__xludf.DUMMYFUNCTION("""COMPUTED_VALUE"""),"https://www.facebook.com/rapplerdotcom/photos/a.317154781638645/5596043783749692/")</f>
        <v>https://www.facebook.com/rapplerdotcom/photos/a.317154781638645/5596043783749692/</v>
      </c>
      <c r="J847" s="1" t="str">
        <f ca="1">IFERROR(__xludf.DUMMYFUNCTION("""COMPUTED_VALUE"""),"2022-07-04T15:38:38.275Z")</f>
        <v>2022-07-04T15:38:38.275Z</v>
      </c>
    </row>
    <row r="848" spans="1:10" x14ac:dyDescent="0.2">
      <c r="A848" s="2" t="str">
        <f ca="1">IFERROR(__xludf.DUMMYFUNCTION("""COMPUTED_VALUE"""),"https://www.facebook.com/yongcoonang")</f>
        <v>https://www.facebook.com/yongcoonang</v>
      </c>
      <c r="B848" s="1" t="str">
        <f ca="1">IFERROR(__xludf.DUMMYFUNCTION("""COMPUTED_VALUE"""),"Kelvin Billy")</f>
        <v>Kelvin Billy</v>
      </c>
      <c r="C848" s="1" t="str">
        <f ca="1">IFERROR(__xludf.DUMMYFUNCTION("""COMPUTED_VALUE"""),"Kelvin")</f>
        <v>Kelvin</v>
      </c>
      <c r="D848" s="1" t="str">
        <f ca="1">IFERROR(__xludf.DUMMYFUNCTION("""COMPUTED_VALUE"""),"Billy")</f>
        <v>Billy</v>
      </c>
      <c r="E848" s="1" t="str">
        <f ca="1">IFERROR(__xludf.DUMMYFUNCTION("""COMPUTED_VALUE"""),"Rico Si   ⚙️ EARN MONEY ONLINE WITHOUT GOING TO WORK OR STRESS YOURSELF  ⚙️if you're interested ☝️☝️☝️ just kindly click on the link to contact my Senior Cryptofx account manager for guidance 📩  Link 🔗🔗🔗  https://www.facebook.com/evlira.cryptofxtrader")</f>
        <v>Rico Si   ⚙️ EARN MONEY ONLINE WITHOUT GOING TO WORK OR STRESS YOURSELF  ⚙️if you're interested ☝️☝️☝️ just kindly click on the link to contact my Senior Cryptofx account manager for guidance 📩  Link 🔗🔗🔗  https://www.facebook.com/evlira.cryptofxtrader</v>
      </c>
      <c r="F848" s="1"/>
      <c r="G848" s="1" t="str">
        <f ca="1">IFERROR(__xludf.DUMMYFUNCTION("""COMPUTED_VALUE"""),"3 mos")</f>
        <v>3 mos</v>
      </c>
      <c r="H848" s="1" t="str">
        <f ca="1">IFERROR(__xludf.DUMMYFUNCTION("""COMPUTED_VALUE"""),"reply")</f>
        <v>reply</v>
      </c>
      <c r="I848" s="2" t="str">
        <f ca="1">IFERROR(__xludf.DUMMYFUNCTION("""COMPUTED_VALUE"""),"https://www.facebook.com/rapplerdotcom/photos/a.317154781638645/5596043783749692/")</f>
        <v>https://www.facebook.com/rapplerdotcom/photos/a.317154781638645/5596043783749692/</v>
      </c>
      <c r="J848" s="1" t="str">
        <f ca="1">IFERROR(__xludf.DUMMYFUNCTION("""COMPUTED_VALUE"""),"2022-07-04T15:38:38.275Z")</f>
        <v>2022-07-04T15:38:38.275Z</v>
      </c>
    </row>
    <row r="849" spans="1:10" x14ac:dyDescent="0.2">
      <c r="A849" s="2" t="str">
        <f ca="1">IFERROR(__xludf.DUMMYFUNCTION("""COMPUTED_VALUE"""),"https://www.facebook.com/ino.reyes.1441")</f>
        <v>https://www.facebook.com/ino.reyes.1441</v>
      </c>
      <c r="B849" s="1" t="str">
        <f ca="1">IFERROR(__xludf.DUMMYFUNCTION("""COMPUTED_VALUE"""),"Ino Reyes")</f>
        <v>Ino Reyes</v>
      </c>
      <c r="C849" s="1" t="str">
        <f ca="1">IFERROR(__xludf.DUMMYFUNCTION("""COMPUTED_VALUE"""),"Ino")</f>
        <v>Ino</v>
      </c>
      <c r="D849" s="1" t="str">
        <f ca="1">IFERROR(__xludf.DUMMYFUNCTION("""COMPUTED_VALUE"""),"Reyes")</f>
        <v>Reyes</v>
      </c>
      <c r="E849" s="1" t="str">
        <f ca="1">IFERROR(__xludf.DUMMYFUNCTION("""COMPUTED_VALUE"""),"LAHAT PANALO sa OLYMPINK dahil pinagbuklod nito ang ating mga kababayan para sa isang layunin upang isulong ang PAGBABAGO para sa SAMBAYANANG PILIPINONG nagnanais ng #GobyernongTapat #AngatBuhayLahat #LeniKiko2022 TEAM IBOTO ang mas karapatdapat")</f>
        <v>LAHAT PANALO sa OLYMPINK dahil pinagbuklod nito ang ating mga kababayan para sa isang layunin upang isulong ang PAGBABAGO para sa SAMBAYANANG PILIPINONG nagnanais ng #GobyernongTapat #AngatBuhayLahat #LeniKiko2022 TEAM IBOTO ang mas karapatdapat</v>
      </c>
      <c r="F849" s="1">
        <f ca="1">IFERROR(__xludf.DUMMYFUNCTION("""COMPUTED_VALUE"""),5)</f>
        <v>5</v>
      </c>
      <c r="G849" s="1" t="str">
        <f ca="1">IFERROR(__xludf.DUMMYFUNCTION("""COMPUTED_VALUE"""),"3 mos")</f>
        <v>3 mos</v>
      </c>
      <c r="H849" s="1" t="str">
        <f ca="1">IFERROR(__xludf.DUMMYFUNCTION("""COMPUTED_VALUE"""),"comment")</f>
        <v>comment</v>
      </c>
      <c r="I849" s="2" t="str">
        <f ca="1">IFERROR(__xludf.DUMMYFUNCTION("""COMPUTED_VALUE"""),"https://www.facebook.com/rapplerdotcom/photos/a.317154781638645/5596043783749692/")</f>
        <v>https://www.facebook.com/rapplerdotcom/photos/a.317154781638645/5596043783749692/</v>
      </c>
      <c r="J849" s="1" t="str">
        <f ca="1">IFERROR(__xludf.DUMMYFUNCTION("""COMPUTED_VALUE"""),"2022-07-04T15:38:38.275Z")</f>
        <v>2022-07-04T15:38:38.275Z</v>
      </c>
    </row>
    <row r="850" spans="1:10" x14ac:dyDescent="0.2">
      <c r="A850" s="2" t="str">
        <f ca="1">IFERROR(__xludf.DUMMYFUNCTION("""COMPUTED_VALUE"""),"https://www.facebook.com/felix.bauya.9")</f>
        <v>https://www.facebook.com/felix.bauya.9</v>
      </c>
      <c r="B850" s="1" t="str">
        <f ca="1">IFERROR(__xludf.DUMMYFUNCTION("""COMPUTED_VALUE"""),"Felix Bauya")</f>
        <v>Felix Bauya</v>
      </c>
      <c r="C850" s="1" t="str">
        <f ca="1">IFERROR(__xludf.DUMMYFUNCTION("""COMPUTED_VALUE"""),"Felix")</f>
        <v>Felix</v>
      </c>
      <c r="D850" s="1" t="str">
        <f ca="1">IFERROR(__xludf.DUMMYFUNCTION("""COMPUTED_VALUE"""),"Bauya")</f>
        <v>Bauya</v>
      </c>
      <c r="E850" s="1" t="str">
        <f ca="1">IFERROR(__xludf.DUMMYFUNCTION("""COMPUTED_VALUE"""),"Talaga ba.  Yun ang Sabi ng wrapler.  Dapat bang paniwalaan.")</f>
        <v>Talaga ba.  Yun ang Sabi ng wrapler.  Dapat bang paniwalaan.</v>
      </c>
      <c r="F850" s="1">
        <f ca="1">IFERROR(__xludf.DUMMYFUNCTION("""COMPUTED_VALUE"""),2)</f>
        <v>2</v>
      </c>
      <c r="G850" s="1" t="str">
        <f ca="1">IFERROR(__xludf.DUMMYFUNCTION("""COMPUTED_VALUE"""),"3 mos")</f>
        <v>3 mos</v>
      </c>
      <c r="H850" s="1" t="str">
        <f ca="1">IFERROR(__xludf.DUMMYFUNCTION("""COMPUTED_VALUE"""),"comment")</f>
        <v>comment</v>
      </c>
      <c r="I850" s="2" t="str">
        <f ca="1">IFERROR(__xludf.DUMMYFUNCTION("""COMPUTED_VALUE"""),"https://www.facebook.com/rapplerdotcom/photos/a.317154781638645/5596043783749692/")</f>
        <v>https://www.facebook.com/rapplerdotcom/photos/a.317154781638645/5596043783749692/</v>
      </c>
      <c r="J850" s="1" t="str">
        <f ca="1">IFERROR(__xludf.DUMMYFUNCTION("""COMPUTED_VALUE"""),"2022-07-04T15:38:38.275Z")</f>
        <v>2022-07-04T15:38:38.275Z</v>
      </c>
    </row>
    <row r="851" spans="1:10" x14ac:dyDescent="0.2">
      <c r="A851" s="2" t="str">
        <f ca="1">IFERROR(__xludf.DUMMYFUNCTION("""COMPUTED_VALUE"""),"https://www.facebook.com/cory.ander.3")</f>
        <v>https://www.facebook.com/cory.ander.3</v>
      </c>
      <c r="B851" s="1" t="str">
        <f ca="1">IFERROR(__xludf.DUMMYFUNCTION("""COMPUTED_VALUE"""),"Ernest A. Baunden")</f>
        <v>Ernest A. Baunden</v>
      </c>
      <c r="C851" s="1" t="str">
        <f ca="1">IFERROR(__xludf.DUMMYFUNCTION("""COMPUTED_VALUE"""),"Ernest")</f>
        <v>Ernest</v>
      </c>
      <c r="D851" s="1" t="str">
        <f ca="1">IFERROR(__xludf.DUMMYFUNCTION("""COMPUTED_VALUE"""),"A. Baunden")</f>
        <v>A. Baunden</v>
      </c>
      <c r="E851" s="1" t="str">
        <f ca="1">IFERROR(__xludf.DUMMYFUNCTION("""COMPUTED_VALUE"""),". o O ( hindi ka kinukumbinse. nagsasabi lang sila ng nakalap nilang impormasyon. kung nasasaktan ka, hwag mong patulan ang balita. unless masokista ka. )")</f>
        <v>. o O ( hindi ka kinukumbinse. nagsasabi lang sila ng nakalap nilang impormasyon. kung nasasaktan ka, hwag mong patulan ang balita. unless masokista ka. )</v>
      </c>
      <c r="F851" s="1">
        <f ca="1">IFERROR(__xludf.DUMMYFUNCTION("""COMPUTED_VALUE"""),18)</f>
        <v>18</v>
      </c>
      <c r="G851" s="1" t="str">
        <f ca="1">IFERROR(__xludf.DUMMYFUNCTION("""COMPUTED_VALUE"""),"3 mos")</f>
        <v>3 mos</v>
      </c>
      <c r="H851" s="1" t="str">
        <f ca="1">IFERROR(__xludf.DUMMYFUNCTION("""COMPUTED_VALUE"""),"reply")</f>
        <v>reply</v>
      </c>
      <c r="I851" s="2" t="str">
        <f ca="1">IFERROR(__xludf.DUMMYFUNCTION("""COMPUTED_VALUE"""),"https://www.facebook.com/rapplerdotcom/photos/a.317154781638645/5596043783749692/")</f>
        <v>https://www.facebook.com/rapplerdotcom/photos/a.317154781638645/5596043783749692/</v>
      </c>
      <c r="J851" s="1" t="str">
        <f ca="1">IFERROR(__xludf.DUMMYFUNCTION("""COMPUTED_VALUE"""),"2022-07-04T15:38:38.275Z")</f>
        <v>2022-07-04T15:38:38.275Z</v>
      </c>
    </row>
    <row r="852" spans="1:10" x14ac:dyDescent="0.2">
      <c r="A852" s="2" t="str">
        <f ca="1">IFERROR(__xludf.DUMMYFUNCTION("""COMPUTED_VALUE"""),"https://www.facebook.com/cory.ander.3")</f>
        <v>https://www.facebook.com/cory.ander.3</v>
      </c>
      <c r="B852" s="1" t="str">
        <f ca="1">IFERROR(__xludf.DUMMYFUNCTION("""COMPUTED_VALUE"""),"Ernest A. Baunden")</f>
        <v>Ernest A. Baunden</v>
      </c>
      <c r="C852" s="1" t="str">
        <f ca="1">IFERROR(__xludf.DUMMYFUNCTION("""COMPUTED_VALUE"""),"Ernest")</f>
        <v>Ernest</v>
      </c>
      <c r="D852" s="1" t="str">
        <f ca="1">IFERROR(__xludf.DUMMYFUNCTION("""COMPUTED_VALUE"""),"A. Baunden")</f>
        <v>A. Baunden</v>
      </c>
      <c r="E852" s="1" t="str">
        <f ca="1">IFERROR(__xludf.DUMMYFUNCTION("""COMPUTED_VALUE"""),". o O ( ano yan, tumanda ka sa mundo na intrigero? )")</f>
        <v>. o O ( ano yan, tumanda ka sa mundo na intrigero? )</v>
      </c>
      <c r="F852" s="1">
        <f ca="1">IFERROR(__xludf.DUMMYFUNCTION("""COMPUTED_VALUE"""),5)</f>
        <v>5</v>
      </c>
      <c r="G852" s="1" t="str">
        <f ca="1">IFERROR(__xludf.DUMMYFUNCTION("""COMPUTED_VALUE"""),"3 mos")</f>
        <v>3 mos</v>
      </c>
      <c r="H852" s="1" t="str">
        <f ca="1">IFERROR(__xludf.DUMMYFUNCTION("""COMPUTED_VALUE"""),"reply")</f>
        <v>reply</v>
      </c>
      <c r="I852" s="2" t="str">
        <f ca="1">IFERROR(__xludf.DUMMYFUNCTION("""COMPUTED_VALUE"""),"https://www.facebook.com/rapplerdotcom/photos/a.317154781638645/5596043783749692/")</f>
        <v>https://www.facebook.com/rapplerdotcom/photos/a.317154781638645/5596043783749692/</v>
      </c>
      <c r="J852" s="1" t="str">
        <f ca="1">IFERROR(__xludf.DUMMYFUNCTION("""COMPUTED_VALUE"""),"2022-07-04T15:38:38.275Z")</f>
        <v>2022-07-04T15:38:38.275Z</v>
      </c>
    </row>
    <row r="853" spans="1:10" x14ac:dyDescent="0.2">
      <c r="A853" s="2" t="str">
        <f ca="1">IFERROR(__xludf.DUMMYFUNCTION("""COMPUTED_VALUE"""),"https://www.facebook.com/EnricElesisCruz")</f>
        <v>https://www.facebook.com/EnricElesisCruz</v>
      </c>
      <c r="B853" s="1" t="str">
        <f ca="1">IFERROR(__xludf.DUMMYFUNCTION("""COMPUTED_VALUE"""),"Enric Elesis Cruz")</f>
        <v>Enric Elesis Cruz</v>
      </c>
      <c r="C853" s="1" t="str">
        <f ca="1">IFERROR(__xludf.DUMMYFUNCTION("""COMPUTED_VALUE"""),"Enric")</f>
        <v>Enric</v>
      </c>
      <c r="D853" s="1" t="str">
        <f ca="1">IFERROR(__xludf.DUMMYFUNCTION("""COMPUTED_VALUE"""),"Elesis Cruz")</f>
        <v>Elesis Cruz</v>
      </c>
      <c r="E853" s="1" t="str">
        <f ca="1">IFERROR(__xludf.DUMMYFUNCTION("""COMPUTED_VALUE"""),"Ernest A. Baunden check the info reported by inquirer.net compared to this page. 21k vs 37k.")</f>
        <v>Ernest A. Baunden check the info reported by inquirer.net compared to this page. 21k vs 37k.</v>
      </c>
      <c r="F853" s="1"/>
      <c r="G853" s="1" t="str">
        <f ca="1">IFERROR(__xludf.DUMMYFUNCTION("""COMPUTED_VALUE"""),"3 mos")</f>
        <v>3 mos</v>
      </c>
      <c r="H853" s="1" t="str">
        <f ca="1">IFERROR(__xludf.DUMMYFUNCTION("""COMPUTED_VALUE"""),"reply")</f>
        <v>reply</v>
      </c>
      <c r="I853" s="2" t="str">
        <f ca="1">IFERROR(__xludf.DUMMYFUNCTION("""COMPUTED_VALUE"""),"https://www.facebook.com/rapplerdotcom/photos/a.317154781638645/5596043783749692/")</f>
        <v>https://www.facebook.com/rapplerdotcom/photos/a.317154781638645/5596043783749692/</v>
      </c>
      <c r="J853" s="1" t="str">
        <f ca="1">IFERROR(__xludf.DUMMYFUNCTION("""COMPUTED_VALUE"""),"2022-07-04T15:38:38.275Z")</f>
        <v>2022-07-04T15:38:38.275Z</v>
      </c>
    </row>
    <row r="854" spans="1:10" x14ac:dyDescent="0.2">
      <c r="A854" s="2" t="str">
        <f ca="1">IFERROR(__xludf.DUMMYFUNCTION("""COMPUTED_VALUE"""),"https://www.facebook.com/cory.ander.3")</f>
        <v>https://www.facebook.com/cory.ander.3</v>
      </c>
      <c r="B854" s="1" t="str">
        <f ca="1">IFERROR(__xludf.DUMMYFUNCTION("""COMPUTED_VALUE"""),"Ernest A. Baunden")</f>
        <v>Ernest A. Baunden</v>
      </c>
      <c r="C854" s="1" t="str">
        <f ca="1">IFERROR(__xludf.DUMMYFUNCTION("""COMPUTED_VALUE"""),"Ernest")</f>
        <v>Ernest</v>
      </c>
      <c r="D854" s="1" t="str">
        <f ca="1">IFERROR(__xludf.DUMMYFUNCTION("""COMPUTED_VALUE"""),"A. Baunden")</f>
        <v>A. Baunden</v>
      </c>
      <c r="E854" s="1" t="str">
        <f ca="1">IFERROR(__xludf.DUMMYFUNCTION("""COMPUTED_VALUE"""),". o O ( send the article to felix, not to me. )")</f>
        <v>. o O ( send the article to felix, not to me. )</v>
      </c>
      <c r="F854" s="1">
        <f ca="1">IFERROR(__xludf.DUMMYFUNCTION("""COMPUTED_VALUE"""),5)</f>
        <v>5</v>
      </c>
      <c r="G854" s="1" t="str">
        <f ca="1">IFERROR(__xludf.DUMMYFUNCTION("""COMPUTED_VALUE"""),"3 mos")</f>
        <v>3 mos</v>
      </c>
      <c r="H854" s="1" t="str">
        <f ca="1">IFERROR(__xludf.DUMMYFUNCTION("""COMPUTED_VALUE"""),"reply")</f>
        <v>reply</v>
      </c>
      <c r="I854" s="2" t="str">
        <f ca="1">IFERROR(__xludf.DUMMYFUNCTION("""COMPUTED_VALUE"""),"https://www.facebook.com/rapplerdotcom/photos/a.317154781638645/5596043783749692/")</f>
        <v>https://www.facebook.com/rapplerdotcom/photos/a.317154781638645/5596043783749692/</v>
      </c>
      <c r="J854" s="1" t="str">
        <f ca="1">IFERROR(__xludf.DUMMYFUNCTION("""COMPUTED_VALUE"""),"2022-07-04T15:38:38.275Z")</f>
        <v>2022-07-04T15:38:38.275Z</v>
      </c>
    </row>
    <row r="855" spans="1:10" x14ac:dyDescent="0.2">
      <c r="A855" s="2" t="str">
        <f ca="1">IFERROR(__xludf.DUMMYFUNCTION("""COMPUTED_VALUE"""),"https://www.facebook.com/leon.leyoww")</f>
        <v>https://www.facebook.com/leon.leyoww</v>
      </c>
      <c r="B855" s="1" t="str">
        <f ca="1">IFERROR(__xludf.DUMMYFUNCTION("""COMPUTED_VALUE"""),"Coronel Chiu Noel")</f>
        <v>Coronel Chiu Noel</v>
      </c>
      <c r="C855" s="1" t="str">
        <f ca="1">IFERROR(__xludf.DUMMYFUNCTION("""COMPUTED_VALUE"""),"Coronel")</f>
        <v>Coronel</v>
      </c>
      <c r="D855" s="1" t="str">
        <f ca="1">IFERROR(__xludf.DUMMYFUNCTION("""COMPUTED_VALUE"""),"Chiu Noel")</f>
        <v>Chiu Noel</v>
      </c>
      <c r="E855" s="1" t="str">
        <f ca="1">IFERROR(__xludf.DUMMYFUNCTION("""COMPUTED_VALUE"""),"Iyak mga loyalistang apologist hakot yarn dun Kay sa nag rarambulan pag kakaisa daw ha ha ha ha")</f>
        <v>Iyak mga loyalistang apologist hakot yarn dun Kay sa nag rarambulan pag kakaisa daw ha ha ha ha</v>
      </c>
      <c r="F855" s="1">
        <f ca="1">IFERROR(__xludf.DUMMYFUNCTION("""COMPUTED_VALUE"""),1)</f>
        <v>1</v>
      </c>
      <c r="G855" s="1" t="str">
        <f ca="1">IFERROR(__xludf.DUMMYFUNCTION("""COMPUTED_VALUE"""),"3 mos")</f>
        <v>3 mos</v>
      </c>
      <c r="H855" s="1" t="str">
        <f ca="1">IFERROR(__xludf.DUMMYFUNCTION("""COMPUTED_VALUE"""),"comment")</f>
        <v>comment</v>
      </c>
      <c r="I855" s="2" t="str">
        <f ca="1">IFERROR(__xludf.DUMMYFUNCTION("""COMPUTED_VALUE"""),"https://www.facebook.com/rapplerdotcom/photos/a.317154781638645/5596043783749692/")</f>
        <v>https://www.facebook.com/rapplerdotcom/photos/a.317154781638645/5596043783749692/</v>
      </c>
      <c r="J855" s="1" t="str">
        <f ca="1">IFERROR(__xludf.DUMMYFUNCTION("""COMPUTED_VALUE"""),"2022-07-04T15:38:38.275Z")</f>
        <v>2022-07-04T15:38:38.275Z</v>
      </c>
    </row>
    <row r="856" spans="1:10" x14ac:dyDescent="0.2">
      <c r="A856" s="2" t="str">
        <f ca="1">IFERROR(__xludf.DUMMYFUNCTION("""COMPUTED_VALUE"""),"https://www.facebook.com/profile.php?id=100013008619170")</f>
        <v>https://www.facebook.com/profile.php?id=100013008619170</v>
      </c>
      <c r="B856" s="1" t="str">
        <f ca="1">IFERROR(__xludf.DUMMYFUNCTION("""COMPUTED_VALUE"""),"Roland Grande")</f>
        <v>Roland Grande</v>
      </c>
      <c r="C856" s="1" t="str">
        <f ca="1">IFERROR(__xludf.DUMMYFUNCTION("""COMPUTED_VALUE"""),"Roland")</f>
        <v>Roland</v>
      </c>
      <c r="D856" s="1" t="str">
        <f ca="1">IFERROR(__xludf.DUMMYFUNCTION("""COMPUTED_VALUE"""),"Grande")</f>
        <v>Grande</v>
      </c>
      <c r="E856" s="1" t="str">
        <f ca="1">IFERROR(__xludf.DUMMYFUNCTION("""COMPUTED_VALUE"""),"Once again.... THANK YOU MGA KABABAYAN!   💗💗💗  #LeniForPresident #WeWantNeri #labogforsenator #KatutuboSaSenado #MakabayangPagbabago2022")</f>
        <v>Once again.... THANK YOU MGA KABABAYAN!   💗💗💗  #LeniForPresident #WeWantNeri #labogforsenator #KatutuboSaSenado #MakabayangPagbabago2022</v>
      </c>
      <c r="F856" s="1">
        <f ca="1">IFERROR(__xludf.DUMMYFUNCTION("""COMPUTED_VALUE"""),4)</f>
        <v>4</v>
      </c>
      <c r="G856" s="1" t="str">
        <f ca="1">IFERROR(__xludf.DUMMYFUNCTION("""COMPUTED_VALUE"""),"3 mos")</f>
        <v>3 mos</v>
      </c>
      <c r="H856" s="1" t="str">
        <f ca="1">IFERROR(__xludf.DUMMYFUNCTION("""COMPUTED_VALUE"""),"comment")</f>
        <v>comment</v>
      </c>
      <c r="I856" s="2" t="str">
        <f ca="1">IFERROR(__xludf.DUMMYFUNCTION("""COMPUTED_VALUE"""),"https://www.facebook.com/rapplerdotcom/photos/a.317154781638645/5596043783749692/")</f>
        <v>https://www.facebook.com/rapplerdotcom/photos/a.317154781638645/5596043783749692/</v>
      </c>
      <c r="J856" s="1" t="str">
        <f ca="1">IFERROR(__xludf.DUMMYFUNCTION("""COMPUTED_VALUE"""),"2022-07-04T15:38:38.275Z")</f>
        <v>2022-07-04T15:38:38.275Z</v>
      </c>
    </row>
    <row r="857" spans="1:10" x14ac:dyDescent="0.2">
      <c r="A857" s="2" t="str">
        <f ca="1">IFERROR(__xludf.DUMMYFUNCTION("""COMPUTED_VALUE"""),"https://www.facebook.com/geegee.lopez")</f>
        <v>https://www.facebook.com/geegee.lopez</v>
      </c>
      <c r="B857" s="1" t="str">
        <f ca="1">IFERROR(__xludf.DUMMYFUNCTION("""COMPUTED_VALUE"""),"Grateful Geegee")</f>
        <v>Grateful Geegee</v>
      </c>
      <c r="C857" s="1" t="str">
        <f ca="1">IFERROR(__xludf.DUMMYFUNCTION("""COMPUTED_VALUE"""),"Grateful")</f>
        <v>Grateful</v>
      </c>
      <c r="D857" s="1" t="str">
        <f ca="1">IFERROR(__xludf.DUMMYFUNCTION("""COMPUTED_VALUE"""),"Geegee")</f>
        <v>Geegee</v>
      </c>
      <c r="E857" s="1" t="str">
        <f ca="1">IFERROR(__xludf.DUMMYFUNCTION("""COMPUTED_VALUE"""),"👏🏻💖💖 nag-uumapaw ang suporta ng mga kapwa natin Pilipino para kay #LeniKiko2022  dahil sila lang talaga ang may tunay na pagmamahal at malasakit sa atin at sa ating bayan! #10RobredoPresident #7KikoPangilinanVicePresident #GobyernongTapatAngatBuhayLah"&amp;"at Oras na! Kailangan ng bayan ng matinong gobyerno! Kailangan MAPAGKAKATIWALAAN para pumasok ang mga negosyo at trabaho at kabuhayan para sa lahat! Tayo naman and dapat umangat! #AngatBuhayLahat kay #LeniKiko2022 #10RobredoPresident #7KikoPangilinanViceP"&amp;"resident #GobyernongTapatAngatBuhayLahat")</f>
        <v>👏🏻💖💖 nag-uumapaw ang suporta ng mga kapwa natin Pilipino para kay #LeniKiko2022  dahil sila lang talaga ang may tunay na pagmamahal at malasakit sa atin at sa ating bayan! #10RobredoPresident #7KikoPangilinanVicePresident #GobyernongTapatAngatBuhayLahat Oras na! Kailangan ng bayan ng matinong gobyerno! Kailangan MAPAGKAKATIWALAAN para pumasok ang mga negosyo at trabaho at kabuhayan para sa lahat! Tayo naman and dapat umangat! #AngatBuhayLahat kay #LeniKiko2022 #10RobredoPresident #7KikoPangilinanVicePresident #GobyernongTapatAngatBuhayLahat</v>
      </c>
      <c r="F857" s="1">
        <f ca="1">IFERROR(__xludf.DUMMYFUNCTION("""COMPUTED_VALUE"""),4)</f>
        <v>4</v>
      </c>
      <c r="G857" s="1" t="str">
        <f ca="1">IFERROR(__xludf.DUMMYFUNCTION("""COMPUTED_VALUE"""),"3 mos")</f>
        <v>3 mos</v>
      </c>
      <c r="H857" s="1" t="str">
        <f ca="1">IFERROR(__xludf.DUMMYFUNCTION("""COMPUTED_VALUE"""),"comment")</f>
        <v>comment</v>
      </c>
      <c r="I857" s="2" t="str">
        <f ca="1">IFERROR(__xludf.DUMMYFUNCTION("""COMPUTED_VALUE"""),"https://www.facebook.com/rapplerdotcom/photos/a.317154781638645/5596043783749692/")</f>
        <v>https://www.facebook.com/rapplerdotcom/photos/a.317154781638645/5596043783749692/</v>
      </c>
      <c r="J857" s="1" t="str">
        <f ca="1">IFERROR(__xludf.DUMMYFUNCTION("""COMPUTED_VALUE"""),"2022-07-04T15:38:38.275Z")</f>
        <v>2022-07-04T15:38:38.275Z</v>
      </c>
    </row>
    <row r="858" spans="1:10" x14ac:dyDescent="0.2">
      <c r="A858" s="2" t="str">
        <f ca="1">IFERROR(__xludf.DUMMYFUNCTION("""COMPUTED_VALUE"""),"https://www.facebook.com/julio.quian")</f>
        <v>https://www.facebook.com/julio.quian</v>
      </c>
      <c r="B858" s="1" t="str">
        <f ca="1">IFERROR(__xludf.DUMMYFUNCTION("""COMPUTED_VALUE"""),"Julio Quian")</f>
        <v>Julio Quian</v>
      </c>
      <c r="C858" s="1" t="str">
        <f ca="1">IFERROR(__xludf.DUMMYFUNCTION("""COMPUTED_VALUE"""),"Julio")</f>
        <v>Julio</v>
      </c>
      <c r="D858" s="1" t="str">
        <f ca="1">IFERROR(__xludf.DUMMYFUNCTION("""COMPUTED_VALUE"""),"Quian")</f>
        <v>Quian</v>
      </c>
      <c r="E858" s="1" t="str">
        <f ca="1">IFERROR(__xludf.DUMMYFUNCTION("""COMPUTED_VALUE"""),"Solid Sarah @ Marco's nlang ako he is very good leader...! ¡")</f>
        <v>Solid Sarah @ Marco's nlang ako he is very good leader...! ¡</v>
      </c>
      <c r="F858" s="1">
        <f ca="1">IFERROR(__xludf.DUMMYFUNCTION("""COMPUTED_VALUE"""),25)</f>
        <v>25</v>
      </c>
      <c r="G858" s="1" t="str">
        <f ca="1">IFERROR(__xludf.DUMMYFUNCTION("""COMPUTED_VALUE"""),"3 mos")</f>
        <v>3 mos</v>
      </c>
      <c r="H858" s="1" t="str">
        <f ca="1">IFERROR(__xludf.DUMMYFUNCTION("""COMPUTED_VALUE"""),"comment")</f>
        <v>comment</v>
      </c>
      <c r="I858" s="2" t="str">
        <f ca="1">IFERROR(__xludf.DUMMYFUNCTION("""COMPUTED_VALUE"""),"https://www.facebook.com/rapplerdotcom/photos/a.317154781638645/5596043783749692/")</f>
        <v>https://www.facebook.com/rapplerdotcom/photos/a.317154781638645/5596043783749692/</v>
      </c>
      <c r="J858" s="1" t="str">
        <f ca="1">IFERROR(__xludf.DUMMYFUNCTION("""COMPUTED_VALUE"""),"2022-07-04T15:38:38.275Z")</f>
        <v>2022-07-04T15:38:38.275Z</v>
      </c>
    </row>
    <row r="859" spans="1:10" x14ac:dyDescent="0.2">
      <c r="A859" s="2" t="str">
        <f ca="1">IFERROR(__xludf.DUMMYFUNCTION("""COMPUTED_VALUE"""),"https://www.facebook.com/maripaz.mira")</f>
        <v>https://www.facebook.com/maripaz.mira</v>
      </c>
      <c r="B859" s="1" t="str">
        <f ca="1">IFERROR(__xludf.DUMMYFUNCTION("""COMPUTED_VALUE"""),"Maripaz Remoquillo Mira")</f>
        <v>Maripaz Remoquillo Mira</v>
      </c>
      <c r="C859" s="1" t="str">
        <f ca="1">IFERROR(__xludf.DUMMYFUNCTION("""COMPUTED_VALUE"""),"Maripaz")</f>
        <v>Maripaz</v>
      </c>
      <c r="D859" s="1" t="str">
        <f ca="1">IFERROR(__xludf.DUMMYFUNCTION("""COMPUTED_VALUE"""),"Remoquillo Mira")</f>
        <v>Remoquillo Mira</v>
      </c>
      <c r="E859" s="1" t="str">
        <f ca="1">IFERROR(__xludf.DUMMYFUNCTION("""COMPUTED_VALUE"""),"Julio Quian what???? Good leader????")</f>
        <v>Julio Quian what???? Good leader????</v>
      </c>
      <c r="F859" s="1">
        <f ca="1">IFERROR(__xludf.DUMMYFUNCTION("""COMPUTED_VALUE"""),3)</f>
        <v>3</v>
      </c>
      <c r="G859" s="1" t="str">
        <f ca="1">IFERROR(__xludf.DUMMYFUNCTION("""COMPUTED_VALUE"""),"3 mos")</f>
        <v>3 mos</v>
      </c>
      <c r="H859" s="1" t="str">
        <f ca="1">IFERROR(__xludf.DUMMYFUNCTION("""COMPUTED_VALUE"""),"reply")</f>
        <v>reply</v>
      </c>
      <c r="I859" s="2" t="str">
        <f ca="1">IFERROR(__xludf.DUMMYFUNCTION("""COMPUTED_VALUE"""),"https://www.facebook.com/rapplerdotcom/photos/a.317154781638645/5596043783749692/")</f>
        <v>https://www.facebook.com/rapplerdotcom/photos/a.317154781638645/5596043783749692/</v>
      </c>
      <c r="J859" s="1" t="str">
        <f ca="1">IFERROR(__xludf.DUMMYFUNCTION("""COMPUTED_VALUE"""),"2022-07-04T15:38:38.275Z")</f>
        <v>2022-07-04T15:38:38.275Z</v>
      </c>
    </row>
    <row r="860" spans="1:10" x14ac:dyDescent="0.2">
      <c r="A860" s="2" t="str">
        <f ca="1">IFERROR(__xludf.DUMMYFUNCTION("""COMPUTED_VALUE"""),"https://www.facebook.com/arizagabrielellaine")</f>
        <v>https://www.facebook.com/arizagabrielellaine</v>
      </c>
      <c r="B860" s="1" t="str">
        <f ca="1">IFERROR(__xludf.DUMMYFUNCTION("""COMPUTED_VALUE"""),"Ariza Ellaine Gabriel")</f>
        <v>Ariza Ellaine Gabriel</v>
      </c>
      <c r="C860" s="1" t="str">
        <f ca="1">IFERROR(__xludf.DUMMYFUNCTION("""COMPUTED_VALUE"""),"Ariza")</f>
        <v>Ariza</v>
      </c>
      <c r="D860" s="1" t="str">
        <f ca="1">IFERROR(__xludf.DUMMYFUNCTION("""COMPUTED_VALUE"""),"Ellaine Gabriel")</f>
        <v>Ellaine Gabriel</v>
      </c>
      <c r="E860" s="1" t="str">
        <f ca="1">IFERROR(__xludf.DUMMYFUNCTION("""COMPUTED_VALUE"""),"Julio Quian lapag po ng plataporma aside from pagkakaisa.")</f>
        <v>Julio Quian lapag po ng plataporma aside from pagkakaisa.</v>
      </c>
      <c r="F860" s="1">
        <f ca="1">IFERROR(__xludf.DUMMYFUNCTION("""COMPUTED_VALUE"""),4)</f>
        <v>4</v>
      </c>
      <c r="G860" s="1" t="str">
        <f ca="1">IFERROR(__xludf.DUMMYFUNCTION("""COMPUTED_VALUE"""),"3 mos")</f>
        <v>3 mos</v>
      </c>
      <c r="H860" s="1" t="str">
        <f ca="1">IFERROR(__xludf.DUMMYFUNCTION("""COMPUTED_VALUE"""),"reply")</f>
        <v>reply</v>
      </c>
      <c r="I860" s="2" t="str">
        <f ca="1">IFERROR(__xludf.DUMMYFUNCTION("""COMPUTED_VALUE"""),"https://www.facebook.com/rapplerdotcom/photos/a.317154781638645/5596043783749692/")</f>
        <v>https://www.facebook.com/rapplerdotcom/photos/a.317154781638645/5596043783749692/</v>
      </c>
      <c r="J860" s="1" t="str">
        <f ca="1">IFERROR(__xludf.DUMMYFUNCTION("""COMPUTED_VALUE"""),"2022-07-04T15:38:38.275Z")</f>
        <v>2022-07-04T15:38:38.275Z</v>
      </c>
    </row>
    <row r="861" spans="1:10" x14ac:dyDescent="0.2">
      <c r="A861" s="2" t="str">
        <f ca="1">IFERROR(__xludf.DUMMYFUNCTION("""COMPUTED_VALUE"""),"https://www.facebook.com/profile.php?id=100009486210065")</f>
        <v>https://www.facebook.com/profile.php?id=100009486210065</v>
      </c>
      <c r="B861" s="1" t="str">
        <f ca="1">IFERROR(__xludf.DUMMYFUNCTION("""COMPUTED_VALUE"""),"Anita Lope")</f>
        <v>Anita Lope</v>
      </c>
      <c r="C861" s="1" t="str">
        <f ca="1">IFERROR(__xludf.DUMMYFUNCTION("""COMPUTED_VALUE"""),"Anita")</f>
        <v>Anita</v>
      </c>
      <c r="D861" s="1" t="str">
        <f ca="1">IFERROR(__xludf.DUMMYFUNCTION("""COMPUTED_VALUE"""),"Lope")</f>
        <v>Lope</v>
      </c>
      <c r="E861" s="1" t="str">
        <f ca="1">IFERROR(__xludf.DUMMYFUNCTION("""COMPUTED_VALUE"""),"Julio Quian in what way sir leader sa d pagbabayad ng buwis.sana d na rn tyo pagbayarin ng buwis s a poor individwal")</f>
        <v>Julio Quian in what way sir leader sa d pagbabayad ng buwis.sana d na rn tyo pagbayarin ng buwis s a poor individwal</v>
      </c>
      <c r="F861" s="1">
        <f ca="1">IFERROR(__xludf.DUMMYFUNCTION("""COMPUTED_VALUE"""),3)</f>
        <v>3</v>
      </c>
      <c r="G861" s="1" t="str">
        <f ca="1">IFERROR(__xludf.DUMMYFUNCTION("""COMPUTED_VALUE"""),"3 mos")</f>
        <v>3 mos</v>
      </c>
      <c r="H861" s="1" t="str">
        <f ca="1">IFERROR(__xludf.DUMMYFUNCTION("""COMPUTED_VALUE"""),"reply")</f>
        <v>reply</v>
      </c>
      <c r="I861" s="2" t="str">
        <f ca="1">IFERROR(__xludf.DUMMYFUNCTION("""COMPUTED_VALUE"""),"https://www.facebook.com/rapplerdotcom/photos/a.317154781638645/5596043783749692/")</f>
        <v>https://www.facebook.com/rapplerdotcom/photos/a.317154781638645/5596043783749692/</v>
      </c>
      <c r="J861" s="1" t="str">
        <f ca="1">IFERROR(__xludf.DUMMYFUNCTION("""COMPUTED_VALUE"""),"2022-07-04T15:38:38.275Z")</f>
        <v>2022-07-04T15:38:38.275Z</v>
      </c>
    </row>
    <row r="862" spans="1:10" x14ac:dyDescent="0.2">
      <c r="A862" s="2" t="str">
        <f ca="1">IFERROR(__xludf.DUMMYFUNCTION("""COMPUTED_VALUE"""),"https://www.facebook.com/EJCAmoroso")</f>
        <v>https://www.facebook.com/EJCAmoroso</v>
      </c>
      <c r="B862" s="1" t="str">
        <f ca="1">IFERROR(__xludf.DUMMYFUNCTION("""COMPUTED_VALUE"""),"Elise Amor")</f>
        <v>Elise Amor</v>
      </c>
      <c r="C862" s="1" t="str">
        <f ca="1">IFERROR(__xludf.DUMMYFUNCTION("""COMPUTED_VALUE"""),"Elise")</f>
        <v>Elise</v>
      </c>
      <c r="D862" s="1" t="str">
        <f ca="1">IFERROR(__xludf.DUMMYFUNCTION("""COMPUTED_VALUE"""),"Amor")</f>
        <v>Amor</v>
      </c>
      <c r="E862" s="1" t="str">
        <f ca="1">IFERROR(__xludf.DUMMYFUNCTION("""COMPUTED_VALUE"""),"Julio Quian sino muna si Sarah at bakit siya nasa Marco’s !¡ …")</f>
        <v>Julio Quian sino muna si Sarah at bakit siya nasa Marco’s !¡ …</v>
      </c>
      <c r="F862" s="1">
        <f ca="1">IFERROR(__xludf.DUMMYFUNCTION("""COMPUTED_VALUE"""),1)</f>
        <v>1</v>
      </c>
      <c r="G862" s="1" t="str">
        <f ca="1">IFERROR(__xludf.DUMMYFUNCTION("""COMPUTED_VALUE"""),"3 mos")</f>
        <v>3 mos</v>
      </c>
      <c r="H862" s="1" t="str">
        <f ca="1">IFERROR(__xludf.DUMMYFUNCTION("""COMPUTED_VALUE"""),"reply")</f>
        <v>reply</v>
      </c>
      <c r="I862" s="2" t="str">
        <f ca="1">IFERROR(__xludf.DUMMYFUNCTION("""COMPUTED_VALUE"""),"https://www.facebook.com/rapplerdotcom/photos/a.317154781638645/5596043783749692/")</f>
        <v>https://www.facebook.com/rapplerdotcom/photos/a.317154781638645/5596043783749692/</v>
      </c>
      <c r="J862" s="1" t="str">
        <f ca="1">IFERROR(__xludf.DUMMYFUNCTION("""COMPUTED_VALUE"""),"2022-07-04T15:38:38.275Z")</f>
        <v>2022-07-04T15:38:38.275Z</v>
      </c>
    </row>
    <row r="863" spans="1:10" x14ac:dyDescent="0.2">
      <c r="A863" s="2" t="str">
        <f ca="1">IFERROR(__xludf.DUMMYFUNCTION("""COMPUTED_VALUE"""),"https://www.facebook.com/mhelay.ybanez")</f>
        <v>https://www.facebook.com/mhelay.ybanez</v>
      </c>
      <c r="B863" s="1" t="str">
        <f ca="1">IFERROR(__xludf.DUMMYFUNCTION("""COMPUTED_VALUE"""),"Mhelay Quin")</f>
        <v>Mhelay Quin</v>
      </c>
      <c r="C863" s="1" t="str">
        <f ca="1">IFERROR(__xludf.DUMMYFUNCTION("""COMPUTED_VALUE"""),"Mhelay")</f>
        <v>Mhelay</v>
      </c>
      <c r="D863" s="1" t="str">
        <f ca="1">IFERROR(__xludf.DUMMYFUNCTION("""COMPUTED_VALUE"""),"Quin")</f>
        <v>Quin</v>
      </c>
      <c r="E863" s="1" t="str">
        <f ca="1">IFERROR(__xludf.DUMMYFUNCTION("""COMPUTED_VALUE"""),"Julio Quian  saan po ang resibo? Leader po sila ng Ilocos for 60 years bakit 4th class province pa rin ang Ilocos?🤔🤔🤔 Naisip nyo po ba yun?")</f>
        <v>Julio Quian  saan po ang resibo? Leader po sila ng Ilocos for 60 years bakit 4th class province pa rin ang Ilocos?🤔🤔🤔 Naisip nyo po ba yun?</v>
      </c>
      <c r="F863" s="1">
        <f ca="1">IFERROR(__xludf.DUMMYFUNCTION("""COMPUTED_VALUE"""),2)</f>
        <v>2</v>
      </c>
      <c r="G863" s="1" t="str">
        <f ca="1">IFERROR(__xludf.DUMMYFUNCTION("""COMPUTED_VALUE"""),"3 mos")</f>
        <v>3 mos</v>
      </c>
      <c r="H863" s="1" t="str">
        <f ca="1">IFERROR(__xludf.DUMMYFUNCTION("""COMPUTED_VALUE"""),"reply")</f>
        <v>reply</v>
      </c>
      <c r="I863" s="2" t="str">
        <f ca="1">IFERROR(__xludf.DUMMYFUNCTION("""COMPUTED_VALUE"""),"https://www.facebook.com/rapplerdotcom/photos/a.317154781638645/5596043783749692/")</f>
        <v>https://www.facebook.com/rapplerdotcom/photos/a.317154781638645/5596043783749692/</v>
      </c>
      <c r="J863" s="1" t="str">
        <f ca="1">IFERROR(__xludf.DUMMYFUNCTION("""COMPUTED_VALUE"""),"2022-07-04T15:38:38.275Z")</f>
        <v>2022-07-04T15:38:38.275Z</v>
      </c>
    </row>
    <row r="864" spans="1:10" x14ac:dyDescent="0.2">
      <c r="A864" s="2" t="str">
        <f ca="1">IFERROR(__xludf.DUMMYFUNCTION("""COMPUTED_VALUE"""),"https://www.facebook.com/dhang.veritas")</f>
        <v>https://www.facebook.com/dhang.veritas</v>
      </c>
      <c r="B864" s="1" t="str">
        <f ca="1">IFERROR(__xludf.DUMMYFUNCTION("""COMPUTED_VALUE"""),"Dang Elizalde Candame")</f>
        <v>Dang Elizalde Candame</v>
      </c>
      <c r="C864" s="1" t="str">
        <f ca="1">IFERROR(__xludf.DUMMYFUNCTION("""COMPUTED_VALUE"""),"Dang")</f>
        <v>Dang</v>
      </c>
      <c r="D864" s="1" t="str">
        <f ca="1">IFERROR(__xludf.DUMMYFUNCTION("""COMPUTED_VALUE"""),"Elizalde Candame")</f>
        <v>Elizalde Candame</v>
      </c>
      <c r="E864" s="1" t="str">
        <f ca="1">IFERROR(__xludf.DUMMYFUNCTION("""COMPUTED_VALUE"""),"at iisa ang kuwento ng mga dumalo.. hindi sila binayaran... kahit napakainit, walang nauhaw , walang nagutom.. ang daming libreng tubig at pagkain na mismong mga pumunta doon ang kusang nagluto,bumili at nagdala para lahat may lakas , at hindi manghina ha"&amp;"bang nagkakasayahan.. Sayang , palagi kaming nasa work , kaya di kami nakakapunta... pero ang mga kasamahan namin na available , nagpunta at tuwang tuwa pag-uwi..")</f>
        <v>at iisa ang kuwento ng mga dumalo.. hindi sila binayaran... kahit napakainit, walang nauhaw , walang nagutom.. ang daming libreng tubig at pagkain na mismong mga pumunta doon ang kusang nagluto,bumili at nagdala para lahat may lakas , at hindi manghina habang nagkakasayahan.. Sayang , palagi kaming nasa work , kaya di kami nakakapunta... pero ang mga kasamahan namin na available , nagpunta at tuwang tuwa pag-uwi..</v>
      </c>
      <c r="F864" s="1"/>
      <c r="G864" s="1" t="str">
        <f ca="1">IFERROR(__xludf.DUMMYFUNCTION("""COMPUTED_VALUE"""),"3 mos")</f>
        <v>3 mos</v>
      </c>
      <c r="H864" s="1" t="str">
        <f ca="1">IFERROR(__xludf.DUMMYFUNCTION("""COMPUTED_VALUE"""),"comment")</f>
        <v>comment</v>
      </c>
      <c r="I864" s="2" t="str">
        <f ca="1">IFERROR(__xludf.DUMMYFUNCTION("""COMPUTED_VALUE"""),"https://www.facebook.com/rapplerdotcom/photos/a.317154781638645/5596043783749692/")</f>
        <v>https://www.facebook.com/rapplerdotcom/photos/a.317154781638645/5596043783749692/</v>
      </c>
      <c r="J864" s="1" t="str">
        <f ca="1">IFERROR(__xludf.DUMMYFUNCTION("""COMPUTED_VALUE"""),"2022-07-04T15:38:38.275Z")</f>
        <v>2022-07-04T15:38:38.275Z</v>
      </c>
    </row>
    <row r="865" spans="1:10" x14ac:dyDescent="0.2">
      <c r="A865" s="2" t="str">
        <f ca="1">IFERROR(__xludf.DUMMYFUNCTION("""COMPUTED_VALUE"""),"https://www.facebook.com/xernes.martinez")</f>
        <v>https://www.facebook.com/xernes.martinez</v>
      </c>
      <c r="B865" s="1" t="str">
        <f ca="1">IFERROR(__xludf.DUMMYFUNCTION("""COMPUTED_VALUE"""),"Xernes Martinez")</f>
        <v>Xernes Martinez</v>
      </c>
      <c r="C865" s="1" t="str">
        <f ca="1">IFERROR(__xludf.DUMMYFUNCTION("""COMPUTED_VALUE"""),"Xernes")</f>
        <v>Xernes</v>
      </c>
      <c r="D865" s="1" t="str">
        <f ca="1">IFERROR(__xludf.DUMMYFUNCTION("""COMPUTED_VALUE"""),"Martinez")</f>
        <v>Martinez</v>
      </c>
      <c r="E865" s="1" t="str">
        <f ca="1">IFERROR(__xludf.DUMMYFUNCTION("""COMPUTED_VALUE"""),"#LeniKiko2022  🇵🇭💗💚")</f>
        <v>#LeniKiko2022  🇵🇭💗💚</v>
      </c>
      <c r="F865" s="1">
        <f ca="1">IFERROR(__xludf.DUMMYFUNCTION("""COMPUTED_VALUE"""),1)</f>
        <v>1</v>
      </c>
      <c r="G865" s="1" t="str">
        <f ca="1">IFERROR(__xludf.DUMMYFUNCTION("""COMPUTED_VALUE"""),"3 mos")</f>
        <v>3 mos</v>
      </c>
      <c r="H865" s="1" t="str">
        <f ca="1">IFERROR(__xludf.DUMMYFUNCTION("""COMPUTED_VALUE"""),"comment")</f>
        <v>comment</v>
      </c>
      <c r="I865" s="2" t="str">
        <f ca="1">IFERROR(__xludf.DUMMYFUNCTION("""COMPUTED_VALUE"""),"https://www.facebook.com/rapplerdotcom/photos/a.317154781638645/5596043783749692/")</f>
        <v>https://www.facebook.com/rapplerdotcom/photos/a.317154781638645/5596043783749692/</v>
      </c>
      <c r="J865" s="1" t="str">
        <f ca="1">IFERROR(__xludf.DUMMYFUNCTION("""COMPUTED_VALUE"""),"2022-07-04T15:38:38.275Z")</f>
        <v>2022-07-04T15:38:38.275Z</v>
      </c>
    </row>
    <row r="866" spans="1:10" x14ac:dyDescent="0.2">
      <c r="A866" s="2" t="str">
        <f ca="1">IFERROR(__xludf.DUMMYFUNCTION("""COMPUTED_VALUE"""),"https://www.facebook.com/ellen.barrios")</f>
        <v>https://www.facebook.com/ellen.barrios</v>
      </c>
      <c r="B866" s="1" t="str">
        <f ca="1">IFERROR(__xludf.DUMMYFUNCTION("""COMPUTED_VALUE"""),"Ellen Barrios")</f>
        <v>Ellen Barrios</v>
      </c>
      <c r="C866" s="1" t="str">
        <f ca="1">IFERROR(__xludf.DUMMYFUNCTION("""COMPUTED_VALUE"""),"Ellen")</f>
        <v>Ellen</v>
      </c>
      <c r="D866" s="1" t="str">
        <f ca="1">IFERROR(__xludf.DUMMYFUNCTION("""COMPUTED_VALUE"""),"Barrios")</f>
        <v>Barrios</v>
      </c>
      <c r="E866" s="1" t="str">
        <f ca="1">IFERROR(__xludf.DUMMYFUNCTION("""COMPUTED_VALUE"""),"Puro Naman entertainment ginagawa nyo d naman rally puro concert.kaya dinadayo sa caravan walang tao bat Ganon.")</f>
        <v>Puro Naman entertainment ginagawa nyo d naman rally puro concert.kaya dinadayo sa caravan walang tao bat Ganon.</v>
      </c>
      <c r="F866" s="1">
        <f ca="1">IFERROR(__xludf.DUMMYFUNCTION("""COMPUTED_VALUE"""),9)</f>
        <v>9</v>
      </c>
      <c r="G866" s="1" t="str">
        <f ca="1">IFERROR(__xludf.DUMMYFUNCTION("""COMPUTED_VALUE"""),"3 mos")</f>
        <v>3 mos</v>
      </c>
      <c r="H866" s="1" t="str">
        <f ca="1">IFERROR(__xludf.DUMMYFUNCTION("""COMPUTED_VALUE"""),"comment")</f>
        <v>comment</v>
      </c>
      <c r="I866" s="2" t="str">
        <f ca="1">IFERROR(__xludf.DUMMYFUNCTION("""COMPUTED_VALUE"""),"https://www.facebook.com/rapplerdotcom/photos/a.317154781638645/5596043783749692/")</f>
        <v>https://www.facebook.com/rapplerdotcom/photos/a.317154781638645/5596043783749692/</v>
      </c>
      <c r="J866" s="1" t="str">
        <f ca="1">IFERROR(__xludf.DUMMYFUNCTION("""COMPUTED_VALUE"""),"2022-07-04T15:38:38.275Z")</f>
        <v>2022-07-04T15:38:38.275Z</v>
      </c>
    </row>
    <row r="867" spans="1:10" x14ac:dyDescent="0.2">
      <c r="A867" s="2" t="str">
        <f ca="1">IFERROR(__xludf.DUMMYFUNCTION("""COMPUTED_VALUE"""),"https://www.facebook.com/nedned.anobla")</f>
        <v>https://www.facebook.com/nedned.anobla</v>
      </c>
      <c r="B867" s="1" t="str">
        <f ca="1">IFERROR(__xludf.DUMMYFUNCTION("""COMPUTED_VALUE"""),"Lier Hakami")</f>
        <v>Lier Hakami</v>
      </c>
      <c r="C867" s="1" t="str">
        <f ca="1">IFERROR(__xludf.DUMMYFUNCTION("""COMPUTED_VALUE"""),"Lier")</f>
        <v>Lier</v>
      </c>
      <c r="D867" s="1" t="str">
        <f ca="1">IFERROR(__xludf.DUMMYFUNCTION("""COMPUTED_VALUE"""),"Hakami")</f>
        <v>Hakami</v>
      </c>
      <c r="E867" s="1" t="str">
        <f ca="1">IFERROR(__xludf.DUMMYFUNCTION("""COMPUTED_VALUE"""),"Ellen Barrios tama")</f>
        <v>Ellen Barrios tama</v>
      </c>
      <c r="F867" s="1">
        <f ca="1">IFERROR(__xludf.DUMMYFUNCTION("""COMPUTED_VALUE"""),4)</f>
        <v>4</v>
      </c>
      <c r="G867" s="1" t="str">
        <f ca="1">IFERROR(__xludf.DUMMYFUNCTION("""COMPUTED_VALUE"""),"3 mos")</f>
        <v>3 mos</v>
      </c>
      <c r="H867" s="1" t="str">
        <f ca="1">IFERROR(__xludf.DUMMYFUNCTION("""COMPUTED_VALUE"""),"reply")</f>
        <v>reply</v>
      </c>
      <c r="I867" s="2" t="str">
        <f ca="1">IFERROR(__xludf.DUMMYFUNCTION("""COMPUTED_VALUE"""),"https://www.facebook.com/rapplerdotcom/photos/a.317154781638645/5596043783749692/")</f>
        <v>https://www.facebook.com/rapplerdotcom/photos/a.317154781638645/5596043783749692/</v>
      </c>
      <c r="J867" s="1" t="str">
        <f ca="1">IFERROR(__xludf.DUMMYFUNCTION("""COMPUTED_VALUE"""),"2022-07-04T15:38:38.275Z")</f>
        <v>2022-07-04T15:38:38.275Z</v>
      </c>
    </row>
    <row r="868" spans="1:10" x14ac:dyDescent="0.2">
      <c r="A868" s="2" t="str">
        <f ca="1">IFERROR(__xludf.DUMMYFUNCTION("""COMPUTED_VALUE"""),"https://www.facebook.com/nedned.anobla")</f>
        <v>https://www.facebook.com/nedned.anobla</v>
      </c>
      <c r="B868" s="1" t="str">
        <f ca="1">IFERROR(__xludf.DUMMYFUNCTION("""COMPUTED_VALUE"""),"Lier Hakami")</f>
        <v>Lier Hakami</v>
      </c>
      <c r="C868" s="1" t="str">
        <f ca="1">IFERROR(__xludf.DUMMYFUNCTION("""COMPUTED_VALUE"""),"Lier")</f>
        <v>Lier</v>
      </c>
      <c r="D868" s="1" t="str">
        <f ca="1">IFERROR(__xludf.DUMMYFUNCTION("""COMPUTED_VALUE"""),"Hakami")</f>
        <v>Hakami</v>
      </c>
      <c r="E868" s="1" t="str">
        <f ca="1">IFERROR(__xludf.DUMMYFUNCTION("""COMPUTED_VALUE"""),"Ellen Barrios may bayad at hakot kasi ma'am")</f>
        <v>Ellen Barrios may bayad at hakot kasi ma'am</v>
      </c>
      <c r="F868" s="1">
        <f ca="1">IFERROR(__xludf.DUMMYFUNCTION("""COMPUTED_VALUE"""),1)</f>
        <v>1</v>
      </c>
      <c r="G868" s="1" t="str">
        <f ca="1">IFERROR(__xludf.DUMMYFUNCTION("""COMPUTED_VALUE"""),"3 mos")</f>
        <v>3 mos</v>
      </c>
      <c r="H868" s="1" t="str">
        <f ca="1">IFERROR(__xludf.DUMMYFUNCTION("""COMPUTED_VALUE"""),"reply")</f>
        <v>reply</v>
      </c>
      <c r="I868" s="2" t="str">
        <f ca="1">IFERROR(__xludf.DUMMYFUNCTION("""COMPUTED_VALUE"""),"https://www.facebook.com/rapplerdotcom/photos/a.317154781638645/5596043783749692/")</f>
        <v>https://www.facebook.com/rapplerdotcom/photos/a.317154781638645/5596043783749692/</v>
      </c>
      <c r="J868" s="1" t="str">
        <f ca="1">IFERROR(__xludf.DUMMYFUNCTION("""COMPUTED_VALUE"""),"2022-07-04T15:38:38.275Z")</f>
        <v>2022-07-04T15:38:38.275Z</v>
      </c>
    </row>
    <row r="869" spans="1:10" x14ac:dyDescent="0.2">
      <c r="A869" s="2" t="str">
        <f ca="1">IFERROR(__xludf.DUMMYFUNCTION("""COMPUTED_VALUE"""),"https://www.facebook.com/jean.salmorin.731")</f>
        <v>https://www.facebook.com/jean.salmorin.731</v>
      </c>
      <c r="B869" s="1" t="str">
        <f ca="1">IFERROR(__xludf.DUMMYFUNCTION("""COMPUTED_VALUE"""),"Jean Ribon Salmorin")</f>
        <v>Jean Ribon Salmorin</v>
      </c>
      <c r="C869" s="1" t="str">
        <f ca="1">IFERROR(__xludf.DUMMYFUNCTION("""COMPUTED_VALUE"""),"Jean")</f>
        <v>Jean</v>
      </c>
      <c r="D869" s="1" t="str">
        <f ca="1">IFERROR(__xludf.DUMMYFUNCTION("""COMPUTED_VALUE"""),"Ribon Salmorin")</f>
        <v>Ribon Salmorin</v>
      </c>
      <c r="E869" s="1" t="str">
        <f ca="1">IFERROR(__xludf.DUMMYFUNCTION("""COMPUTED_VALUE"""),"totoo to knina mga bata pabalik balik inabangan mag perform Ben n Ben daw .")</f>
        <v>totoo to knina mga bata pabalik balik inabangan mag perform Ben n Ben daw .</v>
      </c>
      <c r="F869" s="1">
        <f ca="1">IFERROR(__xludf.DUMMYFUNCTION("""COMPUTED_VALUE"""),1)</f>
        <v>1</v>
      </c>
      <c r="G869" s="1" t="str">
        <f ca="1">IFERROR(__xludf.DUMMYFUNCTION("""COMPUTED_VALUE"""),"3 mos")</f>
        <v>3 mos</v>
      </c>
      <c r="H869" s="1" t="str">
        <f ca="1">IFERROR(__xludf.DUMMYFUNCTION("""COMPUTED_VALUE"""),"reply")</f>
        <v>reply</v>
      </c>
      <c r="I869" s="2" t="str">
        <f ca="1">IFERROR(__xludf.DUMMYFUNCTION("""COMPUTED_VALUE"""),"https://www.facebook.com/rapplerdotcom/photos/a.317154781638645/5596043783749692/")</f>
        <v>https://www.facebook.com/rapplerdotcom/photos/a.317154781638645/5596043783749692/</v>
      </c>
      <c r="J869" s="1" t="str">
        <f ca="1">IFERROR(__xludf.DUMMYFUNCTION("""COMPUTED_VALUE"""),"2022-07-04T15:38:38.275Z")</f>
        <v>2022-07-04T15:38:38.275Z</v>
      </c>
    </row>
    <row r="870" spans="1:10" x14ac:dyDescent="0.2">
      <c r="A870" s="2" t="str">
        <f ca="1">IFERROR(__xludf.DUMMYFUNCTION("""COMPUTED_VALUE"""),"https://www.facebook.com/honeybee.apelado")</f>
        <v>https://www.facebook.com/honeybee.apelado</v>
      </c>
      <c r="B870" s="1" t="str">
        <f ca="1">IFERROR(__xludf.DUMMYFUNCTION("""COMPUTED_VALUE"""),"Hani Apelado")</f>
        <v>Hani Apelado</v>
      </c>
      <c r="C870" s="1" t="str">
        <f ca="1">IFERROR(__xludf.DUMMYFUNCTION("""COMPUTED_VALUE"""),"Hani")</f>
        <v>Hani</v>
      </c>
      <c r="D870" s="1" t="str">
        <f ca="1">IFERROR(__xludf.DUMMYFUNCTION("""COMPUTED_VALUE"""),"Apelado")</f>
        <v>Apelado</v>
      </c>
      <c r="E870" s="1" t="str">
        <f ca="1">IFERROR(__xludf.DUMMYFUNCTION("""COMPUTED_VALUE"""),"Ellen Barrios tawag nyo samin? Sibuyas?  🤣😊🙄 Anu naman kung puro concert sayawan kantahan.. people's rally po kasi 😊 Ang saya saya join po kayo minsan para mabawasan Ang kapaitan 😊😘")</f>
        <v>Ellen Barrios tawag nyo samin? Sibuyas?  🤣😊🙄 Anu naman kung puro concert sayawan kantahan.. people's rally po kasi 😊 Ang saya saya join po kayo minsan para mabawasan Ang kapaitan 😊😘</v>
      </c>
      <c r="F870" s="1">
        <f ca="1">IFERROR(__xludf.DUMMYFUNCTION("""COMPUTED_VALUE"""),5)</f>
        <v>5</v>
      </c>
      <c r="G870" s="1" t="str">
        <f ca="1">IFERROR(__xludf.DUMMYFUNCTION("""COMPUTED_VALUE"""),"3 mos")</f>
        <v>3 mos</v>
      </c>
      <c r="H870" s="1" t="str">
        <f ca="1">IFERROR(__xludf.DUMMYFUNCTION("""COMPUTED_VALUE"""),"reply")</f>
        <v>reply</v>
      </c>
      <c r="I870" s="2" t="str">
        <f ca="1">IFERROR(__xludf.DUMMYFUNCTION("""COMPUTED_VALUE"""),"https://www.facebook.com/rapplerdotcom/photos/a.317154781638645/5596043783749692/")</f>
        <v>https://www.facebook.com/rapplerdotcom/photos/a.317154781638645/5596043783749692/</v>
      </c>
      <c r="J870" s="1" t="str">
        <f ca="1">IFERROR(__xludf.DUMMYFUNCTION("""COMPUTED_VALUE"""),"2022-07-04T15:38:38.275Z")</f>
        <v>2022-07-04T15:38:38.275Z</v>
      </c>
    </row>
    <row r="871" spans="1:10" x14ac:dyDescent="0.2">
      <c r="A871" s="2" t="str">
        <f ca="1">IFERROR(__xludf.DUMMYFUNCTION("""COMPUTED_VALUE"""),"https://www.facebook.com/profile.php?id=100023261888630")</f>
        <v>https://www.facebook.com/profile.php?id=100023261888630</v>
      </c>
      <c r="B871" s="1" t="str">
        <f ca="1">IFERROR(__xludf.DUMMYFUNCTION("""COMPUTED_VALUE"""),"De Quiros Liezl")</f>
        <v>De Quiros Liezl</v>
      </c>
      <c r="C871" s="1" t="str">
        <f ca="1">IFERROR(__xludf.DUMMYFUNCTION("""COMPUTED_VALUE"""),"De")</f>
        <v>De</v>
      </c>
      <c r="D871" s="1" t="str">
        <f ca="1">IFERROR(__xludf.DUMMYFUNCTION("""COMPUTED_VALUE"""),"Quiros Liezl")</f>
        <v>Quiros Liezl</v>
      </c>
      <c r="E871" s="1" t="str">
        <f ca="1">IFERROR(__xludf.DUMMYFUNCTION("""COMPUTED_VALUE"""),"Ellen Barrios, mas ok na yan na ngayong kampanya may entertainment kesa kung kelan na nakapuwesto saka panay na lang clownery at joke, joke,joke sa mga issues ng Pinas.")</f>
        <v>Ellen Barrios, mas ok na yan na ngayong kampanya may entertainment kesa kung kelan na nakapuwesto saka panay na lang clownery at joke, joke,joke sa mga issues ng Pinas.</v>
      </c>
      <c r="F871" s="1">
        <f ca="1">IFERROR(__xludf.DUMMYFUNCTION("""COMPUTED_VALUE"""),1)</f>
        <v>1</v>
      </c>
      <c r="G871" s="1" t="str">
        <f ca="1">IFERROR(__xludf.DUMMYFUNCTION("""COMPUTED_VALUE"""),"3 mos")</f>
        <v>3 mos</v>
      </c>
      <c r="H871" s="1" t="str">
        <f ca="1">IFERROR(__xludf.DUMMYFUNCTION("""COMPUTED_VALUE"""),"reply")</f>
        <v>reply</v>
      </c>
      <c r="I871" s="2" t="str">
        <f ca="1">IFERROR(__xludf.DUMMYFUNCTION("""COMPUTED_VALUE"""),"https://www.facebook.com/rapplerdotcom/photos/a.317154781638645/5596043783749692/")</f>
        <v>https://www.facebook.com/rapplerdotcom/photos/a.317154781638645/5596043783749692/</v>
      </c>
      <c r="J871" s="1" t="str">
        <f ca="1">IFERROR(__xludf.DUMMYFUNCTION("""COMPUTED_VALUE"""),"2022-07-04T15:38:38.275Z")</f>
        <v>2022-07-04T15:38:38.275Z</v>
      </c>
    </row>
    <row r="872" spans="1:10" x14ac:dyDescent="0.2">
      <c r="A872" s="2" t="str">
        <f ca="1">IFERROR(__xludf.DUMMYFUNCTION("""COMPUTED_VALUE"""),"https://www.facebook.com/ellen.barrios")</f>
        <v>https://www.facebook.com/ellen.barrios</v>
      </c>
      <c r="B872" s="1" t="str">
        <f ca="1">IFERROR(__xludf.DUMMYFUNCTION("""COMPUTED_VALUE"""),"Ellen Barrios")</f>
        <v>Ellen Barrios</v>
      </c>
      <c r="C872" s="1" t="str">
        <f ca="1">IFERROR(__xludf.DUMMYFUNCTION("""COMPUTED_VALUE"""),"Ellen")</f>
        <v>Ellen</v>
      </c>
      <c r="D872" s="1" t="str">
        <f ca="1">IFERROR(__xludf.DUMMYFUNCTION("""COMPUTED_VALUE"""),"Barrios")</f>
        <v>Barrios</v>
      </c>
      <c r="E872" s="1" t="str">
        <f ca="1">IFERROR(__xludf.DUMMYFUNCTION("""COMPUTED_VALUE"""),"De Quiros Liezl okay no problem.")</f>
        <v>De Quiros Liezl okay no problem.</v>
      </c>
      <c r="F872" s="1"/>
      <c r="G872" s="1" t="str">
        <f ca="1">IFERROR(__xludf.DUMMYFUNCTION("""COMPUTED_VALUE"""),"3 mos")</f>
        <v>3 mos</v>
      </c>
      <c r="H872" s="1" t="str">
        <f ca="1">IFERROR(__xludf.DUMMYFUNCTION("""COMPUTED_VALUE"""),"reply")</f>
        <v>reply</v>
      </c>
      <c r="I872" s="2" t="str">
        <f ca="1">IFERROR(__xludf.DUMMYFUNCTION("""COMPUTED_VALUE"""),"https://www.facebook.com/rapplerdotcom/photos/a.317154781638645/5596043783749692/")</f>
        <v>https://www.facebook.com/rapplerdotcom/photos/a.317154781638645/5596043783749692/</v>
      </c>
      <c r="J872" s="1" t="str">
        <f ca="1">IFERROR(__xludf.DUMMYFUNCTION("""COMPUTED_VALUE"""),"2022-07-04T15:38:38.275Z")</f>
        <v>2022-07-04T15:38:38.275Z</v>
      </c>
    </row>
    <row r="873" spans="1:10" x14ac:dyDescent="0.2">
      <c r="A873" s="2" t="str">
        <f ca="1">IFERROR(__xludf.DUMMYFUNCTION("""COMPUTED_VALUE"""),"https://www.facebook.com/ellen.barrios")</f>
        <v>https://www.facebook.com/ellen.barrios</v>
      </c>
      <c r="B873" s="1" t="str">
        <f ca="1">IFERROR(__xludf.DUMMYFUNCTION("""COMPUTED_VALUE"""),"Ellen Barrios")</f>
        <v>Ellen Barrios</v>
      </c>
      <c r="C873" s="1" t="str">
        <f ca="1">IFERROR(__xludf.DUMMYFUNCTION("""COMPUTED_VALUE"""),"Ellen")</f>
        <v>Ellen</v>
      </c>
      <c r="D873" s="1" t="str">
        <f ca="1">IFERROR(__xludf.DUMMYFUNCTION("""COMPUTED_VALUE"""),"Barrios")</f>
        <v>Barrios</v>
      </c>
      <c r="E873" s="1" t="str">
        <f ca="1">IFERROR(__xludf.DUMMYFUNCTION("""COMPUTED_VALUE"""),"Hani Apelado d na Dyan k na lang sa concert mo mas gusto namin caravan Kasi nkkta Ang dami Ng tao d tulad sa Inyo sa Gabi lang dumadami taong hakot.kaw sa caravan sama ka Masaya.o wag pikon ha..ha..ha..")</f>
        <v>Hani Apelado d na Dyan k na lang sa concert mo mas gusto namin caravan Kasi nkkta Ang dami Ng tao d tulad sa Inyo sa Gabi lang dumadami taong hakot.kaw sa caravan sama ka Masaya.o wag pikon ha..ha..ha..</v>
      </c>
      <c r="F873" s="1"/>
      <c r="G873" s="1" t="str">
        <f ca="1">IFERROR(__xludf.DUMMYFUNCTION("""COMPUTED_VALUE"""),"3 mos")</f>
        <v>3 mos</v>
      </c>
      <c r="H873" s="1" t="str">
        <f ca="1">IFERROR(__xludf.DUMMYFUNCTION("""COMPUTED_VALUE"""),"reply")</f>
        <v>reply</v>
      </c>
      <c r="I873" s="2" t="str">
        <f ca="1">IFERROR(__xludf.DUMMYFUNCTION("""COMPUTED_VALUE"""),"https://www.facebook.com/rapplerdotcom/photos/a.317154781638645/5596043783749692/")</f>
        <v>https://www.facebook.com/rapplerdotcom/photos/a.317154781638645/5596043783749692/</v>
      </c>
      <c r="J873" s="1" t="str">
        <f ca="1">IFERROR(__xludf.DUMMYFUNCTION("""COMPUTED_VALUE"""),"2022-07-04T15:38:38.275Z")</f>
        <v>2022-07-04T15:38:38.275Z</v>
      </c>
    </row>
    <row r="874" spans="1:10" x14ac:dyDescent="0.2">
      <c r="A874" s="2" t="str">
        <f ca="1">IFERROR(__xludf.DUMMYFUNCTION("""COMPUTED_VALUE"""),"https://www.facebook.com/profile.php?id=100023261888630")</f>
        <v>https://www.facebook.com/profile.php?id=100023261888630</v>
      </c>
      <c r="B874" s="1" t="str">
        <f ca="1">IFERROR(__xludf.DUMMYFUNCTION("""COMPUTED_VALUE"""),"De Quiros Liezl")</f>
        <v>De Quiros Liezl</v>
      </c>
      <c r="C874" s="1" t="str">
        <f ca="1">IFERROR(__xludf.DUMMYFUNCTION("""COMPUTED_VALUE"""),"De")</f>
        <v>De</v>
      </c>
      <c r="D874" s="1" t="str">
        <f ca="1">IFERROR(__xludf.DUMMYFUNCTION("""COMPUTED_VALUE"""),"Quiros Liezl")</f>
        <v>Quiros Liezl</v>
      </c>
      <c r="E874" s="1" t="str">
        <f ca="1">IFERROR(__xludf.DUMMYFUNCTION("""COMPUTED_VALUE"""),"Ellen BarriosEllen Barrios , hindi naman lahat may sasakyan para sa caravan.. Yung iba mas gusto talaga sa gabi dahil hindi masyadong mainit. Iwas heat stroke.")</f>
        <v>Ellen BarriosEllen Barrios , hindi naman lahat may sasakyan para sa caravan.. Yung iba mas gusto talaga sa gabi dahil hindi masyadong mainit. Iwas heat stroke.</v>
      </c>
      <c r="F874" s="1"/>
      <c r="G874" s="1" t="str">
        <f ca="1">IFERROR(__xludf.DUMMYFUNCTION("""COMPUTED_VALUE"""),"3 mos")</f>
        <v>3 mos</v>
      </c>
      <c r="H874" s="1" t="str">
        <f ca="1">IFERROR(__xludf.DUMMYFUNCTION("""COMPUTED_VALUE"""),"reply")</f>
        <v>reply</v>
      </c>
      <c r="I874" s="2" t="str">
        <f ca="1">IFERROR(__xludf.DUMMYFUNCTION("""COMPUTED_VALUE"""),"https://www.facebook.com/rapplerdotcom/photos/a.317154781638645/5596043783749692/")</f>
        <v>https://www.facebook.com/rapplerdotcom/photos/a.317154781638645/5596043783749692/</v>
      </c>
      <c r="J874" s="1" t="str">
        <f ca="1">IFERROR(__xludf.DUMMYFUNCTION("""COMPUTED_VALUE"""),"2022-07-04T15:38:38.275Z")</f>
        <v>2022-07-04T15:38:38.275Z</v>
      </c>
    </row>
    <row r="875" spans="1:10" x14ac:dyDescent="0.2">
      <c r="A875" s="2" t="str">
        <f ca="1">IFERROR(__xludf.DUMMYFUNCTION("""COMPUTED_VALUE"""),"https://www.facebook.com/jsprjmr")</f>
        <v>https://www.facebook.com/jsprjmr</v>
      </c>
      <c r="B875" s="1" t="str">
        <f ca="1">IFERROR(__xludf.DUMMYFUNCTION("""COMPUTED_VALUE"""),"Jasper Marasigan")</f>
        <v>Jasper Marasigan</v>
      </c>
      <c r="C875" s="1" t="str">
        <f ca="1">IFERROR(__xludf.DUMMYFUNCTION("""COMPUTED_VALUE"""),"Jasper")</f>
        <v>Jasper</v>
      </c>
      <c r="D875" s="1" t="str">
        <f ca="1">IFERROR(__xludf.DUMMYFUNCTION("""COMPUTED_VALUE"""),"Marasigan")</f>
        <v>Marasigan</v>
      </c>
      <c r="E875" s="1" t="str">
        <f ca="1">IFERROR(__xludf.DUMMYFUNCTION("""COMPUTED_VALUE"""),"Ellen BarriosEllen BarriosEllen Barrios well, may rally po na naganap, onti nalang yung naging time kasi may earth hour pa po na ginawa")</f>
        <v>Ellen BarriosEllen BarriosEllen Barrios well, may rally po na naganap, onti nalang yung naging time kasi may earth hour pa po na ginawa</v>
      </c>
      <c r="F875" s="1"/>
      <c r="G875" s="1" t="str">
        <f ca="1">IFERROR(__xludf.DUMMYFUNCTION("""COMPUTED_VALUE"""),"3 mos")</f>
        <v>3 mos</v>
      </c>
      <c r="H875" s="1" t="str">
        <f ca="1">IFERROR(__xludf.DUMMYFUNCTION("""COMPUTED_VALUE"""),"reply")</f>
        <v>reply</v>
      </c>
      <c r="I875" s="2" t="str">
        <f ca="1">IFERROR(__xludf.DUMMYFUNCTION("""COMPUTED_VALUE"""),"https://www.facebook.com/rapplerdotcom/photos/a.317154781638645/5596043783749692/")</f>
        <v>https://www.facebook.com/rapplerdotcom/photos/a.317154781638645/5596043783749692/</v>
      </c>
      <c r="J875" s="1" t="str">
        <f ca="1">IFERROR(__xludf.DUMMYFUNCTION("""COMPUTED_VALUE"""),"2022-07-04T15:38:38.275Z")</f>
        <v>2022-07-04T15:38:38.275Z</v>
      </c>
    </row>
    <row r="876" spans="1:10" x14ac:dyDescent="0.2">
      <c r="A876" s="2" t="str">
        <f ca="1">IFERROR(__xludf.DUMMYFUNCTION("""COMPUTED_VALUE"""),"https://www.facebook.com/ellen.barrios")</f>
        <v>https://www.facebook.com/ellen.barrios</v>
      </c>
      <c r="B876" s="1" t="str">
        <f ca="1">IFERROR(__xludf.DUMMYFUNCTION("""COMPUTED_VALUE"""),"Ellen Barrios")</f>
        <v>Ellen Barrios</v>
      </c>
      <c r="C876" s="1" t="str">
        <f ca="1">IFERROR(__xludf.DUMMYFUNCTION("""COMPUTED_VALUE"""),"Ellen")</f>
        <v>Ellen</v>
      </c>
      <c r="D876" s="1" t="str">
        <f ca="1">IFERROR(__xludf.DUMMYFUNCTION("""COMPUTED_VALUE"""),"Barrios")</f>
        <v>Barrios</v>
      </c>
      <c r="E876" s="1" t="str">
        <f ca="1">IFERROR(__xludf.DUMMYFUNCTION("""COMPUTED_VALUE"""),"De Quiros Liezl okay free hakot moves.")</f>
        <v>De Quiros Liezl okay free hakot moves.</v>
      </c>
      <c r="F876" s="1"/>
      <c r="G876" s="1" t="str">
        <f ca="1">IFERROR(__xludf.DUMMYFUNCTION("""COMPUTED_VALUE"""),"3 mos")</f>
        <v>3 mos</v>
      </c>
      <c r="H876" s="1" t="str">
        <f ca="1">IFERROR(__xludf.DUMMYFUNCTION("""COMPUTED_VALUE"""),"reply")</f>
        <v>reply</v>
      </c>
      <c r="I876" s="2" t="str">
        <f ca="1">IFERROR(__xludf.DUMMYFUNCTION("""COMPUTED_VALUE"""),"https://www.facebook.com/rapplerdotcom/photos/a.317154781638645/5596043783749692/")</f>
        <v>https://www.facebook.com/rapplerdotcom/photos/a.317154781638645/5596043783749692/</v>
      </c>
      <c r="J876" s="1" t="str">
        <f ca="1">IFERROR(__xludf.DUMMYFUNCTION("""COMPUTED_VALUE"""),"2022-07-04T15:38:38.275Z")</f>
        <v>2022-07-04T15:38:38.275Z</v>
      </c>
    </row>
    <row r="877" spans="1:10" x14ac:dyDescent="0.2">
      <c r="A877" s="2" t="str">
        <f ca="1">IFERROR(__xludf.DUMMYFUNCTION("""COMPUTED_VALUE"""),"https://www.facebook.com/nedned.anobla")</f>
        <v>https://www.facebook.com/nedned.anobla</v>
      </c>
      <c r="B877" s="1" t="str">
        <f ca="1">IFERROR(__xludf.DUMMYFUNCTION("""COMPUTED_VALUE"""),"Lier Hakami")</f>
        <v>Lier Hakami</v>
      </c>
      <c r="C877" s="1" t="str">
        <f ca="1">IFERROR(__xludf.DUMMYFUNCTION("""COMPUTED_VALUE"""),"Lier")</f>
        <v>Lier</v>
      </c>
      <c r="D877" s="1" t="str">
        <f ca="1">IFERROR(__xludf.DUMMYFUNCTION("""COMPUTED_VALUE"""),"Hakami")</f>
        <v>Hakami</v>
      </c>
      <c r="E877" s="1" t="str">
        <f ca="1">IFERROR(__xludf.DUMMYFUNCTION("""COMPUTED_VALUE"""),"De Quiros Liezl anong okay lang!!! Concert na yan hindi rally")</f>
        <v>De Quiros Liezl anong okay lang!!! Concert na yan hindi rally</v>
      </c>
      <c r="F877" s="1"/>
      <c r="G877" s="1" t="str">
        <f ca="1">IFERROR(__xludf.DUMMYFUNCTION("""COMPUTED_VALUE"""),"3 mos")</f>
        <v>3 mos</v>
      </c>
      <c r="H877" s="1" t="str">
        <f ca="1">IFERROR(__xludf.DUMMYFUNCTION("""COMPUTED_VALUE"""),"reply")</f>
        <v>reply</v>
      </c>
      <c r="I877" s="2" t="str">
        <f ca="1">IFERROR(__xludf.DUMMYFUNCTION("""COMPUTED_VALUE"""),"https://www.facebook.com/rapplerdotcom/photos/a.317154781638645/5596043783749692/")</f>
        <v>https://www.facebook.com/rapplerdotcom/photos/a.317154781638645/5596043783749692/</v>
      </c>
      <c r="J877" s="1" t="str">
        <f ca="1">IFERROR(__xludf.DUMMYFUNCTION("""COMPUTED_VALUE"""),"2022-07-04T15:38:38.275Z")</f>
        <v>2022-07-04T15:38:38.275Z</v>
      </c>
    </row>
    <row r="878" spans="1:10" x14ac:dyDescent="0.2">
      <c r="A878" s="2" t="str">
        <f ca="1">IFERROR(__xludf.DUMMYFUNCTION("""COMPUTED_VALUE"""),"https://www.facebook.com/tumaladjennie")</f>
        <v>https://www.facebook.com/tumaladjennie</v>
      </c>
      <c r="B878" s="1" t="str">
        <f ca="1">IFERROR(__xludf.DUMMYFUNCTION("""COMPUTED_VALUE"""),"Jeni Tumalad")</f>
        <v>Jeni Tumalad</v>
      </c>
      <c r="C878" s="1" t="str">
        <f ca="1">IFERROR(__xludf.DUMMYFUNCTION("""COMPUTED_VALUE"""),"Jeni")</f>
        <v>Jeni</v>
      </c>
      <c r="D878" s="1" t="str">
        <f ca="1">IFERROR(__xludf.DUMMYFUNCTION("""COMPUTED_VALUE"""),"Tumalad")</f>
        <v>Tumalad</v>
      </c>
      <c r="E878" s="1" t="str">
        <f ca="1">IFERROR(__xludf.DUMMYFUNCTION("""COMPUTED_VALUE"""),"Ellen Barrios roar")</f>
        <v>Ellen Barrios roar</v>
      </c>
      <c r="F878" s="1"/>
      <c r="G878" s="1" t="str">
        <f ca="1">IFERROR(__xludf.DUMMYFUNCTION("""COMPUTED_VALUE"""),"3 mos")</f>
        <v>3 mos</v>
      </c>
      <c r="H878" s="1" t="str">
        <f ca="1">IFERROR(__xludf.DUMMYFUNCTION("""COMPUTED_VALUE"""),"reply")</f>
        <v>reply</v>
      </c>
      <c r="I878" s="2" t="str">
        <f ca="1">IFERROR(__xludf.DUMMYFUNCTION("""COMPUTED_VALUE"""),"https://www.facebook.com/rapplerdotcom/photos/a.317154781638645/5596043783749692/")</f>
        <v>https://www.facebook.com/rapplerdotcom/photos/a.317154781638645/5596043783749692/</v>
      </c>
      <c r="J878" s="1" t="str">
        <f ca="1">IFERROR(__xludf.DUMMYFUNCTION("""COMPUTED_VALUE"""),"2022-07-04T15:38:38.275Z")</f>
        <v>2022-07-04T15:38:38.275Z</v>
      </c>
    </row>
    <row r="879" spans="1:10" x14ac:dyDescent="0.2">
      <c r="A879" s="2" t="str">
        <f ca="1">IFERROR(__xludf.DUMMYFUNCTION("""COMPUTED_VALUE"""),"https://www.facebook.com/dyoeff.lmabasa")</f>
        <v>https://www.facebook.com/dyoeff.lmabasa</v>
      </c>
      <c r="B879" s="1" t="str">
        <f ca="1">IFERROR(__xludf.DUMMYFUNCTION("""COMPUTED_VALUE"""),"Dyoeff Loresca Mabasa")</f>
        <v>Dyoeff Loresca Mabasa</v>
      </c>
      <c r="C879" s="1" t="str">
        <f ca="1">IFERROR(__xludf.DUMMYFUNCTION("""COMPUTED_VALUE"""),"Dyoeff")</f>
        <v>Dyoeff</v>
      </c>
      <c r="D879" s="1" t="str">
        <f ca="1">IFERROR(__xludf.DUMMYFUNCTION("""COMPUTED_VALUE"""),"Loresca Mabasa")</f>
        <v>Loresca Mabasa</v>
      </c>
      <c r="E879" s="1" t="str">
        <f ca="1">IFERROR(__xludf.DUMMYFUNCTION("""COMPUTED_VALUE"""),"#CaMaNaVaIsPink #10RobredoPresident #7KikoPangilinanVicePresident #GobyernongTapatAngatBuhayLahat")</f>
        <v>#CaMaNaVaIsPink #10RobredoPresident #7KikoPangilinanVicePresident #GobyernongTapatAngatBuhayLahat</v>
      </c>
      <c r="F879" s="1">
        <f ca="1">IFERROR(__xludf.DUMMYFUNCTION("""COMPUTED_VALUE"""),16)</f>
        <v>16</v>
      </c>
      <c r="G879" s="1" t="str">
        <f ca="1">IFERROR(__xludf.DUMMYFUNCTION("""COMPUTED_VALUE"""),"3 mos")</f>
        <v>3 mos</v>
      </c>
      <c r="H879" s="1" t="str">
        <f ca="1">IFERROR(__xludf.DUMMYFUNCTION("""COMPUTED_VALUE"""),"comment")</f>
        <v>comment</v>
      </c>
      <c r="I879" s="2" t="str">
        <f ca="1">IFERROR(__xludf.DUMMYFUNCTION("""COMPUTED_VALUE"""),"https://www.facebook.com/rapplerdotcom/photos/a.317154781638645/5596043783749692/")</f>
        <v>https://www.facebook.com/rapplerdotcom/photos/a.317154781638645/5596043783749692/</v>
      </c>
      <c r="J879" s="1" t="str">
        <f ca="1">IFERROR(__xludf.DUMMYFUNCTION("""COMPUTED_VALUE"""),"2022-07-04T15:38:38.275Z")</f>
        <v>2022-07-04T15:38:38.275Z</v>
      </c>
    </row>
    <row r="880" spans="1:10" x14ac:dyDescent="0.2">
      <c r="A880" s="2" t="str">
        <f ca="1">IFERROR(__xludf.DUMMYFUNCTION("""COMPUTED_VALUE"""),"https://www.facebook.com/yongcoonang")</f>
        <v>https://www.facebook.com/yongcoonang</v>
      </c>
      <c r="B880" s="1" t="str">
        <f ca="1">IFERROR(__xludf.DUMMYFUNCTION("""COMPUTED_VALUE"""),"Kelvin Billy")</f>
        <v>Kelvin Billy</v>
      </c>
      <c r="C880" s="1" t="str">
        <f ca="1">IFERROR(__xludf.DUMMYFUNCTION("""COMPUTED_VALUE"""),"Kelvin")</f>
        <v>Kelvin</v>
      </c>
      <c r="D880" s="1" t="str">
        <f ca="1">IFERROR(__xludf.DUMMYFUNCTION("""COMPUTED_VALUE"""),"Billy")</f>
        <v>Billy</v>
      </c>
      <c r="E880" s="1" t="str">
        <f ca="1">IFERROR(__xludf.DUMMYFUNCTION("""COMPUTED_VALUE"""),"Dyoeff Loresca Mabasa   ⚙️ EARN MONEY ONLINE WITHOUT GOING TO WORK OR STRESS YOURSELF  ⚙️if you're interested ☝️☝️☝️ just kindly click on the link to contact my Senior Cryptofx account manager for guidance 📩  Link 🔗🔗🔗  https://www.facebook.com/evlira."&amp;"cryptofxtrader")</f>
        <v>Dyoeff Loresca Mabasa   ⚙️ EARN MONEY ONLINE WITHOUT GOING TO WORK OR STRESS YOURSELF  ⚙️if you're interested ☝️☝️☝️ just kindly click on the link to contact my Senior Cryptofx account manager for guidance 📩  Link 🔗🔗🔗  https://www.facebook.com/evlira.cryptofxtrader</v>
      </c>
      <c r="F880" s="1"/>
      <c r="G880" s="1" t="str">
        <f ca="1">IFERROR(__xludf.DUMMYFUNCTION("""COMPUTED_VALUE"""),"3 mos")</f>
        <v>3 mos</v>
      </c>
      <c r="H880" s="1" t="str">
        <f ca="1">IFERROR(__xludf.DUMMYFUNCTION("""COMPUTED_VALUE"""),"reply")</f>
        <v>reply</v>
      </c>
      <c r="I880" s="2" t="str">
        <f ca="1">IFERROR(__xludf.DUMMYFUNCTION("""COMPUTED_VALUE"""),"https://www.facebook.com/rapplerdotcom/photos/a.317154781638645/5596043783749692/")</f>
        <v>https://www.facebook.com/rapplerdotcom/photos/a.317154781638645/5596043783749692/</v>
      </c>
      <c r="J880" s="1" t="str">
        <f ca="1">IFERROR(__xludf.DUMMYFUNCTION("""COMPUTED_VALUE"""),"2022-07-04T15:38:38.275Z")</f>
        <v>2022-07-04T15:38:38.275Z</v>
      </c>
    </row>
    <row r="881" spans="1:10" x14ac:dyDescent="0.2">
      <c r="A881" s="2" t="str">
        <f ca="1">IFERROR(__xludf.DUMMYFUNCTION("""COMPUTED_VALUE"""),"https://www.facebook.com/arnie.puertollano")</f>
        <v>https://www.facebook.com/arnie.puertollano</v>
      </c>
      <c r="B881" s="1" t="str">
        <f ca="1">IFERROR(__xludf.DUMMYFUNCTION("""COMPUTED_VALUE"""),"Arnie Puertollano")</f>
        <v>Arnie Puertollano</v>
      </c>
      <c r="C881" s="1" t="str">
        <f ca="1">IFERROR(__xludf.DUMMYFUNCTION("""COMPUTED_VALUE"""),"Arnie")</f>
        <v>Arnie</v>
      </c>
      <c r="D881" s="1" t="str">
        <f ca="1">IFERROR(__xludf.DUMMYFUNCTION("""COMPUTED_VALUE"""),"Puertollano")</f>
        <v>Puertollano</v>
      </c>
      <c r="E881" s="1" t="str">
        <f ca="1">IFERROR(__xludf.DUMMYFUNCTION("""COMPUTED_VALUE"""),"Tulog tuloy lang ang People’s Campaign, banat na ng hse to hse!!!!")</f>
        <v>Tulog tuloy lang ang People’s Campaign, banat na ng hse to hse!!!!</v>
      </c>
      <c r="F881" s="1"/>
      <c r="G881" s="1" t="str">
        <f ca="1">IFERROR(__xludf.DUMMYFUNCTION("""COMPUTED_VALUE"""),"3 mos")</f>
        <v>3 mos</v>
      </c>
      <c r="H881" s="1" t="str">
        <f ca="1">IFERROR(__xludf.DUMMYFUNCTION("""COMPUTED_VALUE"""),"comment")</f>
        <v>comment</v>
      </c>
      <c r="I881" s="2" t="str">
        <f ca="1">IFERROR(__xludf.DUMMYFUNCTION("""COMPUTED_VALUE"""),"https://www.facebook.com/rapplerdotcom/photos/a.317154781638645/5596043783749692/")</f>
        <v>https://www.facebook.com/rapplerdotcom/photos/a.317154781638645/5596043783749692/</v>
      </c>
      <c r="J881" s="1" t="str">
        <f ca="1">IFERROR(__xludf.DUMMYFUNCTION("""COMPUTED_VALUE"""),"2022-07-04T15:38:38.275Z")</f>
        <v>2022-07-04T15:38:38.275Z</v>
      </c>
    </row>
    <row r="882" spans="1:10" x14ac:dyDescent="0.2">
      <c r="A882" s="2" t="str">
        <f ca="1">IFERROR(__xludf.DUMMYFUNCTION("""COMPUTED_VALUE"""),"https://www.facebook.com/profile.php?id=100072698662337")</f>
        <v>https://www.facebook.com/profile.php?id=100072698662337</v>
      </c>
      <c r="B882" s="1" t="str">
        <f ca="1">IFERROR(__xludf.DUMMYFUNCTION("""COMPUTED_VALUE"""),"Jojo Solayao")</f>
        <v>Jojo Solayao</v>
      </c>
      <c r="C882" s="1" t="str">
        <f ca="1">IFERROR(__xludf.DUMMYFUNCTION("""COMPUTED_VALUE"""),"Jojo")</f>
        <v>Jojo</v>
      </c>
      <c r="D882" s="1" t="str">
        <f ca="1">IFERROR(__xludf.DUMMYFUNCTION("""COMPUTED_VALUE"""),"Solayao")</f>
        <v>Solayao</v>
      </c>
      <c r="E882" s="1" t="str">
        <f ca="1">IFERROR(__xludf.DUMMYFUNCTION("""COMPUTED_VALUE"""),"WOW GISING NA ANG SAMBAYANANG PILIPINO NA TUMINDIG AT NAGPAKITA NG SUPORTA SA ATING SUSUNOD NA PRESIDENTE...CALOOCAN..MALABON...NAVOTAS AT VALENZUELA ( CAMANAVA) SALUDO PO KAMI SA INYO...ANG LAKAS NG KAKAMPINK PROCLAMATION RALLY AY DAHIL SA VOLUNTEERISM N"&amp;"A WALANG PUTING SOBRE.....ILANG ARAW NA LANG....ITODO NA NA NATIN ITO....PARA SA GOBYERNONG TAPAT ...ISANG BABAE ANG NARARAPAT!!")</f>
        <v>WOW GISING NA ANG SAMBAYANANG PILIPINO NA TUMINDIG AT NAGPAKITA NG SUPORTA SA ATING SUSUNOD NA PRESIDENTE...CALOOCAN..MALABON...NAVOTAS AT VALENZUELA ( CAMANAVA) SALUDO PO KAMI SA INYO...ANG LAKAS NG KAKAMPINK PROCLAMATION RALLY AY DAHIL SA VOLUNTEERISM NA WALANG PUTING SOBRE.....ILANG ARAW NA LANG....ITODO NA NA NATIN ITO....PARA SA GOBYERNONG TAPAT ...ISANG BABAE ANG NARARAPAT!!</v>
      </c>
      <c r="F882" s="1">
        <f ca="1">IFERROR(__xludf.DUMMYFUNCTION("""COMPUTED_VALUE"""),36)</f>
        <v>36</v>
      </c>
      <c r="G882" s="1" t="str">
        <f ca="1">IFERROR(__xludf.DUMMYFUNCTION("""COMPUTED_VALUE"""),"3 mos")</f>
        <v>3 mos</v>
      </c>
      <c r="H882" s="1" t="str">
        <f ca="1">IFERROR(__xludf.DUMMYFUNCTION("""COMPUTED_VALUE"""),"comment")</f>
        <v>comment</v>
      </c>
      <c r="I882" s="2" t="str">
        <f ca="1">IFERROR(__xludf.DUMMYFUNCTION("""COMPUTED_VALUE"""),"https://www.facebook.com/rapplerdotcom/photos/a.317154781638645/5596043783749692/")</f>
        <v>https://www.facebook.com/rapplerdotcom/photos/a.317154781638645/5596043783749692/</v>
      </c>
      <c r="J882" s="1" t="str">
        <f ca="1">IFERROR(__xludf.DUMMYFUNCTION("""COMPUTED_VALUE"""),"2022-07-04T15:38:38.275Z")</f>
        <v>2022-07-04T15:38:38.275Z</v>
      </c>
    </row>
    <row r="883" spans="1:10" x14ac:dyDescent="0.2">
      <c r="A883" s="2" t="str">
        <f ca="1">IFERROR(__xludf.DUMMYFUNCTION("""COMPUTED_VALUE"""),"https://www.facebook.com/profile.php?id=100047813203588")</f>
        <v>https://www.facebook.com/profile.php?id=100047813203588</v>
      </c>
      <c r="B883" s="1" t="str">
        <f ca="1">IFERROR(__xludf.DUMMYFUNCTION("""COMPUTED_VALUE"""),"Jacildo Jr George Areno")</f>
        <v>Jacildo Jr George Areno</v>
      </c>
      <c r="C883" s="1" t="str">
        <f ca="1">IFERROR(__xludf.DUMMYFUNCTION("""COMPUTED_VALUE"""),"Jacildo")</f>
        <v>Jacildo</v>
      </c>
      <c r="D883" s="1" t="str">
        <f ca="1">IFERROR(__xludf.DUMMYFUNCTION("""COMPUTED_VALUE"""),"Jr George Areno")</f>
        <v>Jr George Areno</v>
      </c>
      <c r="E883" s="1" t="str">
        <f ca="1">IFERROR(__xludf.DUMMYFUNCTION("""COMPUTED_VALUE"""),"My kind of President- compassionate, fair, people-centered policies are in place🙌🇵🇭🇵🇭🌸🇵🇭🇵🇭#gobyernong tapat🇵🇭🇵🇭🇵🇭#Lenikiko2022 #10#7 #GobyernongTapatAngatBuhayAngLahat #LetLeniKikoLead2022 #lenirobredo2022")</f>
        <v>My kind of President- compassionate, fair, people-centered policies are in place🙌🇵🇭🇵🇭🌸🇵🇭🇵🇭#gobyernong tapat🇵🇭🇵🇭🇵🇭#Lenikiko2022 #10#7 #GobyernongTapatAngatBuhayAngLahat #LetLeniKikoLead2022 #lenirobredo2022</v>
      </c>
      <c r="F883" s="1">
        <f ca="1">IFERROR(__xludf.DUMMYFUNCTION("""COMPUTED_VALUE"""),5)</f>
        <v>5</v>
      </c>
      <c r="G883" s="1" t="str">
        <f ca="1">IFERROR(__xludf.DUMMYFUNCTION("""COMPUTED_VALUE"""),"3 mos")</f>
        <v>3 mos</v>
      </c>
      <c r="H883" s="1" t="str">
        <f ca="1">IFERROR(__xludf.DUMMYFUNCTION("""COMPUTED_VALUE"""),"comment")</f>
        <v>comment</v>
      </c>
      <c r="I883" s="2" t="str">
        <f ca="1">IFERROR(__xludf.DUMMYFUNCTION("""COMPUTED_VALUE"""),"https://www.facebook.com/rapplerdotcom/photos/a.317154781638645/5596043783749692/")</f>
        <v>https://www.facebook.com/rapplerdotcom/photos/a.317154781638645/5596043783749692/</v>
      </c>
      <c r="J883" s="1" t="str">
        <f ca="1">IFERROR(__xludf.DUMMYFUNCTION("""COMPUTED_VALUE"""),"2022-07-04T15:38:38.276Z")</f>
        <v>2022-07-04T15:38:38.276Z</v>
      </c>
    </row>
    <row r="884" spans="1:10" x14ac:dyDescent="0.2">
      <c r="A884" s="2" t="str">
        <f ca="1">IFERROR(__xludf.DUMMYFUNCTION("""COMPUTED_VALUE"""),"https://www.facebook.com/nigeltan.ph")</f>
        <v>https://www.facebook.com/nigeltan.ph</v>
      </c>
      <c r="B884" s="1" t="str">
        <f ca="1">IFERROR(__xludf.DUMMYFUNCTION("""COMPUTED_VALUE"""),"Rodjun Nigel Tan")</f>
        <v>Rodjun Nigel Tan</v>
      </c>
      <c r="C884" s="1" t="str">
        <f ca="1">IFERROR(__xludf.DUMMYFUNCTION("""COMPUTED_VALUE"""),"Rodjun")</f>
        <v>Rodjun</v>
      </c>
      <c r="D884" s="1" t="str">
        <f ca="1">IFERROR(__xludf.DUMMYFUNCTION("""COMPUTED_VALUE"""),"Nigel Tan")</f>
        <v>Nigel Tan</v>
      </c>
      <c r="E884" s="1" t="str">
        <f ca="1">IFERROR(__xludf.DUMMYFUNCTION("""COMPUTED_VALUE"""),"Bothered sa: -lobo  -sibuyas -flags  Pero unbothered sa FLYING MONOBLOC CHAIRS")</f>
        <v>Bothered sa: -lobo  -sibuyas -flags  Pero unbothered sa FLYING MONOBLOC CHAIRS</v>
      </c>
      <c r="F884" s="1">
        <f ca="1">IFERROR(__xludf.DUMMYFUNCTION("""COMPUTED_VALUE"""),55)</f>
        <v>55</v>
      </c>
      <c r="G884" s="1" t="str">
        <f ca="1">IFERROR(__xludf.DUMMYFUNCTION("""COMPUTED_VALUE"""),"3 mos")</f>
        <v>3 mos</v>
      </c>
      <c r="H884" s="1" t="str">
        <f ca="1">IFERROR(__xludf.DUMMYFUNCTION("""COMPUTED_VALUE"""),"comment")</f>
        <v>comment</v>
      </c>
      <c r="I884" s="2" t="str">
        <f ca="1">IFERROR(__xludf.DUMMYFUNCTION("""COMPUTED_VALUE"""),"https://www.facebook.com/rapplerdotcom/photos/a.317154781638645/5596043783749692/")</f>
        <v>https://www.facebook.com/rapplerdotcom/photos/a.317154781638645/5596043783749692/</v>
      </c>
      <c r="J884" s="1" t="str">
        <f ca="1">IFERROR(__xludf.DUMMYFUNCTION("""COMPUTED_VALUE"""),"2022-07-04T15:38:38.276Z")</f>
        <v>2022-07-04T15:38:38.276Z</v>
      </c>
    </row>
    <row r="885" spans="1:10" x14ac:dyDescent="0.2">
      <c r="A885" s="2" t="str">
        <f ca="1">IFERROR(__xludf.DUMMYFUNCTION("""COMPUTED_VALUE"""),"https://www.facebook.com/yongcoonang")</f>
        <v>https://www.facebook.com/yongcoonang</v>
      </c>
      <c r="B885" s="1" t="str">
        <f ca="1">IFERROR(__xludf.DUMMYFUNCTION("""COMPUTED_VALUE"""),"Kelvin Billy")</f>
        <v>Kelvin Billy</v>
      </c>
      <c r="C885" s="1" t="str">
        <f ca="1">IFERROR(__xludf.DUMMYFUNCTION("""COMPUTED_VALUE"""),"Kelvin")</f>
        <v>Kelvin</v>
      </c>
      <c r="D885" s="1" t="str">
        <f ca="1">IFERROR(__xludf.DUMMYFUNCTION("""COMPUTED_VALUE"""),"Billy")</f>
        <v>Billy</v>
      </c>
      <c r="E885" s="1" t="str">
        <f ca="1">IFERROR(__xludf.DUMMYFUNCTION("""COMPUTED_VALUE"""),"Rodjun Nigel Tan   ⚙️ EARN MONEY ONLINE WITHOUT GOING TO WORK OR STRESS YOURSELF  ⚙️if you're interested ☝️☝️☝️ just kindly click on the link to contact my Senior Cryptofx account manager for guidance 📩  Link 🔗🔗🔗  https://www.facebook.com/evlira.crypt"&amp;"ofxtrader")</f>
        <v>Rodjun Nigel Tan   ⚙️ EARN MONEY ONLINE WITHOUT GOING TO WORK OR STRESS YOURSELF  ⚙️if you're interested ☝️☝️☝️ just kindly click on the link to contact my Senior Cryptofx account manager for guidance 📩  Link 🔗🔗🔗  https://www.facebook.com/evlira.cryptofxtrader</v>
      </c>
      <c r="F885" s="1"/>
      <c r="G885" s="1" t="str">
        <f ca="1">IFERROR(__xludf.DUMMYFUNCTION("""COMPUTED_VALUE"""),"3 mos")</f>
        <v>3 mos</v>
      </c>
      <c r="H885" s="1" t="str">
        <f ca="1">IFERROR(__xludf.DUMMYFUNCTION("""COMPUTED_VALUE"""),"reply")</f>
        <v>reply</v>
      </c>
      <c r="I885" s="2" t="str">
        <f ca="1">IFERROR(__xludf.DUMMYFUNCTION("""COMPUTED_VALUE"""),"https://www.facebook.com/rapplerdotcom/photos/a.317154781638645/5596043783749692/")</f>
        <v>https://www.facebook.com/rapplerdotcom/photos/a.317154781638645/5596043783749692/</v>
      </c>
      <c r="J885" s="1" t="str">
        <f ca="1">IFERROR(__xludf.DUMMYFUNCTION("""COMPUTED_VALUE"""),"2022-07-04T15:38:38.276Z")</f>
        <v>2022-07-04T15:38:38.276Z</v>
      </c>
    </row>
    <row r="886" spans="1:10" x14ac:dyDescent="0.2">
      <c r="A886" s="2" t="str">
        <f ca="1">IFERROR(__xludf.DUMMYFUNCTION("""COMPUTED_VALUE"""),"https://www.facebook.com/marietta.tanglao")</f>
        <v>https://www.facebook.com/marietta.tanglao</v>
      </c>
      <c r="B886" s="1" t="str">
        <f ca="1">IFERROR(__xludf.DUMMYFUNCTION("""COMPUTED_VALUE"""),"Yette Topacio")</f>
        <v>Yette Topacio</v>
      </c>
      <c r="C886" s="1" t="str">
        <f ca="1">IFERROR(__xludf.DUMMYFUNCTION("""COMPUTED_VALUE"""),"Yette")</f>
        <v>Yette</v>
      </c>
      <c r="D886" s="1" t="str">
        <f ca="1">IFERROR(__xludf.DUMMYFUNCTION("""COMPUTED_VALUE"""),"Topacio")</f>
        <v>Topacio</v>
      </c>
      <c r="E886" s="1" t="str">
        <f ca="1">IFERROR(__xludf.DUMMYFUNCTION("""COMPUTED_VALUE"""),"Rodjun Nigel Tan wow inggit sa dmi ng tao")</f>
        <v>Rodjun Nigel Tan wow inggit sa dmi ng tao</v>
      </c>
      <c r="F886" s="1"/>
      <c r="G886" s="1" t="str">
        <f ca="1">IFERROR(__xludf.DUMMYFUNCTION("""COMPUTED_VALUE"""),"3 mos")</f>
        <v>3 mos</v>
      </c>
      <c r="H886" s="1" t="str">
        <f ca="1">IFERROR(__xludf.DUMMYFUNCTION("""COMPUTED_VALUE"""),"reply")</f>
        <v>reply</v>
      </c>
      <c r="I886" s="2" t="str">
        <f ca="1">IFERROR(__xludf.DUMMYFUNCTION("""COMPUTED_VALUE"""),"https://www.facebook.com/rapplerdotcom/photos/a.317154781638645/5596043783749692/")</f>
        <v>https://www.facebook.com/rapplerdotcom/photos/a.317154781638645/5596043783749692/</v>
      </c>
      <c r="J886" s="1" t="str">
        <f ca="1">IFERROR(__xludf.DUMMYFUNCTION("""COMPUTED_VALUE"""),"2022-07-04T15:38:38.276Z")</f>
        <v>2022-07-04T15:38:38.276Z</v>
      </c>
    </row>
    <row r="887" spans="1:10" x14ac:dyDescent="0.2">
      <c r="A887" s="2" t="str">
        <f ca="1">IFERROR(__xludf.DUMMYFUNCTION("""COMPUTED_VALUE"""),"https://www.facebook.com/icecaramel.macchiato.908")</f>
        <v>https://www.facebook.com/icecaramel.macchiato.908</v>
      </c>
      <c r="B887" s="1" t="str">
        <f ca="1">IFERROR(__xludf.DUMMYFUNCTION("""COMPUTED_VALUE"""),"Mocha Java")</f>
        <v>Mocha Java</v>
      </c>
      <c r="C887" s="1" t="str">
        <f ca="1">IFERROR(__xludf.DUMMYFUNCTION("""COMPUTED_VALUE"""),"Mocha")</f>
        <v>Mocha</v>
      </c>
      <c r="D887" s="1" t="str">
        <f ca="1">IFERROR(__xludf.DUMMYFUNCTION("""COMPUTED_VALUE"""),"Java")</f>
        <v>Java</v>
      </c>
      <c r="E887" s="1" t="str">
        <f ca="1">IFERROR(__xludf.DUMMYFUNCTION("""COMPUTED_VALUE"""),"Rodjun Nigel Tan  Kaloka nga..my mga sungay! Katakot😅")</f>
        <v>Rodjun Nigel Tan  Kaloka nga..my mga sungay! Katakot😅</v>
      </c>
      <c r="F887" s="1"/>
      <c r="G887" s="1" t="str">
        <f ca="1">IFERROR(__xludf.DUMMYFUNCTION("""COMPUTED_VALUE"""),"3 mos")</f>
        <v>3 mos</v>
      </c>
      <c r="H887" s="1" t="str">
        <f ca="1">IFERROR(__xludf.DUMMYFUNCTION("""COMPUTED_VALUE"""),"reply")</f>
        <v>reply</v>
      </c>
      <c r="I887" s="2" t="str">
        <f ca="1">IFERROR(__xludf.DUMMYFUNCTION("""COMPUTED_VALUE"""),"https://www.facebook.com/rapplerdotcom/photos/a.317154781638645/5596043783749692/")</f>
        <v>https://www.facebook.com/rapplerdotcom/photos/a.317154781638645/5596043783749692/</v>
      </c>
      <c r="J887" s="1" t="str">
        <f ca="1">IFERROR(__xludf.DUMMYFUNCTION("""COMPUTED_VALUE"""),"2022-07-04T15:38:38.276Z")</f>
        <v>2022-07-04T15:38:38.276Z</v>
      </c>
    </row>
    <row r="888" spans="1:10" x14ac:dyDescent="0.2">
      <c r="A888" s="2" t="str">
        <f ca="1">IFERROR(__xludf.DUMMYFUNCTION("""COMPUTED_VALUE"""),"https://www.facebook.com/profile.php?id=100009486210065")</f>
        <v>https://www.facebook.com/profile.php?id=100009486210065</v>
      </c>
      <c r="B888" s="1" t="str">
        <f ca="1">IFERROR(__xludf.DUMMYFUNCTION("""COMPUTED_VALUE"""),"Anita Lope")</f>
        <v>Anita Lope</v>
      </c>
      <c r="C888" s="1" t="str">
        <f ca="1">IFERROR(__xludf.DUMMYFUNCTION("""COMPUTED_VALUE"""),"Anita")</f>
        <v>Anita</v>
      </c>
      <c r="D888" s="1" t="str">
        <f ca="1">IFERROR(__xludf.DUMMYFUNCTION("""COMPUTED_VALUE"""),"Lope")</f>
        <v>Lope</v>
      </c>
      <c r="E888" s="1" t="str">
        <f ca="1">IFERROR(__xludf.DUMMYFUNCTION("""COMPUTED_VALUE"""),"Mocha Java kyo may sungay.wag kc pumasok sa d mo tiritoryo.god bless mam mocha")</f>
        <v>Mocha Java kyo may sungay.wag kc pumasok sa d mo tiritoryo.god bless mam mocha</v>
      </c>
      <c r="F888" s="1"/>
      <c r="G888" s="1" t="str">
        <f ca="1">IFERROR(__xludf.DUMMYFUNCTION("""COMPUTED_VALUE"""),"3 mos")</f>
        <v>3 mos</v>
      </c>
      <c r="H888" s="1" t="str">
        <f ca="1">IFERROR(__xludf.DUMMYFUNCTION("""COMPUTED_VALUE"""),"reply")</f>
        <v>reply</v>
      </c>
      <c r="I888" s="2" t="str">
        <f ca="1">IFERROR(__xludf.DUMMYFUNCTION("""COMPUTED_VALUE"""),"https://www.facebook.com/rapplerdotcom/photos/a.317154781638645/5596043783749692/")</f>
        <v>https://www.facebook.com/rapplerdotcom/photos/a.317154781638645/5596043783749692/</v>
      </c>
      <c r="J888" s="1" t="str">
        <f ca="1">IFERROR(__xludf.DUMMYFUNCTION("""COMPUTED_VALUE"""),"2022-07-04T15:38:38.276Z")</f>
        <v>2022-07-04T15:38:38.276Z</v>
      </c>
    </row>
    <row r="889" spans="1:10" x14ac:dyDescent="0.2">
      <c r="A889" s="2" t="str">
        <f ca="1">IFERROR(__xludf.DUMMYFUNCTION("""COMPUTED_VALUE"""),"https://www.facebook.com/rainesantos123")</f>
        <v>https://www.facebook.com/rainesantos123</v>
      </c>
      <c r="B889" s="1" t="str">
        <f ca="1">IFERROR(__xludf.DUMMYFUNCTION("""COMPUTED_VALUE"""),"Sam My")</f>
        <v>Sam My</v>
      </c>
      <c r="C889" s="1" t="str">
        <f ca="1">IFERROR(__xludf.DUMMYFUNCTION("""COMPUTED_VALUE"""),"Sam")</f>
        <v>Sam</v>
      </c>
      <c r="D889" s="1" t="str">
        <f ca="1">IFERROR(__xludf.DUMMYFUNCTION("""COMPUTED_VALUE"""),"My")</f>
        <v>My</v>
      </c>
      <c r="E889" s="1" t="str">
        <f ca="1">IFERROR(__xludf.DUMMYFUNCTION("""COMPUTED_VALUE"""),"Rodjun Nigel Tan double time haha")</f>
        <v>Rodjun Nigel Tan double time haha</v>
      </c>
      <c r="F889" s="1"/>
      <c r="G889" s="1" t="str">
        <f ca="1">IFERROR(__xludf.DUMMYFUNCTION("""COMPUTED_VALUE"""),"3 mos")</f>
        <v>3 mos</v>
      </c>
      <c r="H889" s="1" t="str">
        <f ca="1">IFERROR(__xludf.DUMMYFUNCTION("""COMPUTED_VALUE"""),"reply")</f>
        <v>reply</v>
      </c>
      <c r="I889" s="2" t="str">
        <f ca="1">IFERROR(__xludf.DUMMYFUNCTION("""COMPUTED_VALUE"""),"https://www.facebook.com/rapplerdotcom/photos/a.317154781638645/5596043783749692/")</f>
        <v>https://www.facebook.com/rapplerdotcom/photos/a.317154781638645/5596043783749692/</v>
      </c>
      <c r="J889" s="1" t="str">
        <f ca="1">IFERROR(__xludf.DUMMYFUNCTION("""COMPUTED_VALUE"""),"2022-07-04T15:38:38.276Z")</f>
        <v>2022-07-04T15:38:38.276Z</v>
      </c>
    </row>
    <row r="890" spans="1:10" x14ac:dyDescent="0.2">
      <c r="A890" s="2" t="str">
        <f ca="1">IFERROR(__xludf.DUMMYFUNCTION("""COMPUTED_VALUE"""),"https://www.facebook.com/wengnyssa.wengnyssa")</f>
        <v>https://www.facebook.com/wengnyssa.wengnyssa</v>
      </c>
      <c r="B890" s="1" t="str">
        <f ca="1">IFERROR(__xludf.DUMMYFUNCTION("""COMPUTED_VALUE"""),"Weng Nys")</f>
        <v>Weng Nys</v>
      </c>
      <c r="C890" s="1" t="str">
        <f ca="1">IFERROR(__xludf.DUMMYFUNCTION("""COMPUTED_VALUE"""),"Weng")</f>
        <v>Weng</v>
      </c>
      <c r="D890" s="1" t="str">
        <f ca="1">IFERROR(__xludf.DUMMYFUNCTION("""COMPUTED_VALUE"""),"Nys")</f>
        <v>Nys</v>
      </c>
      <c r="E890" s="1" t="str">
        <f ca="1">IFERROR(__xludf.DUMMYFUNCTION("""COMPUTED_VALUE"""),"👏🏻👏🏻👏🏻👏🏻🌸🌸🌸🌸 #KulayRosasAngBukas")</f>
        <v>👏🏻👏🏻👏🏻👏🏻🌸🌸🌸🌸 #KulayRosasAngBukas</v>
      </c>
      <c r="F890" s="1"/>
      <c r="G890" s="1" t="str">
        <f ca="1">IFERROR(__xludf.DUMMYFUNCTION("""COMPUTED_VALUE"""),"3 mos")</f>
        <v>3 mos</v>
      </c>
      <c r="H890" s="1" t="str">
        <f ca="1">IFERROR(__xludf.DUMMYFUNCTION("""COMPUTED_VALUE"""),"comment")</f>
        <v>comment</v>
      </c>
      <c r="I890" s="2" t="str">
        <f ca="1">IFERROR(__xludf.DUMMYFUNCTION("""COMPUTED_VALUE"""),"https://www.facebook.com/rapplerdotcom/photos/a.317154781638645/5596043783749692/")</f>
        <v>https://www.facebook.com/rapplerdotcom/photos/a.317154781638645/5596043783749692/</v>
      </c>
      <c r="J890" s="1" t="str">
        <f ca="1">IFERROR(__xludf.DUMMYFUNCTION("""COMPUTED_VALUE"""),"2022-07-04T15:38:38.276Z")</f>
        <v>2022-07-04T15:38:38.276Z</v>
      </c>
    </row>
    <row r="891" spans="1:10" x14ac:dyDescent="0.2">
      <c r="A891" s="2" t="str">
        <f ca="1">IFERROR(__xludf.DUMMYFUNCTION("""COMPUTED_VALUE"""),"https://www.facebook.com/lair.gonzales")</f>
        <v>https://www.facebook.com/lair.gonzales</v>
      </c>
      <c r="B891" s="1" t="str">
        <f ca="1">IFERROR(__xludf.DUMMYFUNCTION("""COMPUTED_VALUE"""),"Israel Gonzales")</f>
        <v>Israel Gonzales</v>
      </c>
      <c r="C891" s="1" t="str">
        <f ca="1">IFERROR(__xludf.DUMMYFUNCTION("""COMPUTED_VALUE"""),"Israel")</f>
        <v>Israel</v>
      </c>
      <c r="D891" s="1" t="str">
        <f ca="1">IFERROR(__xludf.DUMMYFUNCTION("""COMPUTED_VALUE"""),"Gonzales")</f>
        <v>Gonzales</v>
      </c>
      <c r="E891" s="1" t="str">
        <f ca="1">IFERROR(__xludf.DUMMYFUNCTION("""COMPUTED_VALUE"""),"Wait n lng ng election👍")</f>
        <v>Wait n lng ng election👍</v>
      </c>
      <c r="F891" s="1"/>
      <c r="G891" s="1" t="str">
        <f ca="1">IFERROR(__xludf.DUMMYFUNCTION("""COMPUTED_VALUE"""),"3 mos")</f>
        <v>3 mos</v>
      </c>
      <c r="H891" s="1" t="str">
        <f ca="1">IFERROR(__xludf.DUMMYFUNCTION("""COMPUTED_VALUE"""),"comment")</f>
        <v>comment</v>
      </c>
      <c r="I891" s="2" t="str">
        <f ca="1">IFERROR(__xludf.DUMMYFUNCTION("""COMPUTED_VALUE"""),"https://www.facebook.com/rapplerdotcom/photos/a.317154781638645/5596043783749692/")</f>
        <v>https://www.facebook.com/rapplerdotcom/photos/a.317154781638645/5596043783749692/</v>
      </c>
      <c r="J891" s="1" t="str">
        <f ca="1">IFERROR(__xludf.DUMMYFUNCTION("""COMPUTED_VALUE"""),"2022-07-04T15:38:38.276Z")</f>
        <v>2022-07-04T15:38:38.276Z</v>
      </c>
    </row>
    <row r="892" spans="1:10" x14ac:dyDescent="0.2">
      <c r="A892" s="2" t="str">
        <f ca="1">IFERROR(__xludf.DUMMYFUNCTION("""COMPUTED_VALUE"""),"https://www.facebook.com/arnel.sagorsor")</f>
        <v>https://www.facebook.com/arnel.sagorsor</v>
      </c>
      <c r="B892" s="1" t="str">
        <f ca="1">IFERROR(__xludf.DUMMYFUNCTION("""COMPUTED_VALUE"""),"Arnel Sagorsor")</f>
        <v>Arnel Sagorsor</v>
      </c>
      <c r="C892" s="1" t="str">
        <f ca="1">IFERROR(__xludf.DUMMYFUNCTION("""COMPUTED_VALUE"""),"Arnel")</f>
        <v>Arnel</v>
      </c>
      <c r="D892" s="1" t="str">
        <f ca="1">IFERROR(__xludf.DUMMYFUNCTION("""COMPUTED_VALUE"""),"Sagorsor")</f>
        <v>Sagorsor</v>
      </c>
      <c r="E892" s="1" t="str">
        <f ca="1">IFERROR(__xludf.DUMMYFUNCTION("""COMPUTED_VALUE"""),"Israel Gonzales sabi na eh nilagpasan pa ung sinabi ko na 35k hehe.....")</f>
        <v>Israel Gonzales sabi na eh nilagpasan pa ung sinabi ko na 35k hehe.....</v>
      </c>
      <c r="F892" s="1"/>
      <c r="G892" s="1" t="str">
        <f ca="1">IFERROR(__xludf.DUMMYFUNCTION("""COMPUTED_VALUE"""),"3 mos")</f>
        <v>3 mos</v>
      </c>
      <c r="H892" s="1" t="str">
        <f ca="1">IFERROR(__xludf.DUMMYFUNCTION("""COMPUTED_VALUE"""),"reply")</f>
        <v>reply</v>
      </c>
      <c r="I892" s="2" t="str">
        <f ca="1">IFERROR(__xludf.DUMMYFUNCTION("""COMPUTED_VALUE"""),"https://www.facebook.com/rapplerdotcom/photos/a.317154781638645/5596043783749692/")</f>
        <v>https://www.facebook.com/rapplerdotcom/photos/a.317154781638645/5596043783749692/</v>
      </c>
      <c r="J892" s="1" t="str">
        <f ca="1">IFERROR(__xludf.DUMMYFUNCTION("""COMPUTED_VALUE"""),"2022-07-04T15:38:38.276Z")</f>
        <v>2022-07-04T15:38:38.276Z</v>
      </c>
    </row>
    <row r="893" spans="1:10" x14ac:dyDescent="0.2">
      <c r="A893" s="2" t="str">
        <f ca="1">IFERROR(__xludf.DUMMYFUNCTION("""COMPUTED_VALUE"""),"https://www.facebook.com/lair.gonzales")</f>
        <v>https://www.facebook.com/lair.gonzales</v>
      </c>
      <c r="B893" s="1" t="str">
        <f ca="1">IFERROR(__xludf.DUMMYFUNCTION("""COMPUTED_VALUE"""),"Israel Gonzales")</f>
        <v>Israel Gonzales</v>
      </c>
      <c r="C893" s="1" t="str">
        <f ca="1">IFERROR(__xludf.DUMMYFUNCTION("""COMPUTED_VALUE"""),"Israel")</f>
        <v>Israel</v>
      </c>
      <c r="D893" s="1" t="str">
        <f ca="1">IFERROR(__xludf.DUMMYFUNCTION("""COMPUTED_VALUE"""),"Gonzales")</f>
        <v>Gonzales</v>
      </c>
      <c r="E893" s="1" t="str">
        <f ca="1">IFERROR(__xludf.DUMMYFUNCTION("""COMPUTED_VALUE"""),"Arnel Sagorsor d pa gawin 35 million nahiya pa")</f>
        <v>Arnel Sagorsor d pa gawin 35 million nahiya pa</v>
      </c>
      <c r="F893" s="1"/>
      <c r="G893" s="1" t="str">
        <f ca="1">IFERROR(__xludf.DUMMYFUNCTION("""COMPUTED_VALUE"""),"3 mos")</f>
        <v>3 mos</v>
      </c>
      <c r="H893" s="1" t="str">
        <f ca="1">IFERROR(__xludf.DUMMYFUNCTION("""COMPUTED_VALUE"""),"reply")</f>
        <v>reply</v>
      </c>
      <c r="I893" s="2" t="str">
        <f ca="1">IFERROR(__xludf.DUMMYFUNCTION("""COMPUTED_VALUE"""),"https://www.facebook.com/rapplerdotcom/photos/a.317154781638645/5596043783749692/")</f>
        <v>https://www.facebook.com/rapplerdotcom/photos/a.317154781638645/5596043783749692/</v>
      </c>
      <c r="J893" s="1" t="str">
        <f ca="1">IFERROR(__xludf.DUMMYFUNCTION("""COMPUTED_VALUE"""),"2022-07-04T15:38:38.276Z")</f>
        <v>2022-07-04T15:38:38.276Z</v>
      </c>
    </row>
    <row r="894" spans="1:10" x14ac:dyDescent="0.2">
      <c r="A894" s="2" t="str">
        <f ca="1">IFERROR(__xludf.DUMMYFUNCTION("""COMPUTED_VALUE"""),"https://www.facebook.com/profile.php?id=100075991434197")</f>
        <v>https://www.facebook.com/profile.php?id=100075991434197</v>
      </c>
      <c r="B894" s="1" t="str">
        <f ca="1">IFERROR(__xludf.DUMMYFUNCTION("""COMPUTED_VALUE"""),"Gie Aveun")</f>
        <v>Gie Aveun</v>
      </c>
      <c r="C894" s="1" t="str">
        <f ca="1">IFERROR(__xludf.DUMMYFUNCTION("""COMPUTED_VALUE"""),"Gie")</f>
        <v>Gie</v>
      </c>
      <c r="D894" s="1" t="str">
        <f ca="1">IFERROR(__xludf.DUMMYFUNCTION("""COMPUTED_VALUE"""),"Aveun")</f>
        <v>Aveun</v>
      </c>
      <c r="E894" s="1" t="str">
        <f ca="1">IFERROR(__xludf.DUMMYFUNCTION("""COMPUTED_VALUE"""),"#LetLeniKikoLead2022  #CaMaNaVaIsPink  #CaMaNaVaRockNRosas  #CaMaNavaForLeniKiko  #GobyernongTapatAngatBuhayLahat")</f>
        <v>#LetLeniKikoLead2022  #CaMaNaVaIsPink  #CaMaNaVaRockNRosas  #CaMaNavaForLeniKiko  #GobyernongTapatAngatBuhayLahat</v>
      </c>
      <c r="F894" s="1">
        <f ca="1">IFERROR(__xludf.DUMMYFUNCTION("""COMPUTED_VALUE"""),1)</f>
        <v>1</v>
      </c>
      <c r="G894" s="1" t="str">
        <f ca="1">IFERROR(__xludf.DUMMYFUNCTION("""COMPUTED_VALUE"""),"3 mos")</f>
        <v>3 mos</v>
      </c>
      <c r="H894" s="1" t="str">
        <f ca="1">IFERROR(__xludf.DUMMYFUNCTION("""COMPUTED_VALUE"""),"comment")</f>
        <v>comment</v>
      </c>
      <c r="I894" s="2" t="str">
        <f ca="1">IFERROR(__xludf.DUMMYFUNCTION("""COMPUTED_VALUE"""),"https://www.facebook.com/rapplerdotcom/photos/a.317154781638645/5596043783749692/")</f>
        <v>https://www.facebook.com/rapplerdotcom/photos/a.317154781638645/5596043783749692/</v>
      </c>
      <c r="J894" s="1" t="str">
        <f ca="1">IFERROR(__xludf.DUMMYFUNCTION("""COMPUTED_VALUE"""),"2022-07-04T15:38:38.276Z")</f>
        <v>2022-07-04T15:38:38.276Z</v>
      </c>
    </row>
    <row r="895" spans="1:10" x14ac:dyDescent="0.2">
      <c r="A895" s="2" t="str">
        <f ca="1">IFERROR(__xludf.DUMMYFUNCTION("""COMPUTED_VALUE"""),"https://www.facebook.com/leideeavery.taluban")</f>
        <v>https://www.facebook.com/leideeavery.taluban</v>
      </c>
      <c r="B895" s="1" t="str">
        <f ca="1">IFERROR(__xludf.DUMMYFUNCTION("""COMPUTED_VALUE"""),"Leidee Avery Antonio Taluban")</f>
        <v>Leidee Avery Antonio Taluban</v>
      </c>
      <c r="C895" s="1" t="str">
        <f ca="1">IFERROR(__xludf.DUMMYFUNCTION("""COMPUTED_VALUE"""),"Leidee")</f>
        <v>Leidee</v>
      </c>
      <c r="D895" s="1" t="str">
        <f ca="1">IFERROR(__xludf.DUMMYFUNCTION("""COMPUTED_VALUE"""),"Avery Antonio Taluban")</f>
        <v>Avery Antonio Taluban</v>
      </c>
      <c r="E895" s="1" t="str">
        <f ca="1">IFERROR(__xludf.DUMMYFUNCTION("""COMPUTED_VALUE"""),"Join the free concert? 🤭🤫🤪🤣")</f>
        <v>Join the free concert? 🤭🤫🤪🤣</v>
      </c>
      <c r="F895" s="1">
        <f ca="1">IFERROR(__xludf.DUMMYFUNCTION("""COMPUTED_VALUE"""),1)</f>
        <v>1</v>
      </c>
      <c r="G895" s="1" t="str">
        <f ca="1">IFERROR(__xludf.DUMMYFUNCTION("""COMPUTED_VALUE"""),"3 mos")</f>
        <v>3 mos</v>
      </c>
      <c r="H895" s="1" t="str">
        <f ca="1">IFERROR(__xludf.DUMMYFUNCTION("""COMPUTED_VALUE"""),"comment")</f>
        <v>comment</v>
      </c>
      <c r="I895" s="2" t="str">
        <f ca="1">IFERROR(__xludf.DUMMYFUNCTION("""COMPUTED_VALUE"""),"https://www.facebook.com/rapplerdotcom/photos/a.317154781638645/5596043783749692/")</f>
        <v>https://www.facebook.com/rapplerdotcom/photos/a.317154781638645/5596043783749692/</v>
      </c>
      <c r="J895" s="1" t="str">
        <f ca="1">IFERROR(__xludf.DUMMYFUNCTION("""COMPUTED_VALUE"""),"2022-07-04T15:38:38.276Z")</f>
        <v>2022-07-04T15:38:38.276Z</v>
      </c>
    </row>
    <row r="896" spans="1:10" x14ac:dyDescent="0.2">
      <c r="A896" s="2" t="str">
        <f ca="1">IFERROR(__xludf.DUMMYFUNCTION("""COMPUTED_VALUE"""),"https://www.facebook.com/profile.php?id=100079988850982")</f>
        <v>https://www.facebook.com/profile.php?id=100079988850982</v>
      </c>
      <c r="B896" s="1" t="str">
        <f ca="1">IFERROR(__xludf.DUMMYFUNCTION("""COMPUTED_VALUE"""),"Jo Revil")</f>
        <v>Jo Revil</v>
      </c>
      <c r="C896" s="1" t="str">
        <f ca="1">IFERROR(__xludf.DUMMYFUNCTION("""COMPUTED_VALUE"""),"Jo")</f>
        <v>Jo</v>
      </c>
      <c r="D896" s="1" t="str">
        <f ca="1">IFERROR(__xludf.DUMMYFUNCTION("""COMPUTED_VALUE"""),"Revil")</f>
        <v>Revil</v>
      </c>
      <c r="E896" s="1" t="str">
        <f ca="1">IFERROR(__xludf.DUMMYFUNCTION("""COMPUTED_VALUE"""),"Leidee Avery Antonio Taluban At least volunteer artists. As part of their contributions!")</f>
        <v>Leidee Avery Antonio Taluban At least volunteer artists. As part of their contributions!</v>
      </c>
      <c r="F896" s="1">
        <f ca="1">IFERROR(__xludf.DUMMYFUNCTION("""COMPUTED_VALUE"""),4)</f>
        <v>4</v>
      </c>
      <c r="G896" s="1" t="str">
        <f ca="1">IFERROR(__xludf.DUMMYFUNCTION("""COMPUTED_VALUE"""),"3 mos")</f>
        <v>3 mos</v>
      </c>
      <c r="H896" s="1" t="str">
        <f ca="1">IFERROR(__xludf.DUMMYFUNCTION("""COMPUTED_VALUE"""),"reply")</f>
        <v>reply</v>
      </c>
      <c r="I896" s="2" t="str">
        <f ca="1">IFERROR(__xludf.DUMMYFUNCTION("""COMPUTED_VALUE"""),"https://www.facebook.com/rapplerdotcom/photos/a.317154781638645/5596043783749692/")</f>
        <v>https://www.facebook.com/rapplerdotcom/photos/a.317154781638645/5596043783749692/</v>
      </c>
      <c r="J896" s="1" t="str">
        <f ca="1">IFERROR(__xludf.DUMMYFUNCTION("""COMPUTED_VALUE"""),"2022-07-04T15:38:38.276Z")</f>
        <v>2022-07-04T15:38:38.276Z</v>
      </c>
    </row>
    <row r="897" spans="1:10" x14ac:dyDescent="0.2">
      <c r="A897" s="2" t="str">
        <f ca="1">IFERROR(__xludf.DUMMYFUNCTION("""COMPUTED_VALUE"""),"https://www.facebook.com/leideeavery.taluban")</f>
        <v>https://www.facebook.com/leideeavery.taluban</v>
      </c>
      <c r="B897" s="1" t="str">
        <f ca="1">IFERROR(__xludf.DUMMYFUNCTION("""COMPUTED_VALUE"""),"Leidee Avery Antonio Taluban")</f>
        <v>Leidee Avery Antonio Taluban</v>
      </c>
      <c r="C897" s="1" t="str">
        <f ca="1">IFERROR(__xludf.DUMMYFUNCTION("""COMPUTED_VALUE"""),"Leidee")</f>
        <v>Leidee</v>
      </c>
      <c r="D897" s="1" t="str">
        <f ca="1">IFERROR(__xludf.DUMMYFUNCTION("""COMPUTED_VALUE"""),"Avery Antonio Taluban")</f>
        <v>Avery Antonio Taluban</v>
      </c>
      <c r="E897" s="1" t="str">
        <f ca="1">IFERROR(__xludf.DUMMYFUNCTION("""COMPUTED_VALUE"""),"Jo Revil ahh Kaya pala ABS artists 😘")</f>
        <v>Jo Revil ahh Kaya pala ABS artists 😘</v>
      </c>
      <c r="F897" s="1"/>
      <c r="G897" s="1" t="str">
        <f ca="1">IFERROR(__xludf.DUMMYFUNCTION("""COMPUTED_VALUE"""),"3 mos")</f>
        <v>3 mos</v>
      </c>
      <c r="H897" s="1" t="str">
        <f ca="1">IFERROR(__xludf.DUMMYFUNCTION("""COMPUTED_VALUE"""),"reply")</f>
        <v>reply</v>
      </c>
      <c r="I897" s="2" t="str">
        <f ca="1">IFERROR(__xludf.DUMMYFUNCTION("""COMPUTED_VALUE"""),"https://www.facebook.com/rapplerdotcom/photos/a.317154781638645/5596043783749692/")</f>
        <v>https://www.facebook.com/rapplerdotcom/photos/a.317154781638645/5596043783749692/</v>
      </c>
      <c r="J897" s="1" t="str">
        <f ca="1">IFERROR(__xludf.DUMMYFUNCTION("""COMPUTED_VALUE"""),"2022-07-04T15:38:38.276Z")</f>
        <v>2022-07-04T15:38:38.276Z</v>
      </c>
    </row>
    <row r="898" spans="1:10" x14ac:dyDescent="0.2">
      <c r="A898" s="2" t="str">
        <f ca="1">IFERROR(__xludf.DUMMYFUNCTION("""COMPUTED_VALUE"""),"https://www.facebook.com/profile.php?id=100079988850982")</f>
        <v>https://www.facebook.com/profile.php?id=100079988850982</v>
      </c>
      <c r="B898" s="1" t="str">
        <f ca="1">IFERROR(__xludf.DUMMYFUNCTION("""COMPUTED_VALUE"""),"Jo Revil")</f>
        <v>Jo Revil</v>
      </c>
      <c r="C898" s="1" t="str">
        <f ca="1">IFERROR(__xludf.DUMMYFUNCTION("""COMPUTED_VALUE"""),"Jo")</f>
        <v>Jo</v>
      </c>
      <c r="D898" s="1" t="str">
        <f ca="1">IFERROR(__xludf.DUMMYFUNCTION("""COMPUTED_VALUE"""),"Revil")</f>
        <v>Revil</v>
      </c>
      <c r="E898" s="1" t="str">
        <f ca="1">IFERROR(__xludf.DUMMYFUNCTION("""COMPUTED_VALUE"""),"Leidee Avery Antonio Taluban . Whoever.")</f>
        <v>Leidee Avery Antonio Taluban . Whoever.</v>
      </c>
      <c r="F898" s="1">
        <f ca="1">IFERROR(__xludf.DUMMYFUNCTION("""COMPUTED_VALUE"""),2)</f>
        <v>2</v>
      </c>
      <c r="G898" s="1" t="str">
        <f ca="1">IFERROR(__xludf.DUMMYFUNCTION("""COMPUTED_VALUE"""),"3 mos")</f>
        <v>3 mos</v>
      </c>
      <c r="H898" s="1" t="str">
        <f ca="1">IFERROR(__xludf.DUMMYFUNCTION("""COMPUTED_VALUE"""),"reply")</f>
        <v>reply</v>
      </c>
      <c r="I898" s="2" t="str">
        <f ca="1">IFERROR(__xludf.DUMMYFUNCTION("""COMPUTED_VALUE"""),"https://www.facebook.com/rapplerdotcom/photos/a.317154781638645/5596043783749692/")</f>
        <v>https://www.facebook.com/rapplerdotcom/photos/a.317154781638645/5596043783749692/</v>
      </c>
      <c r="J898" s="1" t="str">
        <f ca="1">IFERROR(__xludf.DUMMYFUNCTION("""COMPUTED_VALUE"""),"2022-07-04T15:38:38.276Z")</f>
        <v>2022-07-04T15:38:38.276Z</v>
      </c>
    </row>
    <row r="899" spans="1:10" x14ac:dyDescent="0.2">
      <c r="A899" s="2" t="str">
        <f ca="1">IFERROR(__xludf.DUMMYFUNCTION("""COMPUTED_VALUE"""),"https://www.facebook.com/profile.php?id=100011440088284")</f>
        <v>https://www.facebook.com/profile.php?id=100011440088284</v>
      </c>
      <c r="B899" s="1" t="str">
        <f ca="1">IFERROR(__xludf.DUMMYFUNCTION("""COMPUTED_VALUE"""),"John Paul Padonia")</f>
        <v>John Paul Padonia</v>
      </c>
      <c r="C899" s="1" t="str">
        <f ca="1">IFERROR(__xludf.DUMMYFUNCTION("""COMPUTED_VALUE"""),"John")</f>
        <v>John</v>
      </c>
      <c r="D899" s="1" t="str">
        <f ca="1">IFERROR(__xludf.DUMMYFUNCTION("""COMPUTED_VALUE"""),"Paul Padonia")</f>
        <v>Paul Padonia</v>
      </c>
      <c r="E899" s="1" t="str">
        <f ca="1">IFERROR(__xludf.DUMMYFUNCTION("""COMPUTED_VALUE"""),"recycled crowd from pasig event")</f>
        <v>recycled crowd from pasig event</v>
      </c>
      <c r="F899" s="1">
        <f ca="1">IFERROR(__xludf.DUMMYFUNCTION("""COMPUTED_VALUE"""),10)</f>
        <v>10</v>
      </c>
      <c r="G899" s="1" t="str">
        <f ca="1">IFERROR(__xludf.DUMMYFUNCTION("""COMPUTED_VALUE"""),"3 mos")</f>
        <v>3 mos</v>
      </c>
      <c r="H899" s="1" t="str">
        <f ca="1">IFERROR(__xludf.DUMMYFUNCTION("""COMPUTED_VALUE"""),"comment")</f>
        <v>comment</v>
      </c>
      <c r="I899" s="2" t="str">
        <f ca="1">IFERROR(__xludf.DUMMYFUNCTION("""COMPUTED_VALUE"""),"https://www.facebook.com/rapplerdotcom/photos/a.317154781638645/5596043783749692/")</f>
        <v>https://www.facebook.com/rapplerdotcom/photos/a.317154781638645/5596043783749692/</v>
      </c>
      <c r="J899" s="1" t="str">
        <f ca="1">IFERROR(__xludf.DUMMYFUNCTION("""COMPUTED_VALUE"""),"2022-07-04T15:38:38.276Z")</f>
        <v>2022-07-04T15:38:38.276Z</v>
      </c>
    </row>
    <row r="900" spans="1:10" x14ac:dyDescent="0.2">
      <c r="A900" s="2" t="str">
        <f ca="1">IFERROR(__xludf.DUMMYFUNCTION("""COMPUTED_VALUE"""),"https://www.facebook.com/ernest.llovia")</f>
        <v>https://www.facebook.com/ernest.llovia</v>
      </c>
      <c r="B900" s="1" t="str">
        <f ca="1">IFERROR(__xludf.DUMMYFUNCTION("""COMPUTED_VALUE"""),"Ernest Llovia")</f>
        <v>Ernest Llovia</v>
      </c>
      <c r="C900" s="1" t="str">
        <f ca="1">IFERROR(__xludf.DUMMYFUNCTION("""COMPUTED_VALUE"""),"Ernest")</f>
        <v>Ernest</v>
      </c>
      <c r="D900" s="1" t="str">
        <f ca="1">IFERROR(__xludf.DUMMYFUNCTION("""COMPUTED_VALUE"""),"Llovia")</f>
        <v>Llovia</v>
      </c>
      <c r="E900" s="1" t="str">
        <f ca="1">IFERROR(__xludf.DUMMYFUNCTION("""COMPUTED_VALUE"""),"Pag inggit, pink-it 👀")</f>
        <v>Pag inggit, pink-it 👀</v>
      </c>
      <c r="F900" s="1">
        <f ca="1">IFERROR(__xludf.DUMMYFUNCTION("""COMPUTED_VALUE"""),35)</f>
        <v>35</v>
      </c>
      <c r="G900" s="1" t="str">
        <f ca="1">IFERROR(__xludf.DUMMYFUNCTION("""COMPUTED_VALUE"""),"3 mos")</f>
        <v>3 mos</v>
      </c>
      <c r="H900" s="1" t="str">
        <f ca="1">IFERROR(__xludf.DUMMYFUNCTION("""COMPUTED_VALUE"""),"reply")</f>
        <v>reply</v>
      </c>
      <c r="I900" s="2" t="str">
        <f ca="1">IFERROR(__xludf.DUMMYFUNCTION("""COMPUTED_VALUE"""),"https://www.facebook.com/rapplerdotcom/photos/a.317154781638645/5596043783749692/")</f>
        <v>https://www.facebook.com/rapplerdotcom/photos/a.317154781638645/5596043783749692/</v>
      </c>
      <c r="J900" s="1" t="str">
        <f ca="1">IFERROR(__xludf.DUMMYFUNCTION("""COMPUTED_VALUE"""),"2022-07-04T15:38:38.276Z")</f>
        <v>2022-07-04T15:38:38.276Z</v>
      </c>
    </row>
    <row r="901" spans="1:10" x14ac:dyDescent="0.2">
      <c r="A901" s="2" t="str">
        <f ca="1">IFERROR(__xludf.DUMMYFUNCTION("""COMPUTED_VALUE"""),"https://www.facebook.com/yongcoonang")</f>
        <v>https://www.facebook.com/yongcoonang</v>
      </c>
      <c r="B901" s="1" t="str">
        <f ca="1">IFERROR(__xludf.DUMMYFUNCTION("""COMPUTED_VALUE"""),"Kelvin Billy")</f>
        <v>Kelvin Billy</v>
      </c>
      <c r="C901" s="1" t="str">
        <f ca="1">IFERROR(__xludf.DUMMYFUNCTION("""COMPUTED_VALUE"""),"Kelvin")</f>
        <v>Kelvin</v>
      </c>
      <c r="D901" s="1" t="str">
        <f ca="1">IFERROR(__xludf.DUMMYFUNCTION("""COMPUTED_VALUE"""),"Billy")</f>
        <v>Billy</v>
      </c>
      <c r="E901" s="1" t="str">
        <f ca="1">IFERROR(__xludf.DUMMYFUNCTION("""COMPUTED_VALUE"""),"John Paul Padonia   ⚙️ EARN MONEY ONLINE WITHOUT GOING TO WORK OR STRESS YOURSELF  ⚙️if you're interested ☝️☝️☝️ just kindly click on the link to contact my Senior Cryptofx account manager for guidance 📩  Link 🔗🔗🔗  https://www.facebook.com/evlira.cryp"&amp;"tofxtrader")</f>
        <v>John Paul Padonia   ⚙️ EARN MONEY ONLINE WITHOUT GOING TO WORK OR STRESS YOURSELF  ⚙️if you're interested ☝️☝️☝️ just kindly click on the link to contact my Senior Cryptofx account manager for guidance 📩  Link 🔗🔗🔗  https://www.facebook.com/evlira.cryptofxtrader</v>
      </c>
      <c r="F901" s="1"/>
      <c r="G901" s="1" t="str">
        <f ca="1">IFERROR(__xludf.DUMMYFUNCTION("""COMPUTED_VALUE"""),"3 mos")</f>
        <v>3 mos</v>
      </c>
      <c r="H901" s="1" t="str">
        <f ca="1">IFERROR(__xludf.DUMMYFUNCTION("""COMPUTED_VALUE"""),"reply")</f>
        <v>reply</v>
      </c>
      <c r="I901" s="2" t="str">
        <f ca="1">IFERROR(__xludf.DUMMYFUNCTION("""COMPUTED_VALUE"""),"https://www.facebook.com/rapplerdotcom/photos/a.317154781638645/5596043783749692/")</f>
        <v>https://www.facebook.com/rapplerdotcom/photos/a.317154781638645/5596043783749692/</v>
      </c>
      <c r="J901" s="1" t="str">
        <f ca="1">IFERROR(__xludf.DUMMYFUNCTION("""COMPUTED_VALUE"""),"2022-07-04T15:38:38.276Z")</f>
        <v>2022-07-04T15:38:38.276Z</v>
      </c>
    </row>
    <row r="902" spans="1:10" x14ac:dyDescent="0.2">
      <c r="A902" s="2" t="str">
        <f ca="1">IFERROR(__xludf.DUMMYFUNCTION("""COMPUTED_VALUE"""),"https://www.facebook.com/NeilMGGH")</f>
        <v>https://www.facebook.com/NeilMGGH</v>
      </c>
      <c r="B902" s="1" t="str">
        <f ca="1">IFERROR(__xludf.DUMMYFUNCTION("""COMPUTED_VALUE"""),"Neil Estrada")</f>
        <v>Neil Estrada</v>
      </c>
      <c r="C902" s="1" t="str">
        <f ca="1">IFERROR(__xludf.DUMMYFUNCTION("""COMPUTED_VALUE"""),"Neil")</f>
        <v>Neil</v>
      </c>
      <c r="D902" s="1" t="str">
        <f ca="1">IFERROR(__xludf.DUMMYFUNCTION("""COMPUTED_VALUE"""),"Estrada")</f>
        <v>Estrada</v>
      </c>
      <c r="E902" s="1" t="str">
        <f ca="1">IFERROR(__xludf.DUMMYFUNCTION("""COMPUTED_VALUE"""),"John Paul Padonia di ka sure, wala ako doon")</f>
        <v>John Paul Padonia di ka sure, wala ako doon</v>
      </c>
      <c r="F902" s="1">
        <f ca="1">IFERROR(__xludf.DUMMYFUNCTION("""COMPUTED_VALUE"""),1)</f>
        <v>1</v>
      </c>
      <c r="G902" s="1" t="str">
        <f ca="1">IFERROR(__xludf.DUMMYFUNCTION("""COMPUTED_VALUE"""),"3 mos")</f>
        <v>3 mos</v>
      </c>
      <c r="H902" s="1" t="str">
        <f ca="1">IFERROR(__xludf.DUMMYFUNCTION("""COMPUTED_VALUE"""),"reply")</f>
        <v>reply</v>
      </c>
      <c r="I902" s="2" t="str">
        <f ca="1">IFERROR(__xludf.DUMMYFUNCTION("""COMPUTED_VALUE"""),"https://www.facebook.com/rapplerdotcom/photos/a.317154781638645/5596043783749692/")</f>
        <v>https://www.facebook.com/rapplerdotcom/photos/a.317154781638645/5596043783749692/</v>
      </c>
      <c r="J902" s="1" t="str">
        <f ca="1">IFERROR(__xludf.DUMMYFUNCTION("""COMPUTED_VALUE"""),"2022-07-04T15:38:38.276Z")</f>
        <v>2022-07-04T15:38:38.276Z</v>
      </c>
    </row>
    <row r="903" spans="1:10" x14ac:dyDescent="0.2">
      <c r="A903" s="2" t="str">
        <f ca="1">IFERROR(__xludf.DUMMYFUNCTION("""COMPUTED_VALUE"""),"https://www.facebook.com/Ed.the.Great.13")</f>
        <v>https://www.facebook.com/Ed.the.Great.13</v>
      </c>
      <c r="B903" s="1" t="str">
        <f ca="1">IFERROR(__xludf.DUMMYFUNCTION("""COMPUTED_VALUE"""),"Edisson Lasarte")</f>
        <v>Edisson Lasarte</v>
      </c>
      <c r="C903" s="1" t="str">
        <f ca="1">IFERROR(__xludf.DUMMYFUNCTION("""COMPUTED_VALUE"""),"Edisson")</f>
        <v>Edisson</v>
      </c>
      <c r="D903" s="1" t="str">
        <f ca="1">IFERROR(__xludf.DUMMYFUNCTION("""COMPUTED_VALUE"""),"Lasarte")</f>
        <v>Lasarte</v>
      </c>
      <c r="E903" s="1" t="str">
        <f ca="1">IFERROR(__xludf.DUMMYFUNCTION("""COMPUTED_VALUE"""),"John Paul Padonia may attendance ka? pikit para iwas inggit 😌")</f>
        <v>John Paul Padonia may attendance ka? pikit para iwas inggit 😌</v>
      </c>
      <c r="F903" s="1">
        <f ca="1">IFERROR(__xludf.DUMMYFUNCTION("""COMPUTED_VALUE"""),5)</f>
        <v>5</v>
      </c>
      <c r="G903" s="1" t="str">
        <f ca="1">IFERROR(__xludf.DUMMYFUNCTION("""COMPUTED_VALUE"""),"3 mos")</f>
        <v>3 mos</v>
      </c>
      <c r="H903" s="1" t="str">
        <f ca="1">IFERROR(__xludf.DUMMYFUNCTION("""COMPUTED_VALUE"""),"reply")</f>
        <v>reply</v>
      </c>
      <c r="I903" s="2" t="str">
        <f ca="1">IFERROR(__xludf.DUMMYFUNCTION("""COMPUTED_VALUE"""),"https://www.facebook.com/rapplerdotcom/photos/a.317154781638645/5596043783749692/")</f>
        <v>https://www.facebook.com/rapplerdotcom/photos/a.317154781638645/5596043783749692/</v>
      </c>
      <c r="J903" s="1" t="str">
        <f ca="1">IFERROR(__xludf.DUMMYFUNCTION("""COMPUTED_VALUE"""),"2022-07-04T15:38:38.276Z")</f>
        <v>2022-07-04T15:38:38.276Z</v>
      </c>
    </row>
    <row r="904" spans="1:10" x14ac:dyDescent="0.2">
      <c r="A904" s="2" t="str">
        <f ca="1">IFERROR(__xludf.DUMMYFUNCTION("""COMPUTED_VALUE"""),"https://www.facebook.com/kathrenkaye")</f>
        <v>https://www.facebook.com/kathrenkaye</v>
      </c>
      <c r="B904" s="1" t="str">
        <f ca="1">IFERROR(__xludf.DUMMYFUNCTION("""COMPUTED_VALUE"""),"Kathren Kaye Dato-on")</f>
        <v>Kathren Kaye Dato-on</v>
      </c>
      <c r="C904" s="1" t="str">
        <f ca="1">IFERROR(__xludf.DUMMYFUNCTION("""COMPUTED_VALUE"""),"Kathren")</f>
        <v>Kathren</v>
      </c>
      <c r="D904" s="1" t="str">
        <f ca="1">IFERROR(__xludf.DUMMYFUNCTION("""COMPUTED_VALUE"""),"Kaye Dato-on")</f>
        <v>Kaye Dato-on</v>
      </c>
      <c r="E904" s="1" t="str">
        <f ca="1">IFERROR(__xludf.DUMMYFUNCTION("""COMPUTED_VALUE"""),"John Paul Padonia hmmm wala po kami doon hahahhaa")</f>
        <v>John Paul Padonia hmmm wala po kami doon hahahhaa</v>
      </c>
      <c r="F904" s="1"/>
      <c r="G904" s="1" t="str">
        <f ca="1">IFERROR(__xludf.DUMMYFUNCTION("""COMPUTED_VALUE"""),"3 mos")</f>
        <v>3 mos</v>
      </c>
      <c r="H904" s="1" t="str">
        <f ca="1">IFERROR(__xludf.DUMMYFUNCTION("""COMPUTED_VALUE"""),"reply")</f>
        <v>reply</v>
      </c>
      <c r="I904" s="2" t="str">
        <f ca="1">IFERROR(__xludf.DUMMYFUNCTION("""COMPUTED_VALUE"""),"https://www.facebook.com/rapplerdotcom/photos/a.317154781638645/5596043783749692/")</f>
        <v>https://www.facebook.com/rapplerdotcom/photos/a.317154781638645/5596043783749692/</v>
      </c>
      <c r="J904" s="1" t="str">
        <f ca="1">IFERROR(__xludf.DUMMYFUNCTION("""COMPUTED_VALUE"""),"2022-07-04T15:38:38.276Z")</f>
        <v>2022-07-04T15:38:38.276Z</v>
      </c>
    </row>
    <row r="905" spans="1:10" x14ac:dyDescent="0.2">
      <c r="A905" s="2" t="str">
        <f ca="1">IFERROR(__xludf.DUMMYFUNCTION("""COMPUTED_VALUE"""),"https://www.facebook.com/profile.php?id=100027988665455")</f>
        <v>https://www.facebook.com/profile.php?id=100027988665455</v>
      </c>
      <c r="B905" s="1" t="str">
        <f ca="1">IFERROR(__xludf.DUMMYFUNCTION("""COMPUTED_VALUE"""),"Darwin Maraño Jr.")</f>
        <v>Darwin Maraño Jr.</v>
      </c>
      <c r="C905" s="1" t="str">
        <f ca="1">IFERROR(__xludf.DUMMYFUNCTION("""COMPUTED_VALUE"""),"Darwin")</f>
        <v>Darwin</v>
      </c>
      <c r="D905" s="1" t="str">
        <f ca="1">IFERROR(__xludf.DUMMYFUNCTION("""COMPUTED_VALUE"""),"Maraño Jr.")</f>
        <v>Maraño Jr.</v>
      </c>
      <c r="E905" s="1" t="str">
        <f ca="1">IFERROR(__xludf.DUMMYFUNCTION("""COMPUTED_VALUE"""),"John Paul PadoniaJohn Paul Padonia kami sibuyas ikaw ampalaya 😁😁😁")</f>
        <v>John Paul PadoniaJohn Paul Padonia kami sibuyas ikaw ampalaya 😁😁😁</v>
      </c>
      <c r="F905" s="1"/>
      <c r="G905" s="1" t="str">
        <f ca="1">IFERROR(__xludf.DUMMYFUNCTION("""COMPUTED_VALUE"""),"3 mos")</f>
        <v>3 mos</v>
      </c>
      <c r="H905" s="1" t="str">
        <f ca="1">IFERROR(__xludf.DUMMYFUNCTION("""COMPUTED_VALUE"""),"reply")</f>
        <v>reply</v>
      </c>
      <c r="I905" s="2" t="str">
        <f ca="1">IFERROR(__xludf.DUMMYFUNCTION("""COMPUTED_VALUE"""),"https://www.facebook.com/rapplerdotcom/photos/a.317154781638645/5596043783749692/")</f>
        <v>https://www.facebook.com/rapplerdotcom/photos/a.317154781638645/5596043783749692/</v>
      </c>
      <c r="J905" s="1" t="str">
        <f ca="1">IFERROR(__xludf.DUMMYFUNCTION("""COMPUTED_VALUE"""),"2022-07-04T15:38:38.276Z")</f>
        <v>2022-07-04T15:38:38.276Z</v>
      </c>
    </row>
    <row r="906" spans="1:10" x14ac:dyDescent="0.2">
      <c r="A906" s="2" t="str">
        <f ca="1">IFERROR(__xludf.DUMMYFUNCTION("""COMPUTED_VALUE"""),"https://www.facebook.com/profile.php?id=100076154266974")</f>
        <v>https://www.facebook.com/profile.php?id=100076154266974</v>
      </c>
      <c r="B906" s="1" t="str">
        <f ca="1">IFERROR(__xludf.DUMMYFUNCTION("""COMPUTED_VALUE"""),"Edwin B. Eltanal")</f>
        <v>Edwin B. Eltanal</v>
      </c>
      <c r="C906" s="1" t="str">
        <f ca="1">IFERROR(__xludf.DUMMYFUNCTION("""COMPUTED_VALUE"""),"Edwin")</f>
        <v>Edwin</v>
      </c>
      <c r="D906" s="1" t="str">
        <f ca="1">IFERROR(__xludf.DUMMYFUNCTION("""COMPUTED_VALUE"""),"B. Eltanal")</f>
        <v>B. Eltanal</v>
      </c>
      <c r="E906" s="1" t="str">
        <f ca="1">IFERROR(__xludf.DUMMYFUNCTION("""COMPUTED_VALUE"""),"John Paul Padonia nonsense! Get lost!")</f>
        <v>John Paul Padonia nonsense! Get lost!</v>
      </c>
      <c r="F906" s="1"/>
      <c r="G906" s="1" t="str">
        <f ca="1">IFERROR(__xludf.DUMMYFUNCTION("""COMPUTED_VALUE"""),"3 mos")</f>
        <v>3 mos</v>
      </c>
      <c r="H906" s="1" t="str">
        <f ca="1">IFERROR(__xludf.DUMMYFUNCTION("""COMPUTED_VALUE"""),"reply")</f>
        <v>reply</v>
      </c>
      <c r="I906" s="2" t="str">
        <f ca="1">IFERROR(__xludf.DUMMYFUNCTION("""COMPUTED_VALUE"""),"https://www.facebook.com/rapplerdotcom/photos/a.317154781638645/5596043783749692/")</f>
        <v>https://www.facebook.com/rapplerdotcom/photos/a.317154781638645/5596043783749692/</v>
      </c>
      <c r="J906" s="1" t="str">
        <f ca="1">IFERROR(__xludf.DUMMYFUNCTION("""COMPUTED_VALUE"""),"2022-07-04T15:38:38.276Z")</f>
        <v>2022-07-04T15:38:38.276Z</v>
      </c>
    </row>
    <row r="907" spans="1:10" x14ac:dyDescent="0.2">
      <c r="A907" s="2" t="str">
        <f ca="1">IFERROR(__xludf.DUMMYFUNCTION("""COMPUTED_VALUE"""),"https://www.facebook.com/panagsi")</f>
        <v>https://www.facebook.com/panagsi</v>
      </c>
      <c r="B907" s="1" t="str">
        <f ca="1">IFERROR(__xludf.DUMMYFUNCTION("""COMPUTED_VALUE"""),"Paolo Panagsagan")</f>
        <v>Paolo Panagsagan</v>
      </c>
      <c r="C907" s="1" t="str">
        <f ca="1">IFERROR(__xludf.DUMMYFUNCTION("""COMPUTED_VALUE"""),"Paolo")</f>
        <v>Paolo</v>
      </c>
      <c r="D907" s="1" t="str">
        <f ca="1">IFERROR(__xludf.DUMMYFUNCTION("""COMPUTED_VALUE"""),"Panagsagan")</f>
        <v>Panagsagan</v>
      </c>
      <c r="E907" s="1" t="str">
        <f ca="1">IFERROR(__xludf.DUMMYFUNCTION("""COMPUTED_VALUE"""),"John Paul Padonia wasn't in camanava either! 🙋‍♂️")</f>
        <v>John Paul Padonia wasn't in camanava either! 🙋‍♂️</v>
      </c>
      <c r="F907" s="1">
        <f ca="1">IFERROR(__xludf.DUMMYFUNCTION("""COMPUTED_VALUE"""),1)</f>
        <v>1</v>
      </c>
      <c r="G907" s="1" t="str">
        <f ca="1">IFERROR(__xludf.DUMMYFUNCTION("""COMPUTED_VALUE"""),"3 mos")</f>
        <v>3 mos</v>
      </c>
      <c r="H907" s="1" t="str">
        <f ca="1">IFERROR(__xludf.DUMMYFUNCTION("""COMPUTED_VALUE"""),"reply")</f>
        <v>reply</v>
      </c>
      <c r="I907" s="2" t="str">
        <f ca="1">IFERROR(__xludf.DUMMYFUNCTION("""COMPUTED_VALUE"""),"https://www.facebook.com/rapplerdotcom/photos/a.317154781638645/5596043783749692/")</f>
        <v>https://www.facebook.com/rapplerdotcom/photos/a.317154781638645/5596043783749692/</v>
      </c>
      <c r="J907" s="1" t="str">
        <f ca="1">IFERROR(__xludf.DUMMYFUNCTION("""COMPUTED_VALUE"""),"2022-07-04T15:38:38.276Z")</f>
        <v>2022-07-04T15:38:38.276Z</v>
      </c>
    </row>
    <row r="908" spans="1:10" x14ac:dyDescent="0.2">
      <c r="A908" s="2" t="str">
        <f ca="1">IFERROR(__xludf.DUMMYFUNCTION("""COMPUTED_VALUE"""),"https://www.facebook.com/yong.estrada")</f>
        <v>https://www.facebook.com/yong.estrada</v>
      </c>
      <c r="B908" s="1" t="str">
        <f ca="1">IFERROR(__xludf.DUMMYFUNCTION("""COMPUTED_VALUE"""),"Yong T. Estrada")</f>
        <v>Yong T. Estrada</v>
      </c>
      <c r="C908" s="1" t="str">
        <f ca="1">IFERROR(__xludf.DUMMYFUNCTION("""COMPUTED_VALUE"""),"Yong")</f>
        <v>Yong</v>
      </c>
      <c r="D908" s="1" t="str">
        <f ca="1">IFERROR(__xludf.DUMMYFUNCTION("""COMPUTED_VALUE"""),"T. Estrada")</f>
        <v>T. Estrada</v>
      </c>
      <c r="E908" s="1" t="str">
        <f ca="1">IFERROR(__xludf.DUMMYFUNCTION("""COMPUTED_VALUE"""),"John Paul Padonia Pero good point din un ibig sabihin punong puno ng dedikasyon ang pag suporta sa.lider na tapat, may integridad. Sa kabilang kubon may pa 1k o sobreng puti, may nananakawan, nag aaway, agawan sa pagkain, tumatakas kasi sarado ang gate. A"&amp;"t higit sa lahat hinahakot ng lgu o brgy captain. Sa pinklawan inisyatibo ng taong bayan. Sama na po kayo. Gising na.")</f>
        <v>John Paul Padonia Pero good point din un ibig sabihin punong puno ng dedikasyon ang pag suporta sa.lider na tapat, may integridad. Sa kabilang kubon may pa 1k o sobreng puti, may nananakawan, nag aaway, agawan sa pagkain, tumatakas kasi sarado ang gate. At higit sa lahat hinahakot ng lgu o brgy captain. Sa pinklawan inisyatibo ng taong bayan. Sama na po kayo. Gising na.</v>
      </c>
      <c r="F908" s="1"/>
      <c r="G908" s="1" t="str">
        <f ca="1">IFERROR(__xludf.DUMMYFUNCTION("""COMPUTED_VALUE"""),"3 mos")</f>
        <v>3 mos</v>
      </c>
      <c r="H908" s="1" t="str">
        <f ca="1">IFERROR(__xludf.DUMMYFUNCTION("""COMPUTED_VALUE"""),"reply")</f>
        <v>reply</v>
      </c>
      <c r="I908" s="2" t="str">
        <f ca="1">IFERROR(__xludf.DUMMYFUNCTION("""COMPUTED_VALUE"""),"https://www.facebook.com/rapplerdotcom/photos/a.317154781638645/5596043783749692/")</f>
        <v>https://www.facebook.com/rapplerdotcom/photos/a.317154781638645/5596043783749692/</v>
      </c>
      <c r="J908" s="1" t="str">
        <f ca="1">IFERROR(__xludf.DUMMYFUNCTION("""COMPUTED_VALUE"""),"2022-07-04T15:38:38.276Z")</f>
        <v>2022-07-04T15:38:38.276Z</v>
      </c>
    </row>
    <row r="909" spans="1:10" x14ac:dyDescent="0.2">
      <c r="A909" s="2" t="str">
        <f ca="1">IFERROR(__xludf.DUMMYFUNCTION("""COMPUTED_VALUE"""),"https://www.facebook.com/Ansabe-Ni-Kuya-2813308388893277/")</f>
        <v>https://www.facebook.com/Ansabe-Ni-Kuya-2813308388893277/</v>
      </c>
      <c r="B909" s="1" t="str">
        <f ca="1">IFERROR(__xludf.DUMMYFUNCTION("""COMPUTED_VALUE"""),"Ansabe Ni Kuya")</f>
        <v>Ansabe Ni Kuya</v>
      </c>
      <c r="C909" s="1" t="str">
        <f ca="1">IFERROR(__xludf.DUMMYFUNCTION("""COMPUTED_VALUE"""),"Ansabe")</f>
        <v>Ansabe</v>
      </c>
      <c r="D909" s="1" t="str">
        <f ca="1">IFERROR(__xludf.DUMMYFUNCTION("""COMPUTED_VALUE"""),"Ni Kuya")</f>
        <v>Ni Kuya</v>
      </c>
      <c r="E909" s="1" t="str">
        <f ca="1">IFERROR(__xludf.DUMMYFUNCTION("""COMPUTED_VALUE"""),"PAG INGGIT LAUGH EMOJI HAHAHAHAHA")</f>
        <v>PAG INGGIT LAUGH EMOJI HAHAHAHAHA</v>
      </c>
      <c r="F909" s="1">
        <f ca="1">IFERROR(__xludf.DUMMYFUNCTION("""COMPUTED_VALUE"""),6)</f>
        <v>6</v>
      </c>
      <c r="G909" s="1" t="str">
        <f ca="1">IFERROR(__xludf.DUMMYFUNCTION("""COMPUTED_VALUE"""),"3 mos")</f>
        <v>3 mos</v>
      </c>
      <c r="H909" s="1" t="str">
        <f ca="1">IFERROR(__xludf.DUMMYFUNCTION("""COMPUTED_VALUE"""),"comment")</f>
        <v>comment</v>
      </c>
      <c r="I909" s="2" t="str">
        <f ca="1">IFERROR(__xludf.DUMMYFUNCTION("""COMPUTED_VALUE"""),"https://www.facebook.com/rapplerdotcom/photos/a.317154781638645/5596043783749692/")</f>
        <v>https://www.facebook.com/rapplerdotcom/photos/a.317154781638645/5596043783749692/</v>
      </c>
      <c r="J909" s="1" t="str">
        <f ca="1">IFERROR(__xludf.DUMMYFUNCTION("""COMPUTED_VALUE"""),"2022-07-04T15:38:38.276Z")</f>
        <v>2022-07-04T15:38:38.276Z</v>
      </c>
    </row>
    <row r="910" spans="1:10" x14ac:dyDescent="0.2">
      <c r="A910" s="2" t="str">
        <f ca="1">IFERROR(__xludf.DUMMYFUNCTION("""COMPUTED_VALUE"""),"https://www.facebook.com/maria.dizon1")</f>
        <v>https://www.facebook.com/maria.dizon1</v>
      </c>
      <c r="B910" s="1" t="str">
        <f ca="1">IFERROR(__xludf.DUMMYFUNCTION("""COMPUTED_VALUE"""),"Maria Dizon")</f>
        <v>Maria Dizon</v>
      </c>
      <c r="C910" s="1" t="str">
        <f ca="1">IFERROR(__xludf.DUMMYFUNCTION("""COMPUTED_VALUE"""),"Maria")</f>
        <v>Maria</v>
      </c>
      <c r="D910" s="1" t="str">
        <f ca="1">IFERROR(__xludf.DUMMYFUNCTION("""COMPUTED_VALUE"""),"Dizon")</f>
        <v>Dizon</v>
      </c>
      <c r="E910" s="1" t="str">
        <f ca="1">IFERROR(__xludf.DUMMYFUNCTION("""COMPUTED_VALUE"""),"#LeniKikoAllTheWay  #CaMaNaVaIsPink")</f>
        <v>#LeniKikoAllTheWay  #CaMaNaVaIsPink</v>
      </c>
      <c r="F910" s="1">
        <f ca="1">IFERROR(__xludf.DUMMYFUNCTION("""COMPUTED_VALUE"""),2)</f>
        <v>2</v>
      </c>
      <c r="G910" s="1" t="str">
        <f ca="1">IFERROR(__xludf.DUMMYFUNCTION("""COMPUTED_VALUE"""),"3 mos")</f>
        <v>3 mos</v>
      </c>
      <c r="H910" s="1" t="str">
        <f ca="1">IFERROR(__xludf.DUMMYFUNCTION("""COMPUTED_VALUE"""),"comment")</f>
        <v>comment</v>
      </c>
      <c r="I910" s="2" t="str">
        <f ca="1">IFERROR(__xludf.DUMMYFUNCTION("""COMPUTED_VALUE"""),"https://www.facebook.com/rapplerdotcom/photos/a.317154781638645/5596043783749692/")</f>
        <v>https://www.facebook.com/rapplerdotcom/photos/a.317154781638645/5596043783749692/</v>
      </c>
      <c r="J910" s="1" t="str">
        <f ca="1">IFERROR(__xludf.DUMMYFUNCTION("""COMPUTED_VALUE"""),"2022-07-04T15:38:38.276Z")</f>
        <v>2022-07-04T15:38:38.276Z</v>
      </c>
    </row>
    <row r="911" spans="1:10" x14ac:dyDescent="0.2">
      <c r="A911" s="2" t="str">
        <f ca="1">IFERROR(__xludf.DUMMYFUNCTION("""COMPUTED_VALUE"""),"https://www.facebook.com/bobet.julian")</f>
        <v>https://www.facebook.com/bobet.julian</v>
      </c>
      <c r="B911" s="1" t="str">
        <f ca="1">IFERROR(__xludf.DUMMYFUNCTION("""COMPUTED_VALUE"""),"Bobet Julian")</f>
        <v>Bobet Julian</v>
      </c>
      <c r="C911" s="1" t="str">
        <f ca="1">IFERROR(__xludf.DUMMYFUNCTION("""COMPUTED_VALUE"""),"Bobet")</f>
        <v>Bobet</v>
      </c>
      <c r="D911" s="1" t="str">
        <f ca="1">IFERROR(__xludf.DUMMYFUNCTION("""COMPUTED_VALUE"""),"Julian")</f>
        <v>Julian</v>
      </c>
      <c r="E911" s="1" t="str">
        <f ca="1">IFERROR(__xludf.DUMMYFUNCTION("""COMPUTED_VALUE"""),"sibuyas lang daw at mga lobo ang nagsiattend sabi ng kabila")</f>
        <v>sibuyas lang daw at mga lobo ang nagsiattend sabi ng kabila</v>
      </c>
      <c r="F911" s="1">
        <f ca="1">IFERROR(__xludf.DUMMYFUNCTION("""COMPUTED_VALUE"""),1)</f>
        <v>1</v>
      </c>
      <c r="G911" s="1" t="str">
        <f ca="1">IFERROR(__xludf.DUMMYFUNCTION("""COMPUTED_VALUE"""),"3 mos")</f>
        <v>3 mos</v>
      </c>
      <c r="H911" s="1" t="str">
        <f ca="1">IFERROR(__xludf.DUMMYFUNCTION("""COMPUTED_VALUE"""),"comment")</f>
        <v>comment</v>
      </c>
      <c r="I911" s="2" t="str">
        <f ca="1">IFERROR(__xludf.DUMMYFUNCTION("""COMPUTED_VALUE"""),"https://www.facebook.com/rapplerdotcom/photos/a.317154781638645/5596043783749692/")</f>
        <v>https://www.facebook.com/rapplerdotcom/photos/a.317154781638645/5596043783749692/</v>
      </c>
      <c r="J911" s="1" t="str">
        <f ca="1">IFERROR(__xludf.DUMMYFUNCTION("""COMPUTED_VALUE"""),"2022-07-04T15:38:38.276Z")</f>
        <v>2022-07-04T15:38:38.276Z</v>
      </c>
    </row>
    <row r="912" spans="1:10" x14ac:dyDescent="0.2">
      <c r="A912" s="2" t="str">
        <f ca="1">IFERROR(__xludf.DUMMYFUNCTION("""COMPUTED_VALUE"""),"https://www.facebook.com/defender85")</f>
        <v>https://www.facebook.com/defender85</v>
      </c>
      <c r="B912" s="1" t="str">
        <f ca="1">IFERROR(__xludf.DUMMYFUNCTION("""COMPUTED_VALUE"""),"Chad Isleta")</f>
        <v>Chad Isleta</v>
      </c>
      <c r="C912" s="1" t="str">
        <f ca="1">IFERROR(__xludf.DUMMYFUNCTION("""COMPUTED_VALUE"""),"Chad")</f>
        <v>Chad</v>
      </c>
      <c r="D912" s="1" t="str">
        <f ca="1">IFERROR(__xludf.DUMMYFUNCTION("""COMPUTED_VALUE"""),"Isleta")</f>
        <v>Isleta</v>
      </c>
      <c r="E912" s="1" t="str">
        <f ca="1">IFERROR(__xludf.DUMMYFUNCTION("""COMPUTED_VALUE"""),"#KulayRosasAngPinas")</f>
        <v>#KulayRosasAngPinas</v>
      </c>
      <c r="F912" s="1"/>
      <c r="G912" s="1" t="str">
        <f ca="1">IFERROR(__xludf.DUMMYFUNCTION("""COMPUTED_VALUE"""),"3 mos")</f>
        <v>3 mos</v>
      </c>
      <c r="H912" s="1" t="str">
        <f ca="1">IFERROR(__xludf.DUMMYFUNCTION("""COMPUTED_VALUE"""),"comment")</f>
        <v>comment</v>
      </c>
      <c r="I912" s="2" t="str">
        <f ca="1">IFERROR(__xludf.DUMMYFUNCTION("""COMPUTED_VALUE"""),"https://www.facebook.com/rapplerdotcom/photos/a.317154781638645/5596043783749692/")</f>
        <v>https://www.facebook.com/rapplerdotcom/photos/a.317154781638645/5596043783749692/</v>
      </c>
      <c r="J912" s="1" t="str">
        <f ca="1">IFERROR(__xludf.DUMMYFUNCTION("""COMPUTED_VALUE"""),"2022-07-04T15:38:38.276Z")</f>
        <v>2022-07-04T15:38:38.276Z</v>
      </c>
    </row>
    <row r="913" spans="1:10" x14ac:dyDescent="0.2">
      <c r="A913" s="2" t="str">
        <f ca="1">IFERROR(__xludf.DUMMYFUNCTION("""COMPUTED_VALUE"""),"https://www.facebook.com/christene.delacruz.777")</f>
        <v>https://www.facebook.com/christene.delacruz.777</v>
      </c>
      <c r="B913" s="1" t="str">
        <f ca="1">IFERROR(__xludf.DUMMYFUNCTION("""COMPUTED_VALUE"""),"Christene Delacruz")</f>
        <v>Christene Delacruz</v>
      </c>
      <c r="C913" s="1" t="str">
        <f ca="1">IFERROR(__xludf.DUMMYFUNCTION("""COMPUTED_VALUE"""),"Christene")</f>
        <v>Christene</v>
      </c>
      <c r="D913" s="1" t="str">
        <f ca="1">IFERROR(__xludf.DUMMYFUNCTION("""COMPUTED_VALUE"""),"Delacruz")</f>
        <v>Delacruz</v>
      </c>
      <c r="E913" s="1" t="str">
        <f ca="1">IFERROR(__xludf.DUMMYFUNCTION("""COMPUTED_VALUE"""),"Nag rakrakan. Walang nag away. 🤗")</f>
        <v>Nag rakrakan. Walang nag away. 🤗</v>
      </c>
      <c r="F913" s="1">
        <f ca="1">IFERROR(__xludf.DUMMYFUNCTION("""COMPUTED_VALUE"""),6)</f>
        <v>6</v>
      </c>
      <c r="G913" s="1" t="str">
        <f ca="1">IFERROR(__xludf.DUMMYFUNCTION("""COMPUTED_VALUE"""),"3 mos")</f>
        <v>3 mos</v>
      </c>
      <c r="H913" s="1" t="str">
        <f ca="1">IFERROR(__xludf.DUMMYFUNCTION("""COMPUTED_VALUE"""),"comment")</f>
        <v>comment</v>
      </c>
      <c r="I913" s="2" t="str">
        <f ca="1">IFERROR(__xludf.DUMMYFUNCTION("""COMPUTED_VALUE"""),"https://www.facebook.com/rapplerdotcom/photos/a.317154781638645/5596043783749692/")</f>
        <v>https://www.facebook.com/rapplerdotcom/photos/a.317154781638645/5596043783749692/</v>
      </c>
      <c r="J913" s="1" t="str">
        <f ca="1">IFERROR(__xludf.DUMMYFUNCTION("""COMPUTED_VALUE"""),"2022-07-04T15:38:38.276Z")</f>
        <v>2022-07-04T15:38:38.276Z</v>
      </c>
    </row>
    <row r="914" spans="1:10" x14ac:dyDescent="0.2">
      <c r="A914" s="2" t="str">
        <f ca="1">IFERROR(__xludf.DUMMYFUNCTION("""COMPUTED_VALUE"""),"https://www.facebook.com/Arianna11091989")</f>
        <v>https://www.facebook.com/Arianna11091989</v>
      </c>
      <c r="B914" s="1" t="str">
        <f ca="1">IFERROR(__xludf.DUMMYFUNCTION("""COMPUTED_VALUE"""),"Arianna Cassandra Yu Tablada")</f>
        <v>Arianna Cassandra Yu Tablada</v>
      </c>
      <c r="C914" s="1" t="str">
        <f ca="1">IFERROR(__xludf.DUMMYFUNCTION("""COMPUTED_VALUE"""),"Arianna")</f>
        <v>Arianna</v>
      </c>
      <c r="D914" s="1" t="str">
        <f ca="1">IFERROR(__xludf.DUMMYFUNCTION("""COMPUTED_VALUE"""),"Cassandra Yu Tablada")</f>
        <v>Cassandra Yu Tablada</v>
      </c>
      <c r="E914" s="1" t="str">
        <f ca="1">IFERROR(__xludf.DUMMYFUNCTION("""COMPUTED_VALUE"""),"OOK: The Camanava pink rally gathered around 21,000 attendees, according to the organizers, citing figures from the Caloocan City police. #VotePH #OurVoteOurFuture | via Dempsey Reyes, Philippine Daily Inquirer. San ba talaga ang tama?")</f>
        <v>OOK: The Camanava pink rally gathered around 21,000 attendees, according to the organizers, citing figures from the Caloocan City police. #VotePH #OurVoteOurFuture | via Dempsey Reyes, Philippine Daily Inquirer. San ba talaga ang tama?</v>
      </c>
      <c r="F914" s="1">
        <f ca="1">IFERROR(__xludf.DUMMYFUNCTION("""COMPUTED_VALUE"""),5)</f>
        <v>5</v>
      </c>
      <c r="G914" s="1" t="str">
        <f ca="1">IFERROR(__xludf.DUMMYFUNCTION("""COMPUTED_VALUE"""),"3 mos")</f>
        <v>3 mos</v>
      </c>
      <c r="H914" s="1" t="str">
        <f ca="1">IFERROR(__xludf.DUMMYFUNCTION("""COMPUTED_VALUE"""),"comment")</f>
        <v>comment</v>
      </c>
      <c r="I914" s="2" t="str">
        <f ca="1">IFERROR(__xludf.DUMMYFUNCTION("""COMPUTED_VALUE"""),"https://www.facebook.com/rapplerdotcom/photos/a.317154781638645/5596043783749692/")</f>
        <v>https://www.facebook.com/rapplerdotcom/photos/a.317154781638645/5596043783749692/</v>
      </c>
      <c r="J914" s="1" t="str">
        <f ca="1">IFERROR(__xludf.DUMMYFUNCTION("""COMPUTED_VALUE"""),"2022-07-04T15:38:38.276Z")</f>
        <v>2022-07-04T15:38:38.276Z</v>
      </c>
    </row>
    <row r="915" spans="1:10" x14ac:dyDescent="0.2">
      <c r="A915" s="2" t="str">
        <f ca="1">IFERROR(__xludf.DUMMYFUNCTION("""COMPUTED_VALUE"""),"https://www.facebook.com/nigeltan.ph")</f>
        <v>https://www.facebook.com/nigeltan.ph</v>
      </c>
      <c r="B915" s="1" t="str">
        <f ca="1">IFERROR(__xludf.DUMMYFUNCTION("""COMPUTED_VALUE"""),"Rodjun Nigel Tan")</f>
        <v>Rodjun Nigel Tan</v>
      </c>
      <c r="C915" s="1" t="str">
        <f ca="1">IFERROR(__xludf.DUMMYFUNCTION("""COMPUTED_VALUE"""),"Rodjun")</f>
        <v>Rodjun</v>
      </c>
      <c r="D915" s="1" t="str">
        <f ca="1">IFERROR(__xludf.DUMMYFUNCTION("""COMPUTED_VALUE"""),"Nigel Tan")</f>
        <v>Nigel Tan</v>
      </c>
      <c r="E915" s="1" t="str">
        <f ca="1">IFERROR(__xludf.DUMMYFUNCTION("""COMPUTED_VALUE"""),"Arianna Cassandra Yu Tablada it’s called a developing story")</f>
        <v>Arianna Cassandra Yu Tablada it’s called a developing story</v>
      </c>
      <c r="F915" s="1">
        <f ca="1">IFERROR(__xludf.DUMMYFUNCTION("""COMPUTED_VALUE"""),10)</f>
        <v>10</v>
      </c>
      <c r="G915" s="1" t="str">
        <f ca="1">IFERROR(__xludf.DUMMYFUNCTION("""COMPUTED_VALUE"""),"3 mos")</f>
        <v>3 mos</v>
      </c>
      <c r="H915" s="1" t="str">
        <f ca="1">IFERROR(__xludf.DUMMYFUNCTION("""COMPUTED_VALUE"""),"reply")</f>
        <v>reply</v>
      </c>
      <c r="I915" s="2" t="str">
        <f ca="1">IFERROR(__xludf.DUMMYFUNCTION("""COMPUTED_VALUE"""),"https://www.facebook.com/rapplerdotcom/photos/a.317154781638645/5596043783749692/")</f>
        <v>https://www.facebook.com/rapplerdotcom/photos/a.317154781638645/5596043783749692/</v>
      </c>
      <c r="J915" s="1" t="str">
        <f ca="1">IFERROR(__xludf.DUMMYFUNCTION("""COMPUTED_VALUE"""),"2022-07-04T15:38:38.276Z")</f>
        <v>2022-07-04T15:38:38.276Z</v>
      </c>
    </row>
    <row r="916" spans="1:10" x14ac:dyDescent="0.2">
      <c r="A916" s="2" t="str">
        <f ca="1">IFERROR(__xludf.DUMMYFUNCTION("""COMPUTED_VALUE"""),"https://www.facebook.com/yongcoonang")</f>
        <v>https://www.facebook.com/yongcoonang</v>
      </c>
      <c r="B916" s="1" t="str">
        <f ca="1">IFERROR(__xludf.DUMMYFUNCTION("""COMPUTED_VALUE"""),"Kelvin Billy")</f>
        <v>Kelvin Billy</v>
      </c>
      <c r="C916" s="1" t="str">
        <f ca="1">IFERROR(__xludf.DUMMYFUNCTION("""COMPUTED_VALUE"""),"Kelvin")</f>
        <v>Kelvin</v>
      </c>
      <c r="D916" s="1" t="str">
        <f ca="1">IFERROR(__xludf.DUMMYFUNCTION("""COMPUTED_VALUE"""),"Billy")</f>
        <v>Billy</v>
      </c>
      <c r="E916" s="1" t="str">
        <f ca="1">IFERROR(__xludf.DUMMYFUNCTION("""COMPUTED_VALUE"""),"Arianna Cassandra Yu Tablada    ⚙️ EARN MONEY ONLINE WITHOUT GOING TO WORK OR STRESS YOURSELF  ⚙️if you're interested ☝️☝️☝️ just kindly click on the link to contact my Senior Cryptofx account manager for guidance 📩  Link 🔗🔗🔗  https://www.facebook.com"&amp;"/evlira.cryptofxtrader")</f>
        <v>Arianna Cassandra Yu Tablada    ⚙️ EARN MONEY ONLINE WITHOUT GOING TO WORK OR STRESS YOURSELF  ⚙️if you're interested ☝️☝️☝️ just kindly click on the link to contact my Senior Cryptofx account manager for guidance 📩  Link 🔗🔗🔗  https://www.facebook.com/evlira.cryptofxtrader</v>
      </c>
      <c r="F916" s="1"/>
      <c r="G916" s="1" t="str">
        <f ca="1">IFERROR(__xludf.DUMMYFUNCTION("""COMPUTED_VALUE"""),"3 mos")</f>
        <v>3 mos</v>
      </c>
      <c r="H916" s="1" t="str">
        <f ca="1">IFERROR(__xludf.DUMMYFUNCTION("""COMPUTED_VALUE"""),"reply")</f>
        <v>reply</v>
      </c>
      <c r="I916" s="2" t="str">
        <f ca="1">IFERROR(__xludf.DUMMYFUNCTION("""COMPUTED_VALUE"""),"https://www.facebook.com/rapplerdotcom/photos/a.317154781638645/5596043783749692/")</f>
        <v>https://www.facebook.com/rapplerdotcom/photos/a.317154781638645/5596043783749692/</v>
      </c>
      <c r="J916" s="1" t="str">
        <f ca="1">IFERROR(__xludf.DUMMYFUNCTION("""COMPUTED_VALUE"""),"2022-07-04T15:38:38.276Z")</f>
        <v>2022-07-04T15:38:38.276Z</v>
      </c>
    </row>
    <row r="917" spans="1:10" x14ac:dyDescent="0.2">
      <c r="A917" s="2" t="str">
        <f ca="1">IFERROR(__xludf.DUMMYFUNCTION("""COMPUTED_VALUE"""),"https://www.facebook.com/profile.php?id=100027988665455")</f>
        <v>https://www.facebook.com/profile.php?id=100027988665455</v>
      </c>
      <c r="B917" s="1" t="str">
        <f ca="1">IFERROR(__xludf.DUMMYFUNCTION("""COMPUTED_VALUE"""),"Darwin Maraño Jr.")</f>
        <v>Darwin Maraño Jr.</v>
      </c>
      <c r="C917" s="1" t="str">
        <f ca="1">IFERROR(__xludf.DUMMYFUNCTION("""COMPUTED_VALUE"""),"Darwin")</f>
        <v>Darwin</v>
      </c>
      <c r="D917" s="1" t="str">
        <f ca="1">IFERROR(__xludf.DUMMYFUNCTION("""COMPUTED_VALUE"""),"Maraño Jr.")</f>
        <v>Maraño Jr.</v>
      </c>
      <c r="E917" s="1" t="str">
        <f ca="1">IFERROR(__xludf.DUMMYFUNCTION("""COMPUTED_VALUE"""),"Arianna Cassandra Yu Tablada kasi in counting pa po. Continous po kasi dating ng tao. #AngatBuhayLahatKayLeni")</f>
        <v>Arianna Cassandra Yu Tablada kasi in counting pa po. Continous po kasi dating ng tao. #AngatBuhayLahatKayLeni</v>
      </c>
      <c r="F917" s="1"/>
      <c r="G917" s="1" t="str">
        <f ca="1">IFERROR(__xludf.DUMMYFUNCTION("""COMPUTED_VALUE"""),"3 mos")</f>
        <v>3 mos</v>
      </c>
      <c r="H917" s="1" t="str">
        <f ca="1">IFERROR(__xludf.DUMMYFUNCTION("""COMPUTED_VALUE"""),"reply")</f>
        <v>reply</v>
      </c>
      <c r="I917" s="2" t="str">
        <f ca="1">IFERROR(__xludf.DUMMYFUNCTION("""COMPUTED_VALUE"""),"https://www.facebook.com/rapplerdotcom/photos/a.317154781638645/5596043783749692/")</f>
        <v>https://www.facebook.com/rapplerdotcom/photos/a.317154781638645/5596043783749692/</v>
      </c>
      <c r="J917" s="1" t="str">
        <f ca="1">IFERROR(__xludf.DUMMYFUNCTION("""COMPUTED_VALUE"""),"2022-07-04T15:38:38.276Z")</f>
        <v>2022-07-04T15:38:38.276Z</v>
      </c>
    </row>
    <row r="918" spans="1:10" x14ac:dyDescent="0.2">
      <c r="A918" s="2" t="str">
        <f ca="1">IFERROR(__xludf.DUMMYFUNCTION("""COMPUTED_VALUE"""),"https://www.facebook.com/sards.ceriola")</f>
        <v>https://www.facebook.com/sards.ceriola</v>
      </c>
      <c r="B918" s="1" t="str">
        <f ca="1">IFERROR(__xludf.DUMMYFUNCTION("""COMPUTED_VALUE"""),"ElieBoy Ceriola Conde")</f>
        <v>ElieBoy Ceriola Conde</v>
      </c>
      <c r="C918" s="1" t="str">
        <f ca="1">IFERROR(__xludf.DUMMYFUNCTION("""COMPUTED_VALUE"""),"ElieBoy")</f>
        <v>ElieBoy</v>
      </c>
      <c r="D918" s="1" t="str">
        <f ca="1">IFERROR(__xludf.DUMMYFUNCTION("""COMPUTED_VALUE"""),"Ceriola Conde")</f>
        <v>Ceriola Conde</v>
      </c>
      <c r="E918" s="1" t="str">
        <f ca="1">IFERROR(__xludf.DUMMYFUNCTION("""COMPUTED_VALUE"""),"Arianna Cassandra Yu Tablada tumatakbo ang oras may mga na dating pa...natural ng iiba ang bilang...")</f>
        <v>Arianna Cassandra Yu Tablada tumatakbo ang oras may mga na dating pa...natural ng iiba ang bilang...</v>
      </c>
      <c r="F918" s="1"/>
      <c r="G918" s="1" t="str">
        <f ca="1">IFERROR(__xludf.DUMMYFUNCTION("""COMPUTED_VALUE"""),"3 mos")</f>
        <v>3 mos</v>
      </c>
      <c r="H918" s="1" t="str">
        <f ca="1">IFERROR(__xludf.DUMMYFUNCTION("""COMPUTED_VALUE"""),"reply")</f>
        <v>reply</v>
      </c>
      <c r="I918" s="2" t="str">
        <f ca="1">IFERROR(__xludf.DUMMYFUNCTION("""COMPUTED_VALUE"""),"https://www.facebook.com/rapplerdotcom/photos/a.317154781638645/5596043783749692/")</f>
        <v>https://www.facebook.com/rapplerdotcom/photos/a.317154781638645/5596043783749692/</v>
      </c>
      <c r="J918" s="1" t="str">
        <f ca="1">IFERROR(__xludf.DUMMYFUNCTION("""COMPUTED_VALUE"""),"2022-07-04T15:38:38.276Z")</f>
        <v>2022-07-04T15:38:38.276Z</v>
      </c>
    </row>
    <row r="919" spans="1:10" x14ac:dyDescent="0.2">
      <c r="A919" s="2" t="str">
        <f ca="1">IFERROR(__xludf.DUMMYFUNCTION("""COMPUTED_VALUE"""),"https://www.facebook.com/liza.mallorca.501")</f>
        <v>https://www.facebook.com/liza.mallorca.501</v>
      </c>
      <c r="B919" s="1" t="str">
        <f ca="1">IFERROR(__xludf.DUMMYFUNCTION("""COMPUTED_VALUE"""),"Liza Mallorca")</f>
        <v>Liza Mallorca</v>
      </c>
      <c r="C919" s="1" t="str">
        <f ca="1">IFERROR(__xludf.DUMMYFUNCTION("""COMPUTED_VALUE"""),"Liza")</f>
        <v>Liza</v>
      </c>
      <c r="D919" s="1" t="str">
        <f ca="1">IFERROR(__xludf.DUMMYFUNCTION("""COMPUTED_VALUE"""),"Mallorca")</f>
        <v>Mallorca</v>
      </c>
      <c r="E919" s="1" t="str">
        <f ca="1">IFERROR(__xludf.DUMMYFUNCTION("""COMPUTED_VALUE"""),"Arianna Cassandra Yu Tablada ara nmn caz plgpat nmn😡😡😡🤣🤣")</f>
        <v>Arianna Cassandra Yu Tablada ara nmn caz plgpat nmn😡😡😡🤣🤣</v>
      </c>
      <c r="F919" s="1">
        <f ca="1">IFERROR(__xludf.DUMMYFUNCTION("""COMPUTED_VALUE"""),1)</f>
        <v>1</v>
      </c>
      <c r="G919" s="1" t="str">
        <f ca="1">IFERROR(__xludf.DUMMYFUNCTION("""COMPUTED_VALUE"""),"3 mos")</f>
        <v>3 mos</v>
      </c>
      <c r="H919" s="1" t="str">
        <f ca="1">IFERROR(__xludf.DUMMYFUNCTION("""COMPUTED_VALUE"""),"reply")</f>
        <v>reply</v>
      </c>
      <c r="I919" s="2" t="str">
        <f ca="1">IFERROR(__xludf.DUMMYFUNCTION("""COMPUTED_VALUE"""),"https://www.facebook.com/rapplerdotcom/photos/a.317154781638645/5596043783749692/")</f>
        <v>https://www.facebook.com/rapplerdotcom/photos/a.317154781638645/5596043783749692/</v>
      </c>
      <c r="J919" s="1" t="str">
        <f ca="1">IFERROR(__xludf.DUMMYFUNCTION("""COMPUTED_VALUE"""),"2022-07-04T15:38:38.276Z")</f>
        <v>2022-07-04T15:38:38.276Z</v>
      </c>
    </row>
    <row r="920" spans="1:10" x14ac:dyDescent="0.2">
      <c r="A920" s="2" t="str">
        <f ca="1">IFERROR(__xludf.DUMMYFUNCTION("""COMPUTED_VALUE"""),"https://www.facebook.com/Arianna11091989")</f>
        <v>https://www.facebook.com/Arianna11091989</v>
      </c>
      <c r="B920" s="1" t="str">
        <f ca="1">IFERROR(__xludf.DUMMYFUNCTION("""COMPUTED_VALUE"""),"Arianna Cassandra Yu Tablada")</f>
        <v>Arianna Cassandra Yu Tablada</v>
      </c>
      <c r="C920" s="1" t="str">
        <f ca="1">IFERROR(__xludf.DUMMYFUNCTION("""COMPUTED_VALUE"""),"Arianna")</f>
        <v>Arianna</v>
      </c>
      <c r="D920" s="1" t="str">
        <f ca="1">IFERROR(__xludf.DUMMYFUNCTION("""COMPUTED_VALUE"""),"Cassandra Yu Tablada")</f>
        <v>Cassandra Yu Tablada</v>
      </c>
      <c r="E920" s="1" t="str">
        <f ca="1">IFERROR(__xludf.DUMMYFUNCTION("""COMPUTED_VALUE"""),"Liza Mallorca ou gne hahaha")</f>
        <v>Liza Mallorca ou gne hahaha</v>
      </c>
      <c r="F920" s="1"/>
      <c r="G920" s="1" t="str">
        <f ca="1">IFERROR(__xludf.DUMMYFUNCTION("""COMPUTED_VALUE"""),"3 mos")</f>
        <v>3 mos</v>
      </c>
      <c r="H920" s="1" t="str">
        <f ca="1">IFERROR(__xludf.DUMMYFUNCTION("""COMPUTED_VALUE"""),"reply")</f>
        <v>reply</v>
      </c>
      <c r="I920" s="2" t="str">
        <f ca="1">IFERROR(__xludf.DUMMYFUNCTION("""COMPUTED_VALUE"""),"https://www.facebook.com/rapplerdotcom/photos/a.317154781638645/5596043783749692/")</f>
        <v>https://www.facebook.com/rapplerdotcom/photos/a.317154781638645/5596043783749692/</v>
      </c>
      <c r="J920" s="1" t="str">
        <f ca="1">IFERROR(__xludf.DUMMYFUNCTION("""COMPUTED_VALUE"""),"2022-07-04T15:38:38.276Z")</f>
        <v>2022-07-04T15:38:38.276Z</v>
      </c>
    </row>
    <row r="921" spans="1:10" x14ac:dyDescent="0.2">
      <c r="A921" s="2" t="str">
        <f ca="1">IFERROR(__xludf.DUMMYFUNCTION("""COMPUTED_VALUE"""),"https://www.facebook.com/liza.mallorca.501")</f>
        <v>https://www.facebook.com/liza.mallorca.501</v>
      </c>
      <c r="B921" s="1" t="str">
        <f ca="1">IFERROR(__xludf.DUMMYFUNCTION("""COMPUTED_VALUE"""),"Liza Mallorca")</f>
        <v>Liza Mallorca</v>
      </c>
      <c r="C921" s="1" t="str">
        <f ca="1">IFERROR(__xludf.DUMMYFUNCTION("""COMPUTED_VALUE"""),"Liza")</f>
        <v>Liza</v>
      </c>
      <c r="D921" s="1" t="str">
        <f ca="1">IFERROR(__xludf.DUMMYFUNCTION("""COMPUTED_VALUE"""),"Mallorca")</f>
        <v>Mallorca</v>
      </c>
      <c r="E921" s="1" t="str">
        <f ca="1">IFERROR(__xludf.DUMMYFUNCTION("""COMPUTED_VALUE"""),"Arianna Cassandra Yu Tablada indi gd magpa pirde 🤣😡😡")</f>
        <v>Arianna Cassandra Yu Tablada indi gd magpa pirde 🤣😡😡</v>
      </c>
      <c r="F921" s="1"/>
      <c r="G921" s="1" t="str">
        <f ca="1">IFERROR(__xludf.DUMMYFUNCTION("""COMPUTED_VALUE"""),"3 mos")</f>
        <v>3 mos</v>
      </c>
      <c r="H921" s="1" t="str">
        <f ca="1">IFERROR(__xludf.DUMMYFUNCTION("""COMPUTED_VALUE"""),"reply")</f>
        <v>reply</v>
      </c>
      <c r="I921" s="2" t="str">
        <f ca="1">IFERROR(__xludf.DUMMYFUNCTION("""COMPUTED_VALUE"""),"https://www.facebook.com/rapplerdotcom/photos/a.317154781638645/5596043783749692/")</f>
        <v>https://www.facebook.com/rapplerdotcom/photos/a.317154781638645/5596043783749692/</v>
      </c>
      <c r="J921" s="1" t="str">
        <f ca="1">IFERROR(__xludf.DUMMYFUNCTION("""COMPUTED_VALUE"""),"2022-07-04T15:38:38.276Z")</f>
        <v>2022-07-04T15:38:38.276Z</v>
      </c>
    </row>
    <row r="922" spans="1:10" x14ac:dyDescent="0.2">
      <c r="A922" s="2" t="str">
        <f ca="1">IFERROR(__xludf.DUMMYFUNCTION("""COMPUTED_VALUE"""),"https://www.facebook.com/liza.mallorca.501")</f>
        <v>https://www.facebook.com/liza.mallorca.501</v>
      </c>
      <c r="B922" s="1" t="str">
        <f ca="1">IFERROR(__xludf.DUMMYFUNCTION("""COMPUTED_VALUE"""),"Liza Mallorca")</f>
        <v>Liza Mallorca</v>
      </c>
      <c r="C922" s="1" t="str">
        <f ca="1">IFERROR(__xludf.DUMMYFUNCTION("""COMPUTED_VALUE"""),"Liza")</f>
        <v>Liza</v>
      </c>
      <c r="D922" s="1" t="str">
        <f ca="1">IFERROR(__xludf.DUMMYFUNCTION("""COMPUTED_VALUE"""),"Mallorca")</f>
        <v>Mallorca</v>
      </c>
      <c r="E922" s="1" t="str">
        <f ca="1">IFERROR(__xludf.DUMMYFUNCTION("""COMPUTED_VALUE"""),"Arianna Cassandra Yu Tablada cgro my libreng tsinelas caz🤣🤣🤣")</f>
        <v>Arianna Cassandra Yu Tablada cgro my libreng tsinelas caz🤣🤣🤣</v>
      </c>
      <c r="F922" s="1">
        <f ca="1">IFERROR(__xludf.DUMMYFUNCTION("""COMPUTED_VALUE"""),1)</f>
        <v>1</v>
      </c>
      <c r="G922" s="1" t="str">
        <f ca="1">IFERROR(__xludf.DUMMYFUNCTION("""COMPUTED_VALUE"""),"3 mos")</f>
        <v>3 mos</v>
      </c>
      <c r="H922" s="1" t="str">
        <f ca="1">IFERROR(__xludf.DUMMYFUNCTION("""COMPUTED_VALUE"""),"reply")</f>
        <v>reply</v>
      </c>
      <c r="I922" s="2" t="str">
        <f ca="1">IFERROR(__xludf.DUMMYFUNCTION("""COMPUTED_VALUE"""),"https://www.facebook.com/rapplerdotcom/photos/a.317154781638645/5596043783749692/")</f>
        <v>https://www.facebook.com/rapplerdotcom/photos/a.317154781638645/5596043783749692/</v>
      </c>
      <c r="J922" s="1" t="str">
        <f ca="1">IFERROR(__xludf.DUMMYFUNCTION("""COMPUTED_VALUE"""),"2022-07-04T15:38:38.277Z")</f>
        <v>2022-07-04T15:38:38.277Z</v>
      </c>
    </row>
    <row r="923" spans="1:10" x14ac:dyDescent="0.2">
      <c r="A923" s="2" t="str">
        <f ca="1">IFERROR(__xludf.DUMMYFUNCTION("""COMPUTED_VALUE"""),"https://www.facebook.com/Arianna11091989")</f>
        <v>https://www.facebook.com/Arianna11091989</v>
      </c>
      <c r="B923" s="1" t="str">
        <f ca="1">IFERROR(__xludf.DUMMYFUNCTION("""COMPUTED_VALUE"""),"Arianna Cassandra Yu Tablada")</f>
        <v>Arianna Cassandra Yu Tablada</v>
      </c>
      <c r="C923" s="1" t="str">
        <f ca="1">IFERROR(__xludf.DUMMYFUNCTION("""COMPUTED_VALUE"""),"Arianna")</f>
        <v>Arianna</v>
      </c>
      <c r="D923" s="1" t="str">
        <f ca="1">IFERROR(__xludf.DUMMYFUNCTION("""COMPUTED_VALUE"""),"Cassandra Yu Tablada")</f>
        <v>Cassandra Yu Tablada</v>
      </c>
      <c r="E923" s="1" t="str">
        <f ca="1">IFERROR(__xludf.DUMMYFUNCTION("""COMPUTED_VALUE"""),"Liza Mallorca hahhaa amo gd")</f>
        <v>Liza Mallorca hahhaa amo gd</v>
      </c>
      <c r="F923" s="1"/>
      <c r="G923" s="1" t="str">
        <f ca="1">IFERROR(__xludf.DUMMYFUNCTION("""COMPUTED_VALUE"""),"3 mos")</f>
        <v>3 mos</v>
      </c>
      <c r="H923" s="1" t="str">
        <f ca="1">IFERROR(__xludf.DUMMYFUNCTION("""COMPUTED_VALUE"""),"reply")</f>
        <v>reply</v>
      </c>
      <c r="I923" s="2" t="str">
        <f ca="1">IFERROR(__xludf.DUMMYFUNCTION("""COMPUTED_VALUE"""),"https://www.facebook.com/rapplerdotcom/photos/a.317154781638645/5596043783749692/")</f>
        <v>https://www.facebook.com/rapplerdotcom/photos/a.317154781638645/5596043783749692/</v>
      </c>
      <c r="J923" s="1" t="str">
        <f ca="1">IFERROR(__xludf.DUMMYFUNCTION("""COMPUTED_VALUE"""),"2022-07-04T15:38:38.277Z")</f>
        <v>2022-07-04T15:38:38.277Z</v>
      </c>
    </row>
    <row r="924" spans="1:10" x14ac:dyDescent="0.2">
      <c r="A924" s="2" t="str">
        <f ca="1">IFERROR(__xludf.DUMMYFUNCTION("""COMPUTED_VALUE"""),"https://www.facebook.com/EnricElesisCruz")</f>
        <v>https://www.facebook.com/EnricElesisCruz</v>
      </c>
      <c r="B924" s="1" t="str">
        <f ca="1">IFERROR(__xludf.DUMMYFUNCTION("""COMPUTED_VALUE"""),"Enric Elesis Cruz")</f>
        <v>Enric Elesis Cruz</v>
      </c>
      <c r="C924" s="1" t="str">
        <f ca="1">IFERROR(__xludf.DUMMYFUNCTION("""COMPUTED_VALUE"""),"Enric")</f>
        <v>Enric</v>
      </c>
      <c r="D924" s="1" t="str">
        <f ca="1">IFERROR(__xludf.DUMMYFUNCTION("""COMPUTED_VALUE"""),"Elesis Cruz")</f>
        <v>Elesis Cruz</v>
      </c>
      <c r="E924" s="1" t="str">
        <f ca="1">IFERROR(__xludf.DUMMYFUNCTION("""COMPUTED_VALUE"""),"Arianna Cassandra Yu Tablada Yung Inquirer.net as of 8:20pm 21k, dto as of 8pm 37k. Ano talaga numbers? Nagppractice na ata ng pagmamagic.")</f>
        <v>Arianna Cassandra Yu Tablada Yung Inquirer.net as of 8:20pm 21k, dto as of 8pm 37k. Ano talaga numbers? Nagppractice na ata ng pagmamagic.</v>
      </c>
      <c r="F924" s="1"/>
      <c r="G924" s="1" t="str">
        <f ca="1">IFERROR(__xludf.DUMMYFUNCTION("""COMPUTED_VALUE"""),"3 mos")</f>
        <v>3 mos</v>
      </c>
      <c r="H924" s="1" t="str">
        <f ca="1">IFERROR(__xludf.DUMMYFUNCTION("""COMPUTED_VALUE"""),"reply")</f>
        <v>reply</v>
      </c>
      <c r="I924" s="2" t="str">
        <f ca="1">IFERROR(__xludf.DUMMYFUNCTION("""COMPUTED_VALUE"""),"https://www.facebook.com/rapplerdotcom/photos/a.317154781638645/5596043783749692/")</f>
        <v>https://www.facebook.com/rapplerdotcom/photos/a.317154781638645/5596043783749692/</v>
      </c>
      <c r="J924" s="1" t="str">
        <f ca="1">IFERROR(__xludf.DUMMYFUNCTION("""COMPUTED_VALUE"""),"2022-07-04T15:38:38.277Z")</f>
        <v>2022-07-04T15:38:38.277Z</v>
      </c>
    </row>
    <row r="925" spans="1:10" x14ac:dyDescent="0.2">
      <c r="A925" s="2" t="str">
        <f ca="1">IFERROR(__xludf.DUMMYFUNCTION("""COMPUTED_VALUE"""),"https://www.facebook.com/sonny.marano.3")</f>
        <v>https://www.facebook.com/sonny.marano.3</v>
      </c>
      <c r="B925" s="1" t="str">
        <f ca="1">IFERROR(__xludf.DUMMYFUNCTION("""COMPUTED_VALUE"""),"Andy Marano Lagueras")</f>
        <v>Andy Marano Lagueras</v>
      </c>
      <c r="C925" s="1" t="str">
        <f ca="1">IFERROR(__xludf.DUMMYFUNCTION("""COMPUTED_VALUE"""),"Andy")</f>
        <v>Andy</v>
      </c>
      <c r="D925" s="1" t="str">
        <f ca="1">IFERROR(__xludf.DUMMYFUNCTION("""COMPUTED_VALUE"""),"Marano Lagueras")</f>
        <v>Marano Lagueras</v>
      </c>
      <c r="E925" s="1" t="str">
        <f ca="1">IFERROR(__xludf.DUMMYFUNCTION("""COMPUTED_VALUE"""),"Enric Elesis Cruz wag ka na magtaka sir kasi yong 40X4 nga 1600 na..kaya ganun din sila magbilang laging may sobra hahahaha")</f>
        <v>Enric Elesis Cruz wag ka na magtaka sir kasi yong 40X4 nga 1600 na..kaya ganun din sila magbilang laging may sobra hahahaha</v>
      </c>
      <c r="F925" s="1"/>
      <c r="G925" s="1" t="str">
        <f ca="1">IFERROR(__xludf.DUMMYFUNCTION("""COMPUTED_VALUE"""),"3 mos")</f>
        <v>3 mos</v>
      </c>
      <c r="H925" s="1" t="str">
        <f ca="1">IFERROR(__xludf.DUMMYFUNCTION("""COMPUTED_VALUE"""),"reply")</f>
        <v>reply</v>
      </c>
      <c r="I925" s="2" t="str">
        <f ca="1">IFERROR(__xludf.DUMMYFUNCTION("""COMPUTED_VALUE"""),"https://www.facebook.com/rapplerdotcom/photos/a.317154781638645/5596043783749692/")</f>
        <v>https://www.facebook.com/rapplerdotcom/photos/a.317154781638645/5596043783749692/</v>
      </c>
      <c r="J925" s="1" t="str">
        <f ca="1">IFERROR(__xludf.DUMMYFUNCTION("""COMPUTED_VALUE"""),"2022-07-04T15:38:38.277Z")</f>
        <v>2022-07-04T15:38:38.277Z</v>
      </c>
    </row>
    <row r="926" spans="1:10" x14ac:dyDescent="0.2">
      <c r="A926" s="2" t="str">
        <f ca="1">IFERROR(__xludf.DUMMYFUNCTION("""COMPUTED_VALUE"""),"https://www.facebook.com/sonny.marano.3")</f>
        <v>https://www.facebook.com/sonny.marano.3</v>
      </c>
      <c r="B926" s="1" t="str">
        <f ca="1">IFERROR(__xludf.DUMMYFUNCTION("""COMPUTED_VALUE"""),"Andy Marano Lagueras")</f>
        <v>Andy Marano Lagueras</v>
      </c>
      <c r="C926" s="1" t="str">
        <f ca="1">IFERROR(__xludf.DUMMYFUNCTION("""COMPUTED_VALUE"""),"Andy")</f>
        <v>Andy</v>
      </c>
      <c r="D926" s="1" t="str">
        <f ca="1">IFERROR(__xludf.DUMMYFUNCTION("""COMPUTED_VALUE"""),"Marano Lagueras")</f>
        <v>Marano Lagueras</v>
      </c>
      <c r="E926" s="1" t="str">
        <f ca="1">IFERROR(__xludf.DUMMYFUNCTION("""COMPUTED_VALUE"""),"Hindi na sila nag ka caravan kasi walang sumasalubong sa kalsada linalangaw ang  caravan nila..hehehe kaya dinadaan na lang sa rally na may pa concert na libre kaya tinatao kuno.")</f>
        <v>Hindi na sila nag ka caravan kasi walang sumasalubong sa kalsada linalangaw ang  caravan nila..hehehe kaya dinadaan na lang sa rally na may pa concert na libre kaya tinatao kuno.</v>
      </c>
      <c r="F926" s="1"/>
      <c r="G926" s="1" t="str">
        <f ca="1">IFERROR(__xludf.DUMMYFUNCTION("""COMPUTED_VALUE"""),"3 mos")</f>
        <v>3 mos</v>
      </c>
      <c r="H926" s="1" t="str">
        <f ca="1">IFERROR(__xludf.DUMMYFUNCTION("""COMPUTED_VALUE"""),"reply")</f>
        <v>reply</v>
      </c>
      <c r="I926" s="2" t="str">
        <f ca="1">IFERROR(__xludf.DUMMYFUNCTION("""COMPUTED_VALUE"""),"https://www.facebook.com/rapplerdotcom/photos/a.317154781638645/5596043783749692/")</f>
        <v>https://www.facebook.com/rapplerdotcom/photos/a.317154781638645/5596043783749692/</v>
      </c>
      <c r="J926" s="1" t="str">
        <f ca="1">IFERROR(__xludf.DUMMYFUNCTION("""COMPUTED_VALUE"""),"2022-07-04T15:38:38.277Z")</f>
        <v>2022-07-04T15:38:38.277Z</v>
      </c>
    </row>
    <row r="927" spans="1:10" x14ac:dyDescent="0.2">
      <c r="A927" s="2" t="str">
        <f ca="1">IFERROR(__xludf.DUMMYFUNCTION("""COMPUTED_VALUE"""),"https://www.facebook.com/profile.php?id=100013881702356")</f>
        <v>https://www.facebook.com/profile.php?id=100013881702356</v>
      </c>
      <c r="B927" s="1" t="str">
        <f ca="1">IFERROR(__xludf.DUMMYFUNCTION("""COMPUTED_VALUE"""),"Apnp Lanie")</f>
        <v>Apnp Lanie</v>
      </c>
      <c r="C927" s="1" t="str">
        <f ca="1">IFERROR(__xludf.DUMMYFUNCTION("""COMPUTED_VALUE"""),"Apnp")</f>
        <v>Apnp</v>
      </c>
      <c r="D927" s="1" t="str">
        <f ca="1">IFERROR(__xludf.DUMMYFUNCTION("""COMPUTED_VALUE"""),"Lanie")</f>
        <v>Lanie</v>
      </c>
      <c r="E927" s="1" t="str">
        <f ca="1">IFERROR(__xludf.DUMMYFUNCTION("""COMPUTED_VALUE"""),"God bless us! 🙏🙏🙏")</f>
        <v>God bless us! 🙏🙏🙏</v>
      </c>
      <c r="F927" s="1">
        <f ca="1">IFERROR(__xludf.DUMMYFUNCTION("""COMPUTED_VALUE"""),2)</f>
        <v>2</v>
      </c>
      <c r="G927" s="1" t="str">
        <f ca="1">IFERROR(__xludf.DUMMYFUNCTION("""COMPUTED_VALUE"""),"3 mos")</f>
        <v>3 mos</v>
      </c>
      <c r="H927" s="1" t="str">
        <f ca="1">IFERROR(__xludf.DUMMYFUNCTION("""COMPUTED_VALUE"""),"comment")</f>
        <v>comment</v>
      </c>
      <c r="I927" s="2" t="str">
        <f ca="1">IFERROR(__xludf.DUMMYFUNCTION("""COMPUTED_VALUE"""),"https://www.facebook.com/rapplerdotcom/photos/a.317154781638645/5596043783749692/")</f>
        <v>https://www.facebook.com/rapplerdotcom/photos/a.317154781638645/5596043783749692/</v>
      </c>
      <c r="J927" s="1" t="str">
        <f ca="1">IFERROR(__xludf.DUMMYFUNCTION("""COMPUTED_VALUE"""),"2022-07-04T15:38:38.277Z")</f>
        <v>2022-07-04T15:38:38.277Z</v>
      </c>
    </row>
    <row r="928" spans="1:10" x14ac:dyDescent="0.2">
      <c r="A928" s="2" t="str">
        <f ca="1">IFERROR(__xludf.DUMMYFUNCTION("""COMPUTED_VALUE"""),"https://www.facebook.com/profile.php?id=100071636301768")</f>
        <v>https://www.facebook.com/profile.php?id=100071636301768</v>
      </c>
      <c r="B928" s="1" t="str">
        <f ca="1">IFERROR(__xludf.DUMMYFUNCTION("""COMPUTED_VALUE"""),"Tat Tsuko")</f>
        <v>Tat Tsuko</v>
      </c>
      <c r="C928" s="1" t="str">
        <f ca="1">IFERROR(__xludf.DUMMYFUNCTION("""COMPUTED_VALUE"""),"Tat")</f>
        <v>Tat</v>
      </c>
      <c r="D928" s="1" t="str">
        <f ca="1">IFERROR(__xludf.DUMMYFUNCTION("""COMPUTED_VALUE"""),"Tsuko")</f>
        <v>Tsuko</v>
      </c>
      <c r="E928" s="1" t="str">
        <f ca="1">IFERROR(__xludf.DUMMYFUNCTION("""COMPUTED_VALUE"""),"Kwentado talaga para alam kong ilan ang kulang madaling ma remedyuhan 😂😂😂😂😂😂😂 sa badjao  madaling makuha ang bilang dun 😂")</f>
        <v>Kwentado talaga para alam kong ilan ang kulang madaling ma remedyuhan 😂😂😂😂😂😂😂 sa badjao  madaling makuha ang bilang dun 😂</v>
      </c>
      <c r="F928" s="1"/>
      <c r="G928" s="1" t="str">
        <f ca="1">IFERROR(__xludf.DUMMYFUNCTION("""COMPUTED_VALUE"""),"3 mos")</f>
        <v>3 mos</v>
      </c>
      <c r="H928" s="1" t="str">
        <f ca="1">IFERROR(__xludf.DUMMYFUNCTION("""COMPUTED_VALUE"""),"comment")</f>
        <v>comment</v>
      </c>
      <c r="I928" s="2" t="str">
        <f ca="1">IFERROR(__xludf.DUMMYFUNCTION("""COMPUTED_VALUE"""),"https://www.facebook.com/rapplerdotcom/photos/a.317154781638645/5596043783749692/")</f>
        <v>https://www.facebook.com/rapplerdotcom/photos/a.317154781638645/5596043783749692/</v>
      </c>
      <c r="J928" s="1" t="str">
        <f ca="1">IFERROR(__xludf.DUMMYFUNCTION("""COMPUTED_VALUE"""),"2022-07-04T15:38:38.277Z")</f>
        <v>2022-07-04T15:38:38.277Z</v>
      </c>
    </row>
    <row r="929" spans="1:10" x14ac:dyDescent="0.2">
      <c r="A929" s="2" t="str">
        <f ca="1">IFERROR(__xludf.DUMMYFUNCTION("""COMPUTED_VALUE"""),"https://www.facebook.com/samuel.mamauag")</f>
        <v>https://www.facebook.com/samuel.mamauag</v>
      </c>
      <c r="B929" s="1" t="str">
        <f ca="1">IFERROR(__xludf.DUMMYFUNCTION("""COMPUTED_VALUE"""),"Samuel Mamauag")</f>
        <v>Samuel Mamauag</v>
      </c>
      <c r="C929" s="1" t="str">
        <f ca="1">IFERROR(__xludf.DUMMYFUNCTION("""COMPUTED_VALUE"""),"Samuel")</f>
        <v>Samuel</v>
      </c>
      <c r="D929" s="1" t="str">
        <f ca="1">IFERROR(__xludf.DUMMYFUNCTION("""COMPUTED_VALUE"""),"Mamauag")</f>
        <v>Mamauag</v>
      </c>
      <c r="E929" s="1" t="str">
        <f ca="1">IFERROR(__xludf.DUMMYFUNCTION("""COMPUTED_VALUE"""),"Good job Camanava! #CamanavaIsPink")</f>
        <v>Good job Camanava! #CamanavaIsPink</v>
      </c>
      <c r="F929" s="1"/>
      <c r="G929" s="1" t="str">
        <f ca="1">IFERROR(__xludf.DUMMYFUNCTION("""COMPUTED_VALUE"""),"3 mos")</f>
        <v>3 mos</v>
      </c>
      <c r="H929" s="1" t="str">
        <f ca="1">IFERROR(__xludf.DUMMYFUNCTION("""COMPUTED_VALUE"""),"comment")</f>
        <v>comment</v>
      </c>
      <c r="I929" s="2" t="str">
        <f ca="1">IFERROR(__xludf.DUMMYFUNCTION("""COMPUTED_VALUE"""),"https://www.facebook.com/rapplerdotcom/photos/a.317154781638645/5596043783749692/")</f>
        <v>https://www.facebook.com/rapplerdotcom/photos/a.317154781638645/5596043783749692/</v>
      </c>
      <c r="J929" s="1" t="str">
        <f ca="1">IFERROR(__xludf.DUMMYFUNCTION("""COMPUTED_VALUE"""),"2022-07-04T15:38:38.277Z")</f>
        <v>2022-07-04T15:38:38.277Z</v>
      </c>
    </row>
    <row r="930" spans="1:10" x14ac:dyDescent="0.2">
      <c r="A930" s="2" t="str">
        <f ca="1">IFERROR(__xludf.DUMMYFUNCTION("""COMPUTED_VALUE"""),"https://www.facebook.com/champoybulletelbow")</f>
        <v>https://www.facebook.com/champoybulletelbow</v>
      </c>
      <c r="B930" s="1" t="str">
        <f ca="1">IFERROR(__xludf.DUMMYFUNCTION("""COMPUTED_VALUE"""),"March NJ")</f>
        <v>March NJ</v>
      </c>
      <c r="C930" s="1" t="str">
        <f ca="1">IFERROR(__xludf.DUMMYFUNCTION("""COMPUTED_VALUE"""),"March")</f>
        <v>March</v>
      </c>
      <c r="D930" s="1" t="str">
        <f ca="1">IFERROR(__xludf.DUMMYFUNCTION("""COMPUTED_VALUE"""),"NJ")</f>
        <v>NJ</v>
      </c>
      <c r="E930" s="1" t="str">
        <f ca="1">IFERROR(__xludf.DUMMYFUNCTION("""COMPUTED_VALUE"""),"#LeniKiko2022 #10RobredoPresident  #7PangilinanVicePresident  #TRoPa2022 #GobyernongTapatAngatBuhayLahat  🙏🌷🙏")</f>
        <v>#LeniKiko2022 #10RobredoPresident  #7PangilinanVicePresident  #TRoPa2022 #GobyernongTapatAngatBuhayLahat  🙏🌷🙏</v>
      </c>
      <c r="F930" s="1">
        <f ca="1">IFERROR(__xludf.DUMMYFUNCTION("""COMPUTED_VALUE"""),1)</f>
        <v>1</v>
      </c>
      <c r="G930" s="1" t="str">
        <f ca="1">IFERROR(__xludf.DUMMYFUNCTION("""COMPUTED_VALUE"""),"3 mos")</f>
        <v>3 mos</v>
      </c>
      <c r="H930" s="1" t="str">
        <f ca="1">IFERROR(__xludf.DUMMYFUNCTION("""COMPUTED_VALUE"""),"comment")</f>
        <v>comment</v>
      </c>
      <c r="I930" s="2" t="str">
        <f ca="1">IFERROR(__xludf.DUMMYFUNCTION("""COMPUTED_VALUE"""),"https://www.facebook.com/rapplerdotcom/photos/a.317154781638645/5596043783749692/")</f>
        <v>https://www.facebook.com/rapplerdotcom/photos/a.317154781638645/5596043783749692/</v>
      </c>
      <c r="J930" s="1" t="str">
        <f ca="1">IFERROR(__xludf.DUMMYFUNCTION("""COMPUTED_VALUE"""),"2022-07-04T15:38:38.277Z")</f>
        <v>2022-07-04T15:38:38.277Z</v>
      </c>
    </row>
    <row r="931" spans="1:10" x14ac:dyDescent="0.2">
      <c r="A931" s="2" t="str">
        <f ca="1">IFERROR(__xludf.DUMMYFUNCTION("""COMPUTED_VALUE"""),"https://www.facebook.com/agodlessheathenagain")</f>
        <v>https://www.facebook.com/agodlessheathenagain</v>
      </c>
      <c r="B931" s="1" t="str">
        <f ca="1">IFERROR(__xludf.DUMMYFUNCTION("""COMPUTED_VALUE"""),"Nosretap Galupe")</f>
        <v>Nosretap Galupe</v>
      </c>
      <c r="C931" s="1" t="str">
        <f ca="1">IFERROR(__xludf.DUMMYFUNCTION("""COMPUTED_VALUE"""),"Nosretap")</f>
        <v>Nosretap</v>
      </c>
      <c r="D931" s="1" t="str">
        <f ca="1">IFERROR(__xludf.DUMMYFUNCTION("""COMPUTED_VALUE"""),"Galupe")</f>
        <v>Galupe</v>
      </c>
      <c r="E931" s="1" t="str">
        <f ca="1">IFERROR(__xludf.DUMMYFUNCTION("""COMPUTED_VALUE"""),"Uy...may mga naiinggit...")</f>
        <v>Uy...may mga naiinggit...</v>
      </c>
      <c r="F931" s="1"/>
      <c r="G931" s="1" t="str">
        <f ca="1">IFERROR(__xludf.DUMMYFUNCTION("""COMPUTED_VALUE"""),"3 mos")</f>
        <v>3 mos</v>
      </c>
      <c r="H931" s="1" t="str">
        <f ca="1">IFERROR(__xludf.DUMMYFUNCTION("""COMPUTED_VALUE"""),"comment")</f>
        <v>comment</v>
      </c>
      <c r="I931" s="2" t="str">
        <f ca="1">IFERROR(__xludf.DUMMYFUNCTION("""COMPUTED_VALUE"""),"https://www.facebook.com/rapplerdotcom/photos/a.317154781638645/5596043783749692/")</f>
        <v>https://www.facebook.com/rapplerdotcom/photos/a.317154781638645/5596043783749692/</v>
      </c>
      <c r="J931" s="1" t="str">
        <f ca="1">IFERROR(__xludf.DUMMYFUNCTION("""COMPUTED_VALUE"""),"2022-07-04T15:38:38.277Z")</f>
        <v>2022-07-04T15:38:38.277Z</v>
      </c>
    </row>
    <row r="932" spans="1:10" x14ac:dyDescent="0.2">
      <c r="A932" s="2" t="str">
        <f ca="1">IFERROR(__xludf.DUMMYFUNCTION("""COMPUTED_VALUE"""),"https://www.facebook.com/ronaldace.inaldo")</f>
        <v>https://www.facebook.com/ronaldace.inaldo</v>
      </c>
      <c r="B932" s="1" t="str">
        <f ca="1">IFERROR(__xludf.DUMMYFUNCTION("""COMPUTED_VALUE"""),"Ronald Ace Miranda")</f>
        <v>Ronald Ace Miranda</v>
      </c>
      <c r="C932" s="1" t="str">
        <f ca="1">IFERROR(__xludf.DUMMYFUNCTION("""COMPUTED_VALUE"""),"Ronald")</f>
        <v>Ronald</v>
      </c>
      <c r="D932" s="1" t="str">
        <f ca="1">IFERROR(__xludf.DUMMYFUNCTION("""COMPUTED_VALUE"""),"Ace Miranda")</f>
        <v>Ace Miranda</v>
      </c>
      <c r="E932" s="1" t="str">
        <f ca="1">IFERROR(__xludf.DUMMYFUNCTION("""COMPUTED_VALUE"""),"CAMANAVAAAAA SALAMAT SA PAGTINDIG!!!!!")</f>
        <v>CAMANAVAAAAA SALAMAT SA PAGTINDIG!!!!!</v>
      </c>
      <c r="F932" s="1">
        <f ca="1">IFERROR(__xludf.DUMMYFUNCTION("""COMPUTED_VALUE"""),5)</f>
        <v>5</v>
      </c>
      <c r="G932" s="1" t="str">
        <f ca="1">IFERROR(__xludf.DUMMYFUNCTION("""COMPUTED_VALUE"""),"3 mos")</f>
        <v>3 mos</v>
      </c>
      <c r="H932" s="1" t="str">
        <f ca="1">IFERROR(__xludf.DUMMYFUNCTION("""COMPUTED_VALUE"""),"comment")</f>
        <v>comment</v>
      </c>
      <c r="I932" s="2" t="str">
        <f ca="1">IFERROR(__xludf.DUMMYFUNCTION("""COMPUTED_VALUE"""),"https://www.facebook.com/rapplerdotcom/photos/a.317154781638645/5596043783749692/")</f>
        <v>https://www.facebook.com/rapplerdotcom/photos/a.317154781638645/5596043783749692/</v>
      </c>
      <c r="J932" s="1" t="str">
        <f ca="1">IFERROR(__xludf.DUMMYFUNCTION("""COMPUTED_VALUE"""),"2022-07-04T15:38:38.277Z")</f>
        <v>2022-07-04T15:38:38.277Z</v>
      </c>
    </row>
    <row r="933" spans="1:10" x14ac:dyDescent="0.2">
      <c r="A933" s="2" t="str">
        <f ca="1">IFERROR(__xludf.DUMMYFUNCTION("""COMPUTED_VALUE"""),"https://www.facebook.com/arlene.adamos")</f>
        <v>https://www.facebook.com/arlene.adamos</v>
      </c>
      <c r="B933" s="1" t="str">
        <f ca="1">IFERROR(__xludf.DUMMYFUNCTION("""COMPUTED_VALUE"""),"Arlene Adamos-Dela Cruz")</f>
        <v>Arlene Adamos-Dela Cruz</v>
      </c>
      <c r="C933" s="1" t="str">
        <f ca="1">IFERROR(__xludf.DUMMYFUNCTION("""COMPUTED_VALUE"""),"Arlene")</f>
        <v>Arlene</v>
      </c>
      <c r="D933" s="1" t="str">
        <f ca="1">IFERROR(__xludf.DUMMYFUNCTION("""COMPUTED_VALUE"""),"Adamos-Dela Cruz")</f>
        <v>Adamos-Dela Cruz</v>
      </c>
      <c r="E933" s="1" t="str">
        <f ca="1">IFERROR(__xludf.DUMMYFUNCTION("""COMPUTED_VALUE"""),"Thank you for a job well done CAMANAVA!!!")</f>
        <v>Thank you for a job well done CAMANAVA!!!</v>
      </c>
      <c r="F933" s="1">
        <f ca="1">IFERROR(__xludf.DUMMYFUNCTION("""COMPUTED_VALUE"""),2)</f>
        <v>2</v>
      </c>
      <c r="G933" s="1" t="str">
        <f ca="1">IFERROR(__xludf.DUMMYFUNCTION("""COMPUTED_VALUE"""),"3 mos")</f>
        <v>3 mos</v>
      </c>
      <c r="H933" s="1" t="str">
        <f ca="1">IFERROR(__xludf.DUMMYFUNCTION("""COMPUTED_VALUE"""),"comment")</f>
        <v>comment</v>
      </c>
      <c r="I933" s="2" t="str">
        <f ca="1">IFERROR(__xludf.DUMMYFUNCTION("""COMPUTED_VALUE"""),"https://www.facebook.com/rapplerdotcom/photos/a.317154781638645/5596043783749692/")</f>
        <v>https://www.facebook.com/rapplerdotcom/photos/a.317154781638645/5596043783749692/</v>
      </c>
      <c r="J933" s="1" t="str">
        <f ca="1">IFERROR(__xludf.DUMMYFUNCTION("""COMPUTED_VALUE"""),"2022-07-04T15:38:38.277Z")</f>
        <v>2022-07-04T15:38:38.277Z</v>
      </c>
    </row>
    <row r="934" spans="1:10" x14ac:dyDescent="0.2">
      <c r="A934" s="2" t="str">
        <f ca="1">IFERROR(__xludf.DUMMYFUNCTION("""COMPUTED_VALUE"""),"https://www.facebook.com/rensoriframos")</f>
        <v>https://www.facebook.com/rensoriframos</v>
      </c>
      <c r="B934" s="1" t="str">
        <f ca="1">IFERROR(__xludf.DUMMYFUNCTION("""COMPUTED_VALUE"""),"Renso Rif Ramos")</f>
        <v>Renso Rif Ramos</v>
      </c>
      <c r="C934" s="1" t="str">
        <f ca="1">IFERROR(__xludf.DUMMYFUNCTION("""COMPUTED_VALUE"""),"Renso")</f>
        <v>Renso</v>
      </c>
      <c r="D934" s="1" t="str">
        <f ca="1">IFERROR(__xludf.DUMMYFUNCTION("""COMPUTED_VALUE"""),"Rif Ramos")</f>
        <v>Rif Ramos</v>
      </c>
      <c r="E934" s="1" t="str">
        <f ca="1">IFERROR(__xludf.DUMMYFUNCTION("""COMPUTED_VALUE"""),"ouy kaka meeting lng ng boss nila need more hustle pa daw")</f>
        <v>ouy kaka meeting lng ng boss nila need more hustle pa daw</v>
      </c>
      <c r="F934" s="1"/>
      <c r="G934" s="1" t="str">
        <f ca="1">IFERROR(__xludf.DUMMYFUNCTION("""COMPUTED_VALUE"""),"3 mos")</f>
        <v>3 mos</v>
      </c>
      <c r="H934" s="1" t="str">
        <f ca="1">IFERROR(__xludf.DUMMYFUNCTION("""COMPUTED_VALUE"""),"comment")</f>
        <v>comment</v>
      </c>
      <c r="I934" s="2" t="str">
        <f ca="1">IFERROR(__xludf.DUMMYFUNCTION("""COMPUTED_VALUE"""),"https://www.facebook.com/rapplerdotcom/photos/a.317154781638645/5596043783749692/")</f>
        <v>https://www.facebook.com/rapplerdotcom/photos/a.317154781638645/5596043783749692/</v>
      </c>
      <c r="J934" s="1" t="str">
        <f ca="1">IFERROR(__xludf.DUMMYFUNCTION("""COMPUTED_VALUE"""),"2022-07-04T15:38:38.277Z")</f>
        <v>2022-07-04T15:38:38.277Z</v>
      </c>
    </row>
    <row r="935" spans="1:10" x14ac:dyDescent="0.2">
      <c r="A935" s="2" t="str">
        <f ca="1">IFERROR(__xludf.DUMMYFUNCTION("""COMPUTED_VALUE"""),"https://www.facebook.com/robert.villamin.7")</f>
        <v>https://www.facebook.com/robert.villamin.7</v>
      </c>
      <c r="B935" s="1" t="str">
        <f ca="1">IFERROR(__xludf.DUMMYFUNCTION("""COMPUTED_VALUE"""),"Villamin C. Trevor")</f>
        <v>Villamin C. Trevor</v>
      </c>
      <c r="C935" s="1" t="str">
        <f ca="1">IFERROR(__xludf.DUMMYFUNCTION("""COMPUTED_VALUE"""),"Villamin")</f>
        <v>Villamin</v>
      </c>
      <c r="D935" s="1" t="str">
        <f ca="1">IFERROR(__xludf.DUMMYFUNCTION("""COMPUTED_VALUE"""),"C. Trevor")</f>
        <v>C. Trevor</v>
      </c>
      <c r="E935" s="1" t="str">
        <f ca="1">IFERROR(__xludf.DUMMYFUNCTION("""COMPUTED_VALUE"""),"May nanalo na")</f>
        <v>May nanalo na</v>
      </c>
      <c r="F935" s="1">
        <f ca="1">IFERROR(__xludf.DUMMYFUNCTION("""COMPUTED_VALUE"""),2)</f>
        <v>2</v>
      </c>
      <c r="G935" s="1" t="str">
        <f ca="1">IFERROR(__xludf.DUMMYFUNCTION("""COMPUTED_VALUE"""),"3 mos")</f>
        <v>3 mos</v>
      </c>
      <c r="H935" s="1" t="str">
        <f ca="1">IFERROR(__xludf.DUMMYFUNCTION("""COMPUTED_VALUE"""),"comment")</f>
        <v>comment</v>
      </c>
      <c r="I935" s="2" t="str">
        <f ca="1">IFERROR(__xludf.DUMMYFUNCTION("""COMPUTED_VALUE"""),"https://www.facebook.com/rapplerdotcom/photos/a.317154781638645/5596043783749692/")</f>
        <v>https://www.facebook.com/rapplerdotcom/photos/a.317154781638645/5596043783749692/</v>
      </c>
      <c r="J935" s="1" t="str">
        <f ca="1">IFERROR(__xludf.DUMMYFUNCTION("""COMPUTED_VALUE"""),"2022-07-04T15:38:38.277Z")</f>
        <v>2022-07-04T15:38:38.277Z</v>
      </c>
    </row>
    <row r="936" spans="1:10" x14ac:dyDescent="0.2">
      <c r="A936" s="2" t="str">
        <f ca="1">IFERROR(__xludf.DUMMYFUNCTION("""COMPUTED_VALUE"""),"https://www.facebook.com/yongcoonang")</f>
        <v>https://www.facebook.com/yongcoonang</v>
      </c>
      <c r="B936" s="1" t="str">
        <f ca="1">IFERROR(__xludf.DUMMYFUNCTION("""COMPUTED_VALUE"""),"Kelvin Billy")</f>
        <v>Kelvin Billy</v>
      </c>
      <c r="C936" s="1" t="str">
        <f ca="1">IFERROR(__xludf.DUMMYFUNCTION("""COMPUTED_VALUE"""),"Kelvin")</f>
        <v>Kelvin</v>
      </c>
      <c r="D936" s="1" t="str">
        <f ca="1">IFERROR(__xludf.DUMMYFUNCTION("""COMPUTED_VALUE"""),"Billy")</f>
        <v>Billy</v>
      </c>
      <c r="E936" s="1" t="str">
        <f ca="1">IFERROR(__xludf.DUMMYFUNCTION("""COMPUTED_VALUE"""),"Robert C. Nimalliv   ⚙️ EARN MONEY ONLINE WITHOUT GOING TO WORK OR STRESS YOURSELF  ⚙️if you're interested ☝️☝️☝️ just kindly click on the link to contact my Senior Cryptofx account manager for guidance 📩  Link 🔗🔗🔗  https://www.facebook.com/evlira.cry"&amp;"ptofxtrader")</f>
        <v>Robert C. Nimalliv   ⚙️ EARN MONEY ONLINE WITHOUT GOING TO WORK OR STRESS YOURSELF  ⚙️if you're interested ☝️☝️☝️ just kindly click on the link to contact my Senior Cryptofx account manager for guidance 📩  Link 🔗🔗🔗  https://www.facebook.com/evlira.cryptofxtrader</v>
      </c>
      <c r="F936" s="1"/>
      <c r="G936" s="1" t="str">
        <f ca="1">IFERROR(__xludf.DUMMYFUNCTION("""COMPUTED_VALUE"""),"3 mos")</f>
        <v>3 mos</v>
      </c>
      <c r="H936" s="1" t="str">
        <f ca="1">IFERROR(__xludf.DUMMYFUNCTION("""COMPUTED_VALUE"""),"reply")</f>
        <v>reply</v>
      </c>
      <c r="I936" s="2" t="str">
        <f ca="1">IFERROR(__xludf.DUMMYFUNCTION("""COMPUTED_VALUE"""),"https://www.facebook.com/rapplerdotcom/photos/a.317154781638645/5596043783749692/")</f>
        <v>https://www.facebook.com/rapplerdotcom/photos/a.317154781638645/5596043783749692/</v>
      </c>
      <c r="J936" s="1" t="str">
        <f ca="1">IFERROR(__xludf.DUMMYFUNCTION("""COMPUTED_VALUE"""),"2022-07-04T15:38:38.277Z")</f>
        <v>2022-07-04T15:38:38.277Z</v>
      </c>
    </row>
    <row r="937" spans="1:10" x14ac:dyDescent="0.2">
      <c r="A937" s="2" t="str">
        <f ca="1">IFERROR(__xludf.DUMMYFUNCTION("""COMPUTED_VALUE"""),"https://www.facebook.com/profile.php?id=100077465509824")</f>
        <v>https://www.facebook.com/profile.php?id=100077465509824</v>
      </c>
      <c r="B937" s="1" t="str">
        <f ca="1">IFERROR(__xludf.DUMMYFUNCTION("""COMPUTED_VALUE"""),"Amanda Chalisa Obdam")</f>
        <v>Amanda Chalisa Obdam</v>
      </c>
      <c r="C937" s="1" t="str">
        <f ca="1">IFERROR(__xludf.DUMMYFUNCTION("""COMPUTED_VALUE"""),"Amanda")</f>
        <v>Amanda</v>
      </c>
      <c r="D937" s="1" t="str">
        <f ca="1">IFERROR(__xludf.DUMMYFUNCTION("""COMPUTED_VALUE"""),"Chalisa Obdam")</f>
        <v>Chalisa Obdam</v>
      </c>
      <c r="E937" s="1" t="str">
        <f ca="1">IFERROR(__xludf.DUMMYFUNCTION("""COMPUTED_VALUE"""),"Puro Chinese daw mga umatend")</f>
        <v>Puro Chinese daw mga umatend</v>
      </c>
      <c r="F937" s="1"/>
      <c r="G937" s="1" t="str">
        <f ca="1">IFERROR(__xludf.DUMMYFUNCTION("""COMPUTED_VALUE"""),"3 mos")</f>
        <v>3 mos</v>
      </c>
      <c r="H937" s="1" t="str">
        <f ca="1">IFERROR(__xludf.DUMMYFUNCTION("""COMPUTED_VALUE"""),"comment")</f>
        <v>comment</v>
      </c>
      <c r="I937" s="2" t="str">
        <f ca="1">IFERROR(__xludf.DUMMYFUNCTION("""COMPUTED_VALUE"""),"https://www.facebook.com/rapplerdotcom/photos/a.317154781638645/5596043783749692/")</f>
        <v>https://www.facebook.com/rapplerdotcom/photos/a.317154781638645/5596043783749692/</v>
      </c>
      <c r="J937" s="1" t="str">
        <f ca="1">IFERROR(__xludf.DUMMYFUNCTION("""COMPUTED_VALUE"""),"2022-07-04T15:38:38.277Z")</f>
        <v>2022-07-04T15:38:38.277Z</v>
      </c>
    </row>
    <row r="938" spans="1:10" x14ac:dyDescent="0.2">
      <c r="A938" s="2" t="str">
        <f ca="1">IFERROR(__xludf.DUMMYFUNCTION("""COMPUTED_VALUE"""),"https://www.facebook.com/ruth.pananganan")</f>
        <v>https://www.facebook.com/ruth.pananganan</v>
      </c>
      <c r="B938" s="1" t="str">
        <f ca="1">IFERROR(__xludf.DUMMYFUNCTION("""COMPUTED_VALUE"""),"Baycor Repan")</f>
        <v>Baycor Repan</v>
      </c>
      <c r="C938" s="1" t="str">
        <f ca="1">IFERROR(__xludf.DUMMYFUNCTION("""COMPUTED_VALUE"""),"Baycor")</f>
        <v>Baycor</v>
      </c>
      <c r="D938" s="1" t="str">
        <f ca="1">IFERROR(__xludf.DUMMYFUNCTION("""COMPUTED_VALUE"""),"Repan")</f>
        <v>Repan</v>
      </c>
      <c r="E938" s="1" t="str">
        <f ca="1">IFERROR(__xludf.DUMMYFUNCTION("""COMPUTED_VALUE"""),"malayo pa rin...")</f>
        <v>malayo pa rin...</v>
      </c>
      <c r="F938" s="1"/>
      <c r="G938" s="1" t="str">
        <f ca="1">IFERROR(__xludf.DUMMYFUNCTION("""COMPUTED_VALUE"""),"3 mos")</f>
        <v>3 mos</v>
      </c>
      <c r="H938" s="1" t="str">
        <f ca="1">IFERROR(__xludf.DUMMYFUNCTION("""COMPUTED_VALUE"""),"comment")</f>
        <v>comment</v>
      </c>
      <c r="I938" s="2" t="str">
        <f ca="1">IFERROR(__xludf.DUMMYFUNCTION("""COMPUTED_VALUE"""),"https://www.facebook.com/rapplerdotcom/photos/a.317154781638645/5596043783749692/")</f>
        <v>https://www.facebook.com/rapplerdotcom/photos/a.317154781638645/5596043783749692/</v>
      </c>
      <c r="J938" s="1" t="str">
        <f ca="1">IFERROR(__xludf.DUMMYFUNCTION("""COMPUTED_VALUE"""),"2022-07-04T15:38:38.277Z")</f>
        <v>2022-07-04T15:38:38.277Z</v>
      </c>
    </row>
    <row r="939" spans="1:10" x14ac:dyDescent="0.2">
      <c r="A939" s="2" t="str">
        <f ca="1">IFERROR(__xludf.DUMMYFUNCTION("""COMPUTED_VALUE"""),"https://www.facebook.com/raks.figthet")</f>
        <v>https://www.facebook.com/raks.figthet</v>
      </c>
      <c r="B939" s="1" t="str">
        <f ca="1">IFERROR(__xludf.DUMMYFUNCTION("""COMPUTED_VALUE"""),"Rock Lee")</f>
        <v>Rock Lee</v>
      </c>
      <c r="C939" s="1" t="str">
        <f ca="1">IFERROR(__xludf.DUMMYFUNCTION("""COMPUTED_VALUE"""),"Rock")</f>
        <v>Rock</v>
      </c>
      <c r="D939" s="1" t="str">
        <f ca="1">IFERROR(__xludf.DUMMYFUNCTION("""COMPUTED_VALUE"""),"Lee")</f>
        <v>Lee</v>
      </c>
      <c r="E939" s="1" t="str">
        <f ca="1">IFERROR(__xludf.DUMMYFUNCTION("""COMPUTED_VALUE"""),"Mas makatotohanan sana kung may Live Video ng Caravan hindi Yung deretso sa Rally 😂")</f>
        <v>Mas makatotohanan sana kung may Live Video ng Caravan hindi Yung deretso sa Rally 😂</v>
      </c>
      <c r="F939" s="1">
        <f ca="1">IFERROR(__xludf.DUMMYFUNCTION("""COMPUTED_VALUE"""),1)</f>
        <v>1</v>
      </c>
      <c r="G939" s="1" t="str">
        <f ca="1">IFERROR(__xludf.DUMMYFUNCTION("""COMPUTED_VALUE"""),"3 mos")</f>
        <v>3 mos</v>
      </c>
      <c r="H939" s="1" t="str">
        <f ca="1">IFERROR(__xludf.DUMMYFUNCTION("""COMPUTED_VALUE"""),"comment")</f>
        <v>comment</v>
      </c>
      <c r="I939" s="2" t="str">
        <f ca="1">IFERROR(__xludf.DUMMYFUNCTION("""COMPUTED_VALUE"""),"https://www.facebook.com/rapplerdotcom/photos/a.317154781638645/5596043783749692/")</f>
        <v>https://www.facebook.com/rapplerdotcom/photos/a.317154781638645/5596043783749692/</v>
      </c>
      <c r="J939" s="1" t="str">
        <f ca="1">IFERROR(__xludf.DUMMYFUNCTION("""COMPUTED_VALUE"""),"2022-07-04T15:38:38.277Z")</f>
        <v>2022-07-04T15:38:38.277Z</v>
      </c>
    </row>
    <row r="940" spans="1:10" x14ac:dyDescent="0.2">
      <c r="A940" s="2" t="str">
        <f ca="1">IFERROR(__xludf.DUMMYFUNCTION("""COMPUTED_VALUE"""),"https://www.facebook.com/profile.php?id=100072506056935")</f>
        <v>https://www.facebook.com/profile.php?id=100072506056935</v>
      </c>
      <c r="B940" s="1" t="str">
        <f ca="1">IFERROR(__xludf.DUMMYFUNCTION("""COMPUTED_VALUE"""),"Charles Alcala Villegas")</f>
        <v>Charles Alcala Villegas</v>
      </c>
      <c r="C940" s="1" t="str">
        <f ca="1">IFERROR(__xludf.DUMMYFUNCTION("""COMPUTED_VALUE"""),"Charles")</f>
        <v>Charles</v>
      </c>
      <c r="D940" s="1" t="str">
        <f ca="1">IFERROR(__xludf.DUMMYFUNCTION("""COMPUTED_VALUE"""),"Alcala Villegas")</f>
        <v>Alcala Villegas</v>
      </c>
      <c r="E940" s="1" t="str">
        <f ca="1">IFERROR(__xludf.DUMMYFUNCTION("""COMPUTED_VALUE"""),"Ipana10 na natin to")</f>
        <v>Ipana10 na natin to</v>
      </c>
      <c r="F940" s="1"/>
      <c r="G940" s="1" t="str">
        <f ca="1">IFERROR(__xludf.DUMMYFUNCTION("""COMPUTED_VALUE"""),"3 mos")</f>
        <v>3 mos</v>
      </c>
      <c r="H940" s="1" t="str">
        <f ca="1">IFERROR(__xludf.DUMMYFUNCTION("""COMPUTED_VALUE"""),"comment")</f>
        <v>comment</v>
      </c>
      <c r="I940" s="2" t="str">
        <f ca="1">IFERROR(__xludf.DUMMYFUNCTION("""COMPUTED_VALUE"""),"https://www.facebook.com/rapplerdotcom/photos/a.317154781638645/5596043783749692/")</f>
        <v>https://www.facebook.com/rapplerdotcom/photos/a.317154781638645/5596043783749692/</v>
      </c>
      <c r="J940" s="1" t="str">
        <f ca="1">IFERROR(__xludf.DUMMYFUNCTION("""COMPUTED_VALUE"""),"2022-07-04T15:38:38.277Z")</f>
        <v>2022-07-04T15:38:38.277Z</v>
      </c>
    </row>
    <row r="941" spans="1:10" x14ac:dyDescent="0.2">
      <c r="A941" s="2" t="str">
        <f ca="1">IFERROR(__xludf.DUMMYFUNCTION("""COMPUTED_VALUE"""),"https://www.facebook.com/teodorico.deverap")</f>
        <v>https://www.facebook.com/teodorico.deverap</v>
      </c>
      <c r="B941" s="1" t="str">
        <f ca="1">IFERROR(__xludf.DUMMYFUNCTION("""COMPUTED_VALUE"""),"Teodorico Deverap")</f>
        <v>Teodorico Deverap</v>
      </c>
      <c r="C941" s="1" t="str">
        <f ca="1">IFERROR(__xludf.DUMMYFUNCTION("""COMPUTED_VALUE"""),"Teodorico")</f>
        <v>Teodorico</v>
      </c>
      <c r="D941" s="1" t="str">
        <f ca="1">IFERROR(__xludf.DUMMYFUNCTION("""COMPUTED_VALUE"""),"Deverap")</f>
        <v>Deverap</v>
      </c>
      <c r="E941" s="1" t="str">
        <f ca="1">IFERROR(__xludf.DUMMYFUNCTION("""COMPUTED_VALUE"""),"BbmSara")</f>
        <v>BbmSara</v>
      </c>
      <c r="F941" s="1"/>
      <c r="G941" s="1" t="str">
        <f ca="1">IFERROR(__xludf.DUMMYFUNCTION("""COMPUTED_VALUE"""),"3 mos")</f>
        <v>3 mos</v>
      </c>
      <c r="H941" s="1" t="str">
        <f ca="1">IFERROR(__xludf.DUMMYFUNCTION("""COMPUTED_VALUE"""),"comment")</f>
        <v>comment</v>
      </c>
      <c r="I941" s="2" t="str">
        <f ca="1">IFERROR(__xludf.DUMMYFUNCTION("""COMPUTED_VALUE"""),"https://www.facebook.com/rapplerdotcom/photos/a.317154781638645/5596043783749692/")</f>
        <v>https://www.facebook.com/rapplerdotcom/photos/a.317154781638645/5596043783749692/</v>
      </c>
      <c r="J941" s="1" t="str">
        <f ca="1">IFERROR(__xludf.DUMMYFUNCTION("""COMPUTED_VALUE"""),"2022-07-04T15:38:38.277Z")</f>
        <v>2022-07-04T15:38:38.277Z</v>
      </c>
    </row>
    <row r="942" spans="1:10" x14ac:dyDescent="0.2">
      <c r="A942" s="2" t="str">
        <f ca="1">IFERROR(__xludf.DUMMYFUNCTION("""COMPUTED_VALUE"""),"https://www.facebook.com/geegee.lopez")</f>
        <v>https://www.facebook.com/geegee.lopez</v>
      </c>
      <c r="B942" s="1" t="str">
        <f ca="1">IFERROR(__xludf.DUMMYFUNCTION("""COMPUTED_VALUE"""),"Grateful Geegee")</f>
        <v>Grateful Geegee</v>
      </c>
      <c r="C942" s="1" t="str">
        <f ca="1">IFERROR(__xludf.DUMMYFUNCTION("""COMPUTED_VALUE"""),"Grateful")</f>
        <v>Grateful</v>
      </c>
      <c r="D942" s="1" t="str">
        <f ca="1">IFERROR(__xludf.DUMMYFUNCTION("""COMPUTED_VALUE"""),"Geegee")</f>
        <v>Geegee</v>
      </c>
      <c r="E942" s="1" t="str">
        <f ca="1">IFERROR(__xludf.DUMMYFUNCTION("""COMPUTED_VALUE"""),"Masusing pagtingin sa sitwasyon: Lubog sa utang ang bansa. 3 TRILYON ++ 2 MILYON walang trabaho 255,714 nawalan ng trabaho  8000+ negosyo naapektuhan 1 sa bawat 10 na edad 6-24 years old HINDI nag-aaral  1 sa bawat 5 na tao hindi NAKA-enroll (2020-21) 4.5"&amp;" MILYON Walang bahay at lupa 4.2 MILYON pamilya nagugutom  15 BILYON ANOMALYA sa PhilHealth 67.5 BILYON PONDO ng DOH para sa BAKUNA HINDI nagamit nang tama  Lahat tayo ay responsable para sa ikauunlad ng bansa.   Lahat tayo may pagkakataong makapamili ng "&amp;"lider na mag-aahon sa ating lahat mula sa kahirapan.   Ngayon tingnan natin ang: 1. PAMUMUHAY  2. MGA NAGAWA 3. GAWAIN SA ELEKSIYON 4. TAGA-SUPORTA 5. REPUTASYON  Kasi paano papasok ang tulong at negosyo para sa bansa? Kailangan MAPAGKAKATIWALAAN ang goby"&amp;"erno, hindi may katiwalian.   Lahat tayo may malasakit sa bayan. Sana gabayan tayo ng Diyos sa ating pagpili. Buhay natin at ng mga mahal natin ang nakataya.")</f>
        <v>Masusing pagtingin sa sitwasyon: Lubog sa utang ang bansa. 3 TRILYON ++ 2 MILYON walang trabaho 255,714 nawalan ng trabaho  8000+ negosyo naapektuhan 1 sa bawat 10 na edad 6-24 years old HINDI nag-aaral  1 sa bawat 5 na tao hindi NAKA-enroll (2020-21) 4.5 MILYON Walang bahay at lupa 4.2 MILYON pamilya nagugutom  15 BILYON ANOMALYA sa PhilHealth 67.5 BILYON PONDO ng DOH para sa BAKUNA HINDI nagamit nang tama  Lahat tayo ay responsable para sa ikauunlad ng bansa.   Lahat tayo may pagkakataong makapamili ng lider na mag-aahon sa ating lahat mula sa kahirapan.   Ngayon tingnan natin ang: 1. PAMUMUHAY  2. MGA NAGAWA 3. GAWAIN SA ELEKSIYON 4. TAGA-SUPORTA 5. REPUTASYON  Kasi paano papasok ang tulong at negosyo para sa bansa? Kailangan MAPAGKAKATIWALAAN ang gobyerno, hindi may katiwalian.   Lahat tayo may malasakit sa bayan. Sana gabayan tayo ng Diyos sa ating pagpili. Buhay natin at ng mga mahal natin ang nakataya.</v>
      </c>
      <c r="F942" s="1">
        <f ca="1">IFERROR(__xludf.DUMMYFUNCTION("""COMPUTED_VALUE"""),1)</f>
        <v>1</v>
      </c>
      <c r="G942" s="1" t="str">
        <f ca="1">IFERROR(__xludf.DUMMYFUNCTION("""COMPUTED_VALUE"""),"3 mos")</f>
        <v>3 mos</v>
      </c>
      <c r="H942" s="1" t="str">
        <f ca="1">IFERROR(__xludf.DUMMYFUNCTION("""COMPUTED_VALUE"""),"comment")</f>
        <v>comment</v>
      </c>
      <c r="I942" s="2" t="str">
        <f ca="1">IFERROR(__xludf.DUMMYFUNCTION("""COMPUTED_VALUE"""),"https://www.facebook.com/rapplerdotcom/photos/a.317154781638645/5596043783749692/")</f>
        <v>https://www.facebook.com/rapplerdotcom/photos/a.317154781638645/5596043783749692/</v>
      </c>
      <c r="J942" s="1" t="str">
        <f ca="1">IFERROR(__xludf.DUMMYFUNCTION("""COMPUTED_VALUE"""),"2022-07-04T15:38:38.277Z")</f>
        <v>2022-07-04T15:38:38.277Z</v>
      </c>
    </row>
    <row r="943" spans="1:10" x14ac:dyDescent="0.2">
      <c r="A943" s="2" t="str">
        <f ca="1">IFERROR(__xludf.DUMMYFUNCTION("""COMPUTED_VALUE"""),"https://www.facebook.com/donato.antonio.75")</f>
        <v>https://www.facebook.com/donato.antonio.75</v>
      </c>
      <c r="B943" s="1" t="str">
        <f ca="1">IFERROR(__xludf.DUMMYFUNCTION("""COMPUTED_VALUE"""),"Donato Antonio")</f>
        <v>Donato Antonio</v>
      </c>
      <c r="C943" s="1" t="str">
        <f ca="1">IFERROR(__xludf.DUMMYFUNCTION("""COMPUTED_VALUE"""),"Donato")</f>
        <v>Donato</v>
      </c>
      <c r="D943" s="1" t="str">
        <f ca="1">IFERROR(__xludf.DUMMYFUNCTION("""COMPUTED_VALUE"""),"Antonio")</f>
        <v>Antonio</v>
      </c>
      <c r="E943" s="1" t="str">
        <f ca="1">IFERROR(__xludf.DUMMYFUNCTION("""COMPUTED_VALUE"""),"Grateful Geegee patawa ka😛😝😜")</f>
        <v>Grateful Geegee patawa ka😛😝😜</v>
      </c>
      <c r="F943" s="1"/>
      <c r="G943" s="1" t="str">
        <f ca="1">IFERROR(__xludf.DUMMYFUNCTION("""COMPUTED_VALUE"""),"3 mos")</f>
        <v>3 mos</v>
      </c>
      <c r="H943" s="1" t="str">
        <f ca="1">IFERROR(__xludf.DUMMYFUNCTION("""COMPUTED_VALUE"""),"reply")</f>
        <v>reply</v>
      </c>
      <c r="I943" s="2" t="str">
        <f ca="1">IFERROR(__xludf.DUMMYFUNCTION("""COMPUTED_VALUE"""),"https://www.facebook.com/rapplerdotcom/photos/a.317154781638645/5596043783749692/")</f>
        <v>https://www.facebook.com/rapplerdotcom/photos/a.317154781638645/5596043783749692/</v>
      </c>
      <c r="J943" s="1" t="str">
        <f ca="1">IFERROR(__xludf.DUMMYFUNCTION("""COMPUTED_VALUE"""),"2022-07-04T15:38:38.277Z")</f>
        <v>2022-07-04T15:38:38.277Z</v>
      </c>
    </row>
    <row r="944" spans="1:10" x14ac:dyDescent="0.2">
      <c r="A944" s="2" t="str">
        <f ca="1">IFERROR(__xludf.DUMMYFUNCTION("""COMPUTED_VALUE"""),"https://www.facebook.com/donato.antonio.75")</f>
        <v>https://www.facebook.com/donato.antonio.75</v>
      </c>
      <c r="B944" s="1" t="str">
        <f ca="1">IFERROR(__xludf.DUMMYFUNCTION("""COMPUTED_VALUE"""),"Donato Antonio")</f>
        <v>Donato Antonio</v>
      </c>
      <c r="C944" s="1" t="str">
        <f ca="1">IFERROR(__xludf.DUMMYFUNCTION("""COMPUTED_VALUE"""),"Donato")</f>
        <v>Donato</v>
      </c>
      <c r="D944" s="1" t="str">
        <f ca="1">IFERROR(__xludf.DUMMYFUNCTION("""COMPUTED_VALUE"""),"Antonio")</f>
        <v>Antonio</v>
      </c>
      <c r="E944" s="1" t="str">
        <f ca="1">IFERROR(__xludf.DUMMYFUNCTION("""COMPUTED_VALUE"""),"Grateful Geegee balik mga adik")</f>
        <v>Grateful Geegee balik mga adik</v>
      </c>
      <c r="F944" s="1"/>
      <c r="G944" s="1" t="str">
        <f ca="1">IFERROR(__xludf.DUMMYFUNCTION("""COMPUTED_VALUE"""),"3 mos")</f>
        <v>3 mos</v>
      </c>
      <c r="H944" s="1" t="str">
        <f ca="1">IFERROR(__xludf.DUMMYFUNCTION("""COMPUTED_VALUE"""),"reply")</f>
        <v>reply</v>
      </c>
      <c r="I944" s="2" t="str">
        <f ca="1">IFERROR(__xludf.DUMMYFUNCTION("""COMPUTED_VALUE"""),"https://www.facebook.com/rapplerdotcom/photos/a.317154781638645/5596043783749692/")</f>
        <v>https://www.facebook.com/rapplerdotcom/photos/a.317154781638645/5596043783749692/</v>
      </c>
      <c r="J944" s="1" t="str">
        <f ca="1">IFERROR(__xludf.DUMMYFUNCTION("""COMPUTED_VALUE"""),"2022-07-04T15:38:38.277Z")</f>
        <v>2022-07-04T15:38:38.277Z</v>
      </c>
    </row>
    <row r="945" spans="1:10" x14ac:dyDescent="0.2">
      <c r="A945" s="2" t="str">
        <f ca="1">IFERROR(__xludf.DUMMYFUNCTION("""COMPUTED_VALUE"""),"https://www.facebook.com/robertoainzaolayon")</f>
        <v>https://www.facebook.com/robertoainzaolayon</v>
      </c>
      <c r="B945" s="1" t="str">
        <f ca="1">IFERROR(__xludf.DUMMYFUNCTION("""COMPUTED_VALUE"""),"Roberto Ainza Olayon")</f>
        <v>Roberto Ainza Olayon</v>
      </c>
      <c r="C945" s="1" t="str">
        <f ca="1">IFERROR(__xludf.DUMMYFUNCTION("""COMPUTED_VALUE"""),"Roberto")</f>
        <v>Roberto</v>
      </c>
      <c r="D945" s="1" t="str">
        <f ca="1">IFERROR(__xludf.DUMMYFUNCTION("""COMPUTED_VALUE"""),"Ainza Olayon")</f>
        <v>Ainza Olayon</v>
      </c>
      <c r="E945" s="1" t="str">
        <f ca="1">IFERROR(__xludf.DUMMYFUNCTION("""COMPUTED_VALUE"""),"Unithieves 5k lang at indoor d pa mapuno at ang saya saya may agawan pagkain agawang karton,agawang pila sa pagkuha pera(bayad)rambulan at batuhan silya at iba pa,dukutan ng wallet,sikwatan ng celphone marami pang iba,yan kase ang hakot d magkakakilala")</f>
        <v>Unithieves 5k lang at indoor d pa mapuno at ang saya saya may agawan pagkain agawang karton,agawang pila sa pagkuha pera(bayad)rambulan at batuhan silya at iba pa,dukutan ng wallet,sikwatan ng celphone marami pang iba,yan kase ang hakot d magkakakilala</v>
      </c>
      <c r="F945" s="1">
        <f ca="1">IFERROR(__xludf.DUMMYFUNCTION("""COMPUTED_VALUE"""),1)</f>
        <v>1</v>
      </c>
      <c r="G945" s="1" t="str">
        <f ca="1">IFERROR(__xludf.DUMMYFUNCTION("""COMPUTED_VALUE"""),"3 mos")</f>
        <v>3 mos</v>
      </c>
      <c r="H945" s="1" t="str">
        <f ca="1">IFERROR(__xludf.DUMMYFUNCTION("""COMPUTED_VALUE"""),"comment")</f>
        <v>comment</v>
      </c>
      <c r="I945" s="2" t="str">
        <f ca="1">IFERROR(__xludf.DUMMYFUNCTION("""COMPUTED_VALUE"""),"https://www.facebook.com/rapplerdotcom/photos/a.317154781638645/5596043783749692/")</f>
        <v>https://www.facebook.com/rapplerdotcom/photos/a.317154781638645/5596043783749692/</v>
      </c>
      <c r="J945" s="1" t="str">
        <f ca="1">IFERROR(__xludf.DUMMYFUNCTION("""COMPUTED_VALUE"""),"2022-07-04T15:38:38.277Z")</f>
        <v>2022-07-04T15:38:38.277Z</v>
      </c>
    </row>
    <row r="946" spans="1:10" x14ac:dyDescent="0.2">
      <c r="A946" s="2" t="str">
        <f ca="1">IFERROR(__xludf.DUMMYFUNCTION("""COMPUTED_VALUE"""),"https://www.facebook.com/yspuj")</f>
        <v>https://www.facebook.com/yspuj</v>
      </c>
      <c r="B946" s="1" t="str">
        <f ca="1">IFERROR(__xludf.DUMMYFUNCTION("""COMPUTED_VALUE"""),"Jupi Ugalde Gerance")</f>
        <v>Jupi Ugalde Gerance</v>
      </c>
      <c r="C946" s="1" t="str">
        <f ca="1">IFERROR(__xludf.DUMMYFUNCTION("""COMPUTED_VALUE"""),"Jupi")</f>
        <v>Jupi</v>
      </c>
      <c r="D946" s="1" t="str">
        <f ca="1">IFERROR(__xludf.DUMMYFUNCTION("""COMPUTED_VALUE"""),"Ugalde Gerance")</f>
        <v>Ugalde Gerance</v>
      </c>
      <c r="E946" s="1" t="str">
        <f ca="1">IFERROR(__xludf.DUMMYFUNCTION("""COMPUTED_VALUE"""),"37,000 lang. dapat 97,999 bka kulelat pa rin ✌️👊")</f>
        <v>37,000 lang. dapat 97,999 bka kulelat pa rin ✌️👊</v>
      </c>
      <c r="F946" s="1"/>
      <c r="G946" s="1" t="str">
        <f ca="1">IFERROR(__xludf.DUMMYFUNCTION("""COMPUTED_VALUE"""),"3 mos")</f>
        <v>3 mos</v>
      </c>
      <c r="H946" s="1" t="str">
        <f ca="1">IFERROR(__xludf.DUMMYFUNCTION("""COMPUTED_VALUE"""),"comment")</f>
        <v>comment</v>
      </c>
      <c r="I946" s="2" t="str">
        <f ca="1">IFERROR(__xludf.DUMMYFUNCTION("""COMPUTED_VALUE"""),"https://www.facebook.com/rapplerdotcom/photos/a.317154781638645/5596043783749692/")</f>
        <v>https://www.facebook.com/rapplerdotcom/photos/a.317154781638645/5596043783749692/</v>
      </c>
      <c r="J946" s="1" t="str">
        <f ca="1">IFERROR(__xludf.DUMMYFUNCTION("""COMPUTED_VALUE"""),"2022-07-04T15:38:38.277Z")</f>
        <v>2022-07-04T15:38:38.277Z</v>
      </c>
    </row>
    <row r="947" spans="1:10" x14ac:dyDescent="0.2">
      <c r="A947" s="2" t="str">
        <f ca="1">IFERROR(__xludf.DUMMYFUNCTION("""COMPUTED_VALUE"""),"https://www.facebook.com/tapic.pagsuguiron")</f>
        <v>https://www.facebook.com/tapic.pagsuguiron</v>
      </c>
      <c r="B947" s="1" t="str">
        <f ca="1">IFERROR(__xludf.DUMMYFUNCTION("""COMPUTED_VALUE"""),"Tapic Pagsuguiron")</f>
        <v>Tapic Pagsuguiron</v>
      </c>
      <c r="C947" s="1" t="str">
        <f ca="1">IFERROR(__xludf.DUMMYFUNCTION("""COMPUTED_VALUE"""),"Tapic")</f>
        <v>Tapic</v>
      </c>
      <c r="D947" s="1" t="str">
        <f ca="1">IFERROR(__xludf.DUMMYFUNCTION("""COMPUTED_VALUE"""),"Pagsuguiron")</f>
        <v>Pagsuguiron</v>
      </c>
      <c r="E947" s="1" t="str">
        <f ca="1">IFERROR(__xludf.DUMMYFUNCTION("""COMPUTED_VALUE"""),"Ano ngayon..... Talo parin kayo")</f>
        <v>Ano ngayon..... Talo parin kayo</v>
      </c>
      <c r="F947" s="1">
        <f ca="1">IFERROR(__xludf.DUMMYFUNCTION("""COMPUTED_VALUE"""),3)</f>
        <v>3</v>
      </c>
      <c r="G947" s="1" t="str">
        <f ca="1">IFERROR(__xludf.DUMMYFUNCTION("""COMPUTED_VALUE"""),"3 mos")</f>
        <v>3 mos</v>
      </c>
      <c r="H947" s="1" t="str">
        <f ca="1">IFERROR(__xludf.DUMMYFUNCTION("""COMPUTED_VALUE"""),"comment")</f>
        <v>comment</v>
      </c>
      <c r="I947" s="2" t="str">
        <f ca="1">IFERROR(__xludf.DUMMYFUNCTION("""COMPUTED_VALUE"""),"https://www.facebook.com/rapplerdotcom/photos/a.317154781638645/5596043783749692/")</f>
        <v>https://www.facebook.com/rapplerdotcom/photos/a.317154781638645/5596043783749692/</v>
      </c>
      <c r="J947" s="1" t="str">
        <f ca="1">IFERROR(__xludf.DUMMYFUNCTION("""COMPUTED_VALUE"""),"2022-07-04T15:38:38.277Z")</f>
        <v>2022-07-04T15:38:38.277Z</v>
      </c>
    </row>
    <row r="948" spans="1:10" x14ac:dyDescent="0.2">
      <c r="A948" s="2" t="str">
        <f ca="1">IFERROR(__xludf.DUMMYFUNCTION("""COMPUTED_VALUE"""),"https://www.facebook.com/wasakgregg")</f>
        <v>https://www.facebook.com/wasakgregg</v>
      </c>
      <c r="B948" s="1" t="str">
        <f ca="1">IFERROR(__xludf.DUMMYFUNCTION("""COMPUTED_VALUE"""),"Gregg Fuentes")</f>
        <v>Gregg Fuentes</v>
      </c>
      <c r="C948" s="1" t="str">
        <f ca="1">IFERROR(__xludf.DUMMYFUNCTION("""COMPUTED_VALUE"""),"Gregg")</f>
        <v>Gregg</v>
      </c>
      <c r="D948" s="1" t="str">
        <f ca="1">IFERROR(__xludf.DUMMYFUNCTION("""COMPUTED_VALUE"""),"Fuentes")</f>
        <v>Fuentes</v>
      </c>
      <c r="E948" s="1" t="str">
        <f ca="1">IFERROR(__xludf.DUMMYFUNCTION("""COMPUTED_VALUE"""),"Tapic Pagsuguiron wala kasing banda sa inyo noh pag nah rarally. Kaya inggit ka ngayon eh")</f>
        <v>Tapic Pagsuguiron wala kasing banda sa inyo noh pag nah rarally. Kaya inggit ka ngayon eh</v>
      </c>
      <c r="F948" s="1">
        <f ca="1">IFERROR(__xludf.DUMMYFUNCTION("""COMPUTED_VALUE"""),3)</f>
        <v>3</v>
      </c>
      <c r="G948" s="1" t="str">
        <f ca="1">IFERROR(__xludf.DUMMYFUNCTION("""COMPUTED_VALUE"""),"3 mos")</f>
        <v>3 mos</v>
      </c>
      <c r="H948" s="1" t="str">
        <f ca="1">IFERROR(__xludf.DUMMYFUNCTION("""COMPUTED_VALUE"""),"reply")</f>
        <v>reply</v>
      </c>
      <c r="I948" s="2" t="str">
        <f ca="1">IFERROR(__xludf.DUMMYFUNCTION("""COMPUTED_VALUE"""),"https://www.facebook.com/rapplerdotcom/photos/a.317154781638645/5596043783749692/")</f>
        <v>https://www.facebook.com/rapplerdotcom/photos/a.317154781638645/5596043783749692/</v>
      </c>
      <c r="J948" s="1" t="str">
        <f ca="1">IFERROR(__xludf.DUMMYFUNCTION("""COMPUTED_VALUE"""),"2022-07-04T15:38:38.277Z")</f>
        <v>2022-07-04T15:38:38.277Z</v>
      </c>
    </row>
    <row r="949" spans="1:10" x14ac:dyDescent="0.2">
      <c r="A949" s="2" t="str">
        <f ca="1">IFERROR(__xludf.DUMMYFUNCTION("""COMPUTED_VALUE"""),"https://www.facebook.com/fclcandari")</f>
        <v>https://www.facebook.com/fclcandari</v>
      </c>
      <c r="B949" s="1" t="str">
        <f ca="1">IFERROR(__xludf.DUMMYFUNCTION("""COMPUTED_VALUE"""),"ルカ ルカ")</f>
        <v>ルカ ルカ</v>
      </c>
      <c r="C949" s="1" t="str">
        <f ca="1">IFERROR(__xludf.DUMMYFUNCTION("""COMPUTED_VALUE"""),"ルカ")</f>
        <v>ルカ</v>
      </c>
      <c r="D949" s="1" t="str">
        <f ca="1">IFERROR(__xludf.DUMMYFUNCTION("""COMPUTED_VALUE"""),"ルカ")</f>
        <v>ルカ</v>
      </c>
      <c r="E949" s="1" t="str">
        <f ca="1">IFERROR(__xludf.DUMMYFUNCTION("""COMPUTED_VALUE"""),"Dapat palitan hashtag from vote to droneshot...")</f>
        <v>Dapat palitan hashtag from vote to droneshot...</v>
      </c>
      <c r="F949" s="1"/>
      <c r="G949" s="1" t="str">
        <f ca="1">IFERROR(__xludf.DUMMYFUNCTION("""COMPUTED_VALUE"""),"3 mos")</f>
        <v>3 mos</v>
      </c>
      <c r="H949" s="1" t="str">
        <f ca="1">IFERROR(__xludf.DUMMYFUNCTION("""COMPUTED_VALUE"""),"comment")</f>
        <v>comment</v>
      </c>
      <c r="I949" s="2" t="str">
        <f ca="1">IFERROR(__xludf.DUMMYFUNCTION("""COMPUTED_VALUE"""),"https://www.facebook.com/rapplerdotcom/photos/a.317154781638645/5596043783749692/")</f>
        <v>https://www.facebook.com/rapplerdotcom/photos/a.317154781638645/5596043783749692/</v>
      </c>
      <c r="J949" s="1" t="str">
        <f ca="1">IFERROR(__xludf.DUMMYFUNCTION("""COMPUTED_VALUE"""),"2022-07-04T15:38:38.277Z")</f>
        <v>2022-07-04T15:38:38.277Z</v>
      </c>
    </row>
    <row r="950" spans="1:10" x14ac:dyDescent="0.2">
      <c r="A950" s="2" t="str">
        <f ca="1">IFERROR(__xludf.DUMMYFUNCTION("""COMPUTED_VALUE"""),"https://www.facebook.com/regine.tamayo1")</f>
        <v>https://www.facebook.com/regine.tamayo1</v>
      </c>
      <c r="B950" s="1" t="str">
        <f ca="1">IFERROR(__xludf.DUMMYFUNCTION("""COMPUTED_VALUE"""),"Regine Baluyut Tamayo")</f>
        <v>Regine Baluyut Tamayo</v>
      </c>
      <c r="C950" s="1" t="str">
        <f ca="1">IFERROR(__xludf.DUMMYFUNCTION("""COMPUTED_VALUE"""),"Regine")</f>
        <v>Regine</v>
      </c>
      <c r="D950" s="1" t="str">
        <f ca="1">IFERROR(__xludf.DUMMYFUNCTION("""COMPUTED_VALUE"""),"Baluyut Tamayo")</f>
        <v>Baluyut Tamayo</v>
      </c>
      <c r="E950" s="1" t="str">
        <f ca="1">IFERROR(__xludf.DUMMYFUNCTION("""COMPUTED_VALUE"""),"#LeniKikoForTheWin🌸🌸 #IpanaloNa10To 🌸🌸 #GobyernongTapat 🌸🌸 #AngatBuhayLahat🌸🌸")</f>
        <v>#LeniKikoForTheWin🌸🌸 #IpanaloNa10To 🌸🌸 #GobyernongTapat 🌸🌸 #AngatBuhayLahat🌸🌸</v>
      </c>
      <c r="F950" s="1"/>
      <c r="G950" s="1" t="str">
        <f ca="1">IFERROR(__xludf.DUMMYFUNCTION("""COMPUTED_VALUE"""),"3 mos")</f>
        <v>3 mos</v>
      </c>
      <c r="H950" s="1" t="str">
        <f ca="1">IFERROR(__xludf.DUMMYFUNCTION("""COMPUTED_VALUE"""),"comment")</f>
        <v>comment</v>
      </c>
      <c r="I950" s="2" t="str">
        <f ca="1">IFERROR(__xludf.DUMMYFUNCTION("""COMPUTED_VALUE"""),"https://www.facebook.com/rapplerdotcom/photos/a.317154781638645/5596043783749692/")</f>
        <v>https://www.facebook.com/rapplerdotcom/photos/a.317154781638645/5596043783749692/</v>
      </c>
      <c r="J950" s="1" t="str">
        <f ca="1">IFERROR(__xludf.DUMMYFUNCTION("""COMPUTED_VALUE"""),"2022-07-04T15:38:38.277Z")</f>
        <v>2022-07-04T15:38:38.277Z</v>
      </c>
    </row>
    <row r="951" spans="1:10" x14ac:dyDescent="0.2">
      <c r="A951" s="2" t="str">
        <f ca="1">IFERROR(__xludf.DUMMYFUNCTION("""COMPUTED_VALUE"""),"https://www.facebook.com/Aprilche888")</f>
        <v>https://www.facebook.com/Aprilche888</v>
      </c>
      <c r="B951" s="1" t="str">
        <f ca="1">IFERROR(__xludf.DUMMYFUNCTION("""COMPUTED_VALUE"""),"Che Rry")</f>
        <v>Che Rry</v>
      </c>
      <c r="C951" s="1" t="str">
        <f ca="1">IFERROR(__xludf.DUMMYFUNCTION("""COMPUTED_VALUE"""),"Che")</f>
        <v>Che</v>
      </c>
      <c r="D951" s="1" t="str">
        <f ca="1">IFERROR(__xludf.DUMMYFUNCTION("""COMPUTED_VALUE"""),"Rry")</f>
        <v>Rry</v>
      </c>
      <c r="E951" s="1" t="str">
        <f ca="1">IFERROR(__xludf.DUMMYFUNCTION("""COMPUTED_VALUE"""),"Che Rry")</f>
        <v>Che Rry</v>
      </c>
      <c r="F951" s="1">
        <f ca="1">IFERROR(__xludf.DUMMYFUNCTION("""COMPUTED_VALUE"""),3)</f>
        <v>3</v>
      </c>
      <c r="G951" s="1" t="str">
        <f ca="1">IFERROR(__xludf.DUMMYFUNCTION("""COMPUTED_VALUE"""),"3 mos")</f>
        <v>3 mos</v>
      </c>
      <c r="H951" s="1" t="str">
        <f ca="1">IFERROR(__xludf.DUMMYFUNCTION("""COMPUTED_VALUE"""),"comment")</f>
        <v>comment</v>
      </c>
      <c r="I951" s="2" t="str">
        <f ca="1">IFERROR(__xludf.DUMMYFUNCTION("""COMPUTED_VALUE"""),"https://www.facebook.com/rapplerdotcom/photos/a.317154781638645/5596043783749692/")</f>
        <v>https://www.facebook.com/rapplerdotcom/photos/a.317154781638645/5596043783749692/</v>
      </c>
      <c r="J951" s="1" t="str">
        <f ca="1">IFERROR(__xludf.DUMMYFUNCTION("""COMPUTED_VALUE"""),"2022-07-04T15:38:38.277Z")</f>
        <v>2022-07-04T15:38:38.277Z</v>
      </c>
    </row>
    <row r="952" spans="1:10" x14ac:dyDescent="0.2">
      <c r="A952" s="2" t="str">
        <f ca="1">IFERROR(__xludf.DUMMYFUNCTION("""COMPUTED_VALUE"""),"https://www.facebook.com/kim.sioson")</f>
        <v>https://www.facebook.com/kim.sioson</v>
      </c>
      <c r="B952" s="1" t="str">
        <f ca="1">IFERROR(__xludf.DUMMYFUNCTION("""COMPUTED_VALUE"""),"Kim Sioson")</f>
        <v>Kim Sioson</v>
      </c>
      <c r="C952" s="1" t="str">
        <f ca="1">IFERROR(__xludf.DUMMYFUNCTION("""COMPUTED_VALUE"""),"Kim")</f>
        <v>Kim</v>
      </c>
      <c r="D952" s="1" t="str">
        <f ca="1">IFERROR(__xludf.DUMMYFUNCTION("""COMPUTED_VALUE"""),"Sioson")</f>
        <v>Sioson</v>
      </c>
      <c r="E952" s="1" t="str">
        <f ca="1">IFERROR(__xludf.DUMMYFUNCTION("""COMPUTED_VALUE"""),"Kim Sioson")</f>
        <v>Kim Sioson</v>
      </c>
      <c r="F952" s="1">
        <f ca="1">IFERROR(__xludf.DUMMYFUNCTION("""COMPUTED_VALUE"""),2)</f>
        <v>2</v>
      </c>
      <c r="G952" s="1" t="str">
        <f ca="1">IFERROR(__xludf.DUMMYFUNCTION("""COMPUTED_VALUE"""),"3 mos")</f>
        <v>3 mos</v>
      </c>
      <c r="H952" s="1" t="str">
        <f ca="1">IFERROR(__xludf.DUMMYFUNCTION("""COMPUTED_VALUE"""),"comment")</f>
        <v>comment</v>
      </c>
      <c r="I952" s="2" t="str">
        <f ca="1">IFERROR(__xludf.DUMMYFUNCTION("""COMPUTED_VALUE"""),"https://www.facebook.com/rapplerdotcom/photos/a.317154781638645/5596043783749692/")</f>
        <v>https://www.facebook.com/rapplerdotcom/photos/a.317154781638645/5596043783749692/</v>
      </c>
      <c r="J952" s="1" t="str">
        <f ca="1">IFERROR(__xludf.DUMMYFUNCTION("""COMPUTED_VALUE"""),"2022-07-04T15:38:38.277Z")</f>
        <v>2022-07-04T15:38:38.277Z</v>
      </c>
    </row>
    <row r="953" spans="1:10" x14ac:dyDescent="0.2">
      <c r="A953" s="2" t="str">
        <f ca="1">IFERROR(__xludf.DUMMYFUNCTION("""COMPUTED_VALUE"""),"https://www.facebook.com/erl.lim")</f>
        <v>https://www.facebook.com/erl.lim</v>
      </c>
      <c r="B953" s="1" t="str">
        <f ca="1">IFERROR(__xludf.DUMMYFUNCTION("""COMPUTED_VALUE"""),"Erl Lim")</f>
        <v>Erl Lim</v>
      </c>
      <c r="C953" s="1" t="str">
        <f ca="1">IFERROR(__xludf.DUMMYFUNCTION("""COMPUTED_VALUE"""),"Erl")</f>
        <v>Erl</v>
      </c>
      <c r="D953" s="1" t="str">
        <f ca="1">IFERROR(__xludf.DUMMYFUNCTION("""COMPUTED_VALUE"""),"Lim")</f>
        <v>Lim</v>
      </c>
      <c r="E953" s="1" t="str">
        <f ca="1">IFERROR(__xludf.DUMMYFUNCTION("""COMPUTED_VALUE"""),"Erl Lim")</f>
        <v>Erl Lim</v>
      </c>
      <c r="F953" s="1">
        <f ca="1">IFERROR(__xludf.DUMMYFUNCTION("""COMPUTED_VALUE"""),1)</f>
        <v>1</v>
      </c>
      <c r="G953" s="1" t="str">
        <f ca="1">IFERROR(__xludf.DUMMYFUNCTION("""COMPUTED_VALUE"""),"3 mos")</f>
        <v>3 mos</v>
      </c>
      <c r="H953" s="1" t="str">
        <f ca="1">IFERROR(__xludf.DUMMYFUNCTION("""COMPUTED_VALUE"""),"comment")</f>
        <v>comment</v>
      </c>
      <c r="I953" s="2" t="str">
        <f ca="1">IFERROR(__xludf.DUMMYFUNCTION("""COMPUTED_VALUE"""),"https://www.facebook.com/rapplerdotcom/photos/a.317154781638645/5596043783749692/")</f>
        <v>https://www.facebook.com/rapplerdotcom/photos/a.317154781638645/5596043783749692/</v>
      </c>
      <c r="J953" s="1" t="str">
        <f ca="1">IFERROR(__xludf.DUMMYFUNCTION("""COMPUTED_VALUE"""),"2022-07-04T15:38:38.277Z")</f>
        <v>2022-07-04T15:38:38.277Z</v>
      </c>
    </row>
    <row r="954" spans="1:10" x14ac:dyDescent="0.2">
      <c r="A954" s="2" t="str">
        <f ca="1">IFERROR(__xludf.DUMMYFUNCTION("""COMPUTED_VALUE"""),"https://www.facebook.com/kim.sioson")</f>
        <v>https://www.facebook.com/kim.sioson</v>
      </c>
      <c r="B954" s="1" t="str">
        <f ca="1">IFERROR(__xludf.DUMMYFUNCTION("""COMPUTED_VALUE"""),"Kim Sioson")</f>
        <v>Kim Sioson</v>
      </c>
      <c r="C954" s="1" t="str">
        <f ca="1">IFERROR(__xludf.DUMMYFUNCTION("""COMPUTED_VALUE"""),"Kim")</f>
        <v>Kim</v>
      </c>
      <c r="D954" s="1" t="str">
        <f ca="1">IFERROR(__xludf.DUMMYFUNCTION("""COMPUTED_VALUE"""),"Sioson")</f>
        <v>Sioson</v>
      </c>
      <c r="E954" s="1" t="str">
        <f ca="1">IFERROR(__xludf.DUMMYFUNCTION("""COMPUTED_VALUE"""),"Kim Sioson")</f>
        <v>Kim Sioson</v>
      </c>
      <c r="F954" s="1"/>
      <c r="G954" s="1" t="str">
        <f ca="1">IFERROR(__xludf.DUMMYFUNCTION("""COMPUTED_VALUE"""),"3 mos")</f>
        <v>3 mos</v>
      </c>
      <c r="H954" s="1" t="str">
        <f ca="1">IFERROR(__xludf.DUMMYFUNCTION("""COMPUTED_VALUE"""),"comment")</f>
        <v>comment</v>
      </c>
      <c r="I954" s="2" t="str">
        <f ca="1">IFERROR(__xludf.DUMMYFUNCTION("""COMPUTED_VALUE"""),"https://www.facebook.com/rapplerdotcom/photos/a.317154781638645/5596043783749692/")</f>
        <v>https://www.facebook.com/rapplerdotcom/photos/a.317154781638645/5596043783749692/</v>
      </c>
      <c r="J954" s="1" t="str">
        <f ca="1">IFERROR(__xludf.DUMMYFUNCTION("""COMPUTED_VALUE"""),"2022-07-04T15:38:38.277Z")</f>
        <v>2022-07-04T15:38:38.277Z</v>
      </c>
    </row>
    <row r="955" spans="1:10" x14ac:dyDescent="0.2">
      <c r="A955" s="2" t="str">
        <f ca="1">IFERROR(__xludf.DUMMYFUNCTION("""COMPUTED_VALUE"""),"https://www.facebook.com/bernardo.nicolas.3382")</f>
        <v>https://www.facebook.com/bernardo.nicolas.3382</v>
      </c>
      <c r="B955" s="1" t="str">
        <f ca="1">IFERROR(__xludf.DUMMYFUNCTION("""COMPUTED_VALUE"""),"Bernardo Nicolas")</f>
        <v>Bernardo Nicolas</v>
      </c>
      <c r="C955" s="1" t="str">
        <f ca="1">IFERROR(__xludf.DUMMYFUNCTION("""COMPUTED_VALUE"""),"Bernardo")</f>
        <v>Bernardo</v>
      </c>
      <c r="D955" s="1" t="str">
        <f ca="1">IFERROR(__xludf.DUMMYFUNCTION("""COMPUTED_VALUE"""),"Nicolas")</f>
        <v>Nicolas</v>
      </c>
      <c r="E955" s="1" t="str">
        <f ca="1">IFERROR(__xludf.DUMMYFUNCTION("""COMPUTED_VALUE"""),"Bernardo Nicolas")</f>
        <v>Bernardo Nicolas</v>
      </c>
      <c r="F955" s="1">
        <f ca="1">IFERROR(__xludf.DUMMYFUNCTION("""COMPUTED_VALUE"""),2)</f>
        <v>2</v>
      </c>
      <c r="G955" s="1" t="str">
        <f ca="1">IFERROR(__xludf.DUMMYFUNCTION("""COMPUTED_VALUE"""),"3 mos")</f>
        <v>3 mos</v>
      </c>
      <c r="H955" s="1" t="str">
        <f ca="1">IFERROR(__xludf.DUMMYFUNCTION("""COMPUTED_VALUE"""),"comment")</f>
        <v>comment</v>
      </c>
      <c r="I955" s="2" t="str">
        <f ca="1">IFERROR(__xludf.DUMMYFUNCTION("""COMPUTED_VALUE"""),"https://www.facebook.com/rapplerdotcom/photos/a.317154781638645/5596043783749692/")</f>
        <v>https://www.facebook.com/rapplerdotcom/photos/a.317154781638645/5596043783749692/</v>
      </c>
      <c r="J955" s="1" t="str">
        <f ca="1">IFERROR(__xludf.DUMMYFUNCTION("""COMPUTED_VALUE"""),"2022-07-04T15:38:38.277Z")</f>
        <v>2022-07-04T15:38:38.277Z</v>
      </c>
    </row>
    <row r="956" spans="1:10" x14ac:dyDescent="0.2">
      <c r="A956" s="2" t="str">
        <f ca="1">IFERROR(__xludf.DUMMYFUNCTION("""COMPUTED_VALUE"""),"https://www.facebook.com/kt.gd.425")</f>
        <v>https://www.facebook.com/kt.gd.425</v>
      </c>
      <c r="B956" s="1" t="str">
        <f ca="1">IFERROR(__xludf.DUMMYFUNCTION("""COMPUTED_VALUE"""),"Kassandra Daitol")</f>
        <v>Kassandra Daitol</v>
      </c>
      <c r="C956" s="1" t="str">
        <f ca="1">IFERROR(__xludf.DUMMYFUNCTION("""COMPUTED_VALUE"""),"Kassandra")</f>
        <v>Kassandra</v>
      </c>
      <c r="D956" s="1" t="str">
        <f ca="1">IFERROR(__xludf.DUMMYFUNCTION("""COMPUTED_VALUE"""),"Daitol")</f>
        <v>Daitol</v>
      </c>
      <c r="E956" s="1" t="str">
        <f ca="1">IFERROR(__xludf.DUMMYFUNCTION("""COMPUTED_VALUE"""),"Kassandra Daitol")</f>
        <v>Kassandra Daitol</v>
      </c>
      <c r="F956" s="1">
        <f ca="1">IFERROR(__xludf.DUMMYFUNCTION("""COMPUTED_VALUE"""),4)</f>
        <v>4</v>
      </c>
      <c r="G956" s="1" t="str">
        <f ca="1">IFERROR(__xludf.DUMMYFUNCTION("""COMPUTED_VALUE"""),"3 mos")</f>
        <v>3 mos</v>
      </c>
      <c r="H956" s="1" t="str">
        <f ca="1">IFERROR(__xludf.DUMMYFUNCTION("""COMPUTED_VALUE"""),"comment")</f>
        <v>comment</v>
      </c>
      <c r="I956" s="2" t="str">
        <f ca="1">IFERROR(__xludf.DUMMYFUNCTION("""COMPUTED_VALUE"""),"https://www.facebook.com/rapplerdotcom/photos/a.317154781638645/5596043783749692/")</f>
        <v>https://www.facebook.com/rapplerdotcom/photos/a.317154781638645/5596043783749692/</v>
      </c>
      <c r="J956" s="1" t="str">
        <f ca="1">IFERROR(__xludf.DUMMYFUNCTION("""COMPUTED_VALUE"""),"2022-07-04T15:38:38.277Z")</f>
        <v>2022-07-04T15:38:38.277Z</v>
      </c>
    </row>
    <row r="957" spans="1:10" x14ac:dyDescent="0.2">
      <c r="A957" s="2" t="str">
        <f ca="1">IFERROR(__xludf.DUMMYFUNCTION("""COMPUTED_VALUE"""),"https://www.facebook.com/yongcoonang")</f>
        <v>https://www.facebook.com/yongcoonang</v>
      </c>
      <c r="B957" s="1" t="str">
        <f ca="1">IFERROR(__xludf.DUMMYFUNCTION("""COMPUTED_VALUE"""),"Kelvin Billy")</f>
        <v>Kelvin Billy</v>
      </c>
      <c r="C957" s="1" t="str">
        <f ca="1">IFERROR(__xludf.DUMMYFUNCTION("""COMPUTED_VALUE"""),"Kelvin")</f>
        <v>Kelvin</v>
      </c>
      <c r="D957" s="1" t="str">
        <f ca="1">IFERROR(__xludf.DUMMYFUNCTION("""COMPUTED_VALUE"""),"Billy")</f>
        <v>Billy</v>
      </c>
      <c r="E957" s="1" t="str">
        <f ca="1">IFERROR(__xludf.DUMMYFUNCTION("""COMPUTED_VALUE"""),"Kassandra Daitol   ⚙️ EARN MONEY ONLINE WITHOUT GOING TO WORK OR STRESS YOURSELF  ⚙️if you're interested ☝️☝️☝️ just kindly click on the link to contact my Senior Cryptofx account manager for guidance 📩  Link 🔗🔗🔗  https://www.facebook.com/evlira.crypt"&amp;"ofxtrader")</f>
        <v>Kassandra Daitol   ⚙️ EARN MONEY ONLINE WITHOUT GOING TO WORK OR STRESS YOURSELF  ⚙️if you're interested ☝️☝️☝️ just kindly click on the link to contact my Senior Cryptofx account manager for guidance 📩  Link 🔗🔗🔗  https://www.facebook.com/evlira.cryptofxtrader</v>
      </c>
      <c r="F957" s="1"/>
      <c r="G957" s="1" t="str">
        <f ca="1">IFERROR(__xludf.DUMMYFUNCTION("""COMPUTED_VALUE"""),"3 mos")</f>
        <v>3 mos</v>
      </c>
      <c r="H957" s="1" t="str">
        <f ca="1">IFERROR(__xludf.DUMMYFUNCTION("""COMPUTED_VALUE"""),"reply")</f>
        <v>reply</v>
      </c>
      <c r="I957" s="2" t="str">
        <f ca="1">IFERROR(__xludf.DUMMYFUNCTION("""COMPUTED_VALUE"""),"https://www.facebook.com/rapplerdotcom/photos/a.317154781638645/5596043783749692/")</f>
        <v>https://www.facebook.com/rapplerdotcom/photos/a.317154781638645/5596043783749692/</v>
      </c>
      <c r="J957" s="1" t="str">
        <f ca="1">IFERROR(__xludf.DUMMYFUNCTION("""COMPUTED_VALUE"""),"2022-07-04T15:38:38.277Z")</f>
        <v>2022-07-04T15:38:38.277Z</v>
      </c>
    </row>
    <row r="958" spans="1:10" x14ac:dyDescent="0.2">
      <c r="A958" s="2" t="str">
        <f ca="1">IFERROR(__xludf.DUMMYFUNCTION("""COMPUTED_VALUE"""),"https://www.facebook.com/maripaz.mira")</f>
        <v>https://www.facebook.com/maripaz.mira</v>
      </c>
      <c r="B958" s="1" t="str">
        <f ca="1">IFERROR(__xludf.DUMMYFUNCTION("""COMPUTED_VALUE"""),"Maripaz Remoquillo Mira")</f>
        <v>Maripaz Remoquillo Mira</v>
      </c>
      <c r="C958" s="1" t="str">
        <f ca="1">IFERROR(__xludf.DUMMYFUNCTION("""COMPUTED_VALUE"""),"Maripaz")</f>
        <v>Maripaz</v>
      </c>
      <c r="D958" s="1" t="str">
        <f ca="1">IFERROR(__xludf.DUMMYFUNCTION("""COMPUTED_VALUE"""),"Remoquillo Mira")</f>
        <v>Remoquillo Mira</v>
      </c>
      <c r="E958" s="1" t="str">
        <f ca="1">IFERROR(__xludf.DUMMYFUNCTION("""COMPUTED_VALUE"""),"Kassandra Daito Me too.")</f>
        <v>Kassandra Daito Me too.</v>
      </c>
      <c r="F958" s="1"/>
      <c r="G958" s="1" t="str">
        <f ca="1">IFERROR(__xludf.DUMMYFUNCTION("""COMPUTED_VALUE"""),"3 mos")</f>
        <v>3 mos</v>
      </c>
      <c r="H958" s="1" t="str">
        <f ca="1">IFERROR(__xludf.DUMMYFUNCTION("""COMPUTED_VALUE"""),"reply")</f>
        <v>reply</v>
      </c>
      <c r="I958" s="2" t="str">
        <f ca="1">IFERROR(__xludf.DUMMYFUNCTION("""COMPUTED_VALUE"""),"https://www.facebook.com/rapplerdotcom/photos/a.317154781638645/5596043783749692/")</f>
        <v>https://www.facebook.com/rapplerdotcom/photos/a.317154781638645/5596043783749692/</v>
      </c>
      <c r="J958" s="1" t="str">
        <f ca="1">IFERROR(__xludf.DUMMYFUNCTION("""COMPUTED_VALUE"""),"2022-07-04T15:38:38.277Z")</f>
        <v>2022-07-04T15:38:38.277Z</v>
      </c>
    </row>
    <row r="959" spans="1:10" x14ac:dyDescent="0.2">
      <c r="A959" s="2" t="str">
        <f ca="1">IFERROR(__xludf.DUMMYFUNCTION("""COMPUTED_VALUE"""),"https://www.facebook.com/kim.sioson")</f>
        <v>https://www.facebook.com/kim.sioson</v>
      </c>
      <c r="B959" s="1" t="str">
        <f ca="1">IFERROR(__xludf.DUMMYFUNCTION("""COMPUTED_VALUE"""),"Kim Sioson")</f>
        <v>Kim Sioson</v>
      </c>
      <c r="C959" s="1" t="str">
        <f ca="1">IFERROR(__xludf.DUMMYFUNCTION("""COMPUTED_VALUE"""),"Kim")</f>
        <v>Kim</v>
      </c>
      <c r="D959" s="1" t="str">
        <f ca="1">IFERROR(__xludf.DUMMYFUNCTION("""COMPUTED_VALUE"""),"Sioson")</f>
        <v>Sioson</v>
      </c>
      <c r="E959" s="1" t="str">
        <f ca="1">IFERROR(__xludf.DUMMYFUNCTION("""COMPUTED_VALUE"""),"Kim Sioson")</f>
        <v>Kim Sioson</v>
      </c>
      <c r="F959" s="1"/>
      <c r="G959" s="1" t="str">
        <f ca="1">IFERROR(__xludf.DUMMYFUNCTION("""COMPUTED_VALUE"""),"3 mos")</f>
        <v>3 mos</v>
      </c>
      <c r="H959" s="1" t="str">
        <f ca="1">IFERROR(__xludf.DUMMYFUNCTION("""COMPUTED_VALUE"""),"comment")</f>
        <v>comment</v>
      </c>
      <c r="I959" s="2" t="str">
        <f ca="1">IFERROR(__xludf.DUMMYFUNCTION("""COMPUTED_VALUE"""),"https://www.facebook.com/rapplerdotcom/photos/a.317154781638645/5596043783749692/")</f>
        <v>https://www.facebook.com/rapplerdotcom/photos/a.317154781638645/5596043783749692/</v>
      </c>
      <c r="J959" s="1" t="str">
        <f ca="1">IFERROR(__xludf.DUMMYFUNCTION("""COMPUTED_VALUE"""),"2022-07-04T15:38:38.277Z")</f>
        <v>2022-07-04T15:38:38.277Z</v>
      </c>
    </row>
    <row r="960" spans="1:10" x14ac:dyDescent="0.2">
      <c r="A960" s="2" t="str">
        <f ca="1">IFERROR(__xludf.DUMMYFUNCTION("""COMPUTED_VALUE"""),"https://www.facebook.com/nelia.villanueva.39")</f>
        <v>https://www.facebook.com/nelia.villanueva.39</v>
      </c>
      <c r="B960" s="1" t="str">
        <f ca="1">IFERROR(__xludf.DUMMYFUNCTION("""COMPUTED_VALUE"""),"Nelia Villanueva")</f>
        <v>Nelia Villanueva</v>
      </c>
      <c r="C960" s="1" t="str">
        <f ca="1">IFERROR(__xludf.DUMMYFUNCTION("""COMPUTED_VALUE"""),"Nelia")</f>
        <v>Nelia</v>
      </c>
      <c r="D960" s="1" t="str">
        <f ca="1">IFERROR(__xludf.DUMMYFUNCTION("""COMPUTED_VALUE"""),"Villanueva")</f>
        <v>Villanueva</v>
      </c>
      <c r="E960" s="1" t="str">
        <f ca="1">IFERROR(__xludf.DUMMYFUNCTION("""COMPUTED_VALUE"""),"Nelia Villanueva")</f>
        <v>Nelia Villanueva</v>
      </c>
      <c r="F960" s="1"/>
      <c r="G960" s="1" t="str">
        <f ca="1">IFERROR(__xludf.DUMMYFUNCTION("""COMPUTED_VALUE"""),"3 mos")</f>
        <v>3 mos</v>
      </c>
      <c r="H960" s="1" t="str">
        <f ca="1">IFERROR(__xludf.DUMMYFUNCTION("""COMPUTED_VALUE"""),"comment")</f>
        <v>comment</v>
      </c>
      <c r="I960" s="2" t="str">
        <f ca="1">IFERROR(__xludf.DUMMYFUNCTION("""COMPUTED_VALUE"""),"https://www.facebook.com/rapplerdotcom/photos/a.317154781638645/5596043783749692/")</f>
        <v>https://www.facebook.com/rapplerdotcom/photos/a.317154781638645/5596043783749692/</v>
      </c>
      <c r="J960" s="1" t="str">
        <f ca="1">IFERROR(__xludf.DUMMYFUNCTION("""COMPUTED_VALUE"""),"2022-07-04T15:38:38.277Z")</f>
        <v>2022-07-04T15:38:38.277Z</v>
      </c>
    </row>
    <row r="961" spans="1:10" x14ac:dyDescent="0.2">
      <c r="A961" s="2" t="str">
        <f ca="1">IFERROR(__xludf.DUMMYFUNCTION("""COMPUTED_VALUE"""),"https://www.facebook.com/kim.sioson")</f>
        <v>https://www.facebook.com/kim.sioson</v>
      </c>
      <c r="B961" s="1" t="str">
        <f ca="1">IFERROR(__xludf.DUMMYFUNCTION("""COMPUTED_VALUE"""),"Kim Sioson")</f>
        <v>Kim Sioson</v>
      </c>
      <c r="C961" s="1" t="str">
        <f ca="1">IFERROR(__xludf.DUMMYFUNCTION("""COMPUTED_VALUE"""),"Kim")</f>
        <v>Kim</v>
      </c>
      <c r="D961" s="1" t="str">
        <f ca="1">IFERROR(__xludf.DUMMYFUNCTION("""COMPUTED_VALUE"""),"Sioson")</f>
        <v>Sioson</v>
      </c>
      <c r="E961" s="1" t="str">
        <f ca="1">IFERROR(__xludf.DUMMYFUNCTION("""COMPUTED_VALUE"""),"Kim Sioson")</f>
        <v>Kim Sioson</v>
      </c>
      <c r="F961" s="1"/>
      <c r="G961" s="1" t="str">
        <f ca="1">IFERROR(__xludf.DUMMYFUNCTION("""COMPUTED_VALUE"""),"3 mos")</f>
        <v>3 mos</v>
      </c>
      <c r="H961" s="1" t="str">
        <f ca="1">IFERROR(__xludf.DUMMYFUNCTION("""COMPUTED_VALUE"""),"comment")</f>
        <v>comment</v>
      </c>
      <c r="I961" s="2" t="str">
        <f ca="1">IFERROR(__xludf.DUMMYFUNCTION("""COMPUTED_VALUE"""),"https://www.facebook.com/rapplerdotcom/photos/a.317154781638645/5596043783749692/")</f>
        <v>https://www.facebook.com/rapplerdotcom/photos/a.317154781638645/5596043783749692/</v>
      </c>
      <c r="J961" s="1" t="str">
        <f ca="1">IFERROR(__xludf.DUMMYFUNCTION("""COMPUTED_VALUE"""),"2022-07-04T15:38:38.277Z")</f>
        <v>2022-07-04T15:38:38.277Z</v>
      </c>
    </row>
    <row r="962" spans="1:10" x14ac:dyDescent="0.2">
      <c r="A962" s="2" t="str">
        <f ca="1">IFERROR(__xludf.DUMMYFUNCTION("""COMPUTED_VALUE"""),"https://www.facebook.com/kim.sioson")</f>
        <v>https://www.facebook.com/kim.sioson</v>
      </c>
      <c r="B962" s="1" t="str">
        <f ca="1">IFERROR(__xludf.DUMMYFUNCTION("""COMPUTED_VALUE"""),"Kim Sioson")</f>
        <v>Kim Sioson</v>
      </c>
      <c r="C962" s="1" t="str">
        <f ca="1">IFERROR(__xludf.DUMMYFUNCTION("""COMPUTED_VALUE"""),"Kim")</f>
        <v>Kim</v>
      </c>
      <c r="D962" s="1" t="str">
        <f ca="1">IFERROR(__xludf.DUMMYFUNCTION("""COMPUTED_VALUE"""),"Sioson")</f>
        <v>Sioson</v>
      </c>
      <c r="E962" s="1" t="str">
        <f ca="1">IFERROR(__xludf.DUMMYFUNCTION("""COMPUTED_VALUE"""),"Kim Sioson")</f>
        <v>Kim Sioson</v>
      </c>
      <c r="F962" s="1"/>
      <c r="G962" s="1" t="str">
        <f ca="1">IFERROR(__xludf.DUMMYFUNCTION("""COMPUTED_VALUE"""),"3 mos")</f>
        <v>3 mos</v>
      </c>
      <c r="H962" s="1" t="str">
        <f ca="1">IFERROR(__xludf.DUMMYFUNCTION("""COMPUTED_VALUE"""),"comment")</f>
        <v>comment</v>
      </c>
      <c r="I962" s="2" t="str">
        <f ca="1">IFERROR(__xludf.DUMMYFUNCTION("""COMPUTED_VALUE"""),"https://www.facebook.com/rapplerdotcom/photos/a.317154781638645/5596043783749692/")</f>
        <v>https://www.facebook.com/rapplerdotcom/photos/a.317154781638645/5596043783749692/</v>
      </c>
      <c r="J962" s="1" t="str">
        <f ca="1">IFERROR(__xludf.DUMMYFUNCTION("""COMPUTED_VALUE"""),"2022-07-04T15:38:38.277Z")</f>
        <v>2022-07-04T15:38:38.277Z</v>
      </c>
    </row>
    <row r="963" spans="1:10" x14ac:dyDescent="0.2">
      <c r="A963" s="2" t="str">
        <f ca="1">IFERROR(__xludf.DUMMYFUNCTION("""COMPUTED_VALUE"""),"https://www.facebook.com/kim.sioson")</f>
        <v>https://www.facebook.com/kim.sioson</v>
      </c>
      <c r="B963" s="1" t="str">
        <f ca="1">IFERROR(__xludf.DUMMYFUNCTION("""COMPUTED_VALUE"""),"Kim Sioson")</f>
        <v>Kim Sioson</v>
      </c>
      <c r="C963" s="1" t="str">
        <f ca="1">IFERROR(__xludf.DUMMYFUNCTION("""COMPUTED_VALUE"""),"Kim")</f>
        <v>Kim</v>
      </c>
      <c r="D963" s="1" t="str">
        <f ca="1">IFERROR(__xludf.DUMMYFUNCTION("""COMPUTED_VALUE"""),"Sioson")</f>
        <v>Sioson</v>
      </c>
      <c r="E963" s="1" t="str">
        <f ca="1">IFERROR(__xludf.DUMMYFUNCTION("""COMPUTED_VALUE"""),"Kim Sioson")</f>
        <v>Kim Sioson</v>
      </c>
      <c r="F963" s="1"/>
      <c r="G963" s="1" t="str">
        <f ca="1">IFERROR(__xludf.DUMMYFUNCTION("""COMPUTED_VALUE"""),"3 mos")</f>
        <v>3 mos</v>
      </c>
      <c r="H963" s="1" t="str">
        <f ca="1">IFERROR(__xludf.DUMMYFUNCTION("""COMPUTED_VALUE"""),"comment")</f>
        <v>comment</v>
      </c>
      <c r="I963" s="2" t="str">
        <f ca="1">IFERROR(__xludf.DUMMYFUNCTION("""COMPUTED_VALUE"""),"https://www.facebook.com/rapplerdotcom/photos/a.317154781638645/5596043783749692/")</f>
        <v>https://www.facebook.com/rapplerdotcom/photos/a.317154781638645/5596043783749692/</v>
      </c>
      <c r="J963" s="1" t="str">
        <f ca="1">IFERROR(__xludf.DUMMYFUNCTION("""COMPUTED_VALUE"""),"2022-07-04T15:38:38.277Z")</f>
        <v>2022-07-04T15:38:38.277Z</v>
      </c>
    </row>
    <row r="964" spans="1:10" x14ac:dyDescent="0.2">
      <c r="A964" s="2" t="str">
        <f ca="1">IFERROR(__xludf.DUMMYFUNCTION("""COMPUTED_VALUE"""),"https://www.facebook.com/grace.r.israel")</f>
        <v>https://www.facebook.com/grace.r.israel</v>
      </c>
      <c r="B964" s="1" t="str">
        <f ca="1">IFERROR(__xludf.DUMMYFUNCTION("""COMPUTED_VALUE"""),"Grace Roncesvalles Israel")</f>
        <v>Grace Roncesvalles Israel</v>
      </c>
      <c r="C964" s="1" t="str">
        <f ca="1">IFERROR(__xludf.DUMMYFUNCTION("""COMPUTED_VALUE"""),"Grace")</f>
        <v>Grace</v>
      </c>
      <c r="D964" s="1" t="str">
        <f ca="1">IFERROR(__xludf.DUMMYFUNCTION("""COMPUTED_VALUE"""),"Roncesvalles Israel")</f>
        <v>Roncesvalles Israel</v>
      </c>
      <c r="E964" s="1" t="str">
        <f ca="1">IFERROR(__xludf.DUMMYFUNCTION("""COMPUTED_VALUE"""),"Grace Roncesvalles Israel")</f>
        <v>Grace Roncesvalles Israel</v>
      </c>
      <c r="F964" s="1">
        <f ca="1">IFERROR(__xludf.DUMMYFUNCTION("""COMPUTED_VALUE"""),2)</f>
        <v>2</v>
      </c>
      <c r="G964" s="1" t="str">
        <f ca="1">IFERROR(__xludf.DUMMYFUNCTION("""COMPUTED_VALUE"""),"3 mos")</f>
        <v>3 mos</v>
      </c>
      <c r="H964" s="1" t="str">
        <f ca="1">IFERROR(__xludf.DUMMYFUNCTION("""COMPUTED_VALUE"""),"comment")</f>
        <v>comment</v>
      </c>
      <c r="I964" s="2" t="str">
        <f ca="1">IFERROR(__xludf.DUMMYFUNCTION("""COMPUTED_VALUE"""),"https://www.facebook.com/rapplerdotcom/photos/a.317154781638645/5596043783749692/")</f>
        <v>https://www.facebook.com/rapplerdotcom/photos/a.317154781638645/5596043783749692/</v>
      </c>
      <c r="J964" s="1" t="str">
        <f ca="1">IFERROR(__xludf.DUMMYFUNCTION("""COMPUTED_VALUE"""),"2022-07-04T15:38:38.277Z")</f>
        <v>2022-07-04T15:38:38.277Z</v>
      </c>
    </row>
    <row r="965" spans="1:10" x14ac:dyDescent="0.2">
      <c r="A965" s="2" t="str">
        <f ca="1">IFERROR(__xludf.DUMMYFUNCTION("""COMPUTED_VALUE"""),"https://www.facebook.com/bernardo.nicolas.3382")</f>
        <v>https://www.facebook.com/bernardo.nicolas.3382</v>
      </c>
      <c r="B965" s="1" t="str">
        <f ca="1">IFERROR(__xludf.DUMMYFUNCTION("""COMPUTED_VALUE"""),"Bernardo Nicolas")</f>
        <v>Bernardo Nicolas</v>
      </c>
      <c r="C965" s="1" t="str">
        <f ca="1">IFERROR(__xludf.DUMMYFUNCTION("""COMPUTED_VALUE"""),"Bernardo")</f>
        <v>Bernardo</v>
      </c>
      <c r="D965" s="1" t="str">
        <f ca="1">IFERROR(__xludf.DUMMYFUNCTION("""COMPUTED_VALUE"""),"Nicolas")</f>
        <v>Nicolas</v>
      </c>
      <c r="E965" s="1" t="str">
        <f ca="1">IFERROR(__xludf.DUMMYFUNCTION("""COMPUTED_VALUE"""),"Bernardo Nicolas")</f>
        <v>Bernardo Nicolas</v>
      </c>
      <c r="F965" s="1">
        <f ca="1">IFERROR(__xludf.DUMMYFUNCTION("""COMPUTED_VALUE"""),3)</f>
        <v>3</v>
      </c>
      <c r="G965" s="1" t="str">
        <f ca="1">IFERROR(__xludf.DUMMYFUNCTION("""COMPUTED_VALUE"""),"3 mos")</f>
        <v>3 mos</v>
      </c>
      <c r="H965" s="1" t="str">
        <f ca="1">IFERROR(__xludf.DUMMYFUNCTION("""COMPUTED_VALUE"""),"comment")</f>
        <v>comment</v>
      </c>
      <c r="I965" s="2" t="str">
        <f ca="1">IFERROR(__xludf.DUMMYFUNCTION("""COMPUTED_VALUE"""),"https://www.facebook.com/rapplerdotcom/photos/a.317154781638645/5596043783749692/")</f>
        <v>https://www.facebook.com/rapplerdotcom/photos/a.317154781638645/5596043783749692/</v>
      </c>
      <c r="J965" s="1" t="str">
        <f ca="1">IFERROR(__xludf.DUMMYFUNCTION("""COMPUTED_VALUE"""),"2022-07-04T15:38:38.277Z")</f>
        <v>2022-07-04T15:38:38.277Z</v>
      </c>
    </row>
    <row r="966" spans="1:10" x14ac:dyDescent="0.2">
      <c r="A966" s="2" t="str">
        <f ca="1">IFERROR(__xludf.DUMMYFUNCTION("""COMPUTED_VALUE"""),"https://www.facebook.com/DemieGanda")</f>
        <v>https://www.facebook.com/DemieGanda</v>
      </c>
      <c r="B966" s="1" t="str">
        <f ca="1">IFERROR(__xludf.DUMMYFUNCTION("""COMPUTED_VALUE"""),"Demie Ali")</f>
        <v>Demie Ali</v>
      </c>
      <c r="C966" s="1" t="str">
        <f ca="1">IFERROR(__xludf.DUMMYFUNCTION("""COMPUTED_VALUE"""),"Demie")</f>
        <v>Demie</v>
      </c>
      <c r="D966" s="1" t="str">
        <f ca="1">IFERROR(__xludf.DUMMYFUNCTION("""COMPUTED_VALUE"""),"Ali")</f>
        <v>Ali</v>
      </c>
      <c r="E966" s="1" t="str">
        <f ca="1">IFERROR(__xludf.DUMMYFUNCTION("""COMPUTED_VALUE"""),"Demie Ali")</f>
        <v>Demie Ali</v>
      </c>
      <c r="F966" s="1"/>
      <c r="G966" s="1" t="str">
        <f ca="1">IFERROR(__xludf.DUMMYFUNCTION("""COMPUTED_VALUE"""),"3 mos")</f>
        <v>3 mos</v>
      </c>
      <c r="H966" s="1" t="str">
        <f ca="1">IFERROR(__xludf.DUMMYFUNCTION("""COMPUTED_VALUE"""),"comment")</f>
        <v>comment</v>
      </c>
      <c r="I966" s="2" t="str">
        <f ca="1">IFERROR(__xludf.DUMMYFUNCTION("""COMPUTED_VALUE"""),"https://www.facebook.com/rapplerdotcom/photos/a.317154781638645/5596043783749692/")</f>
        <v>https://www.facebook.com/rapplerdotcom/photos/a.317154781638645/5596043783749692/</v>
      </c>
      <c r="J966" s="1" t="str">
        <f ca="1">IFERROR(__xludf.DUMMYFUNCTION("""COMPUTED_VALUE"""),"2022-07-04T15:38:38.277Z")</f>
        <v>2022-07-04T15:38:38.277Z</v>
      </c>
    </row>
    <row r="967" spans="1:10" x14ac:dyDescent="0.2">
      <c r="A967" s="2" t="str">
        <f ca="1">IFERROR(__xludf.DUMMYFUNCTION("""COMPUTED_VALUE"""),"https://www.facebook.com/sharmaine.ramos.3950")</f>
        <v>https://www.facebook.com/sharmaine.ramos.3950</v>
      </c>
      <c r="B967" s="1" t="str">
        <f ca="1">IFERROR(__xludf.DUMMYFUNCTION("""COMPUTED_VALUE"""),"Mherz Ramos Tanayan")</f>
        <v>Mherz Ramos Tanayan</v>
      </c>
      <c r="C967" s="1" t="str">
        <f ca="1">IFERROR(__xludf.DUMMYFUNCTION("""COMPUTED_VALUE"""),"Mherz")</f>
        <v>Mherz</v>
      </c>
      <c r="D967" s="1" t="str">
        <f ca="1">IFERROR(__xludf.DUMMYFUNCTION("""COMPUTED_VALUE"""),"Ramos Tanayan")</f>
        <v>Ramos Tanayan</v>
      </c>
      <c r="E967" s="1" t="str">
        <f ca="1">IFERROR(__xludf.DUMMYFUNCTION("""COMPUTED_VALUE"""),"Mherz Ramos Tanayan")</f>
        <v>Mherz Ramos Tanayan</v>
      </c>
      <c r="F967" s="1">
        <f ca="1">IFERROR(__xludf.DUMMYFUNCTION("""COMPUTED_VALUE"""),1)</f>
        <v>1</v>
      </c>
      <c r="G967" s="1" t="str">
        <f ca="1">IFERROR(__xludf.DUMMYFUNCTION("""COMPUTED_VALUE"""),"3 mos")</f>
        <v>3 mos</v>
      </c>
      <c r="H967" s="1" t="str">
        <f ca="1">IFERROR(__xludf.DUMMYFUNCTION("""COMPUTED_VALUE"""),"comment")</f>
        <v>comment</v>
      </c>
      <c r="I967" s="2" t="str">
        <f ca="1">IFERROR(__xludf.DUMMYFUNCTION("""COMPUTED_VALUE"""),"https://www.facebook.com/rapplerdotcom/photos/a.317154781638645/5596043783749692/")</f>
        <v>https://www.facebook.com/rapplerdotcom/photos/a.317154781638645/5596043783749692/</v>
      </c>
      <c r="J967" s="1" t="str">
        <f ca="1">IFERROR(__xludf.DUMMYFUNCTION("""COMPUTED_VALUE"""),"2022-07-04T15:38:38.277Z")</f>
        <v>2022-07-04T15:38:38.277Z</v>
      </c>
    </row>
    <row r="968" spans="1:10" x14ac:dyDescent="0.2">
      <c r="A968" s="2" t="str">
        <f ca="1">IFERROR(__xludf.DUMMYFUNCTION("""COMPUTED_VALUE"""),"https://www.facebook.com/yongcoonang")</f>
        <v>https://www.facebook.com/yongcoonang</v>
      </c>
      <c r="B968" s="1" t="str">
        <f ca="1">IFERROR(__xludf.DUMMYFUNCTION("""COMPUTED_VALUE"""),"Kelvin Billy")</f>
        <v>Kelvin Billy</v>
      </c>
      <c r="C968" s="1" t="str">
        <f ca="1">IFERROR(__xludf.DUMMYFUNCTION("""COMPUTED_VALUE"""),"Kelvin")</f>
        <v>Kelvin</v>
      </c>
      <c r="D968" s="1" t="str">
        <f ca="1">IFERROR(__xludf.DUMMYFUNCTION("""COMPUTED_VALUE"""),"Billy")</f>
        <v>Billy</v>
      </c>
      <c r="E968" s="1" t="str">
        <f ca="1">IFERROR(__xludf.DUMMYFUNCTION("""COMPUTED_VALUE"""),"Mherz Ramos Tanayan   ⚙️ EARN MONEY ONLINE WITHOUT GOING TO WORK OR STRESS YOURSELF  ⚙️if you're interested ☝️☝️☝️ just kindly click on the link to contact my Senior Cryptofx account manager for guidance 📩  Link 🔗🔗🔗  https://www.facebook.com/evlira.cr"&amp;"yptofxtrader")</f>
        <v>Mherz Ramos Tanayan   ⚙️ EARN MONEY ONLINE WITHOUT GOING TO WORK OR STRESS YOURSELF  ⚙️if you're interested ☝️☝️☝️ just kindly click on the link to contact my Senior Cryptofx account manager for guidance 📩  Link 🔗🔗🔗  https://www.facebook.com/evlira.cryptofxtrader</v>
      </c>
      <c r="F968" s="1"/>
      <c r="G968" s="1" t="str">
        <f ca="1">IFERROR(__xludf.DUMMYFUNCTION("""COMPUTED_VALUE"""),"3 mos")</f>
        <v>3 mos</v>
      </c>
      <c r="H968" s="1" t="str">
        <f ca="1">IFERROR(__xludf.DUMMYFUNCTION("""COMPUTED_VALUE"""),"reply")</f>
        <v>reply</v>
      </c>
      <c r="I968" s="2" t="str">
        <f ca="1">IFERROR(__xludf.DUMMYFUNCTION("""COMPUTED_VALUE"""),"https://www.facebook.com/rapplerdotcom/photos/a.317154781638645/5596043783749692/")</f>
        <v>https://www.facebook.com/rapplerdotcom/photos/a.317154781638645/5596043783749692/</v>
      </c>
      <c r="J968" s="1" t="str">
        <f ca="1">IFERROR(__xludf.DUMMYFUNCTION("""COMPUTED_VALUE"""),"2022-07-04T15:38:38.277Z")</f>
        <v>2022-07-04T15:38:38.277Z</v>
      </c>
    </row>
    <row r="969" spans="1:10" x14ac:dyDescent="0.2">
      <c r="A969" s="2" t="str">
        <f ca="1">IFERROR(__xludf.DUMMYFUNCTION("""COMPUTED_VALUE"""),"https://www.facebook.com/kim.sioson")</f>
        <v>https://www.facebook.com/kim.sioson</v>
      </c>
      <c r="B969" s="1" t="str">
        <f ca="1">IFERROR(__xludf.DUMMYFUNCTION("""COMPUTED_VALUE"""),"Kim Sioson")</f>
        <v>Kim Sioson</v>
      </c>
      <c r="C969" s="1" t="str">
        <f ca="1">IFERROR(__xludf.DUMMYFUNCTION("""COMPUTED_VALUE"""),"Kim")</f>
        <v>Kim</v>
      </c>
      <c r="D969" s="1" t="str">
        <f ca="1">IFERROR(__xludf.DUMMYFUNCTION("""COMPUTED_VALUE"""),"Sioson")</f>
        <v>Sioson</v>
      </c>
      <c r="E969" s="1" t="str">
        <f ca="1">IFERROR(__xludf.DUMMYFUNCTION("""COMPUTED_VALUE"""),"Kim Sioson")</f>
        <v>Kim Sioson</v>
      </c>
      <c r="F969" s="1"/>
      <c r="G969" s="1" t="str">
        <f ca="1">IFERROR(__xludf.DUMMYFUNCTION("""COMPUTED_VALUE"""),"3 mos")</f>
        <v>3 mos</v>
      </c>
      <c r="H969" s="1" t="str">
        <f ca="1">IFERROR(__xludf.DUMMYFUNCTION("""COMPUTED_VALUE"""),"comment")</f>
        <v>comment</v>
      </c>
      <c r="I969" s="2" t="str">
        <f ca="1">IFERROR(__xludf.DUMMYFUNCTION("""COMPUTED_VALUE"""),"https://www.facebook.com/rapplerdotcom/photos/a.317154781638645/5596043783749692/")</f>
        <v>https://www.facebook.com/rapplerdotcom/photos/a.317154781638645/5596043783749692/</v>
      </c>
      <c r="J969" s="1" t="str">
        <f ca="1">IFERROR(__xludf.DUMMYFUNCTION("""COMPUTED_VALUE"""),"2022-07-04T15:38:38.277Z")</f>
        <v>2022-07-04T15:38:38.277Z</v>
      </c>
    </row>
    <row r="970" spans="1:10" x14ac:dyDescent="0.2">
      <c r="A970" s="2" t="str">
        <f ca="1">IFERROR(__xludf.DUMMYFUNCTION("""COMPUTED_VALUE"""),"https://www.facebook.com/lorenza.ito.33")</f>
        <v>https://www.facebook.com/lorenza.ito.33</v>
      </c>
      <c r="B970" s="1" t="str">
        <f ca="1">IFERROR(__xludf.DUMMYFUNCTION("""COMPUTED_VALUE"""),"Lorenza Ito")</f>
        <v>Lorenza Ito</v>
      </c>
      <c r="C970" s="1" t="str">
        <f ca="1">IFERROR(__xludf.DUMMYFUNCTION("""COMPUTED_VALUE"""),"Lorenza")</f>
        <v>Lorenza</v>
      </c>
      <c r="D970" s="1" t="str">
        <f ca="1">IFERROR(__xludf.DUMMYFUNCTION("""COMPUTED_VALUE"""),"Ito")</f>
        <v>Ito</v>
      </c>
      <c r="E970" s="1" t="str">
        <f ca="1">IFERROR(__xludf.DUMMYFUNCTION("""COMPUTED_VALUE"""),"Lorenza Ito")</f>
        <v>Lorenza Ito</v>
      </c>
      <c r="F970" s="1"/>
      <c r="G970" s="1" t="str">
        <f ca="1">IFERROR(__xludf.DUMMYFUNCTION("""COMPUTED_VALUE"""),"3 mos")</f>
        <v>3 mos</v>
      </c>
      <c r="H970" s="1" t="str">
        <f ca="1">IFERROR(__xludf.DUMMYFUNCTION("""COMPUTED_VALUE"""),"comment")</f>
        <v>comment</v>
      </c>
      <c r="I970" s="2" t="str">
        <f ca="1">IFERROR(__xludf.DUMMYFUNCTION("""COMPUTED_VALUE"""),"https://www.facebook.com/rapplerdotcom/photos/a.317154781638645/5596043783749692/")</f>
        <v>https://www.facebook.com/rapplerdotcom/photos/a.317154781638645/5596043783749692/</v>
      </c>
      <c r="J970" s="1" t="str">
        <f ca="1">IFERROR(__xludf.DUMMYFUNCTION("""COMPUTED_VALUE"""),"2022-07-04T15:38:38.277Z")</f>
        <v>2022-07-04T15:38:38.277Z</v>
      </c>
    </row>
    <row r="971" spans="1:10" x14ac:dyDescent="0.2">
      <c r="A971" s="2" t="str">
        <f ca="1">IFERROR(__xludf.DUMMYFUNCTION("""COMPUTED_VALUE"""),"https://www.facebook.com/kim.sioson")</f>
        <v>https://www.facebook.com/kim.sioson</v>
      </c>
      <c r="B971" s="1" t="str">
        <f ca="1">IFERROR(__xludf.DUMMYFUNCTION("""COMPUTED_VALUE"""),"Kim Sioson")</f>
        <v>Kim Sioson</v>
      </c>
      <c r="C971" s="1" t="str">
        <f ca="1">IFERROR(__xludf.DUMMYFUNCTION("""COMPUTED_VALUE"""),"Kim")</f>
        <v>Kim</v>
      </c>
      <c r="D971" s="1" t="str">
        <f ca="1">IFERROR(__xludf.DUMMYFUNCTION("""COMPUTED_VALUE"""),"Sioson")</f>
        <v>Sioson</v>
      </c>
      <c r="E971" s="1" t="str">
        <f ca="1">IFERROR(__xludf.DUMMYFUNCTION("""COMPUTED_VALUE"""),"Kim Sioson")</f>
        <v>Kim Sioson</v>
      </c>
      <c r="F971" s="1">
        <f ca="1">IFERROR(__xludf.DUMMYFUNCTION("""COMPUTED_VALUE"""),2)</f>
        <v>2</v>
      </c>
      <c r="G971" s="1" t="str">
        <f ca="1">IFERROR(__xludf.DUMMYFUNCTION("""COMPUTED_VALUE"""),"3 mos")</f>
        <v>3 mos</v>
      </c>
      <c r="H971" s="1" t="str">
        <f ca="1">IFERROR(__xludf.DUMMYFUNCTION("""COMPUTED_VALUE"""),"comment")</f>
        <v>comment</v>
      </c>
      <c r="I971" s="2" t="str">
        <f ca="1">IFERROR(__xludf.DUMMYFUNCTION("""COMPUTED_VALUE"""),"https://www.facebook.com/rapplerdotcom/photos/a.317154781638645/5596043783749692/")</f>
        <v>https://www.facebook.com/rapplerdotcom/photos/a.317154781638645/5596043783749692/</v>
      </c>
      <c r="J971" s="1" t="str">
        <f ca="1">IFERROR(__xludf.DUMMYFUNCTION("""COMPUTED_VALUE"""),"2022-07-04T15:38:38.277Z")</f>
        <v>2022-07-04T15:38:38.277Z</v>
      </c>
    </row>
    <row r="972" spans="1:10" x14ac:dyDescent="0.2">
      <c r="A972" s="2" t="str">
        <f ca="1">IFERROR(__xludf.DUMMYFUNCTION("""COMPUTED_VALUE"""),"https://www.facebook.com/kim.sioson")</f>
        <v>https://www.facebook.com/kim.sioson</v>
      </c>
      <c r="B972" s="1" t="str">
        <f ca="1">IFERROR(__xludf.DUMMYFUNCTION("""COMPUTED_VALUE"""),"Kim Sioson")</f>
        <v>Kim Sioson</v>
      </c>
      <c r="C972" s="1" t="str">
        <f ca="1">IFERROR(__xludf.DUMMYFUNCTION("""COMPUTED_VALUE"""),"Kim")</f>
        <v>Kim</v>
      </c>
      <c r="D972" s="1" t="str">
        <f ca="1">IFERROR(__xludf.DUMMYFUNCTION("""COMPUTED_VALUE"""),"Sioson")</f>
        <v>Sioson</v>
      </c>
      <c r="E972" s="1" t="str">
        <f ca="1">IFERROR(__xludf.DUMMYFUNCTION("""COMPUTED_VALUE"""),"Kim Sioson")</f>
        <v>Kim Sioson</v>
      </c>
      <c r="F972" s="1">
        <f ca="1">IFERROR(__xludf.DUMMYFUNCTION("""COMPUTED_VALUE"""),2)</f>
        <v>2</v>
      </c>
      <c r="G972" s="1" t="str">
        <f ca="1">IFERROR(__xludf.DUMMYFUNCTION("""COMPUTED_VALUE"""),"3 mos")</f>
        <v>3 mos</v>
      </c>
      <c r="H972" s="1" t="str">
        <f ca="1">IFERROR(__xludf.DUMMYFUNCTION("""COMPUTED_VALUE"""),"comment")</f>
        <v>comment</v>
      </c>
      <c r="I972" s="2" t="str">
        <f ca="1">IFERROR(__xludf.DUMMYFUNCTION("""COMPUTED_VALUE"""),"https://www.facebook.com/rapplerdotcom/photos/a.317154781638645/5596043783749692/")</f>
        <v>https://www.facebook.com/rapplerdotcom/photos/a.317154781638645/5596043783749692/</v>
      </c>
      <c r="J972" s="1" t="str">
        <f ca="1">IFERROR(__xludf.DUMMYFUNCTION("""COMPUTED_VALUE"""),"2022-07-04T15:38:38.277Z")</f>
        <v>2022-07-04T15:38:38.277Z</v>
      </c>
    </row>
    <row r="973" spans="1:10" x14ac:dyDescent="0.2">
      <c r="A973" s="2" t="str">
        <f ca="1">IFERROR(__xludf.DUMMYFUNCTION("""COMPUTED_VALUE"""),"https://www.facebook.com/icecaramel.macchiato.908")</f>
        <v>https://www.facebook.com/icecaramel.macchiato.908</v>
      </c>
      <c r="B973" s="1" t="str">
        <f ca="1">IFERROR(__xludf.DUMMYFUNCTION("""COMPUTED_VALUE"""),"Mocha Java")</f>
        <v>Mocha Java</v>
      </c>
      <c r="C973" s="1" t="str">
        <f ca="1">IFERROR(__xludf.DUMMYFUNCTION("""COMPUTED_VALUE"""),"Mocha")</f>
        <v>Mocha</v>
      </c>
      <c r="D973" s="1" t="str">
        <f ca="1">IFERROR(__xludf.DUMMYFUNCTION("""COMPUTED_VALUE"""),"Java")</f>
        <v>Java</v>
      </c>
      <c r="E973" s="1" t="str">
        <f ca="1">IFERROR(__xludf.DUMMYFUNCTION("""COMPUTED_VALUE"""),"Mocha Java")</f>
        <v>Mocha Java</v>
      </c>
      <c r="F973" s="1"/>
      <c r="G973" s="1" t="str">
        <f ca="1">IFERROR(__xludf.DUMMYFUNCTION("""COMPUTED_VALUE"""),"3 mos")</f>
        <v>3 mos</v>
      </c>
      <c r="H973" s="1" t="str">
        <f ca="1">IFERROR(__xludf.DUMMYFUNCTION("""COMPUTED_VALUE"""),"comment")</f>
        <v>comment</v>
      </c>
      <c r="I973" s="2" t="str">
        <f ca="1">IFERROR(__xludf.DUMMYFUNCTION("""COMPUTED_VALUE"""),"https://www.facebook.com/rapplerdotcom/photos/a.317154781638645/5596043783749692/")</f>
        <v>https://www.facebook.com/rapplerdotcom/photos/a.317154781638645/5596043783749692/</v>
      </c>
      <c r="J973" s="1" t="str">
        <f ca="1">IFERROR(__xludf.DUMMYFUNCTION("""COMPUTED_VALUE"""),"2022-07-04T15:38:38.277Z")</f>
        <v>2022-07-04T15:38:38.277Z</v>
      </c>
    </row>
    <row r="974" spans="1:10" x14ac:dyDescent="0.2">
      <c r="A974" s="2" t="str">
        <f ca="1">IFERROR(__xludf.DUMMYFUNCTION("""COMPUTED_VALUE"""),"https://www.facebook.com/cherrylynyapchapco.diaz")</f>
        <v>https://www.facebook.com/cherrylynyapchapco.diaz</v>
      </c>
      <c r="B974" s="1" t="str">
        <f ca="1">IFERROR(__xludf.DUMMYFUNCTION("""COMPUTED_VALUE"""),"Che Diaz")</f>
        <v>Che Diaz</v>
      </c>
      <c r="C974" s="1" t="str">
        <f ca="1">IFERROR(__xludf.DUMMYFUNCTION("""COMPUTED_VALUE"""),"Che")</f>
        <v>Che</v>
      </c>
      <c r="D974" s="1" t="str">
        <f ca="1">IFERROR(__xludf.DUMMYFUNCTION("""COMPUTED_VALUE"""),"Diaz")</f>
        <v>Diaz</v>
      </c>
      <c r="E974" s="1" t="str">
        <f ca="1">IFERROR(__xludf.DUMMYFUNCTION("""COMPUTED_VALUE"""),"💗💗💗")</f>
        <v>💗💗💗</v>
      </c>
      <c r="F974" s="1"/>
      <c r="G974" s="1" t="str">
        <f ca="1">IFERROR(__xludf.DUMMYFUNCTION("""COMPUTED_VALUE"""),"3 mos")</f>
        <v>3 mos</v>
      </c>
      <c r="H974" s="1" t="str">
        <f ca="1">IFERROR(__xludf.DUMMYFUNCTION("""COMPUTED_VALUE"""),"comment")</f>
        <v>comment</v>
      </c>
      <c r="I974" s="2" t="str">
        <f ca="1">IFERROR(__xludf.DUMMYFUNCTION("""COMPUTED_VALUE"""),"https://www.facebook.com/rapplerdotcom/photos/a.317154781638645/5596043783749692/")</f>
        <v>https://www.facebook.com/rapplerdotcom/photos/a.317154781638645/5596043783749692/</v>
      </c>
      <c r="J974" s="1" t="str">
        <f ca="1">IFERROR(__xludf.DUMMYFUNCTION("""COMPUTED_VALUE"""),"2022-07-04T15:38:38.277Z")</f>
        <v>2022-07-04T15:38:38.277Z</v>
      </c>
    </row>
    <row r="975" spans="1:10" x14ac:dyDescent="0.2">
      <c r="A975" s="2" t="str">
        <f ca="1">IFERROR(__xludf.DUMMYFUNCTION("""COMPUTED_VALUE"""),"https://www.facebook.com/yongcoonang")</f>
        <v>https://www.facebook.com/yongcoonang</v>
      </c>
      <c r="B975" s="1" t="str">
        <f ca="1">IFERROR(__xludf.DUMMYFUNCTION("""COMPUTED_VALUE"""),"Kelvin Billy")</f>
        <v>Kelvin Billy</v>
      </c>
      <c r="C975" s="1" t="str">
        <f ca="1">IFERROR(__xludf.DUMMYFUNCTION("""COMPUTED_VALUE"""),"Kelvin")</f>
        <v>Kelvin</v>
      </c>
      <c r="D975" s="1" t="str">
        <f ca="1">IFERROR(__xludf.DUMMYFUNCTION("""COMPUTED_VALUE"""),"Billy")</f>
        <v>Billy</v>
      </c>
      <c r="E975" s="1" t="str">
        <f ca="1">IFERROR(__xludf.DUMMYFUNCTION("""COMPUTED_VALUE"""),"Che Diaz   ⚙️ EARN MONEY ONLINE WITHOUT GOING TO WORK OR STRESS YOURSELF  ⚙️if you're interested ☝️☝️☝️ just kindly click on the link to contact my Senior Cryptofx account manager for guidance 📩  Link 🔗🔗🔗  https://www.facebook.com/evlira.cryptofxtrade"&amp;"r")</f>
        <v>Che Diaz   ⚙️ EARN MONEY ONLINE WITHOUT GOING TO WORK OR STRESS YOURSELF  ⚙️if you're interested ☝️☝️☝️ just kindly click on the link to contact my Senior Cryptofx account manager for guidance 📩  Link 🔗🔗🔗  https://www.facebook.com/evlira.cryptofxtrader</v>
      </c>
      <c r="F975" s="1"/>
      <c r="G975" s="1" t="str">
        <f ca="1">IFERROR(__xludf.DUMMYFUNCTION("""COMPUTED_VALUE"""),"3 mos")</f>
        <v>3 mos</v>
      </c>
      <c r="H975" s="1" t="str">
        <f ca="1">IFERROR(__xludf.DUMMYFUNCTION("""COMPUTED_VALUE"""),"reply")</f>
        <v>reply</v>
      </c>
      <c r="I975" s="2" t="str">
        <f ca="1">IFERROR(__xludf.DUMMYFUNCTION("""COMPUTED_VALUE"""),"https://www.facebook.com/rapplerdotcom/photos/a.317154781638645/5596043783749692/")</f>
        <v>https://www.facebook.com/rapplerdotcom/photos/a.317154781638645/5596043783749692/</v>
      </c>
      <c r="J975" s="1" t="str">
        <f ca="1">IFERROR(__xludf.DUMMYFUNCTION("""COMPUTED_VALUE"""),"2022-07-04T15:38:38.278Z")</f>
        <v>2022-07-04T15:38:38.278Z</v>
      </c>
    </row>
    <row r="976" spans="1:10" x14ac:dyDescent="0.2">
      <c r="A976" s="2" t="str">
        <f ca="1">IFERROR(__xludf.DUMMYFUNCTION("""COMPUTED_VALUE"""),"https://www.facebook.com/rapkarl04")</f>
        <v>https://www.facebook.com/rapkarl04</v>
      </c>
      <c r="B976" s="1" t="str">
        <f ca="1">IFERROR(__xludf.DUMMYFUNCTION("""COMPUTED_VALUE"""),"Ralphs Carlo Centeno")</f>
        <v>Ralphs Carlo Centeno</v>
      </c>
      <c r="C976" s="1" t="str">
        <f ca="1">IFERROR(__xludf.DUMMYFUNCTION("""COMPUTED_VALUE"""),"Ralphs")</f>
        <v>Ralphs</v>
      </c>
      <c r="D976" s="1" t="str">
        <f ca="1">IFERROR(__xludf.DUMMYFUNCTION("""COMPUTED_VALUE"""),"Carlo Centeno")</f>
        <v>Carlo Centeno</v>
      </c>
      <c r="E976" s="1" t="str">
        <f ca="1">IFERROR(__xludf.DUMMYFUNCTION("""COMPUTED_VALUE"""),"🆙️🌷♥️📣")</f>
        <v>🆙️🌷♥️📣</v>
      </c>
      <c r="F976" s="1"/>
      <c r="G976" s="1" t="str">
        <f ca="1">IFERROR(__xludf.DUMMYFUNCTION("""COMPUTED_VALUE"""),"3 mos")</f>
        <v>3 mos</v>
      </c>
      <c r="H976" s="1" t="str">
        <f ca="1">IFERROR(__xludf.DUMMYFUNCTION("""COMPUTED_VALUE"""),"comment")</f>
        <v>comment</v>
      </c>
      <c r="I976" s="2" t="str">
        <f ca="1">IFERROR(__xludf.DUMMYFUNCTION("""COMPUTED_VALUE"""),"https://www.facebook.com/rapplerdotcom/photos/a.317154781638645/5596043783749692/")</f>
        <v>https://www.facebook.com/rapplerdotcom/photos/a.317154781638645/5596043783749692/</v>
      </c>
      <c r="J976" s="1" t="str">
        <f ca="1">IFERROR(__xludf.DUMMYFUNCTION("""COMPUTED_VALUE"""),"2022-07-04T15:38:38.278Z")</f>
        <v>2022-07-04T15:38:38.278Z</v>
      </c>
    </row>
    <row r="977" spans="1:10" x14ac:dyDescent="0.2">
      <c r="A977" s="2" t="str">
        <f ca="1">IFERROR(__xludf.DUMMYFUNCTION("""COMPUTED_VALUE"""),"https://www.facebook.com/henrybalderama")</f>
        <v>https://www.facebook.com/henrybalderama</v>
      </c>
      <c r="B977" s="1" t="str">
        <f ca="1">IFERROR(__xludf.DUMMYFUNCTION("""COMPUTED_VALUE"""),"Henry Balderama")</f>
        <v>Henry Balderama</v>
      </c>
      <c r="C977" s="1" t="str">
        <f ca="1">IFERROR(__xludf.DUMMYFUNCTION("""COMPUTED_VALUE"""),"Henry")</f>
        <v>Henry</v>
      </c>
      <c r="D977" s="1" t="str">
        <f ca="1">IFERROR(__xludf.DUMMYFUNCTION("""COMPUTED_VALUE"""),"Balderama")</f>
        <v>Balderama</v>
      </c>
      <c r="E977" s="1" t="str">
        <f ca="1">IFERROR(__xludf.DUMMYFUNCTION("""COMPUTED_VALUE"""),"❤️💚")</f>
        <v>❤️💚</v>
      </c>
      <c r="F977" s="1"/>
      <c r="G977" s="1" t="str">
        <f ca="1">IFERROR(__xludf.DUMMYFUNCTION("""COMPUTED_VALUE"""),"3 mos")</f>
        <v>3 mos</v>
      </c>
      <c r="H977" s="1" t="str">
        <f ca="1">IFERROR(__xludf.DUMMYFUNCTION("""COMPUTED_VALUE"""),"comment")</f>
        <v>comment</v>
      </c>
      <c r="I977" s="2" t="str">
        <f ca="1">IFERROR(__xludf.DUMMYFUNCTION("""COMPUTED_VALUE"""),"https://www.facebook.com/rapplerdotcom/photos/a.317154781638645/5596043783749692/")</f>
        <v>https://www.facebook.com/rapplerdotcom/photos/a.317154781638645/5596043783749692/</v>
      </c>
      <c r="J977" s="1" t="str">
        <f ca="1">IFERROR(__xludf.DUMMYFUNCTION("""COMPUTED_VALUE"""),"2022-07-04T15:38:38.278Z")</f>
        <v>2022-07-04T15:38:38.278Z</v>
      </c>
    </row>
    <row r="978" spans="1:10" x14ac:dyDescent="0.2">
      <c r="A978" s="2" t="str">
        <f ca="1">IFERROR(__xludf.DUMMYFUNCTION("""COMPUTED_VALUE"""),"https://www.facebook.com/deepblue69")</f>
        <v>https://www.facebook.com/deepblue69</v>
      </c>
      <c r="B978" s="1" t="str">
        <f ca="1">IFERROR(__xludf.DUMMYFUNCTION("""COMPUTED_VALUE"""),"Ulysses Loresto")</f>
        <v>Ulysses Loresto</v>
      </c>
      <c r="C978" s="1" t="str">
        <f ca="1">IFERROR(__xludf.DUMMYFUNCTION("""COMPUTED_VALUE"""),"Ulysses")</f>
        <v>Ulysses</v>
      </c>
      <c r="D978" s="1" t="str">
        <f ca="1">IFERROR(__xludf.DUMMYFUNCTION("""COMPUTED_VALUE"""),"Loresto")</f>
        <v>Loresto</v>
      </c>
      <c r="E978" s="1" t="str">
        <f ca="1">IFERROR(__xludf.DUMMYFUNCTION("""COMPUTED_VALUE"""),"👍🏽👍🏼👍🏻")</f>
        <v>👍🏽👍🏼👍🏻</v>
      </c>
      <c r="F978" s="1"/>
      <c r="G978" s="1" t="str">
        <f ca="1">IFERROR(__xludf.DUMMYFUNCTION("""COMPUTED_VALUE"""),"3 mos")</f>
        <v>3 mos</v>
      </c>
      <c r="H978" s="1" t="str">
        <f ca="1">IFERROR(__xludf.DUMMYFUNCTION("""COMPUTED_VALUE"""),"comment")</f>
        <v>comment</v>
      </c>
      <c r="I978" s="2" t="str">
        <f ca="1">IFERROR(__xludf.DUMMYFUNCTION("""COMPUTED_VALUE"""),"https://www.facebook.com/rapplerdotcom/photos/a.317154781638645/5596043783749692/")</f>
        <v>https://www.facebook.com/rapplerdotcom/photos/a.317154781638645/5596043783749692/</v>
      </c>
      <c r="J978" s="1" t="str">
        <f ca="1">IFERROR(__xludf.DUMMYFUNCTION("""COMPUTED_VALUE"""),"2022-07-04T15:38:38.278Z")</f>
        <v>2022-07-04T15:38:38.278Z</v>
      </c>
    </row>
    <row r="979" spans="1:10" x14ac:dyDescent="0.2">
      <c r="A979" s="2" t="str">
        <f ca="1">IFERROR(__xludf.DUMMYFUNCTION("""COMPUTED_VALUE"""),"https://www.facebook.com/profile.php?id=100006396255966")</f>
        <v>https://www.facebook.com/profile.php?id=100006396255966</v>
      </c>
      <c r="B979" s="1" t="str">
        <f ca="1">IFERROR(__xludf.DUMMYFUNCTION("""COMPUTED_VALUE"""),"Gilbert Dominic Edralin Sison")</f>
        <v>Gilbert Dominic Edralin Sison</v>
      </c>
      <c r="C979" s="1" t="str">
        <f ca="1">IFERROR(__xludf.DUMMYFUNCTION("""COMPUTED_VALUE"""),"Gilbert")</f>
        <v>Gilbert</v>
      </c>
      <c r="D979" s="1" t="str">
        <f ca="1">IFERROR(__xludf.DUMMYFUNCTION("""COMPUTED_VALUE"""),"Dominic Edralin Sison")</f>
        <v>Dominic Edralin Sison</v>
      </c>
      <c r="E979" s="1" t="str">
        <f ca="1">IFERROR(__xludf.DUMMYFUNCTION("""COMPUTED_VALUE"""),"#LetLeniLead 🌷")</f>
        <v>#LetLeniLead 🌷</v>
      </c>
      <c r="F979" s="1">
        <f ca="1">IFERROR(__xludf.DUMMYFUNCTION("""COMPUTED_VALUE"""),3)</f>
        <v>3</v>
      </c>
      <c r="G979" s="1" t="str">
        <f ca="1">IFERROR(__xludf.DUMMYFUNCTION("""COMPUTED_VALUE"""),"3 mos")</f>
        <v>3 mos</v>
      </c>
      <c r="H979" s="1" t="str">
        <f ca="1">IFERROR(__xludf.DUMMYFUNCTION("""COMPUTED_VALUE"""),"comment")</f>
        <v>comment</v>
      </c>
      <c r="I979" s="2" t="str">
        <f ca="1">IFERROR(__xludf.DUMMYFUNCTION("""COMPUTED_VALUE"""),"https://www.facebook.com/rapplerdotcom/photos/a.317154781638645/5596043783749692/")</f>
        <v>https://www.facebook.com/rapplerdotcom/photos/a.317154781638645/5596043783749692/</v>
      </c>
      <c r="J979" s="1" t="str">
        <f ca="1">IFERROR(__xludf.DUMMYFUNCTION("""COMPUTED_VALUE"""),"2022-07-04T15:38:38.278Z")</f>
        <v>2022-07-04T15:38:38.278Z</v>
      </c>
    </row>
    <row r="980" spans="1:10" x14ac:dyDescent="0.2">
      <c r="A980" s="2" t="str">
        <f ca="1">IFERROR(__xludf.DUMMYFUNCTION("""COMPUTED_VALUE"""),"https://www.facebook.com/luisxmaaliw")</f>
        <v>https://www.facebook.com/luisxmaaliw</v>
      </c>
      <c r="B980" s="1" t="str">
        <f ca="1">IFERROR(__xludf.DUMMYFUNCTION("""COMPUTED_VALUE"""),"Migo Maaliv")</f>
        <v>Migo Maaliv</v>
      </c>
      <c r="C980" s="1" t="str">
        <f ca="1">IFERROR(__xludf.DUMMYFUNCTION("""COMPUTED_VALUE"""),"Migo")</f>
        <v>Migo</v>
      </c>
      <c r="D980" s="1" t="str">
        <f ca="1">IFERROR(__xludf.DUMMYFUNCTION("""COMPUTED_VALUE"""),"Maaliv")</f>
        <v>Maaliv</v>
      </c>
      <c r="E980" s="1" t="str">
        <f ca="1">IFERROR(__xludf.DUMMYFUNCTION("""COMPUTED_VALUE"""),"50K")</f>
        <v>50K</v>
      </c>
      <c r="F980" s="1"/>
      <c r="G980" s="1" t="str">
        <f ca="1">IFERROR(__xludf.DUMMYFUNCTION("""COMPUTED_VALUE"""),"3 mos")</f>
        <v>3 mos</v>
      </c>
      <c r="H980" s="1" t="str">
        <f ca="1">IFERROR(__xludf.DUMMYFUNCTION("""COMPUTED_VALUE"""),"comment")</f>
        <v>comment</v>
      </c>
      <c r="I980" s="2" t="str">
        <f ca="1">IFERROR(__xludf.DUMMYFUNCTION("""COMPUTED_VALUE"""),"https://www.facebook.com/rapplerdotcom/photos/a.317154781638645/5596043783749692/")</f>
        <v>https://www.facebook.com/rapplerdotcom/photos/a.317154781638645/5596043783749692/</v>
      </c>
      <c r="J980" s="1" t="str">
        <f ca="1">IFERROR(__xludf.DUMMYFUNCTION("""COMPUTED_VALUE"""),"2022-07-04T15:38:38.278Z")</f>
        <v>2022-07-04T15:38:38.278Z</v>
      </c>
    </row>
    <row r="981" spans="1:10" x14ac:dyDescent="0.2">
      <c r="A981" s="2" t="str">
        <f ca="1">IFERROR(__xludf.DUMMYFUNCTION("""COMPUTED_VALUE"""),"https://www.facebook.com/profile.php?id=100069003242362")</f>
        <v>https://www.facebook.com/profile.php?id=100069003242362</v>
      </c>
      <c r="B981" s="1" t="str">
        <f ca="1">IFERROR(__xludf.DUMMYFUNCTION("""COMPUTED_VALUE"""),"Jhessica Pearl Amari Sorrañoz")</f>
        <v>Jhessica Pearl Amari Sorrañoz</v>
      </c>
      <c r="C981" s="1" t="str">
        <f ca="1">IFERROR(__xludf.DUMMYFUNCTION("""COMPUTED_VALUE"""),"Jhessica")</f>
        <v>Jhessica</v>
      </c>
      <c r="D981" s="1" t="str">
        <f ca="1">IFERROR(__xludf.DUMMYFUNCTION("""COMPUTED_VALUE"""),"Pearl Amari Sorrañoz")</f>
        <v>Pearl Amari Sorrañoz</v>
      </c>
      <c r="E981" s="1" t="str">
        <f ca="1">IFERROR(__xludf.DUMMYFUNCTION("""COMPUTED_VALUE"""),"Ung isa nasa self proclaim channel kala ko ba ayaw sa debate haha")</f>
        <v>Ung isa nasa self proclaim channel kala ko ba ayaw sa debate haha</v>
      </c>
      <c r="F981" s="1"/>
      <c r="G981" s="1" t="str">
        <f ca="1">IFERROR(__xludf.DUMMYFUNCTION("""COMPUTED_VALUE"""),"3 mos")</f>
        <v>3 mos</v>
      </c>
      <c r="H981" s="1" t="str">
        <f ca="1">IFERROR(__xludf.DUMMYFUNCTION("""COMPUTED_VALUE"""),"comment")</f>
        <v>comment</v>
      </c>
      <c r="I981" s="2" t="str">
        <f ca="1">IFERROR(__xludf.DUMMYFUNCTION("""COMPUTED_VALUE"""),"https://www.facebook.com/rapplerdotcom/photos/a.317154781638645/5596043783749692/")</f>
        <v>https://www.facebook.com/rapplerdotcom/photos/a.317154781638645/5596043783749692/</v>
      </c>
      <c r="J981" s="1" t="str">
        <f ca="1">IFERROR(__xludf.DUMMYFUNCTION("""COMPUTED_VALUE"""),"2022-07-04T15:38:38.278Z")</f>
        <v>2022-07-04T15:38:38.278Z</v>
      </c>
    </row>
    <row r="982" spans="1:10" x14ac:dyDescent="0.2">
      <c r="A982" s="2" t="str">
        <f ca="1">IFERROR(__xludf.DUMMYFUNCTION("""COMPUTED_VALUE"""),"https://www.facebook.com/joni.aguilar.146")</f>
        <v>https://www.facebook.com/joni.aguilar.146</v>
      </c>
      <c r="B982" s="1" t="str">
        <f ca="1">IFERROR(__xludf.DUMMYFUNCTION("""COMPUTED_VALUE"""),"Joni Aguilar")</f>
        <v>Joni Aguilar</v>
      </c>
      <c r="C982" s="1" t="str">
        <f ca="1">IFERROR(__xludf.DUMMYFUNCTION("""COMPUTED_VALUE"""),"Joni")</f>
        <v>Joni</v>
      </c>
      <c r="D982" s="1" t="str">
        <f ca="1">IFERROR(__xludf.DUMMYFUNCTION("""COMPUTED_VALUE"""),"Aguilar")</f>
        <v>Aguilar</v>
      </c>
      <c r="E982" s="1" t="str">
        <f ca="1">IFERROR(__xludf.DUMMYFUNCTION("""COMPUTED_VALUE"""),"☝🏻☝🏻☝🏻☝🏻🇵🇭🇵🇭🇵🇭🇵🇭")</f>
        <v>☝🏻☝🏻☝🏻☝🏻🇵🇭🇵🇭🇵🇭🇵🇭</v>
      </c>
      <c r="F982" s="1"/>
      <c r="G982" s="1" t="str">
        <f ca="1">IFERROR(__xludf.DUMMYFUNCTION("""COMPUTED_VALUE"""),"3 mos")</f>
        <v>3 mos</v>
      </c>
      <c r="H982" s="1" t="str">
        <f ca="1">IFERROR(__xludf.DUMMYFUNCTION("""COMPUTED_VALUE"""),"comment")</f>
        <v>comment</v>
      </c>
      <c r="I982" s="2" t="str">
        <f ca="1">IFERROR(__xludf.DUMMYFUNCTION("""COMPUTED_VALUE"""),"https://www.facebook.com/rapplerdotcom/photos/a.317154781638645/5596043783749692/")</f>
        <v>https://www.facebook.com/rapplerdotcom/photos/a.317154781638645/5596043783749692/</v>
      </c>
      <c r="J982" s="1" t="str">
        <f ca="1">IFERROR(__xludf.DUMMYFUNCTION("""COMPUTED_VALUE"""),"2022-07-04T15:38:38.278Z")</f>
        <v>2022-07-04T15:38:38.278Z</v>
      </c>
    </row>
    <row r="983" spans="1:10" x14ac:dyDescent="0.2">
      <c r="A983" s="2" t="str">
        <f ca="1">IFERROR(__xludf.DUMMYFUNCTION("""COMPUTED_VALUE"""),"https://www.facebook.com/profile.php?id=100049380352017")</f>
        <v>https://www.facebook.com/profile.php?id=100049380352017</v>
      </c>
      <c r="B983" s="1" t="str">
        <f ca="1">IFERROR(__xludf.DUMMYFUNCTION("""COMPUTED_VALUE"""),"Jose Parada Sarmiento")</f>
        <v>Jose Parada Sarmiento</v>
      </c>
      <c r="C983" s="1" t="str">
        <f ca="1">IFERROR(__xludf.DUMMYFUNCTION("""COMPUTED_VALUE"""),"Jose")</f>
        <v>Jose</v>
      </c>
      <c r="D983" s="1" t="str">
        <f ca="1">IFERROR(__xludf.DUMMYFUNCTION("""COMPUTED_VALUE"""),"Parada Sarmiento")</f>
        <v>Parada Sarmiento</v>
      </c>
      <c r="E983" s="1" t="str">
        <f ca="1">IFERROR(__xludf.DUMMYFUNCTION("""COMPUTED_VALUE"""),"KAKAMPINKS LET'S BRING #LENIKIKO2022 TO MALACANANG.")</f>
        <v>KAKAMPINKS LET'S BRING #LENIKIKO2022 TO MALACANANG.</v>
      </c>
      <c r="F983" s="1"/>
      <c r="G983" s="1" t="str">
        <f ca="1">IFERROR(__xludf.DUMMYFUNCTION("""COMPUTED_VALUE"""),"3 mos")</f>
        <v>3 mos</v>
      </c>
      <c r="H983" s="1" t="str">
        <f ca="1">IFERROR(__xludf.DUMMYFUNCTION("""COMPUTED_VALUE"""),"comment")</f>
        <v>comment</v>
      </c>
      <c r="I983" s="2" t="str">
        <f ca="1">IFERROR(__xludf.DUMMYFUNCTION("""COMPUTED_VALUE"""),"https://www.facebook.com/rapplerdotcom/photos/a.317154781638645/5596043783749692/")</f>
        <v>https://www.facebook.com/rapplerdotcom/photos/a.317154781638645/5596043783749692/</v>
      </c>
      <c r="J983" s="1" t="str">
        <f ca="1">IFERROR(__xludf.DUMMYFUNCTION("""COMPUTED_VALUE"""),"2022-07-04T15:38:38.278Z")</f>
        <v>2022-07-04T15:38:38.278Z</v>
      </c>
    </row>
    <row r="984" spans="1:10" x14ac:dyDescent="0.2">
      <c r="A984" s="2" t="str">
        <f ca="1">IFERROR(__xludf.DUMMYFUNCTION("""COMPUTED_VALUE"""),"https://www.facebook.com/madammaharlika")</f>
        <v>https://www.facebook.com/madammaharlika</v>
      </c>
      <c r="B984" s="1" t="str">
        <f ca="1">IFERROR(__xludf.DUMMYFUNCTION("""COMPUTED_VALUE"""),"Doña Doña")</f>
        <v>Doña Doña</v>
      </c>
      <c r="C984" s="1" t="str">
        <f ca="1">IFERROR(__xludf.DUMMYFUNCTION("""COMPUTED_VALUE"""),"Doña")</f>
        <v>Doña</v>
      </c>
      <c r="D984" s="1" t="str">
        <f ca="1">IFERROR(__xludf.DUMMYFUNCTION("""COMPUTED_VALUE"""),"Doña")</f>
        <v>Doña</v>
      </c>
      <c r="E984" s="1" t="str">
        <f ca="1">IFERROR(__xludf.DUMMYFUNCTION("""COMPUTED_VALUE"""),"Doña Doña")</f>
        <v>Doña Doña</v>
      </c>
      <c r="F984" s="1"/>
      <c r="G984" s="1" t="str">
        <f ca="1">IFERROR(__xludf.DUMMYFUNCTION("""COMPUTED_VALUE"""),"3 mos")</f>
        <v>3 mos</v>
      </c>
      <c r="H984" s="1" t="str">
        <f ca="1">IFERROR(__xludf.DUMMYFUNCTION("""COMPUTED_VALUE"""),"comment")</f>
        <v>comment</v>
      </c>
      <c r="I984" s="2" t="str">
        <f ca="1">IFERROR(__xludf.DUMMYFUNCTION("""COMPUTED_VALUE"""),"https://www.facebook.com/rapplerdotcom/photos/a.317154781638645/5596043783749692/")</f>
        <v>https://www.facebook.com/rapplerdotcom/photos/a.317154781638645/5596043783749692/</v>
      </c>
      <c r="J984" s="1" t="str">
        <f ca="1">IFERROR(__xludf.DUMMYFUNCTION("""COMPUTED_VALUE"""),"2022-07-04T15:38:38.278Z")</f>
        <v>2022-07-04T15:38:38.278Z</v>
      </c>
    </row>
    <row r="985" spans="1:10" x14ac:dyDescent="0.2">
      <c r="A985" s="2" t="str">
        <f ca="1">IFERROR(__xludf.DUMMYFUNCTION("""COMPUTED_VALUE"""),"https://www.facebook.com/madammaharlika")</f>
        <v>https://www.facebook.com/madammaharlika</v>
      </c>
      <c r="B985" s="1" t="str">
        <f ca="1">IFERROR(__xludf.DUMMYFUNCTION("""COMPUTED_VALUE"""),"Doña Doña")</f>
        <v>Doña Doña</v>
      </c>
      <c r="C985" s="1" t="str">
        <f ca="1">IFERROR(__xludf.DUMMYFUNCTION("""COMPUTED_VALUE"""),"Doña")</f>
        <v>Doña</v>
      </c>
      <c r="D985" s="1" t="str">
        <f ca="1">IFERROR(__xludf.DUMMYFUNCTION("""COMPUTED_VALUE"""),"Doña")</f>
        <v>Doña</v>
      </c>
      <c r="E985" s="1" t="str">
        <f ca="1">IFERROR(__xludf.DUMMYFUNCTION("""COMPUTED_VALUE"""),"Doña Doña")</f>
        <v>Doña Doña</v>
      </c>
      <c r="F985" s="1"/>
      <c r="G985" s="1" t="str">
        <f ca="1">IFERROR(__xludf.DUMMYFUNCTION("""COMPUTED_VALUE"""),"3 mos")</f>
        <v>3 mos</v>
      </c>
      <c r="H985" s="1" t="str">
        <f ca="1">IFERROR(__xludf.DUMMYFUNCTION("""COMPUTED_VALUE"""),"comment")</f>
        <v>comment</v>
      </c>
      <c r="I985" s="2" t="str">
        <f ca="1">IFERROR(__xludf.DUMMYFUNCTION("""COMPUTED_VALUE"""),"https://www.facebook.com/rapplerdotcom/photos/a.317154781638645/5596043783749692/")</f>
        <v>https://www.facebook.com/rapplerdotcom/photos/a.317154781638645/5596043783749692/</v>
      </c>
      <c r="J985" s="1" t="str">
        <f ca="1">IFERROR(__xludf.DUMMYFUNCTION("""COMPUTED_VALUE"""),"2022-07-04T15:38:38.278Z")</f>
        <v>2022-07-04T15:38:38.278Z</v>
      </c>
    </row>
    <row r="986" spans="1:10" x14ac:dyDescent="0.2">
      <c r="A986" s="2" t="str">
        <f ca="1">IFERROR(__xludf.DUMMYFUNCTION("""COMPUTED_VALUE"""),"https://www.facebook.com/madammaharlika")</f>
        <v>https://www.facebook.com/madammaharlika</v>
      </c>
      <c r="B986" s="1" t="str">
        <f ca="1">IFERROR(__xludf.DUMMYFUNCTION("""COMPUTED_VALUE"""),"Doña Doña")</f>
        <v>Doña Doña</v>
      </c>
      <c r="C986" s="1" t="str">
        <f ca="1">IFERROR(__xludf.DUMMYFUNCTION("""COMPUTED_VALUE"""),"Doña")</f>
        <v>Doña</v>
      </c>
      <c r="D986" s="1" t="str">
        <f ca="1">IFERROR(__xludf.DUMMYFUNCTION("""COMPUTED_VALUE"""),"Doña")</f>
        <v>Doña</v>
      </c>
      <c r="E986" s="1" t="str">
        <f ca="1">IFERROR(__xludf.DUMMYFUNCTION("""COMPUTED_VALUE"""),"Doña Doña")</f>
        <v>Doña Doña</v>
      </c>
      <c r="F986" s="1"/>
      <c r="G986" s="1" t="str">
        <f ca="1">IFERROR(__xludf.DUMMYFUNCTION("""COMPUTED_VALUE"""),"3 mos")</f>
        <v>3 mos</v>
      </c>
      <c r="H986" s="1" t="str">
        <f ca="1">IFERROR(__xludf.DUMMYFUNCTION("""COMPUTED_VALUE"""),"comment")</f>
        <v>comment</v>
      </c>
      <c r="I986" s="2" t="str">
        <f ca="1">IFERROR(__xludf.DUMMYFUNCTION("""COMPUTED_VALUE"""),"https://www.facebook.com/rapplerdotcom/photos/a.317154781638645/5596043783749692/")</f>
        <v>https://www.facebook.com/rapplerdotcom/photos/a.317154781638645/5596043783749692/</v>
      </c>
      <c r="J986" s="1" t="str">
        <f ca="1">IFERROR(__xludf.DUMMYFUNCTION("""COMPUTED_VALUE"""),"2022-07-04T15:38:38.278Z")</f>
        <v>2022-07-04T15:38:38.278Z</v>
      </c>
    </row>
    <row r="987" spans="1:10" x14ac:dyDescent="0.2">
      <c r="A987" s="2" t="str">
        <f ca="1">IFERROR(__xludf.DUMMYFUNCTION("""COMPUTED_VALUE"""),"https://www.facebook.com/madammaharlika")</f>
        <v>https://www.facebook.com/madammaharlika</v>
      </c>
      <c r="B987" s="1" t="str">
        <f ca="1">IFERROR(__xludf.DUMMYFUNCTION("""COMPUTED_VALUE"""),"Doña Doña")</f>
        <v>Doña Doña</v>
      </c>
      <c r="C987" s="1" t="str">
        <f ca="1">IFERROR(__xludf.DUMMYFUNCTION("""COMPUTED_VALUE"""),"Doña")</f>
        <v>Doña</v>
      </c>
      <c r="D987" s="1" t="str">
        <f ca="1">IFERROR(__xludf.DUMMYFUNCTION("""COMPUTED_VALUE"""),"Doña")</f>
        <v>Doña</v>
      </c>
      <c r="E987" s="1" t="str">
        <f ca="1">IFERROR(__xludf.DUMMYFUNCTION("""COMPUTED_VALUE"""),"Doña Doña")</f>
        <v>Doña Doña</v>
      </c>
      <c r="F987" s="1"/>
      <c r="G987" s="1" t="str">
        <f ca="1">IFERROR(__xludf.DUMMYFUNCTION("""COMPUTED_VALUE"""),"3 mos")</f>
        <v>3 mos</v>
      </c>
      <c r="H987" s="1" t="str">
        <f ca="1">IFERROR(__xludf.DUMMYFUNCTION("""COMPUTED_VALUE"""),"comment")</f>
        <v>comment</v>
      </c>
      <c r="I987" s="2" t="str">
        <f ca="1">IFERROR(__xludf.DUMMYFUNCTION("""COMPUTED_VALUE"""),"https://www.facebook.com/rapplerdotcom/photos/a.317154781638645/5596043783749692/")</f>
        <v>https://www.facebook.com/rapplerdotcom/photos/a.317154781638645/5596043783749692/</v>
      </c>
      <c r="J987" s="1" t="str">
        <f ca="1">IFERROR(__xludf.DUMMYFUNCTION("""COMPUTED_VALUE"""),"2022-07-04T15:38:38.278Z")</f>
        <v>2022-07-04T15:38:38.278Z</v>
      </c>
    </row>
    <row r="988" spans="1:10" x14ac:dyDescent="0.2">
      <c r="A988" s="2" t="str">
        <f ca="1">IFERROR(__xludf.DUMMYFUNCTION("""COMPUTED_VALUE"""),"https://www.facebook.com/madammaharlika")</f>
        <v>https://www.facebook.com/madammaharlika</v>
      </c>
      <c r="B988" s="1" t="str">
        <f ca="1">IFERROR(__xludf.DUMMYFUNCTION("""COMPUTED_VALUE"""),"Doña Doña")</f>
        <v>Doña Doña</v>
      </c>
      <c r="C988" s="1" t="str">
        <f ca="1">IFERROR(__xludf.DUMMYFUNCTION("""COMPUTED_VALUE"""),"Doña")</f>
        <v>Doña</v>
      </c>
      <c r="D988" s="1" t="str">
        <f ca="1">IFERROR(__xludf.DUMMYFUNCTION("""COMPUTED_VALUE"""),"Doña")</f>
        <v>Doña</v>
      </c>
      <c r="E988" s="1" t="str">
        <f ca="1">IFERROR(__xludf.DUMMYFUNCTION("""COMPUTED_VALUE"""),"Doña Doña")</f>
        <v>Doña Doña</v>
      </c>
      <c r="F988" s="1"/>
      <c r="G988" s="1" t="str">
        <f ca="1">IFERROR(__xludf.DUMMYFUNCTION("""COMPUTED_VALUE"""),"3 mos")</f>
        <v>3 mos</v>
      </c>
      <c r="H988" s="1" t="str">
        <f ca="1">IFERROR(__xludf.DUMMYFUNCTION("""COMPUTED_VALUE"""),"comment")</f>
        <v>comment</v>
      </c>
      <c r="I988" s="2" t="str">
        <f ca="1">IFERROR(__xludf.DUMMYFUNCTION("""COMPUTED_VALUE"""),"https://www.facebook.com/rapplerdotcom/photos/a.317154781638645/5596043783749692/")</f>
        <v>https://www.facebook.com/rapplerdotcom/photos/a.317154781638645/5596043783749692/</v>
      </c>
      <c r="J988" s="1" t="str">
        <f ca="1">IFERROR(__xludf.DUMMYFUNCTION("""COMPUTED_VALUE"""),"2022-07-04T15:38:38.278Z")</f>
        <v>2022-07-04T15:38:38.278Z</v>
      </c>
    </row>
    <row r="989" spans="1:10" x14ac:dyDescent="0.2">
      <c r="A989" s="2" t="str">
        <f ca="1">IFERROR(__xludf.DUMMYFUNCTION("""COMPUTED_VALUE"""),"https://www.facebook.com/ninotchka.rosca")</f>
        <v>https://www.facebook.com/ninotchka.rosca</v>
      </c>
      <c r="B989" s="1" t="str">
        <f ca="1">IFERROR(__xludf.DUMMYFUNCTION("""COMPUTED_VALUE"""),"Ninotchka Rosca")</f>
        <v>Ninotchka Rosca</v>
      </c>
      <c r="C989" s="1" t="str">
        <f ca="1">IFERROR(__xludf.DUMMYFUNCTION("""COMPUTED_VALUE"""),"Ninotchka")</f>
        <v>Ninotchka</v>
      </c>
      <c r="D989" s="1" t="str">
        <f ca="1">IFERROR(__xludf.DUMMYFUNCTION("""COMPUTED_VALUE"""),"Rosca")</f>
        <v>Rosca</v>
      </c>
      <c r="E989" s="1" t="str">
        <f ca="1">IFERROR(__xludf.DUMMYFUNCTION("""COMPUTED_VALUE"""),"Great photo.  Fabulous.")</f>
        <v>Great photo.  Fabulous.</v>
      </c>
      <c r="F989" s="1">
        <f ca="1">IFERROR(__xludf.DUMMYFUNCTION("""COMPUTED_VALUE"""),118)</f>
        <v>118</v>
      </c>
      <c r="G989" s="1" t="str">
        <f ca="1">IFERROR(__xludf.DUMMYFUNCTION("""COMPUTED_VALUE"""),"3 mos")</f>
        <v>3 mos</v>
      </c>
      <c r="H989" s="1" t="str">
        <f ca="1">IFERROR(__xludf.DUMMYFUNCTION("""COMPUTED_VALUE"""),"comment")</f>
        <v>comment</v>
      </c>
      <c r="I989" s="2" t="str">
        <f ca="1">IFERROR(__xludf.DUMMYFUNCTION("""COMPUTED_VALUE"""),"https://www.facebook.com/rapplerdotcom/photos/a.317154781638645/5596022273751843/")</f>
        <v>https://www.facebook.com/rapplerdotcom/photos/a.317154781638645/5596022273751843/</v>
      </c>
      <c r="J989" s="1" t="str">
        <f ca="1">IFERROR(__xludf.DUMMYFUNCTION("""COMPUTED_VALUE"""),"2022-07-04T15:39:36.622Z")</f>
        <v>2022-07-04T15:39:36.622Z</v>
      </c>
    </row>
    <row r="990" spans="1:10" x14ac:dyDescent="0.2">
      <c r="A990" s="2" t="str">
        <f ca="1">IFERROR(__xludf.DUMMYFUNCTION("""COMPUTED_VALUE"""),"https://www.facebook.com/yongcoonang")</f>
        <v>https://www.facebook.com/yongcoonang</v>
      </c>
      <c r="B990" s="1" t="str">
        <f ca="1">IFERROR(__xludf.DUMMYFUNCTION("""COMPUTED_VALUE"""),"Kelvin Billy")</f>
        <v>Kelvin Billy</v>
      </c>
      <c r="C990" s="1" t="str">
        <f ca="1">IFERROR(__xludf.DUMMYFUNCTION("""COMPUTED_VALUE"""),"Kelvin")</f>
        <v>Kelvin</v>
      </c>
      <c r="D990" s="1" t="str">
        <f ca="1">IFERROR(__xludf.DUMMYFUNCTION("""COMPUTED_VALUE"""),"Billy")</f>
        <v>Billy</v>
      </c>
      <c r="E990" s="1" t="str">
        <f ca="1">IFERROR(__xludf.DUMMYFUNCTION("""COMPUTED_VALUE"""),"Ninotchka Rosca   ⚙️ EARN MONEY ONLINE WITHOUT GOING TO WORK OR STRESS YOURSELF  ⚙️if you're interested ☝️☝️☝️ just kindly click on the link to contact my Senior Cryptofx account manager for guidance 📩  Link 🔗🔗🔗  https://www.facebook.com/evlira.crypto"&amp;"fxtrader")</f>
        <v>Ninotchka Rosca   ⚙️ EARN MONEY ONLINE WITHOUT GOING TO WORK OR STRESS YOURSELF  ⚙️if you're interested ☝️☝️☝️ just kindly click on the link to contact my Senior Cryptofx account manager for guidance 📩  Link 🔗🔗🔗  https://www.facebook.com/evlira.cryptofxtrader</v>
      </c>
      <c r="F990" s="1"/>
      <c r="G990" s="1" t="str">
        <f ca="1">IFERROR(__xludf.DUMMYFUNCTION("""COMPUTED_VALUE"""),"3 mos")</f>
        <v>3 mos</v>
      </c>
      <c r="H990" s="1" t="str">
        <f ca="1">IFERROR(__xludf.DUMMYFUNCTION("""COMPUTED_VALUE"""),"reply")</f>
        <v>reply</v>
      </c>
      <c r="I990" s="2" t="str">
        <f ca="1">IFERROR(__xludf.DUMMYFUNCTION("""COMPUTED_VALUE"""),"https://www.facebook.com/rapplerdotcom/photos/a.317154781638645/5596022273751843/")</f>
        <v>https://www.facebook.com/rapplerdotcom/photos/a.317154781638645/5596022273751843/</v>
      </c>
      <c r="J990" s="1" t="str">
        <f ca="1">IFERROR(__xludf.DUMMYFUNCTION("""COMPUTED_VALUE"""),"2022-07-04T15:39:36.622Z")</f>
        <v>2022-07-04T15:39:36.622Z</v>
      </c>
    </row>
    <row r="991" spans="1:10" x14ac:dyDescent="0.2">
      <c r="A991" s="2" t="str">
        <f ca="1">IFERROR(__xludf.DUMMYFUNCTION("""COMPUTED_VALUE"""),"https://www.facebook.com/lorna.felipe.1694")</f>
        <v>https://www.facebook.com/lorna.felipe.1694</v>
      </c>
      <c r="B991" s="1" t="str">
        <f ca="1">IFERROR(__xludf.DUMMYFUNCTION("""COMPUTED_VALUE"""),"Lorna Felipe")</f>
        <v>Lorna Felipe</v>
      </c>
      <c r="C991" s="1" t="str">
        <f ca="1">IFERROR(__xludf.DUMMYFUNCTION("""COMPUTED_VALUE"""),"Lorna")</f>
        <v>Lorna</v>
      </c>
      <c r="D991" s="1" t="str">
        <f ca="1">IFERROR(__xludf.DUMMYFUNCTION("""COMPUTED_VALUE"""),"Felipe")</f>
        <v>Felipe</v>
      </c>
      <c r="E991" s="1" t="str">
        <f ca="1">IFERROR(__xludf.DUMMYFUNCTION("""COMPUTED_VALUE"""),"Ninotchka Rosca ..")</f>
        <v>Ninotchka Rosca ..</v>
      </c>
      <c r="F991" s="1"/>
      <c r="G991" s="1" t="str">
        <f ca="1">IFERROR(__xludf.DUMMYFUNCTION("""COMPUTED_VALUE"""),"3 mos")</f>
        <v>3 mos</v>
      </c>
      <c r="H991" s="1" t="str">
        <f ca="1">IFERROR(__xludf.DUMMYFUNCTION("""COMPUTED_VALUE"""),"reply")</f>
        <v>reply</v>
      </c>
      <c r="I991" s="2" t="str">
        <f ca="1">IFERROR(__xludf.DUMMYFUNCTION("""COMPUTED_VALUE"""),"https://www.facebook.com/rapplerdotcom/photos/a.317154781638645/5596022273751843/")</f>
        <v>https://www.facebook.com/rapplerdotcom/photos/a.317154781638645/5596022273751843/</v>
      </c>
      <c r="J991" s="1" t="str">
        <f ca="1">IFERROR(__xludf.DUMMYFUNCTION("""COMPUTED_VALUE"""),"2022-07-04T15:39:36.622Z")</f>
        <v>2022-07-04T15:39:36.622Z</v>
      </c>
    </row>
    <row r="992" spans="1:10" x14ac:dyDescent="0.2">
      <c r="A992" s="2" t="str">
        <f ca="1">IFERROR(__xludf.DUMMYFUNCTION("""COMPUTED_VALUE"""),"https://www.facebook.com/beverlyfrias")</f>
        <v>https://www.facebook.com/beverlyfrias</v>
      </c>
      <c r="B992" s="1" t="str">
        <f ca="1">IFERROR(__xludf.DUMMYFUNCTION("""COMPUTED_VALUE"""),"Rebecca Frias")</f>
        <v>Rebecca Frias</v>
      </c>
      <c r="C992" s="1" t="str">
        <f ca="1">IFERROR(__xludf.DUMMYFUNCTION("""COMPUTED_VALUE"""),"Rebecca")</f>
        <v>Rebecca</v>
      </c>
      <c r="D992" s="1" t="str">
        <f ca="1">IFERROR(__xludf.DUMMYFUNCTION("""COMPUTED_VALUE"""),"Frias")</f>
        <v>Frias</v>
      </c>
      <c r="E992" s="1" t="str">
        <f ca="1">IFERROR(__xludf.DUMMYFUNCTION("""COMPUTED_VALUE"""),"Unbelievable grabeeeeee!!!!!!!")</f>
        <v>Unbelievable grabeeeeee!!!!!!!</v>
      </c>
      <c r="F992" s="1"/>
      <c r="G992" s="1" t="str">
        <f ca="1">IFERROR(__xludf.DUMMYFUNCTION("""COMPUTED_VALUE"""),"3 mos")</f>
        <v>3 mos</v>
      </c>
      <c r="H992" s="1" t="str">
        <f ca="1">IFERROR(__xludf.DUMMYFUNCTION("""COMPUTED_VALUE"""),"reply")</f>
        <v>reply</v>
      </c>
      <c r="I992" s="2" t="str">
        <f ca="1">IFERROR(__xludf.DUMMYFUNCTION("""COMPUTED_VALUE"""),"https://www.facebook.com/rapplerdotcom/photos/a.317154781638645/5596022273751843/")</f>
        <v>https://www.facebook.com/rapplerdotcom/photos/a.317154781638645/5596022273751843/</v>
      </c>
      <c r="J992" s="1" t="str">
        <f ca="1">IFERROR(__xludf.DUMMYFUNCTION("""COMPUTED_VALUE"""),"2022-07-04T15:39:36.622Z")</f>
        <v>2022-07-04T15:39:36.622Z</v>
      </c>
    </row>
    <row r="993" spans="1:10" x14ac:dyDescent="0.2">
      <c r="A993" s="2" t="str">
        <f ca="1">IFERROR(__xludf.DUMMYFUNCTION("""COMPUTED_VALUE"""),"https://www.facebook.com/profile.php?id=100078772872933")</f>
        <v>https://www.facebook.com/profile.php?id=100078772872933</v>
      </c>
      <c r="B993" s="1" t="str">
        <f ca="1">IFERROR(__xludf.DUMMYFUNCTION("""COMPUTED_VALUE"""),"Yvonne Yuzon")</f>
        <v>Yvonne Yuzon</v>
      </c>
      <c r="C993" s="1" t="str">
        <f ca="1">IFERROR(__xludf.DUMMYFUNCTION("""COMPUTED_VALUE"""),"Yvonne")</f>
        <v>Yvonne</v>
      </c>
      <c r="D993" s="1" t="str">
        <f ca="1">IFERROR(__xludf.DUMMYFUNCTION("""COMPUTED_VALUE"""),"Yuzon")</f>
        <v>Yuzon</v>
      </c>
      <c r="E993" s="1" t="str">
        <f ca="1">IFERROR(__xludf.DUMMYFUNCTION("""COMPUTED_VALUE"""),"Ninotchka Rosca Kulay Rosas ang Bukas!")</f>
        <v>Ninotchka Rosca Kulay Rosas ang Bukas!</v>
      </c>
      <c r="F993" s="1"/>
      <c r="G993" s="1" t="str">
        <f ca="1">IFERROR(__xludf.DUMMYFUNCTION("""COMPUTED_VALUE"""),"3 mos")</f>
        <v>3 mos</v>
      </c>
      <c r="H993" s="1" t="str">
        <f ca="1">IFERROR(__xludf.DUMMYFUNCTION("""COMPUTED_VALUE"""),"reply")</f>
        <v>reply</v>
      </c>
      <c r="I993" s="2" t="str">
        <f ca="1">IFERROR(__xludf.DUMMYFUNCTION("""COMPUTED_VALUE"""),"https://www.facebook.com/rapplerdotcom/photos/a.317154781638645/5596022273751843/")</f>
        <v>https://www.facebook.com/rapplerdotcom/photos/a.317154781638645/5596022273751843/</v>
      </c>
      <c r="J993" s="1" t="str">
        <f ca="1">IFERROR(__xludf.DUMMYFUNCTION("""COMPUTED_VALUE"""),"2022-07-04T15:39:36.622Z")</f>
        <v>2022-07-04T15:39:36.622Z</v>
      </c>
    </row>
    <row r="994" spans="1:10" x14ac:dyDescent="0.2">
      <c r="A994" s="2" t="str">
        <f ca="1">IFERROR(__xludf.DUMMYFUNCTION("""COMPUTED_VALUE"""),"https://www.facebook.com/profile.php?id=100078433647836")</f>
        <v>https://www.facebook.com/profile.php?id=100078433647836</v>
      </c>
      <c r="B994" s="1" t="str">
        <f ca="1">IFERROR(__xludf.DUMMYFUNCTION("""COMPUTED_VALUE"""),"Melinda Rosario")</f>
        <v>Melinda Rosario</v>
      </c>
      <c r="C994" s="1" t="str">
        <f ca="1">IFERROR(__xludf.DUMMYFUNCTION("""COMPUTED_VALUE"""),"Melinda")</f>
        <v>Melinda</v>
      </c>
      <c r="D994" s="1" t="str">
        <f ca="1">IFERROR(__xludf.DUMMYFUNCTION("""COMPUTED_VALUE"""),"Rosario")</f>
        <v>Rosario</v>
      </c>
      <c r="E994" s="1" t="str">
        <f ca="1">IFERROR(__xludf.DUMMYFUNCTION("""COMPUTED_VALUE"""),"Cutie! 🌷")</f>
        <v>Cutie! 🌷</v>
      </c>
      <c r="F994" s="1"/>
      <c r="G994" s="1" t="str">
        <f ca="1">IFERROR(__xludf.DUMMYFUNCTION("""COMPUTED_VALUE"""),"3 mos")</f>
        <v>3 mos</v>
      </c>
      <c r="H994" s="1" t="str">
        <f ca="1">IFERROR(__xludf.DUMMYFUNCTION("""COMPUTED_VALUE"""),"reply")</f>
        <v>reply</v>
      </c>
      <c r="I994" s="2" t="str">
        <f ca="1">IFERROR(__xludf.DUMMYFUNCTION("""COMPUTED_VALUE"""),"https://www.facebook.com/rapplerdotcom/photos/a.317154781638645/5596022273751843/")</f>
        <v>https://www.facebook.com/rapplerdotcom/photos/a.317154781638645/5596022273751843/</v>
      </c>
      <c r="J994" s="1" t="str">
        <f ca="1">IFERROR(__xludf.DUMMYFUNCTION("""COMPUTED_VALUE"""),"2022-07-04T15:39:36.622Z")</f>
        <v>2022-07-04T15:39:36.622Z</v>
      </c>
    </row>
    <row r="995" spans="1:10" x14ac:dyDescent="0.2">
      <c r="A995" s="2" t="str">
        <f ca="1">IFERROR(__xludf.DUMMYFUNCTION("""COMPUTED_VALUE"""),"https://www.facebook.com/profile.php?id=100078504654734")</f>
        <v>https://www.facebook.com/profile.php?id=100078504654734</v>
      </c>
      <c r="B995" s="1" t="str">
        <f ca="1">IFERROR(__xludf.DUMMYFUNCTION("""COMPUTED_VALUE"""),"Rebreb Yumul")</f>
        <v>Rebreb Yumul</v>
      </c>
      <c r="C995" s="1" t="str">
        <f ca="1">IFERROR(__xludf.DUMMYFUNCTION("""COMPUTED_VALUE"""),"Rebreb")</f>
        <v>Rebreb</v>
      </c>
      <c r="D995" s="1" t="str">
        <f ca="1">IFERROR(__xludf.DUMMYFUNCTION("""COMPUTED_VALUE"""),"Yumul")</f>
        <v>Yumul</v>
      </c>
      <c r="E995" s="1" t="str">
        <f ca="1">IFERROR(__xludf.DUMMYFUNCTION("""COMPUTED_VALUE"""),"Ninotchka Rosca amazing kakampinks!")</f>
        <v>Ninotchka Rosca amazing kakampinks!</v>
      </c>
      <c r="F995" s="1"/>
      <c r="G995" s="1" t="str">
        <f ca="1">IFERROR(__xludf.DUMMYFUNCTION("""COMPUTED_VALUE"""),"3 mos")</f>
        <v>3 mos</v>
      </c>
      <c r="H995" s="1" t="str">
        <f ca="1">IFERROR(__xludf.DUMMYFUNCTION("""COMPUTED_VALUE"""),"reply")</f>
        <v>reply</v>
      </c>
      <c r="I995" s="2" t="str">
        <f ca="1">IFERROR(__xludf.DUMMYFUNCTION("""COMPUTED_VALUE"""),"https://www.facebook.com/rapplerdotcom/photos/a.317154781638645/5596022273751843/")</f>
        <v>https://www.facebook.com/rapplerdotcom/photos/a.317154781638645/5596022273751843/</v>
      </c>
      <c r="J995" s="1" t="str">
        <f ca="1">IFERROR(__xludf.DUMMYFUNCTION("""COMPUTED_VALUE"""),"2022-07-04T15:39:36.622Z")</f>
        <v>2022-07-04T15:39:36.622Z</v>
      </c>
    </row>
    <row r="996" spans="1:10" x14ac:dyDescent="0.2">
      <c r="A996" s="2" t="str">
        <f ca="1">IFERROR(__xludf.DUMMYFUNCTION("""COMPUTED_VALUE"""),"https://www.facebook.com/terrence.co")</f>
        <v>https://www.facebook.com/terrence.co</v>
      </c>
      <c r="B996" s="1" t="str">
        <f ca="1">IFERROR(__xludf.DUMMYFUNCTION("""COMPUTED_VALUE"""),"Terence Co")</f>
        <v>Terence Co</v>
      </c>
      <c r="C996" s="1" t="str">
        <f ca="1">IFERROR(__xludf.DUMMYFUNCTION("""COMPUTED_VALUE"""),"Terence")</f>
        <v>Terence</v>
      </c>
      <c r="D996" s="1" t="str">
        <f ca="1">IFERROR(__xludf.DUMMYFUNCTION("""COMPUTED_VALUE"""),"Co")</f>
        <v>Co</v>
      </c>
      <c r="E996" s="1" t="str">
        <f ca="1">IFERROR(__xludf.DUMMYFUNCTION("""COMPUTED_VALUE"""),"We are #Kakampink because we want good governance!! Someone who doens’t back out when the going gets tough!  #Ipanalona10to #LENIwanagSaDilim #LeniKiko2022")</f>
        <v>We are #Kakampink because we want good governance!! Someone who doens’t back out when the going gets tough!  #Ipanalona10to #LENIwanagSaDilim #LeniKiko2022</v>
      </c>
      <c r="F996" s="1">
        <f ca="1">IFERROR(__xludf.DUMMYFUNCTION("""COMPUTED_VALUE"""),34)</f>
        <v>34</v>
      </c>
      <c r="G996" s="1" t="str">
        <f ca="1">IFERROR(__xludf.DUMMYFUNCTION("""COMPUTED_VALUE"""),"3 mos")</f>
        <v>3 mos</v>
      </c>
      <c r="H996" s="1" t="str">
        <f ca="1">IFERROR(__xludf.DUMMYFUNCTION("""COMPUTED_VALUE"""),"comment")</f>
        <v>comment</v>
      </c>
      <c r="I996" s="2" t="str">
        <f ca="1">IFERROR(__xludf.DUMMYFUNCTION("""COMPUTED_VALUE"""),"https://www.facebook.com/rapplerdotcom/photos/a.317154781638645/5596022273751843/")</f>
        <v>https://www.facebook.com/rapplerdotcom/photos/a.317154781638645/5596022273751843/</v>
      </c>
      <c r="J996" s="1" t="str">
        <f ca="1">IFERROR(__xludf.DUMMYFUNCTION("""COMPUTED_VALUE"""),"2022-07-04T15:39:36.622Z")</f>
        <v>2022-07-04T15:39:36.622Z</v>
      </c>
    </row>
    <row r="997" spans="1:10" x14ac:dyDescent="0.2">
      <c r="A997" s="2" t="str">
        <f ca="1">IFERROR(__xludf.DUMMYFUNCTION("""COMPUTED_VALUE"""),"https://www.facebook.com/augustusfabonii")</f>
        <v>https://www.facebook.com/augustusfabonii</v>
      </c>
      <c r="B997" s="1" t="str">
        <f ca="1">IFERROR(__xludf.DUMMYFUNCTION("""COMPUTED_VALUE"""),"Augustus Fabon II")</f>
        <v>Augustus Fabon II</v>
      </c>
      <c r="C997" s="1" t="str">
        <f ca="1">IFERROR(__xludf.DUMMYFUNCTION("""COMPUTED_VALUE"""),"Augustus")</f>
        <v>Augustus</v>
      </c>
      <c r="D997" s="1" t="str">
        <f ca="1">IFERROR(__xludf.DUMMYFUNCTION("""COMPUTED_VALUE"""),"Fabon II")</f>
        <v>Fabon II</v>
      </c>
      <c r="E997" s="1" t="str">
        <f ca="1">IFERROR(__xludf.DUMMYFUNCTION("""COMPUTED_VALUE"""),"Never above anyone, but always IN UNISON WITH EVERYONE! #LeniKiko2022 respects #EarthHour2022  CaMaNaVa napakahusay ninyo! Kasama ninyo kaming tumitindig! #IpanaloNa10To #10RobredoPresident #7PangilinanVicePresident #GobyernongTapat #AngatBuhayLahat")</f>
        <v>Never above anyone, but always IN UNISON WITH EVERYONE! #LeniKiko2022 respects #EarthHour2022  CaMaNaVa napakahusay ninyo! Kasama ninyo kaming tumitindig! #IpanaloNa10To #10RobredoPresident #7PangilinanVicePresident #GobyernongTapat #AngatBuhayLahat</v>
      </c>
      <c r="F997" s="1">
        <f ca="1">IFERROR(__xludf.DUMMYFUNCTION("""COMPUTED_VALUE"""),17)</f>
        <v>17</v>
      </c>
      <c r="G997" s="1" t="str">
        <f ca="1">IFERROR(__xludf.DUMMYFUNCTION("""COMPUTED_VALUE"""),"3 mos")</f>
        <v>3 mos</v>
      </c>
      <c r="H997" s="1" t="str">
        <f ca="1">IFERROR(__xludf.DUMMYFUNCTION("""COMPUTED_VALUE"""),"comment")</f>
        <v>comment</v>
      </c>
      <c r="I997" s="2" t="str">
        <f ca="1">IFERROR(__xludf.DUMMYFUNCTION("""COMPUTED_VALUE"""),"https://www.facebook.com/rapplerdotcom/photos/a.317154781638645/5596022273751843/")</f>
        <v>https://www.facebook.com/rapplerdotcom/photos/a.317154781638645/5596022273751843/</v>
      </c>
      <c r="J997" s="1" t="str">
        <f ca="1">IFERROR(__xludf.DUMMYFUNCTION("""COMPUTED_VALUE"""),"2022-07-04T15:39:36.622Z")</f>
        <v>2022-07-04T15:39:36.622Z</v>
      </c>
    </row>
    <row r="998" spans="1:10" x14ac:dyDescent="0.2">
      <c r="A998" s="2" t="str">
        <f ca="1">IFERROR(__xludf.DUMMYFUNCTION("""COMPUTED_VALUE"""),"https://www.facebook.com/steve.tamayo.18")</f>
        <v>https://www.facebook.com/steve.tamayo.18</v>
      </c>
      <c r="B998" s="1" t="str">
        <f ca="1">IFERROR(__xludf.DUMMYFUNCTION("""COMPUTED_VALUE"""),"Steve Tamayo")</f>
        <v>Steve Tamayo</v>
      </c>
      <c r="C998" s="1" t="str">
        <f ca="1">IFERROR(__xludf.DUMMYFUNCTION("""COMPUTED_VALUE"""),"Steve")</f>
        <v>Steve</v>
      </c>
      <c r="D998" s="1" t="str">
        <f ca="1">IFERROR(__xludf.DUMMYFUNCTION("""COMPUTED_VALUE"""),"Tamayo")</f>
        <v>Tamayo</v>
      </c>
      <c r="E998" s="1" t="str">
        <f ca="1">IFERROR(__xludf.DUMMYFUNCTION("""COMPUTED_VALUE"""),"Ang boto ko ay para sa isang #GobyernongTapatAngatBuhayLahat at #MasRadikalAngMagmahal  #IdasalNa10to #LeniKikoAllTheWay  #CaMaNavaForLeniKiko #RockAndRosas #LugawIsWowSaDabaw #DabawIsPink #tarLENIqueño #TarlacIsPink #PUSOtarlac  #MasaganangANEhan  #Nueva"&amp;"EcijaIsPink #IpanaloNa10Ito #10RobredoPresident  #KikoISDAKey #KikoAngManokKo  #7PangilinanForVicePresident  #MASSKARApatDapatLeniKiko  #TeamRObredoPAngilinan2022 kasamahan para sa Senado iboto din ng straight, Atty Alex Lacson, Atty Sonny Matula, Dean Ch"&amp;"el Diokno, Indigenous Peoples representative Teddy Baguilat, Sen DeLima, Sen Hontiveros, Sen Trillianes at 1Sambayan Atty Neri Colmenares, Sen Gordon at Labor Leader Elmer Labog at 2 pa.")</f>
        <v>Ang boto ko ay para sa isang #GobyernongTapatAngatBuhayLahat at #MasRadikalAngMagmahal  #IdasalNa10to #LeniKikoAllTheWay  #CaMaNavaForLeniKiko #RockAndRosas #LugawIsWowSaDabaw #DabawIsPink #tarLENIqueño #TarlacIsPink #PUSOtarlac  #MasaganangANEhan  #NuevaEcijaIsPink #IpanaloNa10Ito #10RobredoPresident  #KikoISDAKey #KikoAngManokKo  #7PangilinanForVicePresident  #MASSKARApatDapatLeniKiko  #TeamRObredoPAngilinan2022 kasamahan para sa Senado iboto din ng straight, Atty Alex Lacson, Atty Sonny Matula, Dean Chel Diokno, Indigenous Peoples representative Teddy Baguilat, Sen DeLima, Sen Hontiveros, Sen Trillianes at 1Sambayan Atty Neri Colmenares, Sen Gordon at Labor Leader Elmer Labog at 2 pa.</v>
      </c>
      <c r="F998" s="1">
        <f ca="1">IFERROR(__xludf.DUMMYFUNCTION("""COMPUTED_VALUE"""),27)</f>
        <v>27</v>
      </c>
      <c r="G998" s="1" t="str">
        <f ca="1">IFERROR(__xludf.DUMMYFUNCTION("""COMPUTED_VALUE"""),"3 mos")</f>
        <v>3 mos</v>
      </c>
      <c r="H998" s="1" t="str">
        <f ca="1">IFERROR(__xludf.DUMMYFUNCTION("""COMPUTED_VALUE"""),"comment")</f>
        <v>comment</v>
      </c>
      <c r="I998" s="2" t="str">
        <f ca="1">IFERROR(__xludf.DUMMYFUNCTION("""COMPUTED_VALUE"""),"https://www.facebook.com/rapplerdotcom/photos/a.317154781638645/5596022273751843/")</f>
        <v>https://www.facebook.com/rapplerdotcom/photos/a.317154781638645/5596022273751843/</v>
      </c>
      <c r="J998" s="1" t="str">
        <f ca="1">IFERROR(__xludf.DUMMYFUNCTION("""COMPUTED_VALUE"""),"2022-07-04T15:39:36.622Z")</f>
        <v>2022-07-04T15:39:36.622Z</v>
      </c>
    </row>
    <row r="999" spans="1:10" x14ac:dyDescent="0.2">
      <c r="A999" s="2" t="str">
        <f ca="1">IFERROR(__xludf.DUMMYFUNCTION("""COMPUTED_VALUE"""),"https://www.facebook.com/chie.abracosa")</f>
        <v>https://www.facebook.com/chie.abracosa</v>
      </c>
      <c r="B999" s="1" t="str">
        <f ca="1">IFERROR(__xludf.DUMMYFUNCTION("""COMPUTED_VALUE"""),"Chie Mercader")</f>
        <v>Chie Mercader</v>
      </c>
      <c r="C999" s="1" t="str">
        <f ca="1">IFERROR(__xludf.DUMMYFUNCTION("""COMPUTED_VALUE"""),"Chie")</f>
        <v>Chie</v>
      </c>
      <c r="D999" s="1" t="str">
        <f ca="1">IFERROR(__xludf.DUMMYFUNCTION("""COMPUTED_VALUE"""),"Mercader")</f>
        <v>Mercader</v>
      </c>
      <c r="E999" s="1" t="str">
        <f ca="1">IFERROR(__xludf.DUMMYFUNCTION("""COMPUTED_VALUE"""),"Happy #EarthHour mula sa CAMANAVA! 🇵🇭✨Liliwanag ang pag-asa ngayong 2022 dahil pinakita at pinatunayan ng 37,000 STRONG Shining &amp; Shimmering #CaMaNavaForLeniKiko na di tayo nag-iisa sa laban na10 👆🏻 at iisa ang ating pangarap para sa ating bansa #Anga"&amp;"tBuhayLahat! Rad 🌷💟🌸  #CAMANAVAisPink #CaMaNaVaRockNRosas 🌸🎸 #IpanaloNaNa10To #LeniKikoAllTheWay #TROPA2022")</f>
        <v>Happy #EarthHour mula sa CAMANAVA! 🇵🇭✨Liliwanag ang pag-asa ngayong 2022 dahil pinakita at pinatunayan ng 37,000 STRONG Shining &amp; Shimmering #CaMaNavaForLeniKiko na di tayo nag-iisa sa laban na10 👆🏻 at iisa ang ating pangarap para sa ating bansa #AngatBuhayLahat! Rad 🌷💟🌸  #CAMANAVAisPink #CaMaNaVaRockNRosas 🌸🎸 #IpanaloNaNa10To #LeniKikoAllTheWay #TROPA2022</v>
      </c>
      <c r="F999" s="1">
        <f ca="1">IFERROR(__xludf.DUMMYFUNCTION("""COMPUTED_VALUE"""),60)</f>
        <v>60</v>
      </c>
      <c r="G999" s="1" t="str">
        <f ca="1">IFERROR(__xludf.DUMMYFUNCTION("""COMPUTED_VALUE"""),"3 mos")</f>
        <v>3 mos</v>
      </c>
      <c r="H999" s="1" t="str">
        <f ca="1">IFERROR(__xludf.DUMMYFUNCTION("""COMPUTED_VALUE"""),"comment")</f>
        <v>comment</v>
      </c>
      <c r="I999" s="2" t="str">
        <f ca="1">IFERROR(__xludf.DUMMYFUNCTION("""COMPUTED_VALUE"""),"https://www.facebook.com/rapplerdotcom/photos/a.317154781638645/5596022273751843/")</f>
        <v>https://www.facebook.com/rapplerdotcom/photos/a.317154781638645/5596022273751843/</v>
      </c>
      <c r="J999" s="1" t="str">
        <f ca="1">IFERROR(__xludf.DUMMYFUNCTION("""COMPUTED_VALUE"""),"2022-07-04T15:39:36.623Z")</f>
        <v>2022-07-04T15:39:36.623Z</v>
      </c>
    </row>
    <row r="1000" spans="1:10" x14ac:dyDescent="0.2">
      <c r="A1000" s="2" t="str">
        <f ca="1">IFERROR(__xludf.DUMMYFUNCTION("""COMPUTED_VALUE"""),"https://www.facebook.com/profile.php?id=100073327830652")</f>
        <v>https://www.facebook.com/profile.php?id=100073327830652</v>
      </c>
      <c r="B1000" s="1" t="str">
        <f ca="1">IFERROR(__xludf.DUMMYFUNCTION("""COMPUTED_VALUE"""),"Jojo Del Rosario")</f>
        <v>Jojo Del Rosario</v>
      </c>
      <c r="C1000" s="1" t="str">
        <f ca="1">IFERROR(__xludf.DUMMYFUNCTION("""COMPUTED_VALUE"""),"Jojo")</f>
        <v>Jojo</v>
      </c>
      <c r="D1000" s="1" t="str">
        <f ca="1">IFERROR(__xludf.DUMMYFUNCTION("""COMPUTED_VALUE"""),"Del Rosario")</f>
        <v>Del Rosario</v>
      </c>
      <c r="E1000" s="1" t="str">
        <f ca="1">IFERROR(__xludf.DUMMYFUNCTION("""COMPUTED_VALUE"""),"Chie Mercader edith p more ung dron shot nga pikita nyo")</f>
        <v>Chie Mercader edith p more ung dron shot nga pikita nyo</v>
      </c>
      <c r="F1000" s="1">
        <f ca="1">IFERROR(__xludf.DUMMYFUNCTION("""COMPUTED_VALUE"""),3)</f>
        <v>3</v>
      </c>
      <c r="G1000" s="1" t="str">
        <f ca="1">IFERROR(__xludf.DUMMYFUNCTION("""COMPUTED_VALUE"""),"3 mos")</f>
        <v>3 mos</v>
      </c>
      <c r="H1000" s="1" t="str">
        <f ca="1">IFERROR(__xludf.DUMMYFUNCTION("""COMPUTED_VALUE"""),"reply")</f>
        <v>reply</v>
      </c>
      <c r="I1000" s="2" t="str">
        <f ca="1">IFERROR(__xludf.DUMMYFUNCTION("""COMPUTED_VALUE"""),"https://www.facebook.com/rapplerdotcom/photos/a.317154781638645/5596022273751843/")</f>
        <v>https://www.facebook.com/rapplerdotcom/photos/a.317154781638645/5596022273751843/</v>
      </c>
      <c r="J1000" s="1" t="str">
        <f ca="1">IFERROR(__xludf.DUMMYFUNCTION("""COMPUTED_VALUE"""),"2022-07-04T15:39:36.623Z")</f>
        <v>2022-07-04T15:39:36.623Z</v>
      </c>
    </row>
    <row r="1001" spans="1:10" x14ac:dyDescent="0.2">
      <c r="A1001" s="2" t="str">
        <f ca="1">IFERROR(__xludf.DUMMYFUNCTION("""COMPUTED_VALUE"""),"https://www.facebook.com/lrelator")</f>
        <v>https://www.facebook.com/lrelator</v>
      </c>
      <c r="B1001" s="1" t="str">
        <f ca="1">IFERROR(__xludf.DUMMYFUNCTION("""COMPUTED_VALUE"""),"Leo Montes Maratas Relator")</f>
        <v>Leo Montes Maratas Relator</v>
      </c>
      <c r="C1001" s="1" t="str">
        <f ca="1">IFERROR(__xludf.DUMMYFUNCTION("""COMPUTED_VALUE"""),"Leo")</f>
        <v>Leo</v>
      </c>
      <c r="D1001" s="1" t="str">
        <f ca="1">IFERROR(__xludf.DUMMYFUNCTION("""COMPUTED_VALUE"""),"Montes Maratas Relator")</f>
        <v>Montes Maratas Relator</v>
      </c>
      <c r="E1001" s="1" t="str">
        <f ca="1">IFERROR(__xludf.DUMMYFUNCTION("""COMPUTED_VALUE"""),"Jojo Del Rosario laos na  DwedDweeS at BiBwiiM di na gumagana budol")</f>
        <v>Jojo Del Rosario laos na  DwedDweeS at BiBwiiM di na gumagana budol</v>
      </c>
      <c r="F1001" s="1">
        <f ca="1">IFERROR(__xludf.DUMMYFUNCTION("""COMPUTED_VALUE"""),2)</f>
        <v>2</v>
      </c>
      <c r="G1001" s="1" t="str">
        <f ca="1">IFERROR(__xludf.DUMMYFUNCTION("""COMPUTED_VALUE"""),"3 mos")</f>
        <v>3 mos</v>
      </c>
      <c r="H1001" s="1" t="str">
        <f ca="1">IFERROR(__xludf.DUMMYFUNCTION("""COMPUTED_VALUE"""),"reply")</f>
        <v>reply</v>
      </c>
      <c r="I1001" s="2" t="str">
        <f ca="1">IFERROR(__xludf.DUMMYFUNCTION("""COMPUTED_VALUE"""),"https://www.facebook.com/rapplerdotcom/photos/a.317154781638645/5596022273751843/")</f>
        <v>https://www.facebook.com/rapplerdotcom/photos/a.317154781638645/5596022273751843/</v>
      </c>
      <c r="J1001" s="1" t="str">
        <f ca="1">IFERROR(__xludf.DUMMYFUNCTION("""COMPUTED_VALUE"""),"2022-07-04T15:39:36.623Z")</f>
        <v>2022-07-04T15:39:36.623Z</v>
      </c>
    </row>
    <row r="1002" spans="1:10" x14ac:dyDescent="0.2">
      <c r="A1002" s="2" t="str">
        <f ca="1">IFERROR(__xludf.DUMMYFUNCTION("""COMPUTED_VALUE"""),"https://www.facebook.com/profile.php?id=100073327830652")</f>
        <v>https://www.facebook.com/profile.php?id=100073327830652</v>
      </c>
      <c r="B1002" s="1" t="str">
        <f ca="1">IFERROR(__xludf.DUMMYFUNCTION("""COMPUTED_VALUE"""),"Jojo Del Rosario")</f>
        <v>Jojo Del Rosario</v>
      </c>
      <c r="C1002" s="1" t="str">
        <f ca="1">IFERROR(__xludf.DUMMYFUNCTION("""COMPUTED_VALUE"""),"Jojo")</f>
        <v>Jojo</v>
      </c>
      <c r="D1002" s="1" t="str">
        <f ca="1">IFERROR(__xludf.DUMMYFUNCTION("""COMPUTED_VALUE"""),"Del Rosario")</f>
        <v>Del Rosario</v>
      </c>
      <c r="E1002" s="1" t="str">
        <f ca="1">IFERROR(__xludf.DUMMYFUNCTION("""COMPUTED_VALUE"""),"At ska twing pnpkita gbi lagi wla n bang umaga ung pra mrming ilaw hahaha")</f>
        <v>At ska twing pnpkita gbi lagi wla n bang umaga ung pra mrming ilaw hahaha</v>
      </c>
      <c r="F1002" s="1"/>
      <c r="G1002" s="1" t="str">
        <f ca="1">IFERROR(__xludf.DUMMYFUNCTION("""COMPUTED_VALUE"""),"3 mos")</f>
        <v>3 mos</v>
      </c>
      <c r="H1002" s="1" t="str">
        <f ca="1">IFERROR(__xludf.DUMMYFUNCTION("""COMPUTED_VALUE"""),"reply")</f>
        <v>reply</v>
      </c>
      <c r="I1002" s="2" t="str">
        <f ca="1">IFERROR(__xludf.DUMMYFUNCTION("""COMPUTED_VALUE"""),"https://www.facebook.com/rapplerdotcom/photos/a.317154781638645/5596022273751843/")</f>
        <v>https://www.facebook.com/rapplerdotcom/photos/a.317154781638645/5596022273751843/</v>
      </c>
      <c r="J1002" s="1" t="str">
        <f ca="1">IFERROR(__xludf.DUMMYFUNCTION("""COMPUTED_VALUE"""),"2022-07-04T15:39:36.623Z")</f>
        <v>2022-07-04T15:39:36.623Z</v>
      </c>
    </row>
    <row r="1003" spans="1:10" x14ac:dyDescent="0.2">
      <c r="A1003" s="2" t="str">
        <f ca="1">IFERROR(__xludf.DUMMYFUNCTION("""COMPUTED_VALUE"""),"https://www.facebook.com/maryjonesoledad.gonzaga")</f>
        <v>https://www.facebook.com/maryjonesoledad.gonzaga</v>
      </c>
      <c r="B1003" s="1" t="str">
        <f ca="1">IFERROR(__xludf.DUMMYFUNCTION("""COMPUTED_VALUE"""),"Mary Jone Soledad Gonzaga")</f>
        <v>Mary Jone Soledad Gonzaga</v>
      </c>
      <c r="C1003" s="1" t="str">
        <f ca="1">IFERROR(__xludf.DUMMYFUNCTION("""COMPUTED_VALUE"""),"Mary")</f>
        <v>Mary</v>
      </c>
      <c r="D1003" s="1" t="str">
        <f ca="1">IFERROR(__xludf.DUMMYFUNCTION("""COMPUTED_VALUE"""),"Jone Soledad Gonzaga")</f>
        <v>Jone Soledad Gonzaga</v>
      </c>
      <c r="E1003" s="1" t="str">
        <f ca="1">IFERROR(__xludf.DUMMYFUNCTION("""COMPUTED_VALUE"""),"Jojo Del Rosario May rally ba sa Umaga?")</f>
        <v>Jojo Del Rosario May rally ba sa Umaga?</v>
      </c>
      <c r="F1003" s="1"/>
      <c r="G1003" s="1" t="str">
        <f ca="1">IFERROR(__xludf.DUMMYFUNCTION("""COMPUTED_VALUE"""),"3 mos")</f>
        <v>3 mos</v>
      </c>
      <c r="H1003" s="1" t="str">
        <f ca="1">IFERROR(__xludf.DUMMYFUNCTION("""COMPUTED_VALUE"""),"reply")</f>
        <v>reply</v>
      </c>
      <c r="I1003" s="2" t="str">
        <f ca="1">IFERROR(__xludf.DUMMYFUNCTION("""COMPUTED_VALUE"""),"https://www.facebook.com/rapplerdotcom/photos/a.317154781638645/5596022273751843/")</f>
        <v>https://www.facebook.com/rapplerdotcom/photos/a.317154781638645/5596022273751843/</v>
      </c>
      <c r="J1003" s="1" t="str">
        <f ca="1">IFERROR(__xludf.DUMMYFUNCTION("""COMPUTED_VALUE"""),"2022-07-04T15:39:36.623Z")</f>
        <v>2022-07-04T15:39:36.623Z</v>
      </c>
    </row>
    <row r="1004" spans="1:10" x14ac:dyDescent="0.2">
      <c r="A1004" s="2" t="str">
        <f ca="1">IFERROR(__xludf.DUMMYFUNCTION("""COMPUTED_VALUE"""),"https://www.facebook.com/profile.php?id=100077324863738")</f>
        <v>https://www.facebook.com/profile.php?id=100077324863738</v>
      </c>
      <c r="B1004" s="1" t="str">
        <f ca="1">IFERROR(__xludf.DUMMYFUNCTION("""COMPUTED_VALUE"""),"Sarah T Ugsa")</f>
        <v>Sarah T Ugsa</v>
      </c>
      <c r="C1004" s="1" t="str">
        <f ca="1">IFERROR(__xludf.DUMMYFUNCTION("""COMPUTED_VALUE"""),"Sarah")</f>
        <v>Sarah</v>
      </c>
      <c r="D1004" s="1" t="str">
        <f ca="1">IFERROR(__xludf.DUMMYFUNCTION("""COMPUTED_VALUE"""),"T Ugsa")</f>
        <v>T Ugsa</v>
      </c>
      <c r="E1004" s="1" t="str">
        <f ca="1">IFERROR(__xludf.DUMMYFUNCTION("""COMPUTED_VALUE"""),"Chie Mercader 👏")</f>
        <v>Chie Mercader 👏</v>
      </c>
      <c r="F1004" s="1"/>
      <c r="G1004" s="1" t="str">
        <f ca="1">IFERROR(__xludf.DUMMYFUNCTION("""COMPUTED_VALUE"""),"3 mos")</f>
        <v>3 mos</v>
      </c>
      <c r="H1004" s="1" t="str">
        <f ca="1">IFERROR(__xludf.DUMMYFUNCTION("""COMPUTED_VALUE"""),"reply")</f>
        <v>reply</v>
      </c>
      <c r="I1004" s="2" t="str">
        <f ca="1">IFERROR(__xludf.DUMMYFUNCTION("""COMPUTED_VALUE"""),"https://www.facebook.com/rapplerdotcom/photos/a.317154781638645/5596022273751843/")</f>
        <v>https://www.facebook.com/rapplerdotcom/photos/a.317154781638645/5596022273751843/</v>
      </c>
      <c r="J1004" s="1" t="str">
        <f ca="1">IFERROR(__xludf.DUMMYFUNCTION("""COMPUTED_VALUE"""),"2022-07-04T15:39:36.623Z")</f>
        <v>2022-07-04T15:39:36.623Z</v>
      </c>
    </row>
    <row r="1005" spans="1:10" x14ac:dyDescent="0.2">
      <c r="A1005" s="2" t="str">
        <f ca="1">IFERROR(__xludf.DUMMYFUNCTION("""COMPUTED_VALUE"""),"https://www.facebook.com/ronfrias")</f>
        <v>https://www.facebook.com/ronfrias</v>
      </c>
      <c r="B1005" s="1" t="str">
        <f ca="1">IFERROR(__xludf.DUMMYFUNCTION("""COMPUTED_VALUE"""),"Ronald Frias")</f>
        <v>Ronald Frias</v>
      </c>
      <c r="C1005" s="1" t="str">
        <f ca="1">IFERROR(__xludf.DUMMYFUNCTION("""COMPUTED_VALUE"""),"Ronald")</f>
        <v>Ronald</v>
      </c>
      <c r="D1005" s="1" t="str">
        <f ca="1">IFERROR(__xludf.DUMMYFUNCTION("""COMPUTED_VALUE"""),"Frias")</f>
        <v>Frias</v>
      </c>
      <c r="E1005" s="1" t="str">
        <f ca="1">IFERROR(__xludf.DUMMYFUNCTION("""COMPUTED_VALUE"""),"Solid #LeniKiko2022 para ang buong bansa panalo Join us #IpanaloNa10to :)")</f>
        <v>Solid #LeniKiko2022 para ang buong bansa panalo Join us #IpanaloNa10to :)</v>
      </c>
      <c r="F1005" s="1">
        <f ca="1">IFERROR(__xludf.DUMMYFUNCTION("""COMPUTED_VALUE"""),2)</f>
        <v>2</v>
      </c>
      <c r="G1005" s="1" t="str">
        <f ca="1">IFERROR(__xludf.DUMMYFUNCTION("""COMPUTED_VALUE"""),"3 mos")</f>
        <v>3 mos</v>
      </c>
      <c r="H1005" s="1" t="str">
        <f ca="1">IFERROR(__xludf.DUMMYFUNCTION("""COMPUTED_VALUE"""),"comment")</f>
        <v>comment</v>
      </c>
      <c r="I1005" s="2" t="str">
        <f ca="1">IFERROR(__xludf.DUMMYFUNCTION("""COMPUTED_VALUE"""),"https://www.facebook.com/rapplerdotcom/photos/a.317154781638645/5596022273751843/")</f>
        <v>https://www.facebook.com/rapplerdotcom/photos/a.317154781638645/5596022273751843/</v>
      </c>
      <c r="J1005" s="1" t="str">
        <f ca="1">IFERROR(__xludf.DUMMYFUNCTION("""COMPUTED_VALUE"""),"2022-07-04T15:39:36.623Z")</f>
        <v>2022-07-04T15:39:36.623Z</v>
      </c>
    </row>
    <row r="1006" spans="1:10" x14ac:dyDescent="0.2">
      <c r="A1006" s="2" t="str">
        <f ca="1">IFERROR(__xludf.DUMMYFUNCTION("""COMPUTED_VALUE"""),"https://www.facebook.com/sam.banaan.7")</f>
        <v>https://www.facebook.com/sam.banaan.7</v>
      </c>
      <c r="B1006" s="1" t="str">
        <f ca="1">IFERROR(__xludf.DUMMYFUNCTION("""COMPUTED_VALUE"""),"Sam Banaan")</f>
        <v>Sam Banaan</v>
      </c>
      <c r="C1006" s="1" t="str">
        <f ca="1">IFERROR(__xludf.DUMMYFUNCTION("""COMPUTED_VALUE"""),"Sam")</f>
        <v>Sam</v>
      </c>
      <c r="D1006" s="1" t="str">
        <f ca="1">IFERROR(__xludf.DUMMYFUNCTION("""COMPUTED_VALUE"""),"Banaan")</f>
        <v>Banaan</v>
      </c>
      <c r="E1006" s="1" t="str">
        <f ca="1">IFERROR(__xludf.DUMMYFUNCTION("""COMPUTED_VALUE"""),"What our country urgently needs at this time is a Crisis Manager President.   A tested and proven public servant who espouses transparency and good governance.  A truly results and service-oriented Leader.  The Phils deserves only the best.  Never experie"&amp;"nced by the ordinary Filipinos.  Mayor Isko - the man for these very challenging or impossible jobs in effecting real changes.  #BilisKilos  #SwitchToIsko.  God First Pilipinas!")</f>
        <v>What our country urgently needs at this time is a Crisis Manager President.   A tested and proven public servant who espouses transparency and good governance.  A truly results and service-oriented Leader.  The Phils deserves only the best.  Never experienced by the ordinary Filipinos.  Mayor Isko - the man for these very challenging or impossible jobs in effecting real changes.  #BilisKilos  #SwitchToIsko.  God First Pilipinas!</v>
      </c>
      <c r="F1006" s="1">
        <f ca="1">IFERROR(__xludf.DUMMYFUNCTION("""COMPUTED_VALUE"""),67)</f>
        <v>67</v>
      </c>
      <c r="G1006" s="1" t="str">
        <f ca="1">IFERROR(__xludf.DUMMYFUNCTION("""COMPUTED_VALUE"""),"3 mos")</f>
        <v>3 mos</v>
      </c>
      <c r="H1006" s="1" t="str">
        <f ca="1">IFERROR(__xludf.DUMMYFUNCTION("""COMPUTED_VALUE"""),"comment")</f>
        <v>comment</v>
      </c>
      <c r="I1006" s="2" t="str">
        <f ca="1">IFERROR(__xludf.DUMMYFUNCTION("""COMPUTED_VALUE"""),"https://www.facebook.com/rapplerdotcom/photos/a.317154781638645/5596022273751843/")</f>
        <v>https://www.facebook.com/rapplerdotcom/photos/a.317154781638645/5596022273751843/</v>
      </c>
      <c r="J1006" s="1" t="str">
        <f ca="1">IFERROR(__xludf.DUMMYFUNCTION("""COMPUTED_VALUE"""),"2022-07-04T15:39:36.623Z")</f>
        <v>2022-07-04T15:39:36.623Z</v>
      </c>
    </row>
    <row r="1007" spans="1:10" x14ac:dyDescent="0.2">
      <c r="A1007" s="2" t="str">
        <f ca="1">IFERROR(__xludf.DUMMYFUNCTION("""COMPUTED_VALUE"""),"https://www.facebook.com/gina.arjona")</f>
        <v>https://www.facebook.com/gina.arjona</v>
      </c>
      <c r="B1007" s="1" t="str">
        <f ca="1">IFERROR(__xludf.DUMMYFUNCTION("""COMPUTED_VALUE"""),"Gin Alyn")</f>
        <v>Gin Alyn</v>
      </c>
      <c r="C1007" s="1" t="str">
        <f ca="1">IFERROR(__xludf.DUMMYFUNCTION("""COMPUTED_VALUE"""),"Gin")</f>
        <v>Gin</v>
      </c>
      <c r="D1007" s="1" t="str">
        <f ca="1">IFERROR(__xludf.DUMMYFUNCTION("""COMPUTED_VALUE"""),"Alyn")</f>
        <v>Alyn</v>
      </c>
      <c r="E1007" s="1" t="str">
        <f ca="1">IFERROR(__xludf.DUMMYFUNCTION("""COMPUTED_VALUE"""),"Nope! The best man for the job is a woman. #LeniForPresident2022")</f>
        <v>Nope! The best man for the job is a woman. #LeniForPresident2022</v>
      </c>
      <c r="F1007" s="1">
        <f ca="1">IFERROR(__xludf.DUMMYFUNCTION("""COMPUTED_VALUE"""),27)</f>
        <v>27</v>
      </c>
      <c r="G1007" s="1" t="str">
        <f ca="1">IFERROR(__xludf.DUMMYFUNCTION("""COMPUTED_VALUE"""),"3 mos")</f>
        <v>3 mos</v>
      </c>
      <c r="H1007" s="1" t="str">
        <f ca="1">IFERROR(__xludf.DUMMYFUNCTION("""COMPUTED_VALUE"""),"reply")</f>
        <v>reply</v>
      </c>
      <c r="I1007" s="2" t="str">
        <f ca="1">IFERROR(__xludf.DUMMYFUNCTION("""COMPUTED_VALUE"""),"https://www.facebook.com/rapplerdotcom/photos/a.317154781638645/5596022273751843/")</f>
        <v>https://www.facebook.com/rapplerdotcom/photos/a.317154781638645/5596022273751843/</v>
      </c>
      <c r="J1007" s="1" t="str">
        <f ca="1">IFERROR(__xludf.DUMMYFUNCTION("""COMPUTED_VALUE"""),"2022-07-04T15:39:36.623Z")</f>
        <v>2022-07-04T15:39:36.623Z</v>
      </c>
    </row>
    <row r="1008" spans="1:10" x14ac:dyDescent="0.2">
      <c r="A1008" s="2" t="str">
        <f ca="1">IFERROR(__xludf.DUMMYFUNCTION("""COMPUTED_VALUE"""),"https://www.facebook.com/jico.trancuet")</f>
        <v>https://www.facebook.com/jico.trancuet</v>
      </c>
      <c r="B1008" s="1" t="str">
        <f ca="1">IFERROR(__xludf.DUMMYFUNCTION("""COMPUTED_VALUE"""),"Jico Trancuet")</f>
        <v>Jico Trancuet</v>
      </c>
      <c r="C1008" s="1" t="str">
        <f ca="1">IFERROR(__xludf.DUMMYFUNCTION("""COMPUTED_VALUE"""),"Jico")</f>
        <v>Jico</v>
      </c>
      <c r="D1008" s="1" t="str">
        <f ca="1">IFERROR(__xludf.DUMMYFUNCTION("""COMPUTED_VALUE"""),"Trancuet")</f>
        <v>Trancuet</v>
      </c>
      <c r="E1008" s="1" t="str">
        <f ca="1">IFERROR(__xludf.DUMMYFUNCTION("""COMPUTED_VALUE"""),"Sam Banaan Isko po naman naman naman...y o y o y o y??? Hehe")</f>
        <v>Sam Banaan Isko po naman naman naman...y o y o y o y??? Hehe</v>
      </c>
      <c r="F1008" s="1"/>
      <c r="G1008" s="1" t="str">
        <f ca="1">IFERROR(__xludf.DUMMYFUNCTION("""COMPUTED_VALUE"""),"3 mos")</f>
        <v>3 mos</v>
      </c>
      <c r="H1008" s="1" t="str">
        <f ca="1">IFERROR(__xludf.DUMMYFUNCTION("""COMPUTED_VALUE"""),"reply")</f>
        <v>reply</v>
      </c>
      <c r="I1008" s="2" t="str">
        <f ca="1">IFERROR(__xludf.DUMMYFUNCTION("""COMPUTED_VALUE"""),"https://www.facebook.com/rapplerdotcom/photos/a.317154781638645/5596022273751843/")</f>
        <v>https://www.facebook.com/rapplerdotcom/photos/a.317154781638645/5596022273751843/</v>
      </c>
      <c r="J1008" s="1" t="str">
        <f ca="1">IFERROR(__xludf.DUMMYFUNCTION("""COMPUTED_VALUE"""),"2022-07-04T15:39:36.623Z")</f>
        <v>2022-07-04T15:39:36.623Z</v>
      </c>
    </row>
    <row r="1009" spans="1:10" x14ac:dyDescent="0.2">
      <c r="A1009" s="2" t="str">
        <f ca="1">IFERROR(__xludf.DUMMYFUNCTION("""COMPUTED_VALUE"""),"https://www.facebook.com/nolie.mantaring")</f>
        <v>https://www.facebook.com/nolie.mantaring</v>
      </c>
      <c r="B1009" s="1" t="str">
        <f ca="1">IFERROR(__xludf.DUMMYFUNCTION("""COMPUTED_VALUE"""),"Nolie HM")</f>
        <v>Nolie HM</v>
      </c>
      <c r="C1009" s="1" t="str">
        <f ca="1">IFERROR(__xludf.DUMMYFUNCTION("""COMPUTED_VALUE"""),"Nolie")</f>
        <v>Nolie</v>
      </c>
      <c r="D1009" s="1" t="str">
        <f ca="1">IFERROR(__xludf.DUMMYFUNCTION("""COMPUTED_VALUE"""),"HM")</f>
        <v>HM</v>
      </c>
      <c r="E1009" s="1" t="str">
        <f ca="1">IFERROR(__xludf.DUMMYFUNCTION("""COMPUTED_VALUE"""),"Sam Banaan ...mapapahamak ang Pilipinas sa mga pinagsasabi mo ah...mag three-3 yrs pa lang as Mayor of Manila, proven and tested public servant na agad...lol..baka naman nakita mo lang ay paligid ng Manila City Hall...naku, napakaraming district ng City o"&amp;"f Manila..subukan mo galugarin - pagmasdan mo ang improvement after 3yrs of service ni Isko..Real changes ba kamo.. change scamming ulit? Lol😅🤣")</f>
        <v>Sam Banaan ...mapapahamak ang Pilipinas sa mga pinagsasabi mo ah...mag three-3 yrs pa lang as Mayor of Manila, proven and tested public servant na agad...lol..baka naman nakita mo lang ay paligid ng Manila City Hall...naku, napakaraming district ng City of Manila..subukan mo galugarin - pagmasdan mo ang improvement after 3yrs of service ni Isko..Real changes ba kamo.. change scamming ulit? Lol😅🤣</v>
      </c>
      <c r="F1009" s="1">
        <f ca="1">IFERROR(__xludf.DUMMYFUNCTION("""COMPUTED_VALUE"""),16)</f>
        <v>16</v>
      </c>
      <c r="G1009" s="1" t="str">
        <f ca="1">IFERROR(__xludf.DUMMYFUNCTION("""COMPUTED_VALUE"""),"3 mos")</f>
        <v>3 mos</v>
      </c>
      <c r="H1009" s="1" t="str">
        <f ca="1">IFERROR(__xludf.DUMMYFUNCTION("""COMPUTED_VALUE"""),"reply")</f>
        <v>reply</v>
      </c>
      <c r="I1009" s="2" t="str">
        <f ca="1">IFERROR(__xludf.DUMMYFUNCTION("""COMPUTED_VALUE"""),"https://www.facebook.com/rapplerdotcom/photos/a.317154781638645/5596022273751843/")</f>
        <v>https://www.facebook.com/rapplerdotcom/photos/a.317154781638645/5596022273751843/</v>
      </c>
      <c r="J1009" s="1" t="str">
        <f ca="1">IFERROR(__xludf.DUMMYFUNCTION("""COMPUTED_VALUE"""),"2022-07-04T15:39:36.623Z")</f>
        <v>2022-07-04T15:39:36.623Z</v>
      </c>
    </row>
    <row r="1010" spans="1:10" x14ac:dyDescent="0.2">
      <c r="A1010" s="2" t="str">
        <f ca="1">IFERROR(__xludf.DUMMYFUNCTION("""COMPUTED_VALUE"""),"https://www.facebook.com/lorna.felipe.1694")</f>
        <v>https://www.facebook.com/lorna.felipe.1694</v>
      </c>
      <c r="B1010" s="1" t="str">
        <f ca="1">IFERROR(__xludf.DUMMYFUNCTION("""COMPUTED_VALUE"""),"Lorna Felipe")</f>
        <v>Lorna Felipe</v>
      </c>
      <c r="C1010" s="1" t="str">
        <f ca="1">IFERROR(__xludf.DUMMYFUNCTION("""COMPUTED_VALUE"""),"Lorna")</f>
        <v>Lorna</v>
      </c>
      <c r="D1010" s="1" t="str">
        <f ca="1">IFERROR(__xludf.DUMMYFUNCTION("""COMPUTED_VALUE"""),"Felipe")</f>
        <v>Felipe</v>
      </c>
      <c r="E1010" s="1" t="str">
        <f ca="1">IFERROR(__xludf.DUMMYFUNCTION("""COMPUTED_VALUE"""),"Sam Banaan ..Selling Divisoria mall...at the midst of pandemic...😉")</f>
        <v>Sam Banaan ..Selling Divisoria mall...at the midst of pandemic...😉</v>
      </c>
      <c r="F1010" s="1"/>
      <c r="G1010" s="1" t="str">
        <f ca="1">IFERROR(__xludf.DUMMYFUNCTION("""COMPUTED_VALUE"""),"3 mos")</f>
        <v>3 mos</v>
      </c>
      <c r="H1010" s="1" t="str">
        <f ca="1">IFERROR(__xludf.DUMMYFUNCTION("""COMPUTED_VALUE"""),"reply")</f>
        <v>reply</v>
      </c>
      <c r="I1010" s="2" t="str">
        <f ca="1">IFERROR(__xludf.DUMMYFUNCTION("""COMPUTED_VALUE"""),"https://www.facebook.com/rapplerdotcom/photos/a.317154781638645/5596022273751843/")</f>
        <v>https://www.facebook.com/rapplerdotcom/photos/a.317154781638645/5596022273751843/</v>
      </c>
      <c r="J1010" s="1" t="str">
        <f ca="1">IFERROR(__xludf.DUMMYFUNCTION("""COMPUTED_VALUE"""),"2022-07-04T15:39:36.623Z")</f>
        <v>2022-07-04T15:39:36.623Z</v>
      </c>
    </row>
    <row r="1011" spans="1:10" x14ac:dyDescent="0.2">
      <c r="A1011" s="2" t="str">
        <f ca="1">IFERROR(__xludf.DUMMYFUNCTION("""COMPUTED_VALUE"""),"https://www.facebook.com/evelyn.olivares.7505")</f>
        <v>https://www.facebook.com/evelyn.olivares.7505</v>
      </c>
      <c r="B1011" s="1" t="str">
        <f ca="1">IFERROR(__xludf.DUMMYFUNCTION("""COMPUTED_VALUE"""),"Evelyn Torralba Olivares")</f>
        <v>Evelyn Torralba Olivares</v>
      </c>
      <c r="C1011" s="1" t="str">
        <f ca="1">IFERROR(__xludf.DUMMYFUNCTION("""COMPUTED_VALUE"""),"Evelyn")</f>
        <v>Evelyn</v>
      </c>
      <c r="D1011" s="1" t="str">
        <f ca="1">IFERROR(__xludf.DUMMYFUNCTION("""COMPUTED_VALUE"""),"Torralba Olivares")</f>
        <v>Torralba Olivares</v>
      </c>
      <c r="E1011" s="1" t="str">
        <f ca="1">IFERROR(__xludf.DUMMYFUNCTION("""COMPUTED_VALUE"""),"Sam Banaan agree with you po but I guess in the next presidential race. Kung baga sa prutas di pa siya ganoon kahinog.")</f>
        <v>Sam Banaan agree with you po but I guess in the next presidential race. Kung baga sa prutas di pa siya ganoon kahinog.</v>
      </c>
      <c r="F1011" s="1"/>
      <c r="G1011" s="1" t="str">
        <f ca="1">IFERROR(__xludf.DUMMYFUNCTION("""COMPUTED_VALUE"""),"3 mos")</f>
        <v>3 mos</v>
      </c>
      <c r="H1011" s="1" t="str">
        <f ca="1">IFERROR(__xludf.DUMMYFUNCTION("""COMPUTED_VALUE"""),"reply")</f>
        <v>reply</v>
      </c>
      <c r="I1011" s="2" t="str">
        <f ca="1">IFERROR(__xludf.DUMMYFUNCTION("""COMPUTED_VALUE"""),"https://www.facebook.com/rapplerdotcom/photos/a.317154781638645/5596022273751843/")</f>
        <v>https://www.facebook.com/rapplerdotcom/photos/a.317154781638645/5596022273751843/</v>
      </c>
      <c r="J1011" s="1" t="str">
        <f ca="1">IFERROR(__xludf.DUMMYFUNCTION("""COMPUTED_VALUE"""),"2022-07-04T15:39:36.623Z")</f>
        <v>2022-07-04T15:39:36.623Z</v>
      </c>
    </row>
    <row r="1012" spans="1:10" x14ac:dyDescent="0.2">
      <c r="A1012" s="2" t="str">
        <f ca="1">IFERROR(__xludf.DUMMYFUNCTION("""COMPUTED_VALUE"""),"https://www.facebook.com/aimhigh06")</f>
        <v>https://www.facebook.com/aimhigh06</v>
      </c>
      <c r="B1012" s="1" t="str">
        <f ca="1">IFERROR(__xludf.DUMMYFUNCTION("""COMPUTED_VALUE"""),"Wilmar Rocha Magtibay")</f>
        <v>Wilmar Rocha Magtibay</v>
      </c>
      <c r="C1012" s="1" t="str">
        <f ca="1">IFERROR(__xludf.DUMMYFUNCTION("""COMPUTED_VALUE"""),"Wilmar")</f>
        <v>Wilmar</v>
      </c>
      <c r="D1012" s="1" t="str">
        <f ca="1">IFERROR(__xludf.DUMMYFUNCTION("""COMPUTED_VALUE"""),"Rocha Magtibay")</f>
        <v>Rocha Magtibay</v>
      </c>
      <c r="E1012" s="1" t="str">
        <f ca="1">IFERROR(__xludf.DUMMYFUNCTION("""COMPUTED_VALUE"""),"Sam Banaan #LeniRobredo she’s the one your looking for🌷😇")</f>
        <v>Sam Banaan #LeniRobredo she’s the one your looking for🌷😇</v>
      </c>
      <c r="F1012" s="1"/>
      <c r="G1012" s="1" t="str">
        <f ca="1">IFERROR(__xludf.DUMMYFUNCTION("""COMPUTED_VALUE"""),"3 mos")</f>
        <v>3 mos</v>
      </c>
      <c r="H1012" s="1" t="str">
        <f ca="1">IFERROR(__xludf.DUMMYFUNCTION("""COMPUTED_VALUE"""),"reply")</f>
        <v>reply</v>
      </c>
      <c r="I1012" s="2" t="str">
        <f ca="1">IFERROR(__xludf.DUMMYFUNCTION("""COMPUTED_VALUE"""),"https://www.facebook.com/rapplerdotcom/photos/a.317154781638645/5596022273751843/")</f>
        <v>https://www.facebook.com/rapplerdotcom/photos/a.317154781638645/5596022273751843/</v>
      </c>
      <c r="J1012" s="1" t="str">
        <f ca="1">IFERROR(__xludf.DUMMYFUNCTION("""COMPUTED_VALUE"""),"2022-07-04T15:39:36.623Z")</f>
        <v>2022-07-04T15:39:36.623Z</v>
      </c>
    </row>
    <row r="1013" spans="1:10" x14ac:dyDescent="0.2">
      <c r="A1013" s="2" t="str">
        <f ca="1">IFERROR(__xludf.DUMMYFUNCTION("""COMPUTED_VALUE"""),"https://www.facebook.com/ninotchka.rosca")</f>
        <v>https://www.facebook.com/ninotchka.rosca</v>
      </c>
      <c r="B1013" s="1" t="str">
        <f ca="1">IFERROR(__xludf.DUMMYFUNCTION("""COMPUTED_VALUE"""),"Ninotchka Rosca")</f>
        <v>Ninotchka Rosca</v>
      </c>
      <c r="C1013" s="1" t="str">
        <f ca="1">IFERROR(__xludf.DUMMYFUNCTION("""COMPUTED_VALUE"""),"Ninotchka")</f>
        <v>Ninotchka</v>
      </c>
      <c r="D1013" s="1" t="str">
        <f ca="1">IFERROR(__xludf.DUMMYFUNCTION("""COMPUTED_VALUE"""),"Rosca")</f>
        <v>Rosca</v>
      </c>
      <c r="E1013" s="1" t="str">
        <f ca="1">IFERROR(__xludf.DUMMYFUNCTION("""COMPUTED_VALUE"""),"Jico Trancuet He sold Divisoria to a private company owned by a Chua.")</f>
        <v>Jico Trancuet He sold Divisoria to a private company owned by a Chua.</v>
      </c>
      <c r="F1013" s="1">
        <f ca="1">IFERROR(__xludf.DUMMYFUNCTION("""COMPUTED_VALUE"""),1)</f>
        <v>1</v>
      </c>
      <c r="G1013" s="1" t="str">
        <f ca="1">IFERROR(__xludf.DUMMYFUNCTION("""COMPUTED_VALUE"""),"3 mos")</f>
        <v>3 mos</v>
      </c>
      <c r="H1013" s="1" t="str">
        <f ca="1">IFERROR(__xludf.DUMMYFUNCTION("""COMPUTED_VALUE"""),"reply")</f>
        <v>reply</v>
      </c>
      <c r="I1013" s="2" t="str">
        <f ca="1">IFERROR(__xludf.DUMMYFUNCTION("""COMPUTED_VALUE"""),"https://www.facebook.com/rapplerdotcom/photos/a.317154781638645/5596022273751843/")</f>
        <v>https://www.facebook.com/rapplerdotcom/photos/a.317154781638645/5596022273751843/</v>
      </c>
      <c r="J1013" s="1" t="str">
        <f ca="1">IFERROR(__xludf.DUMMYFUNCTION("""COMPUTED_VALUE"""),"2022-07-04T15:39:36.623Z")</f>
        <v>2022-07-04T15:39:36.623Z</v>
      </c>
    </row>
    <row r="1014" spans="1:10" x14ac:dyDescent="0.2">
      <c r="A1014" s="2" t="str">
        <f ca="1">IFERROR(__xludf.DUMMYFUNCTION("""COMPUTED_VALUE"""),"https://www.facebook.com/ninotchka.rosca")</f>
        <v>https://www.facebook.com/ninotchka.rosca</v>
      </c>
      <c r="B1014" s="1" t="str">
        <f ca="1">IFERROR(__xludf.DUMMYFUNCTION("""COMPUTED_VALUE"""),"Ninotchka Rosca")</f>
        <v>Ninotchka Rosca</v>
      </c>
      <c r="C1014" s="1" t="str">
        <f ca="1">IFERROR(__xludf.DUMMYFUNCTION("""COMPUTED_VALUE"""),"Ninotchka")</f>
        <v>Ninotchka</v>
      </c>
      <c r="D1014" s="1" t="str">
        <f ca="1">IFERROR(__xludf.DUMMYFUNCTION("""COMPUTED_VALUE"""),"Rosca")</f>
        <v>Rosca</v>
      </c>
      <c r="E1014" s="1" t="str">
        <f ca="1">IFERROR(__xludf.DUMMYFUNCTION("""COMPUTED_VALUE"""),"Pls look into the sale of Divisoria.")</f>
        <v>Pls look into the sale of Divisoria.</v>
      </c>
      <c r="F1014" s="1">
        <f ca="1">IFERROR(__xludf.DUMMYFUNCTION("""COMPUTED_VALUE"""),6)</f>
        <v>6</v>
      </c>
      <c r="G1014" s="1" t="str">
        <f ca="1">IFERROR(__xludf.DUMMYFUNCTION("""COMPUTED_VALUE"""),"3 mos")</f>
        <v>3 mos</v>
      </c>
      <c r="H1014" s="1" t="str">
        <f ca="1">IFERROR(__xludf.DUMMYFUNCTION("""COMPUTED_VALUE"""),"reply")</f>
        <v>reply</v>
      </c>
      <c r="I1014" s="2" t="str">
        <f ca="1">IFERROR(__xludf.DUMMYFUNCTION("""COMPUTED_VALUE"""),"https://www.facebook.com/rapplerdotcom/photos/a.317154781638645/5596022273751843/")</f>
        <v>https://www.facebook.com/rapplerdotcom/photos/a.317154781638645/5596022273751843/</v>
      </c>
      <c r="J1014" s="1" t="str">
        <f ca="1">IFERROR(__xludf.DUMMYFUNCTION("""COMPUTED_VALUE"""),"2022-07-04T15:39:36.623Z")</f>
        <v>2022-07-04T15:39:36.623Z</v>
      </c>
    </row>
    <row r="1015" spans="1:10" x14ac:dyDescent="0.2">
      <c r="A1015" s="2" t="str">
        <f ca="1">IFERROR(__xludf.DUMMYFUNCTION("""COMPUTED_VALUE"""),"https://www.facebook.com/katrina.bay.18")</f>
        <v>https://www.facebook.com/katrina.bay.18</v>
      </c>
      <c r="B1015" s="1" t="str">
        <f ca="1">IFERROR(__xludf.DUMMYFUNCTION("""COMPUTED_VALUE"""),"AntrinaKen Bay")</f>
        <v>AntrinaKen Bay</v>
      </c>
      <c r="C1015" s="1" t="str">
        <f ca="1">IFERROR(__xludf.DUMMYFUNCTION("""COMPUTED_VALUE"""),"AntrinaKen")</f>
        <v>AntrinaKen</v>
      </c>
      <c r="D1015" s="1" t="str">
        <f ca="1">IFERROR(__xludf.DUMMYFUNCTION("""COMPUTED_VALUE"""),"Bay")</f>
        <v>Bay</v>
      </c>
      <c r="E1015" s="1" t="str">
        <f ca="1">IFERROR(__xludf.DUMMYFUNCTION("""COMPUTED_VALUE"""),"#akoayisko #TunayNaSolusyon  #bilisaksyon  ,muntik na din ako magdoubt sa knya about divi mall but uso nman searched")</f>
        <v>#akoayisko #TunayNaSolusyon  #bilisaksyon  ,muntik na din ako magdoubt sa knya about divi mall but uso nman searched</v>
      </c>
      <c r="F1015" s="1"/>
      <c r="G1015" s="1" t="str">
        <f ca="1">IFERROR(__xludf.DUMMYFUNCTION("""COMPUTED_VALUE"""),"3 mos")</f>
        <v>3 mos</v>
      </c>
      <c r="H1015" s="1" t="str">
        <f ca="1">IFERROR(__xludf.DUMMYFUNCTION("""COMPUTED_VALUE"""),"reply")</f>
        <v>reply</v>
      </c>
      <c r="I1015" s="2" t="str">
        <f ca="1">IFERROR(__xludf.DUMMYFUNCTION("""COMPUTED_VALUE"""),"https://www.facebook.com/rapplerdotcom/photos/a.317154781638645/5596022273751843/")</f>
        <v>https://www.facebook.com/rapplerdotcom/photos/a.317154781638645/5596022273751843/</v>
      </c>
      <c r="J1015" s="1" t="str">
        <f ca="1">IFERROR(__xludf.DUMMYFUNCTION("""COMPUTED_VALUE"""),"2022-07-04T15:39:36.623Z")</f>
        <v>2022-07-04T15:39:36.623Z</v>
      </c>
    </row>
    <row r="1016" spans="1:10" x14ac:dyDescent="0.2">
      <c r="A1016" s="2" t="str">
        <f ca="1">IFERROR(__xludf.DUMMYFUNCTION("""COMPUTED_VALUE"""),"https://www.facebook.com/rossanau")</f>
        <v>https://www.facebook.com/rossanau</v>
      </c>
      <c r="B1016" s="1" t="str">
        <f ca="1">IFERROR(__xludf.DUMMYFUNCTION("""COMPUTED_VALUE"""),"Rossana U. Corleone")</f>
        <v>Rossana U. Corleone</v>
      </c>
      <c r="C1016" s="1" t="str">
        <f ca="1">IFERROR(__xludf.DUMMYFUNCTION("""COMPUTED_VALUE"""),"Rossana")</f>
        <v>Rossana</v>
      </c>
      <c r="D1016" s="1" t="str">
        <f ca="1">IFERROR(__xludf.DUMMYFUNCTION("""COMPUTED_VALUE"""),"U. Corleone")</f>
        <v>U. Corleone</v>
      </c>
      <c r="E1016" s="1" t="str">
        <f ca="1">IFERROR(__xludf.DUMMYFUNCTION("""COMPUTED_VALUE"""),"Sam Banaan SHOO.")</f>
        <v>Sam Banaan SHOO.</v>
      </c>
      <c r="F1016" s="1"/>
      <c r="G1016" s="1" t="str">
        <f ca="1">IFERROR(__xludf.DUMMYFUNCTION("""COMPUTED_VALUE"""),"3 mos")</f>
        <v>3 mos</v>
      </c>
      <c r="H1016" s="1" t="str">
        <f ca="1">IFERROR(__xludf.DUMMYFUNCTION("""COMPUTED_VALUE"""),"reply")</f>
        <v>reply</v>
      </c>
      <c r="I1016" s="2" t="str">
        <f ca="1">IFERROR(__xludf.DUMMYFUNCTION("""COMPUTED_VALUE"""),"https://www.facebook.com/rapplerdotcom/photos/a.317154781638645/5596022273751843/")</f>
        <v>https://www.facebook.com/rapplerdotcom/photos/a.317154781638645/5596022273751843/</v>
      </c>
      <c r="J1016" s="1" t="str">
        <f ca="1">IFERROR(__xludf.DUMMYFUNCTION("""COMPUTED_VALUE"""),"2022-07-04T15:39:36.623Z")</f>
        <v>2022-07-04T15:39:36.623Z</v>
      </c>
    </row>
    <row r="1017" spans="1:10" x14ac:dyDescent="0.2">
      <c r="A1017" s="2" t="str">
        <f ca="1">IFERROR(__xludf.DUMMYFUNCTION("""COMPUTED_VALUE"""),"https://www.facebook.com/budsky.pabalinas")</f>
        <v>https://www.facebook.com/budsky.pabalinas</v>
      </c>
      <c r="B1017" s="1" t="str">
        <f ca="1">IFERROR(__xludf.DUMMYFUNCTION("""COMPUTED_VALUE"""),"Badong Pabalinas")</f>
        <v>Badong Pabalinas</v>
      </c>
      <c r="C1017" s="1" t="str">
        <f ca="1">IFERROR(__xludf.DUMMYFUNCTION("""COMPUTED_VALUE"""),"Badong")</f>
        <v>Badong</v>
      </c>
      <c r="D1017" s="1" t="str">
        <f ca="1">IFERROR(__xludf.DUMMYFUNCTION("""COMPUTED_VALUE"""),"Pabalinas")</f>
        <v>Pabalinas</v>
      </c>
      <c r="E1017" s="1" t="str">
        <f ca="1">IFERROR(__xludf.DUMMYFUNCTION("""COMPUTED_VALUE"""),"Sam Banaan imposibleng manalo isko sayang buto nyo..")</f>
        <v>Sam Banaan imposibleng manalo isko sayang buto nyo..</v>
      </c>
      <c r="F1017" s="1"/>
      <c r="G1017" s="1" t="str">
        <f ca="1">IFERROR(__xludf.DUMMYFUNCTION("""COMPUTED_VALUE"""),"3 mos")</f>
        <v>3 mos</v>
      </c>
      <c r="H1017" s="1" t="str">
        <f ca="1">IFERROR(__xludf.DUMMYFUNCTION("""COMPUTED_VALUE"""),"reply")</f>
        <v>reply</v>
      </c>
      <c r="I1017" s="2" t="str">
        <f ca="1">IFERROR(__xludf.DUMMYFUNCTION("""COMPUTED_VALUE"""),"https://www.facebook.com/rapplerdotcom/photos/a.317154781638645/5596022273751843/")</f>
        <v>https://www.facebook.com/rapplerdotcom/photos/a.317154781638645/5596022273751843/</v>
      </c>
      <c r="J1017" s="1" t="str">
        <f ca="1">IFERROR(__xludf.DUMMYFUNCTION("""COMPUTED_VALUE"""),"2022-07-04T15:39:36.623Z")</f>
        <v>2022-07-04T15:39:36.623Z</v>
      </c>
    </row>
    <row r="1018" spans="1:10" x14ac:dyDescent="0.2">
      <c r="A1018" s="2" t="str">
        <f ca="1">IFERROR(__xludf.DUMMYFUNCTION("""COMPUTED_VALUE"""),"https://www.facebook.com/brixaaron.monton.18")</f>
        <v>https://www.facebook.com/brixaaron.monton.18</v>
      </c>
      <c r="B1018" s="1" t="str">
        <f ca="1">IFERROR(__xludf.DUMMYFUNCTION("""COMPUTED_VALUE"""),"Craig Boone")</f>
        <v>Craig Boone</v>
      </c>
      <c r="C1018" s="1" t="str">
        <f ca="1">IFERROR(__xludf.DUMMYFUNCTION("""COMPUTED_VALUE"""),"Craig")</f>
        <v>Craig</v>
      </c>
      <c r="D1018" s="1" t="str">
        <f ca="1">IFERROR(__xludf.DUMMYFUNCTION("""COMPUTED_VALUE"""),"Boone")</f>
        <v>Boone</v>
      </c>
      <c r="E1018" s="1" t="str">
        <f ca="1">IFERROR(__xludf.DUMMYFUNCTION("""COMPUTED_VALUE"""),"Sam Banaan switch to balimbing")</f>
        <v>Sam Banaan switch to balimbing</v>
      </c>
      <c r="F1018" s="1"/>
      <c r="G1018" s="1" t="str">
        <f ca="1">IFERROR(__xludf.DUMMYFUNCTION("""COMPUTED_VALUE"""),"3 mos")</f>
        <v>3 mos</v>
      </c>
      <c r="H1018" s="1" t="str">
        <f ca="1">IFERROR(__xludf.DUMMYFUNCTION("""COMPUTED_VALUE"""),"reply")</f>
        <v>reply</v>
      </c>
      <c r="I1018" s="2" t="str">
        <f ca="1">IFERROR(__xludf.DUMMYFUNCTION("""COMPUTED_VALUE"""),"https://www.facebook.com/rapplerdotcom/photos/a.317154781638645/5596022273751843/")</f>
        <v>https://www.facebook.com/rapplerdotcom/photos/a.317154781638645/5596022273751843/</v>
      </c>
      <c r="J1018" s="1" t="str">
        <f ca="1">IFERROR(__xludf.DUMMYFUNCTION("""COMPUTED_VALUE"""),"2022-07-04T15:39:36.623Z")</f>
        <v>2022-07-04T15:39:36.623Z</v>
      </c>
    </row>
    <row r="1019" spans="1:10" x14ac:dyDescent="0.2">
      <c r="A1019" s="2" t="str">
        <f ca="1">IFERROR(__xludf.DUMMYFUNCTION("""COMPUTED_VALUE"""),"https://www.facebook.com/brixaaron.monton.18")</f>
        <v>https://www.facebook.com/brixaaron.monton.18</v>
      </c>
      <c r="B1019" s="1" t="str">
        <f ca="1">IFERROR(__xludf.DUMMYFUNCTION("""COMPUTED_VALUE"""),"Craig Boone")</f>
        <v>Craig Boone</v>
      </c>
      <c r="C1019" s="1" t="str">
        <f ca="1">IFERROR(__xludf.DUMMYFUNCTION("""COMPUTED_VALUE"""),"Craig")</f>
        <v>Craig</v>
      </c>
      <c r="D1019" s="1" t="str">
        <f ca="1">IFERROR(__xludf.DUMMYFUNCTION("""COMPUTED_VALUE"""),"Boone")</f>
        <v>Boone</v>
      </c>
      <c r="E1019" s="1" t="str">
        <f ca="1">IFERROR(__xludf.DUMMYFUNCTION("""COMPUTED_VALUE"""),"My president and vice president ❤️❤️")</f>
        <v>My president and vice president ❤️❤️</v>
      </c>
      <c r="F1019" s="1">
        <f ca="1">IFERROR(__xludf.DUMMYFUNCTION("""COMPUTED_VALUE"""),2)</f>
        <v>2</v>
      </c>
      <c r="G1019" s="1" t="str">
        <f ca="1">IFERROR(__xludf.DUMMYFUNCTION("""COMPUTED_VALUE"""),"3 mos")</f>
        <v>3 mos</v>
      </c>
      <c r="H1019" s="1" t="str">
        <f ca="1">IFERROR(__xludf.DUMMYFUNCTION("""COMPUTED_VALUE"""),"reply")</f>
        <v>reply</v>
      </c>
      <c r="I1019" s="2" t="str">
        <f ca="1">IFERROR(__xludf.DUMMYFUNCTION("""COMPUTED_VALUE"""),"https://www.facebook.com/rapplerdotcom/photos/a.317154781638645/5596022273751843/")</f>
        <v>https://www.facebook.com/rapplerdotcom/photos/a.317154781638645/5596022273751843/</v>
      </c>
      <c r="J1019" s="1" t="str">
        <f ca="1">IFERROR(__xludf.DUMMYFUNCTION("""COMPUTED_VALUE"""),"2022-07-04T15:39:36.623Z")</f>
        <v>2022-07-04T15:39:36.623Z</v>
      </c>
    </row>
    <row r="1020" spans="1:10" x14ac:dyDescent="0.2">
      <c r="A1020" s="2" t="str">
        <f ca="1">IFERROR(__xludf.DUMMYFUNCTION("""COMPUTED_VALUE"""),"https://www.facebook.com/profile.php?id=100064286552498")</f>
        <v>https://www.facebook.com/profile.php?id=100064286552498</v>
      </c>
      <c r="B1020" s="1" t="str">
        <f ca="1">IFERROR(__xludf.DUMMYFUNCTION("""COMPUTED_VALUE"""),"Misha Jones")</f>
        <v>Misha Jones</v>
      </c>
      <c r="C1020" s="1" t="str">
        <f ca="1">IFERROR(__xludf.DUMMYFUNCTION("""COMPUTED_VALUE"""),"Misha")</f>
        <v>Misha</v>
      </c>
      <c r="D1020" s="1" t="str">
        <f ca="1">IFERROR(__xludf.DUMMYFUNCTION("""COMPUTED_VALUE"""),"Jones")</f>
        <v>Jones</v>
      </c>
      <c r="E1020" s="1" t="str">
        <f ca="1">IFERROR(__xludf.DUMMYFUNCTION("""COMPUTED_VALUE"""),"Sam Banaan search muna mga anomalya sa admin nya. Yung pagbenta ng divisoria mall. 15B utang, plunder case dahil sa ghost employee nuong v mayor pa sya.")</f>
        <v>Sam Banaan search muna mga anomalya sa admin nya. Yung pagbenta ng divisoria mall. 15B utang, plunder case dahil sa ghost employee nuong v mayor pa sya.</v>
      </c>
      <c r="F1020" s="1">
        <f ca="1">IFERROR(__xludf.DUMMYFUNCTION("""COMPUTED_VALUE"""),4)</f>
        <v>4</v>
      </c>
      <c r="G1020" s="1" t="str">
        <f ca="1">IFERROR(__xludf.DUMMYFUNCTION("""COMPUTED_VALUE"""),"3 mos")</f>
        <v>3 mos</v>
      </c>
      <c r="H1020" s="1" t="str">
        <f ca="1">IFERROR(__xludf.DUMMYFUNCTION("""COMPUTED_VALUE"""),"reply")</f>
        <v>reply</v>
      </c>
      <c r="I1020" s="2" t="str">
        <f ca="1">IFERROR(__xludf.DUMMYFUNCTION("""COMPUTED_VALUE"""),"https://www.facebook.com/rapplerdotcom/photos/a.317154781638645/5596022273751843/")</f>
        <v>https://www.facebook.com/rapplerdotcom/photos/a.317154781638645/5596022273751843/</v>
      </c>
      <c r="J1020" s="1" t="str">
        <f ca="1">IFERROR(__xludf.DUMMYFUNCTION("""COMPUTED_VALUE"""),"2022-07-04T15:39:36.623Z")</f>
        <v>2022-07-04T15:39:36.623Z</v>
      </c>
    </row>
    <row r="1021" spans="1:10" x14ac:dyDescent="0.2">
      <c r="A1021" s="2" t="str">
        <f ca="1">IFERROR(__xludf.DUMMYFUNCTION("""COMPUTED_VALUE"""),"https://www.facebook.com/susan.vitug.9480")</f>
        <v>https://www.facebook.com/susan.vitug.9480</v>
      </c>
      <c r="B1021" s="1" t="str">
        <f ca="1">IFERROR(__xludf.DUMMYFUNCTION("""COMPUTED_VALUE"""),"Susan Vitug")</f>
        <v>Susan Vitug</v>
      </c>
      <c r="C1021" s="1" t="str">
        <f ca="1">IFERROR(__xludf.DUMMYFUNCTION("""COMPUTED_VALUE"""),"Susan")</f>
        <v>Susan</v>
      </c>
      <c r="D1021" s="1" t="str">
        <f ca="1">IFERROR(__xludf.DUMMYFUNCTION("""COMPUTED_VALUE"""),"Vitug")</f>
        <v>Vitug</v>
      </c>
      <c r="E1021" s="1" t="str">
        <f ca="1">IFERROR(__xludf.DUMMYFUNCTION("""COMPUTED_VALUE"""),"Sam Banaan Saan napunta ang pinagbentahan sa Divisoria Mall na 1.5 billion pesos?Hindi pa sinagot ni Yorme yan..")</f>
        <v>Sam Banaan Saan napunta ang pinagbentahan sa Divisoria Mall na 1.5 billion pesos?Hindi pa sinagot ni Yorme yan..</v>
      </c>
      <c r="F1021" s="1"/>
      <c r="G1021" s="1" t="str">
        <f ca="1">IFERROR(__xludf.DUMMYFUNCTION("""COMPUTED_VALUE"""),"3 mos")</f>
        <v>3 mos</v>
      </c>
      <c r="H1021" s="1" t="str">
        <f ca="1">IFERROR(__xludf.DUMMYFUNCTION("""COMPUTED_VALUE"""),"reply")</f>
        <v>reply</v>
      </c>
      <c r="I1021" s="2" t="str">
        <f ca="1">IFERROR(__xludf.DUMMYFUNCTION("""COMPUTED_VALUE"""),"https://www.facebook.com/rapplerdotcom/photos/a.317154781638645/5596022273751843/")</f>
        <v>https://www.facebook.com/rapplerdotcom/photos/a.317154781638645/5596022273751843/</v>
      </c>
      <c r="J1021" s="1" t="str">
        <f ca="1">IFERROR(__xludf.DUMMYFUNCTION("""COMPUTED_VALUE"""),"2022-07-04T15:39:36.623Z")</f>
        <v>2022-07-04T15:39:36.623Z</v>
      </c>
    </row>
    <row r="1022" spans="1:10" x14ac:dyDescent="0.2">
      <c r="A1022" s="2" t="str">
        <f ca="1">IFERROR(__xludf.DUMMYFUNCTION("""COMPUTED_VALUE"""),"https://www.facebook.com/sam.banaan.7")</f>
        <v>https://www.facebook.com/sam.banaan.7</v>
      </c>
      <c r="B1022" s="1" t="str">
        <f ca="1">IFERROR(__xludf.DUMMYFUNCTION("""COMPUTED_VALUE"""),"Sam Banaan")</f>
        <v>Sam Banaan</v>
      </c>
      <c r="C1022" s="1" t="str">
        <f ca="1">IFERROR(__xludf.DUMMYFUNCTION("""COMPUTED_VALUE"""),"Sam")</f>
        <v>Sam</v>
      </c>
      <c r="D1022" s="1" t="str">
        <f ca="1">IFERROR(__xludf.DUMMYFUNCTION("""COMPUTED_VALUE"""),"Banaan")</f>
        <v>Banaan</v>
      </c>
      <c r="E1022" s="1" t="str">
        <f ca="1">IFERROR(__xludf.DUMMYFUNCTION("""COMPUTED_VALUE"""),"Ninotchka Rosca Here's the link to answer all questions re Divisoria sale.  Just the truth with RESIBO.  To enlighten all our confused, misled and misguided kababayans.  Peace to all!  https://youtu.be/SEnbG_-djOA")</f>
        <v>Ninotchka Rosca Here's the link to answer all questions re Divisoria sale.  Just the truth with RESIBO.  To enlighten all our confused, misled and misguided kababayans.  Peace to all!  https://youtu.be/SEnbG_-djOA</v>
      </c>
      <c r="F1022" s="1"/>
      <c r="G1022" s="1" t="str">
        <f ca="1">IFERROR(__xludf.DUMMYFUNCTION("""COMPUTED_VALUE"""),"3 mos")</f>
        <v>3 mos</v>
      </c>
      <c r="H1022" s="1" t="str">
        <f ca="1">IFERROR(__xludf.DUMMYFUNCTION("""COMPUTED_VALUE"""),"reply")</f>
        <v>reply</v>
      </c>
      <c r="I1022" s="2" t="str">
        <f ca="1">IFERROR(__xludf.DUMMYFUNCTION("""COMPUTED_VALUE"""),"https://www.facebook.com/rapplerdotcom/photos/a.317154781638645/5596022273751843/")</f>
        <v>https://www.facebook.com/rapplerdotcom/photos/a.317154781638645/5596022273751843/</v>
      </c>
      <c r="J1022" s="1" t="str">
        <f ca="1">IFERROR(__xludf.DUMMYFUNCTION("""COMPUTED_VALUE"""),"2022-07-04T15:39:36.623Z")</f>
        <v>2022-07-04T15:39:36.623Z</v>
      </c>
    </row>
    <row r="1023" spans="1:10" x14ac:dyDescent="0.2">
      <c r="A1023" s="2" t="str">
        <f ca="1">IFERROR(__xludf.DUMMYFUNCTION("""COMPUTED_VALUE"""),"https://www.facebook.com/henry.so09")</f>
        <v>https://www.facebook.com/henry.so09</v>
      </c>
      <c r="B1023" s="1" t="str">
        <f ca="1">IFERROR(__xludf.DUMMYFUNCTION("""COMPUTED_VALUE"""),"Henry So")</f>
        <v>Henry So</v>
      </c>
      <c r="C1023" s="1" t="str">
        <f ca="1">IFERROR(__xludf.DUMMYFUNCTION("""COMPUTED_VALUE"""),"Henry")</f>
        <v>Henry</v>
      </c>
      <c r="D1023" s="1" t="str">
        <f ca="1">IFERROR(__xludf.DUMMYFUNCTION("""COMPUTED_VALUE"""),"So")</f>
        <v>So</v>
      </c>
      <c r="E1023" s="1" t="str">
        <f ca="1">IFERROR(__xludf.DUMMYFUNCTION("""COMPUTED_VALUE"""),"Sam Banaan not good enough.")</f>
        <v>Sam Banaan not good enough.</v>
      </c>
      <c r="F1023" s="1"/>
      <c r="G1023" s="1" t="str">
        <f ca="1">IFERROR(__xludf.DUMMYFUNCTION("""COMPUTED_VALUE"""),"3 mos")</f>
        <v>3 mos</v>
      </c>
      <c r="H1023" s="1" t="str">
        <f ca="1">IFERROR(__xludf.DUMMYFUNCTION("""COMPUTED_VALUE"""),"reply")</f>
        <v>reply</v>
      </c>
      <c r="I1023" s="2" t="str">
        <f ca="1">IFERROR(__xludf.DUMMYFUNCTION("""COMPUTED_VALUE"""),"https://www.facebook.com/rapplerdotcom/photos/a.317154781638645/5596022273751843/")</f>
        <v>https://www.facebook.com/rapplerdotcom/photos/a.317154781638645/5596022273751843/</v>
      </c>
      <c r="J1023" s="1" t="str">
        <f ca="1">IFERROR(__xludf.DUMMYFUNCTION("""COMPUTED_VALUE"""),"2022-07-04T15:39:36.623Z")</f>
        <v>2022-07-04T15:39:36.623Z</v>
      </c>
    </row>
    <row r="1024" spans="1:10" x14ac:dyDescent="0.2">
      <c r="A1024" s="2" t="str">
        <f ca="1">IFERROR(__xludf.DUMMYFUNCTION("""COMPUTED_VALUE"""),"https://www.facebook.com/micdyguevarra")</f>
        <v>https://www.facebook.com/micdyguevarra</v>
      </c>
      <c r="B1024" s="1" t="str">
        <f ca="1">IFERROR(__xludf.DUMMYFUNCTION("""COMPUTED_VALUE"""),"Mic Guevarra")</f>
        <v>Mic Guevarra</v>
      </c>
      <c r="C1024" s="1" t="str">
        <f ca="1">IFERROR(__xludf.DUMMYFUNCTION("""COMPUTED_VALUE"""),"Mic")</f>
        <v>Mic</v>
      </c>
      <c r="D1024" s="1" t="str">
        <f ca="1">IFERROR(__xludf.DUMMYFUNCTION("""COMPUTED_VALUE"""),"Guevarra")</f>
        <v>Guevarra</v>
      </c>
      <c r="E1024" s="1" t="str">
        <f ca="1">IFERROR(__xludf.DUMMYFUNCTION("""COMPUTED_VALUE"""),"THE PEOPLE'S CAMPAIGN IS UNSTOPPABLE!🇵🇭  Sama-sama po tayong aangat sa Gobyernong Tapat.  No one gets left behind.💗  it is indeed high time to choose decent, honest and genuine public servants!🇵🇭  Tumitindig para sa mga Bata Para sa Kinabukasan Para "&amp;"sa Katotohanan Para sa Bayan.  #KulayRosasAngBukas  #GobyernongTapatAngatBuhayLahat #LetLeniKikoLead2022 #TaraNaIpanaloNatinTo")</f>
        <v>THE PEOPLE'S CAMPAIGN IS UNSTOPPABLE!🇵🇭  Sama-sama po tayong aangat sa Gobyernong Tapat.  No one gets left behind.💗  it is indeed high time to choose decent, honest and genuine public servants!🇵🇭  Tumitindig para sa mga Bata Para sa Kinabukasan Para sa Katotohanan Para sa Bayan.  #KulayRosasAngBukas  #GobyernongTapatAngatBuhayLahat #LetLeniKikoLead2022 #TaraNaIpanaloNatinTo</v>
      </c>
      <c r="F1024" s="1">
        <f ca="1">IFERROR(__xludf.DUMMYFUNCTION("""COMPUTED_VALUE"""),31)</f>
        <v>31</v>
      </c>
      <c r="G1024" s="1" t="str">
        <f ca="1">IFERROR(__xludf.DUMMYFUNCTION("""COMPUTED_VALUE"""),"3 mos")</f>
        <v>3 mos</v>
      </c>
      <c r="H1024" s="1" t="str">
        <f ca="1">IFERROR(__xludf.DUMMYFUNCTION("""COMPUTED_VALUE"""),"comment")</f>
        <v>comment</v>
      </c>
      <c r="I1024" s="2" t="str">
        <f ca="1">IFERROR(__xludf.DUMMYFUNCTION("""COMPUTED_VALUE"""),"https://www.facebook.com/rapplerdotcom/photos/a.317154781638645/5596022273751843/")</f>
        <v>https://www.facebook.com/rapplerdotcom/photos/a.317154781638645/5596022273751843/</v>
      </c>
      <c r="J1024" s="1" t="str">
        <f ca="1">IFERROR(__xludf.DUMMYFUNCTION("""COMPUTED_VALUE"""),"2022-07-04T15:39:36.623Z")</f>
        <v>2022-07-04T15:39:36.623Z</v>
      </c>
    </row>
    <row r="1025" spans="1:10" x14ac:dyDescent="0.2">
      <c r="A1025" s="2" t="str">
        <f ca="1">IFERROR(__xludf.DUMMYFUNCTION("""COMPUTED_VALUE"""),"https://www.facebook.com/arlene.buela.9")</f>
        <v>https://www.facebook.com/arlene.buela.9</v>
      </c>
      <c r="B1025" s="1" t="str">
        <f ca="1">IFERROR(__xludf.DUMMYFUNCTION("""COMPUTED_VALUE"""),"Arlene Buela")</f>
        <v>Arlene Buela</v>
      </c>
      <c r="C1025" s="1" t="str">
        <f ca="1">IFERROR(__xludf.DUMMYFUNCTION("""COMPUTED_VALUE"""),"Arlene")</f>
        <v>Arlene</v>
      </c>
      <c r="D1025" s="1" t="str">
        <f ca="1">IFERROR(__xludf.DUMMYFUNCTION("""COMPUTED_VALUE"""),"Buela")</f>
        <v>Buela</v>
      </c>
      <c r="E1025" s="1" t="str">
        <f ca="1">IFERROR(__xludf.DUMMYFUNCTION("""COMPUTED_VALUE"""),"Wow! Beautiful photo! Watched it online.. The drone shot was also amazing!! Congrats sa mga organizers, volunteers, artists  and the Kakampinks na grabe ang energy!! #CaMaNaVaRockNRosas #CaMaNaVaIsPink")</f>
        <v>Wow! Beautiful photo! Watched it online.. The drone shot was also amazing!! Congrats sa mga organizers, volunteers, artists  and the Kakampinks na grabe ang energy!! #CaMaNaVaRockNRosas #CaMaNaVaIsPink</v>
      </c>
      <c r="F1025" s="1">
        <f ca="1">IFERROR(__xludf.DUMMYFUNCTION("""COMPUTED_VALUE"""),45)</f>
        <v>45</v>
      </c>
      <c r="G1025" s="1" t="str">
        <f ca="1">IFERROR(__xludf.DUMMYFUNCTION("""COMPUTED_VALUE"""),"3 mos")</f>
        <v>3 mos</v>
      </c>
      <c r="H1025" s="1" t="str">
        <f ca="1">IFERROR(__xludf.DUMMYFUNCTION("""COMPUTED_VALUE"""),"comment")</f>
        <v>comment</v>
      </c>
      <c r="I1025" s="2" t="str">
        <f ca="1">IFERROR(__xludf.DUMMYFUNCTION("""COMPUTED_VALUE"""),"https://www.facebook.com/rapplerdotcom/photos/a.317154781638645/5596022273751843/")</f>
        <v>https://www.facebook.com/rapplerdotcom/photos/a.317154781638645/5596022273751843/</v>
      </c>
      <c r="J1025" s="1" t="str">
        <f ca="1">IFERROR(__xludf.DUMMYFUNCTION("""COMPUTED_VALUE"""),"2022-07-04T15:39:36.623Z")</f>
        <v>2022-07-04T15:39:36.623Z</v>
      </c>
    </row>
    <row r="1026" spans="1:10" x14ac:dyDescent="0.2">
      <c r="A1026" s="2" t="str">
        <f ca="1">IFERROR(__xludf.DUMMYFUNCTION("""COMPUTED_VALUE"""),"https://www.facebook.com/jamesruba777")</f>
        <v>https://www.facebook.com/jamesruba777</v>
      </c>
      <c r="B1026" s="1" t="str">
        <f ca="1">IFERROR(__xludf.DUMMYFUNCTION("""COMPUTED_VALUE"""),"James Ruba")</f>
        <v>James Ruba</v>
      </c>
      <c r="C1026" s="1" t="str">
        <f ca="1">IFERROR(__xludf.DUMMYFUNCTION("""COMPUTED_VALUE"""),"James")</f>
        <v>James</v>
      </c>
      <c r="D1026" s="1" t="str">
        <f ca="1">IFERROR(__xludf.DUMMYFUNCTION("""COMPUTED_VALUE"""),"Ruba")</f>
        <v>Ruba</v>
      </c>
      <c r="E1026" s="1" t="str">
        <f ca="1">IFERROR(__xludf.DUMMYFUNCTION("""COMPUTED_VALUE"""),"Si baby Sunoo ko 😭")</f>
        <v>Si baby Sunoo ko 😭</v>
      </c>
      <c r="F1026" s="1"/>
      <c r="G1026" s="1" t="str">
        <f ca="1">IFERROR(__xludf.DUMMYFUNCTION("""COMPUTED_VALUE"""),"3 mos")</f>
        <v>3 mos</v>
      </c>
      <c r="H1026" s="1" t="str">
        <f ca="1">IFERROR(__xludf.DUMMYFUNCTION("""COMPUTED_VALUE"""),"reply")</f>
        <v>reply</v>
      </c>
      <c r="I1026" s="2" t="str">
        <f ca="1">IFERROR(__xludf.DUMMYFUNCTION("""COMPUTED_VALUE"""),"https://www.facebook.com/rapplerdotcom/photos/a.317154781638645/5596022273751843/")</f>
        <v>https://www.facebook.com/rapplerdotcom/photos/a.317154781638645/5596022273751843/</v>
      </c>
      <c r="J1026" s="1" t="str">
        <f ca="1">IFERROR(__xludf.DUMMYFUNCTION("""COMPUTED_VALUE"""),"2022-07-04T15:39:36.623Z")</f>
        <v>2022-07-04T15:39:36.623Z</v>
      </c>
    </row>
    <row r="1027" spans="1:10" x14ac:dyDescent="0.2">
      <c r="A1027" s="2" t="str">
        <f ca="1">IFERROR(__xludf.DUMMYFUNCTION("""COMPUTED_VALUE"""),"https://www.facebook.com/profile.php?id=100078772872933")</f>
        <v>https://www.facebook.com/profile.php?id=100078772872933</v>
      </c>
      <c r="B1027" s="1" t="str">
        <f ca="1">IFERROR(__xludf.DUMMYFUNCTION("""COMPUTED_VALUE"""),"Yvonne Yuzon")</f>
        <v>Yvonne Yuzon</v>
      </c>
      <c r="C1027" s="1" t="str">
        <f ca="1">IFERROR(__xludf.DUMMYFUNCTION("""COMPUTED_VALUE"""),"Yvonne")</f>
        <v>Yvonne</v>
      </c>
      <c r="D1027" s="1" t="str">
        <f ca="1">IFERROR(__xludf.DUMMYFUNCTION("""COMPUTED_VALUE"""),"Yuzon")</f>
        <v>Yuzon</v>
      </c>
      <c r="E1027" s="1" t="str">
        <f ca="1">IFERROR(__xludf.DUMMYFUNCTION("""COMPUTED_VALUE"""),"Arlene Buela #LeniKiko2022")</f>
        <v>Arlene Buela #LeniKiko2022</v>
      </c>
      <c r="F1027" s="1"/>
      <c r="G1027" s="1" t="str">
        <f ca="1">IFERROR(__xludf.DUMMYFUNCTION("""COMPUTED_VALUE"""),"3 mos")</f>
        <v>3 mos</v>
      </c>
      <c r="H1027" s="1" t="str">
        <f ca="1">IFERROR(__xludf.DUMMYFUNCTION("""COMPUTED_VALUE"""),"reply")</f>
        <v>reply</v>
      </c>
      <c r="I1027" s="2" t="str">
        <f ca="1">IFERROR(__xludf.DUMMYFUNCTION("""COMPUTED_VALUE"""),"https://www.facebook.com/rapplerdotcom/photos/a.317154781638645/5596022273751843/")</f>
        <v>https://www.facebook.com/rapplerdotcom/photos/a.317154781638645/5596022273751843/</v>
      </c>
      <c r="J1027" s="1" t="str">
        <f ca="1">IFERROR(__xludf.DUMMYFUNCTION("""COMPUTED_VALUE"""),"2022-07-04T15:39:36.624Z")</f>
        <v>2022-07-04T15:39:36.624Z</v>
      </c>
    </row>
    <row r="1028" spans="1:10" x14ac:dyDescent="0.2">
      <c r="A1028" s="2" t="str">
        <f ca="1">IFERROR(__xludf.DUMMYFUNCTION("""COMPUTED_VALUE"""),"https://www.facebook.com/ramil.a.mendoza.3")</f>
        <v>https://www.facebook.com/ramil.a.mendoza.3</v>
      </c>
      <c r="B1028" s="1" t="str">
        <f ca="1">IFERROR(__xludf.DUMMYFUNCTION("""COMPUTED_VALUE"""),"Ramil A. Mendoza")</f>
        <v>Ramil A. Mendoza</v>
      </c>
      <c r="C1028" s="1" t="str">
        <f ca="1">IFERROR(__xludf.DUMMYFUNCTION("""COMPUTED_VALUE"""),"Ramil")</f>
        <v>Ramil</v>
      </c>
      <c r="D1028" s="1" t="str">
        <f ca="1">IFERROR(__xludf.DUMMYFUNCTION("""COMPUTED_VALUE"""),"A. Mendoza")</f>
        <v>A. Mendoza</v>
      </c>
      <c r="E1028" s="1" t="str">
        <f ca="1">IFERROR(__xludf.DUMMYFUNCTION("""COMPUTED_VALUE"""),"Ang galing ng volunteers ng CAMANAVA! Congratulations!")</f>
        <v>Ang galing ng volunteers ng CAMANAVA! Congratulations!</v>
      </c>
      <c r="F1028" s="1">
        <f ca="1">IFERROR(__xludf.DUMMYFUNCTION("""COMPUTED_VALUE"""),5)</f>
        <v>5</v>
      </c>
      <c r="G1028" s="1" t="str">
        <f ca="1">IFERROR(__xludf.DUMMYFUNCTION("""COMPUTED_VALUE"""),"3 mos")</f>
        <v>3 mos</v>
      </c>
      <c r="H1028" s="1" t="str">
        <f ca="1">IFERROR(__xludf.DUMMYFUNCTION("""COMPUTED_VALUE"""),"comment")</f>
        <v>comment</v>
      </c>
      <c r="I1028" s="2" t="str">
        <f ca="1">IFERROR(__xludf.DUMMYFUNCTION("""COMPUTED_VALUE"""),"https://www.facebook.com/rapplerdotcom/photos/a.317154781638645/5596022273751843/")</f>
        <v>https://www.facebook.com/rapplerdotcom/photos/a.317154781638645/5596022273751843/</v>
      </c>
      <c r="J1028" s="1" t="str">
        <f ca="1">IFERROR(__xludf.DUMMYFUNCTION("""COMPUTED_VALUE"""),"2022-07-04T15:39:36.624Z")</f>
        <v>2022-07-04T15:39:36.624Z</v>
      </c>
    </row>
    <row r="1029" spans="1:10" x14ac:dyDescent="0.2">
      <c r="A1029" s="2" t="str">
        <f ca="1">IFERROR(__xludf.DUMMYFUNCTION("""COMPUTED_VALUE"""),"https://www.facebook.com/ventura.mariejane")</f>
        <v>https://www.facebook.com/ventura.mariejane</v>
      </c>
      <c r="B1029" s="1" t="str">
        <f ca="1">IFERROR(__xludf.DUMMYFUNCTION("""COMPUTED_VALUE"""),"Jane Maltu Ventura")</f>
        <v>Jane Maltu Ventura</v>
      </c>
      <c r="C1029" s="1" t="str">
        <f ca="1">IFERROR(__xludf.DUMMYFUNCTION("""COMPUTED_VALUE"""),"Jane")</f>
        <v>Jane</v>
      </c>
      <c r="D1029" s="1" t="str">
        <f ca="1">IFERROR(__xludf.DUMMYFUNCTION("""COMPUTED_VALUE"""),"Maltu Ventura")</f>
        <v>Maltu Ventura</v>
      </c>
      <c r="E1029" s="1" t="str">
        <f ca="1">IFERROR(__xludf.DUMMYFUNCTION("""COMPUTED_VALUE"""),"For better Philippines  The best Man for the job is a Woman 👠👠 #IpanaloNa10T #LeniKiko2022 #10RobredoForPresident  #7KikoPangilinanVicePresident  #TrillanesForSenator2022  #LeilaDeLima2022  #RisaHontiveros2022  #SonnyMatula2022  #AlexLacson2022  #ChelDi"&amp;"oknoSaSenado  #DickGordon #NeriComenares #AngatBuhayLahat #KulayRosasAngBukas  #GobyernongTapatAngatBuhayLahat  #HelloPagkainGoodbyeGutom #CaMaNaVaRockNRosas  #CamanaIsPink")</f>
        <v>For better Philippines  The best Man for the job is a Woman 👠👠 #IpanaloNa10T #LeniKiko2022 #10RobredoForPresident  #7KikoPangilinanVicePresident  #TrillanesForSenator2022  #LeilaDeLima2022  #RisaHontiveros2022  #SonnyMatula2022  #AlexLacson2022  #ChelDioknoSaSenado  #DickGordon #NeriComenares #AngatBuhayLahat #KulayRosasAngBukas  #GobyernongTapatAngatBuhayLahat  #HelloPagkainGoodbyeGutom #CaMaNaVaRockNRosas  #CamanaIsPink</v>
      </c>
      <c r="F1029" s="1">
        <f ca="1">IFERROR(__xludf.DUMMYFUNCTION("""COMPUTED_VALUE"""),1)</f>
        <v>1</v>
      </c>
      <c r="G1029" s="1" t="str">
        <f ca="1">IFERROR(__xludf.DUMMYFUNCTION("""COMPUTED_VALUE"""),"3 mos")</f>
        <v>3 mos</v>
      </c>
      <c r="H1029" s="1" t="str">
        <f ca="1">IFERROR(__xludf.DUMMYFUNCTION("""COMPUTED_VALUE"""),"comment")</f>
        <v>comment</v>
      </c>
      <c r="I1029" s="2" t="str">
        <f ca="1">IFERROR(__xludf.DUMMYFUNCTION("""COMPUTED_VALUE"""),"https://www.facebook.com/rapplerdotcom/photos/a.317154781638645/5596022273751843/")</f>
        <v>https://www.facebook.com/rapplerdotcom/photos/a.317154781638645/5596022273751843/</v>
      </c>
      <c r="J1029" s="1" t="str">
        <f ca="1">IFERROR(__xludf.DUMMYFUNCTION("""COMPUTED_VALUE"""),"2022-07-04T15:39:36.624Z")</f>
        <v>2022-07-04T15:39:36.624Z</v>
      </c>
    </row>
    <row r="1030" spans="1:10" x14ac:dyDescent="0.2">
      <c r="A1030" s="2" t="str">
        <f ca="1">IFERROR(__xludf.DUMMYFUNCTION("""COMPUTED_VALUE"""),"https://www.facebook.com/winet.bautista")</f>
        <v>https://www.facebook.com/winet.bautista</v>
      </c>
      <c r="B1030" s="1" t="str">
        <f ca="1">IFERROR(__xludf.DUMMYFUNCTION("""COMPUTED_VALUE"""),"Winet Bautista")</f>
        <v>Winet Bautista</v>
      </c>
      <c r="C1030" s="1" t="str">
        <f ca="1">IFERROR(__xludf.DUMMYFUNCTION("""COMPUTED_VALUE"""),"Winet")</f>
        <v>Winet</v>
      </c>
      <c r="D1030" s="1" t="str">
        <f ca="1">IFERROR(__xludf.DUMMYFUNCTION("""COMPUTED_VALUE"""),"Bautista")</f>
        <v>Bautista</v>
      </c>
      <c r="E1030" s="1" t="str">
        <f ca="1">IFERROR(__xludf.DUMMYFUNCTION("""COMPUTED_VALUE"""),"Nakisama ang ating future President and Vice President sa earth hour!!!  #CAMANAVAisPink #CAMANAVARockAndRosas #IpanaloNa10To #LeniKiko2022 #AngatBuhayLahat")</f>
        <v>Nakisama ang ating future President and Vice President sa earth hour!!!  #CAMANAVAisPink #CAMANAVARockAndRosas #IpanaloNa10To #LeniKiko2022 #AngatBuhayLahat</v>
      </c>
      <c r="F1030" s="1">
        <f ca="1">IFERROR(__xludf.DUMMYFUNCTION("""COMPUTED_VALUE"""),4)</f>
        <v>4</v>
      </c>
      <c r="G1030" s="1" t="str">
        <f ca="1">IFERROR(__xludf.DUMMYFUNCTION("""COMPUTED_VALUE"""),"3 mos")</f>
        <v>3 mos</v>
      </c>
      <c r="H1030" s="1" t="str">
        <f ca="1">IFERROR(__xludf.DUMMYFUNCTION("""COMPUTED_VALUE"""),"comment")</f>
        <v>comment</v>
      </c>
      <c r="I1030" s="2" t="str">
        <f ca="1">IFERROR(__xludf.DUMMYFUNCTION("""COMPUTED_VALUE"""),"https://www.facebook.com/rapplerdotcom/photos/a.317154781638645/5596022273751843/")</f>
        <v>https://www.facebook.com/rapplerdotcom/photos/a.317154781638645/5596022273751843/</v>
      </c>
      <c r="J1030" s="1" t="str">
        <f ca="1">IFERROR(__xludf.DUMMYFUNCTION("""COMPUTED_VALUE"""),"2022-07-04T15:39:36.624Z")</f>
        <v>2022-07-04T15:39:36.624Z</v>
      </c>
    </row>
    <row r="1031" spans="1:10" x14ac:dyDescent="0.2">
      <c r="A1031" s="2" t="str">
        <f ca="1">IFERROR(__xludf.DUMMYFUNCTION("""COMPUTED_VALUE"""),"https://www.facebook.com/ditas.ravanilla")</f>
        <v>https://www.facebook.com/ditas.ravanilla</v>
      </c>
      <c r="B1031" s="1" t="str">
        <f ca="1">IFERROR(__xludf.DUMMYFUNCTION("""COMPUTED_VALUE"""),"Ditas Ravanilla")</f>
        <v>Ditas Ravanilla</v>
      </c>
      <c r="C1031" s="1" t="str">
        <f ca="1">IFERROR(__xludf.DUMMYFUNCTION("""COMPUTED_VALUE"""),"Ditas")</f>
        <v>Ditas</v>
      </c>
      <c r="D1031" s="1" t="str">
        <f ca="1">IFERROR(__xludf.DUMMYFUNCTION("""COMPUTED_VALUE"""),"Ravanilla")</f>
        <v>Ravanilla</v>
      </c>
      <c r="E1031" s="1" t="str">
        <f ca="1">IFERROR(__xludf.DUMMYFUNCTION("""COMPUTED_VALUE"""),"Sila ang mapagkaling ng sambayanang Pilipino at ng kalikasan! Tara na sa #GobyernongTapat kung saan #AngatBuhayLahat at #KulayRosasAngBukas. #IpanaloNa10To #LeniKikoAllTheWay ❤🌷❤🌷❤🌷")</f>
        <v>Sila ang mapagkaling ng sambayanang Pilipino at ng kalikasan! Tara na sa #GobyernongTapat kung saan #AngatBuhayLahat at #KulayRosasAngBukas. #IpanaloNa10To #LeniKikoAllTheWay ❤🌷❤🌷❤🌷</v>
      </c>
      <c r="F1031" s="1">
        <f ca="1">IFERROR(__xludf.DUMMYFUNCTION("""COMPUTED_VALUE"""),3)</f>
        <v>3</v>
      </c>
      <c r="G1031" s="1" t="str">
        <f ca="1">IFERROR(__xludf.DUMMYFUNCTION("""COMPUTED_VALUE"""),"3 mos")</f>
        <v>3 mos</v>
      </c>
      <c r="H1031" s="1" t="str">
        <f ca="1">IFERROR(__xludf.DUMMYFUNCTION("""COMPUTED_VALUE"""),"comment")</f>
        <v>comment</v>
      </c>
      <c r="I1031" s="2" t="str">
        <f ca="1">IFERROR(__xludf.DUMMYFUNCTION("""COMPUTED_VALUE"""),"https://www.facebook.com/rapplerdotcom/photos/a.317154781638645/5596022273751843/")</f>
        <v>https://www.facebook.com/rapplerdotcom/photos/a.317154781638645/5596022273751843/</v>
      </c>
      <c r="J1031" s="1" t="str">
        <f ca="1">IFERROR(__xludf.DUMMYFUNCTION("""COMPUTED_VALUE"""),"2022-07-04T15:39:36.624Z")</f>
        <v>2022-07-04T15:39:36.624Z</v>
      </c>
    </row>
    <row r="1032" spans="1:10" x14ac:dyDescent="0.2">
      <c r="A1032" s="2" t="str">
        <f ca="1">IFERROR(__xludf.DUMMYFUNCTION("""COMPUTED_VALUE"""),"https://www.facebook.com/maria.dizon1")</f>
        <v>https://www.facebook.com/maria.dizon1</v>
      </c>
      <c r="B1032" s="1" t="str">
        <f ca="1">IFERROR(__xludf.DUMMYFUNCTION("""COMPUTED_VALUE"""),"Maria Dizon")</f>
        <v>Maria Dizon</v>
      </c>
      <c r="C1032" s="1" t="str">
        <f ca="1">IFERROR(__xludf.DUMMYFUNCTION("""COMPUTED_VALUE"""),"Maria")</f>
        <v>Maria</v>
      </c>
      <c r="D1032" s="1" t="str">
        <f ca="1">IFERROR(__xludf.DUMMYFUNCTION("""COMPUTED_VALUE"""),"Dizon")</f>
        <v>Dizon</v>
      </c>
      <c r="E1032" s="1" t="str">
        <f ca="1">IFERROR(__xludf.DUMMYFUNCTION("""COMPUTED_VALUE"""),"Love it!! Looks more than 21 k attendees, kasi meron pa sa kabila, sa St. Mary's.")</f>
        <v>Love it!! Looks more than 21 k attendees, kasi meron pa sa kabila, sa St. Mary's.</v>
      </c>
      <c r="F1032" s="1">
        <f ca="1">IFERROR(__xludf.DUMMYFUNCTION("""COMPUTED_VALUE"""),6)</f>
        <v>6</v>
      </c>
      <c r="G1032" s="1" t="str">
        <f ca="1">IFERROR(__xludf.DUMMYFUNCTION("""COMPUTED_VALUE"""),"3 mos")</f>
        <v>3 mos</v>
      </c>
      <c r="H1032" s="1" t="str">
        <f ca="1">IFERROR(__xludf.DUMMYFUNCTION("""COMPUTED_VALUE"""),"comment")</f>
        <v>comment</v>
      </c>
      <c r="I1032" s="2" t="str">
        <f ca="1">IFERROR(__xludf.DUMMYFUNCTION("""COMPUTED_VALUE"""),"https://www.facebook.com/rapplerdotcom/photos/a.317154781638645/5596022273751843/")</f>
        <v>https://www.facebook.com/rapplerdotcom/photos/a.317154781638645/5596022273751843/</v>
      </c>
      <c r="J1032" s="1" t="str">
        <f ca="1">IFERROR(__xludf.DUMMYFUNCTION("""COMPUTED_VALUE"""),"2022-07-04T15:39:36.624Z")</f>
        <v>2022-07-04T15:39:36.624Z</v>
      </c>
    </row>
    <row r="1033" spans="1:10" x14ac:dyDescent="0.2">
      <c r="A1033" s="2" t="str">
        <f ca="1">IFERROR(__xludf.DUMMYFUNCTION("""COMPUTED_VALUE"""),"https://www.facebook.com/yvad.onauo")</f>
        <v>https://www.facebook.com/yvad.onauo</v>
      </c>
      <c r="B1033" s="1" t="str">
        <f ca="1">IFERROR(__xludf.DUMMYFUNCTION("""COMPUTED_VALUE"""),"Yvad Onauo")</f>
        <v>Yvad Onauo</v>
      </c>
      <c r="C1033" s="1" t="str">
        <f ca="1">IFERROR(__xludf.DUMMYFUNCTION("""COMPUTED_VALUE"""),"Yvad")</f>
        <v>Yvad</v>
      </c>
      <c r="D1033" s="1" t="str">
        <f ca="1">IFERROR(__xludf.DUMMYFUNCTION("""COMPUTED_VALUE"""),"Onauo")</f>
        <v>Onauo</v>
      </c>
      <c r="E1033" s="1" t="str">
        <f ca="1">IFERROR(__xludf.DUMMYFUNCTION("""COMPUTED_VALUE"""),"Maria Dizon 50K to be exact")</f>
        <v>Maria Dizon 50K to be exact</v>
      </c>
      <c r="F1033" s="1"/>
      <c r="G1033" s="1" t="str">
        <f ca="1">IFERROR(__xludf.DUMMYFUNCTION("""COMPUTED_VALUE"""),"3 mos")</f>
        <v>3 mos</v>
      </c>
      <c r="H1033" s="1" t="str">
        <f ca="1">IFERROR(__xludf.DUMMYFUNCTION("""COMPUTED_VALUE"""),"reply")</f>
        <v>reply</v>
      </c>
      <c r="I1033" s="2" t="str">
        <f ca="1">IFERROR(__xludf.DUMMYFUNCTION("""COMPUTED_VALUE"""),"https://www.facebook.com/rapplerdotcom/photos/a.317154781638645/5596022273751843/")</f>
        <v>https://www.facebook.com/rapplerdotcom/photos/a.317154781638645/5596022273751843/</v>
      </c>
      <c r="J1033" s="1" t="str">
        <f ca="1">IFERROR(__xludf.DUMMYFUNCTION("""COMPUTED_VALUE"""),"2022-07-04T15:39:36.624Z")</f>
        <v>2022-07-04T15:39:36.624Z</v>
      </c>
    </row>
    <row r="1034" spans="1:10" x14ac:dyDescent="0.2">
      <c r="A1034" s="2" t="str">
        <f ca="1">IFERROR(__xludf.DUMMYFUNCTION("""COMPUTED_VALUE"""),"https://www.facebook.com/maria.dizon1")</f>
        <v>https://www.facebook.com/maria.dizon1</v>
      </c>
      <c r="B1034" s="1" t="str">
        <f ca="1">IFERROR(__xludf.DUMMYFUNCTION("""COMPUTED_VALUE"""),"Maria Dizon")</f>
        <v>Maria Dizon</v>
      </c>
      <c r="C1034" s="1" t="str">
        <f ca="1">IFERROR(__xludf.DUMMYFUNCTION("""COMPUTED_VALUE"""),"Maria")</f>
        <v>Maria</v>
      </c>
      <c r="D1034" s="1" t="str">
        <f ca="1">IFERROR(__xludf.DUMMYFUNCTION("""COMPUTED_VALUE"""),"Dizon")</f>
        <v>Dizon</v>
      </c>
      <c r="E1034" s="1" t="str">
        <f ca="1">IFERROR(__xludf.DUMMYFUNCTION("""COMPUTED_VALUE"""),"Yvad Onauo wow talaga, source?")</f>
        <v>Yvad Onauo wow talaga, source?</v>
      </c>
      <c r="F1034" s="1"/>
      <c r="G1034" s="1" t="str">
        <f ca="1">IFERROR(__xludf.DUMMYFUNCTION("""COMPUTED_VALUE"""),"3 mos")</f>
        <v>3 mos</v>
      </c>
      <c r="H1034" s="1" t="str">
        <f ca="1">IFERROR(__xludf.DUMMYFUNCTION("""COMPUTED_VALUE"""),"reply")</f>
        <v>reply</v>
      </c>
      <c r="I1034" s="2" t="str">
        <f ca="1">IFERROR(__xludf.DUMMYFUNCTION("""COMPUTED_VALUE"""),"https://www.facebook.com/rapplerdotcom/photos/a.317154781638645/5596022273751843/")</f>
        <v>https://www.facebook.com/rapplerdotcom/photos/a.317154781638645/5596022273751843/</v>
      </c>
      <c r="J1034" s="1" t="str">
        <f ca="1">IFERROR(__xludf.DUMMYFUNCTION("""COMPUTED_VALUE"""),"2022-07-04T15:39:36.624Z")</f>
        <v>2022-07-04T15:39:36.624Z</v>
      </c>
    </row>
    <row r="1035" spans="1:10" x14ac:dyDescent="0.2">
      <c r="A1035" s="2" t="str">
        <f ca="1">IFERROR(__xludf.DUMMYFUNCTION("""COMPUTED_VALUE"""),"https://www.facebook.com/yvad.onauo")</f>
        <v>https://www.facebook.com/yvad.onauo</v>
      </c>
      <c r="B1035" s="1" t="str">
        <f ca="1">IFERROR(__xludf.DUMMYFUNCTION("""COMPUTED_VALUE"""),"Yvad Onauo")</f>
        <v>Yvad Onauo</v>
      </c>
      <c r="C1035" s="1" t="str">
        <f ca="1">IFERROR(__xludf.DUMMYFUNCTION("""COMPUTED_VALUE"""),"Yvad")</f>
        <v>Yvad</v>
      </c>
      <c r="D1035" s="1" t="str">
        <f ca="1">IFERROR(__xludf.DUMMYFUNCTION("""COMPUTED_VALUE"""),"Onauo")</f>
        <v>Onauo</v>
      </c>
      <c r="E1035" s="1" t="str">
        <f ca="1">IFERROR(__xludf.DUMMYFUNCTION("""COMPUTED_VALUE"""),"Maria Dizon | Police")</f>
        <v>Maria Dizon | Police</v>
      </c>
      <c r="F1035" s="1">
        <f ca="1">IFERROR(__xludf.DUMMYFUNCTION("""COMPUTED_VALUE"""),1)</f>
        <v>1</v>
      </c>
      <c r="G1035" s="1" t="str">
        <f ca="1">IFERROR(__xludf.DUMMYFUNCTION("""COMPUTED_VALUE"""),"3 mos")</f>
        <v>3 mos</v>
      </c>
      <c r="H1035" s="1" t="str">
        <f ca="1">IFERROR(__xludf.DUMMYFUNCTION("""COMPUTED_VALUE"""),"reply")</f>
        <v>reply</v>
      </c>
      <c r="I1035" s="2" t="str">
        <f ca="1">IFERROR(__xludf.DUMMYFUNCTION("""COMPUTED_VALUE"""),"https://www.facebook.com/rapplerdotcom/photos/a.317154781638645/5596022273751843/")</f>
        <v>https://www.facebook.com/rapplerdotcom/photos/a.317154781638645/5596022273751843/</v>
      </c>
      <c r="J1035" s="1" t="str">
        <f ca="1">IFERROR(__xludf.DUMMYFUNCTION("""COMPUTED_VALUE"""),"2022-07-04T15:39:36.624Z")</f>
        <v>2022-07-04T15:39:36.624Z</v>
      </c>
    </row>
    <row r="1036" spans="1:10" x14ac:dyDescent="0.2">
      <c r="A1036" s="2" t="str">
        <f ca="1">IFERROR(__xludf.DUMMYFUNCTION("""COMPUTED_VALUE"""),"https://www.facebook.com/myla.malbasbelleza")</f>
        <v>https://www.facebook.com/myla.malbasbelleza</v>
      </c>
      <c r="B1036" s="1" t="str">
        <f ca="1">IFERROR(__xludf.DUMMYFUNCTION("""COMPUTED_VALUE"""),"Myla Malbas-BELLEZA")</f>
        <v>Myla Malbas-BELLEZA</v>
      </c>
      <c r="C1036" s="1" t="str">
        <f ca="1">IFERROR(__xludf.DUMMYFUNCTION("""COMPUTED_VALUE"""),"Myla")</f>
        <v>Myla</v>
      </c>
      <c r="D1036" s="1" t="str">
        <f ca="1">IFERROR(__xludf.DUMMYFUNCTION("""COMPUTED_VALUE"""),"Malbas-BELLEZA")</f>
        <v>Malbas-BELLEZA</v>
      </c>
      <c r="E1036" s="1" t="str">
        <f ca="1">IFERROR(__xludf.DUMMYFUNCTION("""COMPUTED_VALUE"""),"#CaMaNaVaIsPink #CaMaNavaForLeniKiko #CaMaNaVaRockNRosas   Trustworthiness Transparency  Integrity Accountability #GoodGovernance  #LeniKiko2022 #LeniIsMyPresident2022 #KikoIsMyVP2022 #GobyernongTapatAngatBuhayLahat #HelloPagkainGoodbyeGutom #Elections202"&amp;"2 #LetLeniLead2022 #LetKikobetheVP2022  Tara, PANALO na NA10 'TO! 💖💖💖💚💚💚  💖🌸💚💗💪🏼🙌👏🏼🤟🙏👆🧎‍♀️  #MASSKARApatDapatLeniKiko")</f>
        <v>#CaMaNaVaIsPink #CaMaNavaForLeniKiko #CaMaNaVaRockNRosas   Trustworthiness Transparency  Integrity Accountability #GoodGovernance  #LeniKiko2022 #LeniIsMyPresident2022 #KikoIsMyVP2022 #GobyernongTapatAngatBuhayLahat #HelloPagkainGoodbyeGutom #Elections2022 #LetLeniLead2022 #LetKikobetheVP2022  Tara, PANALO na NA10 'TO! 💖💖💖💚💚💚  💖🌸💚💗💪🏼🙌👏🏼🤟🙏👆🧎‍♀️  #MASSKARApatDapatLeniKiko</v>
      </c>
      <c r="F1036" s="1">
        <f ca="1">IFERROR(__xludf.DUMMYFUNCTION("""COMPUTED_VALUE"""),6)</f>
        <v>6</v>
      </c>
      <c r="G1036" s="1" t="str">
        <f ca="1">IFERROR(__xludf.DUMMYFUNCTION("""COMPUTED_VALUE"""),"3 mos")</f>
        <v>3 mos</v>
      </c>
      <c r="H1036" s="1" t="str">
        <f ca="1">IFERROR(__xludf.DUMMYFUNCTION("""COMPUTED_VALUE"""),"comment")</f>
        <v>comment</v>
      </c>
      <c r="I1036" s="2" t="str">
        <f ca="1">IFERROR(__xludf.DUMMYFUNCTION("""COMPUTED_VALUE"""),"https://www.facebook.com/rapplerdotcom/photos/a.317154781638645/5596022273751843/")</f>
        <v>https://www.facebook.com/rapplerdotcom/photos/a.317154781638645/5596022273751843/</v>
      </c>
      <c r="J1036" s="1" t="str">
        <f ca="1">IFERROR(__xludf.DUMMYFUNCTION("""COMPUTED_VALUE"""),"2022-07-04T15:39:36.624Z")</f>
        <v>2022-07-04T15:39:36.624Z</v>
      </c>
    </row>
    <row r="1037" spans="1:10" x14ac:dyDescent="0.2">
      <c r="A1037" s="2" t="str">
        <f ca="1">IFERROR(__xludf.DUMMYFUNCTION("""COMPUTED_VALUE"""),"https://www.facebook.com/cookie.car0307")</f>
        <v>https://www.facebook.com/cookie.car0307</v>
      </c>
      <c r="B1037" s="1" t="str">
        <f ca="1">IFERROR(__xludf.DUMMYFUNCTION("""COMPUTED_VALUE"""),"Cookie Car")</f>
        <v>Cookie Car</v>
      </c>
      <c r="C1037" s="1" t="str">
        <f ca="1">IFERROR(__xludf.DUMMYFUNCTION("""COMPUTED_VALUE"""),"Cookie")</f>
        <v>Cookie</v>
      </c>
      <c r="D1037" s="1" t="str">
        <f ca="1">IFERROR(__xludf.DUMMYFUNCTION("""COMPUTED_VALUE"""),"Car")</f>
        <v>Car</v>
      </c>
      <c r="E1037" s="1" t="str">
        <f ca="1">IFERROR(__xludf.DUMMYFUNCTION("""COMPUTED_VALUE"""),"More local officials for LenyKiko. What are you waiting Mayor Bing of Bacolod City!!!#CaMaNaVaIsPink#")</f>
        <v>More local officials for LenyKiko. What are you waiting Mayor Bing of Bacolod City!!!#CaMaNaVaIsPink#</v>
      </c>
      <c r="F1037" s="1">
        <f ca="1">IFERROR(__xludf.DUMMYFUNCTION("""COMPUTED_VALUE"""),1)</f>
        <v>1</v>
      </c>
      <c r="G1037" s="1" t="str">
        <f ca="1">IFERROR(__xludf.DUMMYFUNCTION("""COMPUTED_VALUE"""),"3 mos")</f>
        <v>3 mos</v>
      </c>
      <c r="H1037" s="1" t="str">
        <f ca="1">IFERROR(__xludf.DUMMYFUNCTION("""COMPUTED_VALUE"""),"comment")</f>
        <v>comment</v>
      </c>
      <c r="I1037" s="2" t="str">
        <f ca="1">IFERROR(__xludf.DUMMYFUNCTION("""COMPUTED_VALUE"""),"https://www.facebook.com/rapplerdotcom/photos/a.317154781638645/5596022273751843/")</f>
        <v>https://www.facebook.com/rapplerdotcom/photos/a.317154781638645/5596022273751843/</v>
      </c>
      <c r="J1037" s="1" t="str">
        <f ca="1">IFERROR(__xludf.DUMMYFUNCTION("""COMPUTED_VALUE"""),"2022-07-04T15:39:36.624Z")</f>
        <v>2022-07-04T15:39:36.624Z</v>
      </c>
    </row>
    <row r="1038" spans="1:10" x14ac:dyDescent="0.2">
      <c r="A1038" s="2" t="str">
        <f ca="1">IFERROR(__xludf.DUMMYFUNCTION("""COMPUTED_VALUE"""),"https://www.facebook.com/juliette.faith")</f>
        <v>https://www.facebook.com/juliette.faith</v>
      </c>
      <c r="B1038" s="1" t="str">
        <f ca="1">IFERROR(__xludf.DUMMYFUNCTION("""COMPUTED_VALUE"""),"Juliette Faith")</f>
        <v>Juliette Faith</v>
      </c>
      <c r="C1038" s="1" t="str">
        <f ca="1">IFERROR(__xludf.DUMMYFUNCTION("""COMPUTED_VALUE"""),"Juliette")</f>
        <v>Juliette</v>
      </c>
      <c r="D1038" s="1" t="str">
        <f ca="1">IFERROR(__xludf.DUMMYFUNCTION("""COMPUTED_VALUE"""),"Faith")</f>
        <v>Faith</v>
      </c>
      <c r="E1038" s="1" t="str">
        <f ca="1">IFERROR(__xludf.DUMMYFUNCTION("""COMPUTED_VALUE"""),"LENIwanag sa dilim🌠🌟🌠🌟🌠🌟🌠🌟🌠🌟🌠 Most hardworking🥇🥇🥇, most loving🥇🥇🥇 most honest🥇🥇🥇and most prepared🥇🥇🥇 para sa🇵🇭🇵🇭🇵🇭🇵🇭🇵🇭 PAGKA PRESIDENTE💐🌸💐🌸💐🌸💐🌸💐🌸💐🌸💐🌸💐🌸💐🌸💐🌸💐🌷💐🌸 #LetLeniKikoLead2022 #PHVoteRobredo")</f>
        <v>LENIwanag sa dilim🌠🌟🌠🌟🌠🌟🌠🌟🌠🌟🌠 Most hardworking🥇🥇🥇, most loving🥇🥇🥇 most honest🥇🥇🥇and most prepared🥇🥇🥇 para sa🇵🇭🇵🇭🇵🇭🇵🇭🇵🇭 PAGKA PRESIDENTE💐🌸💐🌸💐🌸💐🌸💐🌸💐🌸💐🌸💐🌸💐🌸💐🌸💐🌷💐🌸 #LetLeniKikoLead2022 #PHVoteRobredo</v>
      </c>
      <c r="F1038" s="1">
        <f ca="1">IFERROR(__xludf.DUMMYFUNCTION("""COMPUTED_VALUE"""),8)</f>
        <v>8</v>
      </c>
      <c r="G1038" s="1" t="str">
        <f ca="1">IFERROR(__xludf.DUMMYFUNCTION("""COMPUTED_VALUE"""),"3 mos")</f>
        <v>3 mos</v>
      </c>
      <c r="H1038" s="1" t="str">
        <f ca="1">IFERROR(__xludf.DUMMYFUNCTION("""COMPUTED_VALUE"""),"comment")</f>
        <v>comment</v>
      </c>
      <c r="I1038" s="2" t="str">
        <f ca="1">IFERROR(__xludf.DUMMYFUNCTION("""COMPUTED_VALUE"""),"https://www.facebook.com/rapplerdotcom/photos/a.317154781638645/5596022273751843/")</f>
        <v>https://www.facebook.com/rapplerdotcom/photos/a.317154781638645/5596022273751843/</v>
      </c>
      <c r="J1038" s="1" t="str">
        <f ca="1">IFERROR(__xludf.DUMMYFUNCTION("""COMPUTED_VALUE"""),"2022-07-04T15:39:36.624Z")</f>
        <v>2022-07-04T15:39:36.624Z</v>
      </c>
    </row>
    <row r="1039" spans="1:10" x14ac:dyDescent="0.2">
      <c r="A1039" s="2" t="str">
        <f ca="1">IFERROR(__xludf.DUMMYFUNCTION("""COMPUTED_VALUE"""),"https://www.facebook.com/Jeff5289")</f>
        <v>https://www.facebook.com/Jeff5289</v>
      </c>
      <c r="B1039" s="1" t="str">
        <f ca="1">IFERROR(__xludf.DUMMYFUNCTION("""COMPUTED_VALUE"""),"Jeffrey Valdez Reyes")</f>
        <v>Jeffrey Valdez Reyes</v>
      </c>
      <c r="C1039" s="1" t="str">
        <f ca="1">IFERROR(__xludf.DUMMYFUNCTION("""COMPUTED_VALUE"""),"Jeffrey")</f>
        <v>Jeffrey</v>
      </c>
      <c r="D1039" s="1" t="str">
        <f ca="1">IFERROR(__xludf.DUMMYFUNCTION("""COMPUTED_VALUE"""),"Valdez Reyes")</f>
        <v>Valdez Reyes</v>
      </c>
      <c r="E1039" s="1" t="str">
        <f ca="1">IFERROR(__xludf.DUMMYFUNCTION("""COMPUTED_VALUE"""),"Liwanag sa dilim! Kumininang ang pag-asa! From sibuyas to alitaptap! Salamat CAMANAVA!  #LeniKiko2022  #KulayRosasAngBukas  #lenirobredo2022  #SiKikoAngManokKo")</f>
        <v>Liwanag sa dilim! Kumininang ang pag-asa! From sibuyas to alitaptap! Salamat CAMANAVA!  #LeniKiko2022  #KulayRosasAngBukas  #lenirobredo2022  #SiKikoAngManokKo</v>
      </c>
      <c r="F1039" s="1">
        <f ca="1">IFERROR(__xludf.DUMMYFUNCTION("""COMPUTED_VALUE"""),10)</f>
        <v>10</v>
      </c>
      <c r="G1039" s="1" t="str">
        <f ca="1">IFERROR(__xludf.DUMMYFUNCTION("""COMPUTED_VALUE"""),"3 mos")</f>
        <v>3 mos</v>
      </c>
      <c r="H1039" s="1" t="str">
        <f ca="1">IFERROR(__xludf.DUMMYFUNCTION("""COMPUTED_VALUE"""),"comment")</f>
        <v>comment</v>
      </c>
      <c r="I1039" s="2" t="str">
        <f ca="1">IFERROR(__xludf.DUMMYFUNCTION("""COMPUTED_VALUE"""),"https://www.facebook.com/rapplerdotcom/photos/a.317154781638645/5596022273751843/")</f>
        <v>https://www.facebook.com/rapplerdotcom/photos/a.317154781638645/5596022273751843/</v>
      </c>
      <c r="J1039" s="1" t="str">
        <f ca="1">IFERROR(__xludf.DUMMYFUNCTION("""COMPUTED_VALUE"""),"2022-07-04T15:39:36.624Z")</f>
        <v>2022-07-04T15:39:36.624Z</v>
      </c>
    </row>
    <row r="1040" spans="1:10" x14ac:dyDescent="0.2">
      <c r="A1040" s="2" t="str">
        <f ca="1">IFERROR(__xludf.DUMMYFUNCTION("""COMPUTED_VALUE"""),"https://www.facebook.com/annetardeo")</f>
        <v>https://www.facebook.com/annetardeo</v>
      </c>
      <c r="B1040" s="1" t="str">
        <f ca="1">IFERROR(__xludf.DUMMYFUNCTION("""COMPUTED_VALUE"""),"Anne Tardeo")</f>
        <v>Anne Tardeo</v>
      </c>
      <c r="C1040" s="1" t="str">
        <f ca="1">IFERROR(__xludf.DUMMYFUNCTION("""COMPUTED_VALUE"""),"Anne")</f>
        <v>Anne</v>
      </c>
      <c r="D1040" s="1" t="str">
        <f ca="1">IFERROR(__xludf.DUMMYFUNCTION("""COMPUTED_VALUE"""),"Tardeo")</f>
        <v>Tardeo</v>
      </c>
      <c r="E1040" s="1" t="str">
        <f ca="1">IFERROR(__xludf.DUMMYFUNCTION("""COMPUTED_VALUE"""),"The leaders we deserve!   #IpanaloNa10To #LeniKikoAllTheWay #10RobredoPresident #7KikoPangilinanVicePresident kasama ng buong #TropangAngat para ganap na maging #KulayRosasAngBukas")</f>
        <v>The leaders we deserve!   #IpanaloNa10To #LeniKikoAllTheWay #10RobredoPresident #7KikoPangilinanVicePresident kasama ng buong #TropangAngat para ganap na maging #KulayRosasAngBukas</v>
      </c>
      <c r="F1040" s="1">
        <f ca="1">IFERROR(__xludf.DUMMYFUNCTION("""COMPUTED_VALUE"""),1)</f>
        <v>1</v>
      </c>
      <c r="G1040" s="1" t="str">
        <f ca="1">IFERROR(__xludf.DUMMYFUNCTION("""COMPUTED_VALUE"""),"3 mos")</f>
        <v>3 mos</v>
      </c>
      <c r="H1040" s="1" t="str">
        <f ca="1">IFERROR(__xludf.DUMMYFUNCTION("""COMPUTED_VALUE"""),"comment")</f>
        <v>comment</v>
      </c>
      <c r="I1040" s="2" t="str">
        <f ca="1">IFERROR(__xludf.DUMMYFUNCTION("""COMPUTED_VALUE"""),"https://www.facebook.com/rapplerdotcom/photos/a.317154781638645/5596022273751843/")</f>
        <v>https://www.facebook.com/rapplerdotcom/photos/a.317154781638645/5596022273751843/</v>
      </c>
      <c r="J1040" s="1" t="str">
        <f ca="1">IFERROR(__xludf.DUMMYFUNCTION("""COMPUTED_VALUE"""),"2022-07-04T15:39:36.624Z")</f>
        <v>2022-07-04T15:39:36.624Z</v>
      </c>
    </row>
    <row r="1041" spans="1:10" x14ac:dyDescent="0.2">
      <c r="A1041" s="2" t="str">
        <f ca="1">IFERROR(__xludf.DUMMYFUNCTION("""COMPUTED_VALUE"""),"https://www.facebook.com/edgar.millena")</f>
        <v>https://www.facebook.com/edgar.millena</v>
      </c>
      <c r="B1041" s="1" t="str">
        <f ca="1">IFERROR(__xludf.DUMMYFUNCTION("""COMPUTED_VALUE"""),"Edgar Millena")</f>
        <v>Edgar Millena</v>
      </c>
      <c r="C1041" s="1" t="str">
        <f ca="1">IFERROR(__xludf.DUMMYFUNCTION("""COMPUTED_VALUE"""),"Edgar")</f>
        <v>Edgar</v>
      </c>
      <c r="D1041" s="1" t="str">
        <f ca="1">IFERROR(__xludf.DUMMYFUNCTION("""COMPUTED_VALUE"""),"Millena")</f>
        <v>Millena</v>
      </c>
      <c r="E1041" s="1" t="str">
        <f ca="1">IFERROR(__xludf.DUMMYFUNCTION("""COMPUTED_VALUE"""),"Ang Tandem Na Magccmula ng Tunay na Pagbabago sa ating bansa. #LeniKiko2022")</f>
        <v>Ang Tandem Na Magccmula ng Tunay na Pagbabago sa ating bansa. #LeniKiko2022</v>
      </c>
      <c r="F1041" s="1">
        <f ca="1">IFERROR(__xludf.DUMMYFUNCTION("""COMPUTED_VALUE"""),1)</f>
        <v>1</v>
      </c>
      <c r="G1041" s="1" t="str">
        <f ca="1">IFERROR(__xludf.DUMMYFUNCTION("""COMPUTED_VALUE"""),"3 mos")</f>
        <v>3 mos</v>
      </c>
      <c r="H1041" s="1" t="str">
        <f ca="1">IFERROR(__xludf.DUMMYFUNCTION("""COMPUTED_VALUE"""),"comment")</f>
        <v>comment</v>
      </c>
      <c r="I1041" s="2" t="str">
        <f ca="1">IFERROR(__xludf.DUMMYFUNCTION("""COMPUTED_VALUE"""),"https://www.facebook.com/rapplerdotcom/photos/a.317154781638645/5596022273751843/")</f>
        <v>https://www.facebook.com/rapplerdotcom/photos/a.317154781638645/5596022273751843/</v>
      </c>
      <c r="J1041" s="1" t="str">
        <f ca="1">IFERROR(__xludf.DUMMYFUNCTION("""COMPUTED_VALUE"""),"2022-07-04T15:39:36.624Z")</f>
        <v>2022-07-04T15:39:36.624Z</v>
      </c>
    </row>
    <row r="1042" spans="1:10" x14ac:dyDescent="0.2">
      <c r="A1042" s="2" t="str">
        <f ca="1">IFERROR(__xludf.DUMMYFUNCTION("""COMPUTED_VALUE"""),"https://www.facebook.com/marite513")</f>
        <v>https://www.facebook.com/marite513</v>
      </c>
      <c r="B1042" s="1" t="str">
        <f ca="1">IFERROR(__xludf.DUMMYFUNCTION("""COMPUTED_VALUE"""),"Marite Damsani")</f>
        <v>Marite Damsani</v>
      </c>
      <c r="C1042" s="1" t="str">
        <f ca="1">IFERROR(__xludf.DUMMYFUNCTION("""COMPUTED_VALUE"""),"Marite")</f>
        <v>Marite</v>
      </c>
      <c r="D1042" s="1" t="str">
        <f ca="1">IFERROR(__xludf.DUMMYFUNCTION("""COMPUTED_VALUE"""),"Damsani")</f>
        <v>Damsani</v>
      </c>
      <c r="E1042" s="1" t="str">
        <f ca="1">IFERROR(__xludf.DUMMYFUNCTION("""COMPUTED_VALUE"""),"ang dami na naman ng kakampinks! truly inspiring!")</f>
        <v>ang dami na naman ng kakampinks! truly inspiring!</v>
      </c>
      <c r="F1042" s="1">
        <f ca="1">IFERROR(__xludf.DUMMYFUNCTION("""COMPUTED_VALUE"""),1)</f>
        <v>1</v>
      </c>
      <c r="G1042" s="1" t="str">
        <f ca="1">IFERROR(__xludf.DUMMYFUNCTION("""COMPUTED_VALUE"""),"3 mos")</f>
        <v>3 mos</v>
      </c>
      <c r="H1042" s="1" t="str">
        <f ca="1">IFERROR(__xludf.DUMMYFUNCTION("""COMPUTED_VALUE"""),"comment")</f>
        <v>comment</v>
      </c>
      <c r="I1042" s="2" t="str">
        <f ca="1">IFERROR(__xludf.DUMMYFUNCTION("""COMPUTED_VALUE"""),"https://www.facebook.com/rapplerdotcom/photos/a.317154781638645/5596022273751843/")</f>
        <v>https://www.facebook.com/rapplerdotcom/photos/a.317154781638645/5596022273751843/</v>
      </c>
      <c r="J1042" s="1" t="str">
        <f ca="1">IFERROR(__xludf.DUMMYFUNCTION("""COMPUTED_VALUE"""),"2022-07-04T15:39:36.624Z")</f>
        <v>2022-07-04T15:39:36.624Z</v>
      </c>
    </row>
    <row r="1043" spans="1:10" x14ac:dyDescent="0.2">
      <c r="A1043" s="2" t="str">
        <f ca="1">IFERROR(__xludf.DUMMYFUNCTION("""COMPUTED_VALUE"""),"https://www.facebook.com/melita.deleonsantos")</f>
        <v>https://www.facebook.com/melita.deleonsantos</v>
      </c>
      <c r="B1043" s="1" t="str">
        <f ca="1">IFERROR(__xludf.DUMMYFUNCTION("""COMPUTED_VALUE"""),"Melita de Leon-santos")</f>
        <v>Melita de Leon-santos</v>
      </c>
      <c r="C1043" s="1" t="str">
        <f ca="1">IFERROR(__xludf.DUMMYFUNCTION("""COMPUTED_VALUE"""),"Melita")</f>
        <v>Melita</v>
      </c>
      <c r="D1043" s="1" t="str">
        <f ca="1">IFERROR(__xludf.DUMMYFUNCTION("""COMPUTED_VALUE"""),"de Leon-santos")</f>
        <v>de Leon-santos</v>
      </c>
      <c r="E1043" s="1" t="str">
        <f ca="1">IFERROR(__xludf.DUMMYFUNCTION("""COMPUTED_VALUE"""),"Cellphone lng na ilaw yan nagliwag ang buong paligid sa tulong panginoong Dios, proud to say nanjan kami.")</f>
        <v>Cellphone lng na ilaw yan nagliwag ang buong paligid sa tulong panginoong Dios, proud to say nanjan kami.</v>
      </c>
      <c r="F1043" s="1">
        <f ca="1">IFERROR(__xludf.DUMMYFUNCTION("""COMPUTED_VALUE"""),26)</f>
        <v>26</v>
      </c>
      <c r="G1043" s="1" t="str">
        <f ca="1">IFERROR(__xludf.DUMMYFUNCTION("""COMPUTED_VALUE"""),"3 mos")</f>
        <v>3 mos</v>
      </c>
      <c r="H1043" s="1" t="str">
        <f ca="1">IFERROR(__xludf.DUMMYFUNCTION("""COMPUTED_VALUE"""),"comment")</f>
        <v>comment</v>
      </c>
      <c r="I1043" s="2" t="str">
        <f ca="1">IFERROR(__xludf.DUMMYFUNCTION("""COMPUTED_VALUE"""),"https://www.facebook.com/rapplerdotcom/photos/a.317154781638645/5596022273751843/")</f>
        <v>https://www.facebook.com/rapplerdotcom/photos/a.317154781638645/5596022273751843/</v>
      </c>
      <c r="J1043" s="1" t="str">
        <f ca="1">IFERROR(__xludf.DUMMYFUNCTION("""COMPUTED_VALUE"""),"2022-07-04T15:39:36.624Z")</f>
        <v>2022-07-04T15:39:36.624Z</v>
      </c>
    </row>
    <row r="1044" spans="1:10" x14ac:dyDescent="0.2">
      <c r="A1044" s="2" t="str">
        <f ca="1">IFERROR(__xludf.DUMMYFUNCTION("""COMPUTED_VALUE"""),"https://www.facebook.com/arlene.buela.9")</f>
        <v>https://www.facebook.com/arlene.buela.9</v>
      </c>
      <c r="B1044" s="1" t="str">
        <f ca="1">IFERROR(__xludf.DUMMYFUNCTION("""COMPUTED_VALUE"""),"Arlene Buela")</f>
        <v>Arlene Buela</v>
      </c>
      <c r="C1044" s="1" t="str">
        <f ca="1">IFERROR(__xludf.DUMMYFUNCTION("""COMPUTED_VALUE"""),"Arlene")</f>
        <v>Arlene</v>
      </c>
      <c r="D1044" s="1" t="str">
        <f ca="1">IFERROR(__xludf.DUMMYFUNCTION("""COMPUTED_VALUE"""),"Buela")</f>
        <v>Buela</v>
      </c>
      <c r="E1044" s="1" t="str">
        <f ca="1">IFERROR(__xludf.DUMMYFUNCTION("""COMPUTED_VALUE"""),"Melita de Leon-santos wow..ang dami nyo.. Salamat sa suporta we watched you online!!")</f>
        <v>Melita de Leon-santos wow..ang dami nyo.. Salamat sa suporta we watched you online!!</v>
      </c>
      <c r="F1044" s="1">
        <f ca="1">IFERROR(__xludf.DUMMYFUNCTION("""COMPUTED_VALUE"""),1)</f>
        <v>1</v>
      </c>
      <c r="G1044" s="1" t="str">
        <f ca="1">IFERROR(__xludf.DUMMYFUNCTION("""COMPUTED_VALUE"""),"3 mos")</f>
        <v>3 mos</v>
      </c>
      <c r="H1044" s="1" t="str">
        <f ca="1">IFERROR(__xludf.DUMMYFUNCTION("""COMPUTED_VALUE"""),"reply")</f>
        <v>reply</v>
      </c>
      <c r="I1044" s="2" t="str">
        <f ca="1">IFERROR(__xludf.DUMMYFUNCTION("""COMPUTED_VALUE"""),"https://www.facebook.com/rapplerdotcom/photos/a.317154781638645/5596022273751843/")</f>
        <v>https://www.facebook.com/rapplerdotcom/photos/a.317154781638645/5596022273751843/</v>
      </c>
      <c r="J1044" s="1" t="str">
        <f ca="1">IFERROR(__xludf.DUMMYFUNCTION("""COMPUTED_VALUE"""),"2022-07-04T15:39:36.624Z")</f>
        <v>2022-07-04T15:39:36.624Z</v>
      </c>
    </row>
    <row r="1045" spans="1:10" x14ac:dyDescent="0.2">
      <c r="A1045" s="2" t="str">
        <f ca="1">IFERROR(__xludf.DUMMYFUNCTION("""COMPUTED_VALUE"""),"https://www.facebook.com/rhob.mercado")</f>
        <v>https://www.facebook.com/rhob.mercado</v>
      </c>
      <c r="B1045" s="1" t="str">
        <f ca="1">IFERROR(__xludf.DUMMYFUNCTION("""COMPUTED_VALUE"""),"Rhob Anorico Mercado")</f>
        <v>Rhob Anorico Mercado</v>
      </c>
      <c r="C1045" s="1" t="str">
        <f ca="1">IFERROR(__xludf.DUMMYFUNCTION("""COMPUTED_VALUE"""),"Rhob")</f>
        <v>Rhob</v>
      </c>
      <c r="D1045" s="1" t="str">
        <f ca="1">IFERROR(__xludf.DUMMYFUNCTION("""COMPUTED_VALUE"""),"Anorico Mercado")</f>
        <v>Anorico Mercado</v>
      </c>
      <c r="E1045" s="1" t="str">
        <f ca="1">IFERROR(__xludf.DUMMYFUNCTION("""COMPUTED_VALUE"""),"Oi angoe angle ang show.. no aerial shot kay ma obvious adtp jud sa daghan tan awon... hihihi")</f>
        <v>Oi angoe angle ang show.. no aerial shot kay ma obvious adtp jud sa daghan tan awon... hihihi</v>
      </c>
      <c r="F1045" s="1">
        <f ca="1">IFERROR(__xludf.DUMMYFUNCTION("""COMPUTED_VALUE"""),8)</f>
        <v>8</v>
      </c>
      <c r="G1045" s="1" t="str">
        <f ca="1">IFERROR(__xludf.DUMMYFUNCTION("""COMPUTED_VALUE"""),"3 mos")</f>
        <v>3 mos</v>
      </c>
      <c r="H1045" s="1" t="str">
        <f ca="1">IFERROR(__xludf.DUMMYFUNCTION("""COMPUTED_VALUE"""),"comment")</f>
        <v>comment</v>
      </c>
      <c r="I1045" s="2" t="str">
        <f ca="1">IFERROR(__xludf.DUMMYFUNCTION("""COMPUTED_VALUE"""),"https://www.facebook.com/rapplerdotcom/photos/a.317154781638645/5596022273751843/")</f>
        <v>https://www.facebook.com/rapplerdotcom/photos/a.317154781638645/5596022273751843/</v>
      </c>
      <c r="J1045" s="1" t="str">
        <f ca="1">IFERROR(__xludf.DUMMYFUNCTION("""COMPUTED_VALUE"""),"2022-07-04T15:39:36.624Z")</f>
        <v>2022-07-04T15:39:36.624Z</v>
      </c>
    </row>
    <row r="1046" spans="1:10" x14ac:dyDescent="0.2">
      <c r="A1046" s="2" t="str">
        <f ca="1">IFERROR(__xludf.DUMMYFUNCTION("""COMPUTED_VALUE"""),"https://www.facebook.com/Theresa074")</f>
        <v>https://www.facebook.com/Theresa074</v>
      </c>
      <c r="B1046" s="1" t="str">
        <f ca="1">IFERROR(__xludf.DUMMYFUNCTION("""COMPUTED_VALUE"""),"Ma Theresa Silva")</f>
        <v>Ma Theresa Silva</v>
      </c>
      <c r="C1046" s="1" t="str">
        <f ca="1">IFERROR(__xludf.DUMMYFUNCTION("""COMPUTED_VALUE"""),"Ma")</f>
        <v>Ma</v>
      </c>
      <c r="D1046" s="1" t="str">
        <f ca="1">IFERROR(__xludf.DUMMYFUNCTION("""COMPUTED_VALUE"""),"Theresa Silva")</f>
        <v>Theresa Silva</v>
      </c>
      <c r="E1046" s="1" t="str">
        <f ca="1">IFERROR(__xludf.DUMMYFUNCTION("""COMPUTED_VALUE"""),"Rhob Anorico Mercado naku punong puno po kaya naging dalawa yung venue nila")</f>
        <v>Rhob Anorico Mercado naku punong puno po kaya naging dalawa yung venue nila</v>
      </c>
      <c r="F1046" s="1">
        <f ca="1">IFERROR(__xludf.DUMMYFUNCTION("""COMPUTED_VALUE"""),8)</f>
        <v>8</v>
      </c>
      <c r="G1046" s="1" t="str">
        <f ca="1">IFERROR(__xludf.DUMMYFUNCTION("""COMPUTED_VALUE"""),"3 mos")</f>
        <v>3 mos</v>
      </c>
      <c r="H1046" s="1" t="str">
        <f ca="1">IFERROR(__xludf.DUMMYFUNCTION("""COMPUTED_VALUE"""),"reply")</f>
        <v>reply</v>
      </c>
      <c r="I1046" s="2" t="str">
        <f ca="1">IFERROR(__xludf.DUMMYFUNCTION("""COMPUTED_VALUE"""),"https://www.facebook.com/rapplerdotcom/photos/a.317154781638645/5596022273751843/")</f>
        <v>https://www.facebook.com/rapplerdotcom/photos/a.317154781638645/5596022273751843/</v>
      </c>
      <c r="J1046" s="1" t="str">
        <f ca="1">IFERROR(__xludf.DUMMYFUNCTION("""COMPUTED_VALUE"""),"2022-07-04T15:39:36.624Z")</f>
        <v>2022-07-04T15:39:36.624Z</v>
      </c>
    </row>
    <row r="1047" spans="1:10" x14ac:dyDescent="0.2">
      <c r="A1047" s="2" t="str">
        <f ca="1">IFERROR(__xludf.DUMMYFUNCTION("""COMPUTED_VALUE"""),"https://www.facebook.com/profile.php?id=100076057558004")</f>
        <v>https://www.facebook.com/profile.php?id=100076057558004</v>
      </c>
      <c r="B1047" s="1" t="str">
        <f ca="1">IFERROR(__xludf.DUMMYFUNCTION("""COMPUTED_VALUE"""),"Maam Karma")</f>
        <v>Maam Karma</v>
      </c>
      <c r="C1047" s="1" t="str">
        <f ca="1">IFERROR(__xludf.DUMMYFUNCTION("""COMPUTED_VALUE"""),"Maam")</f>
        <v>Maam</v>
      </c>
      <c r="D1047" s="1" t="str">
        <f ca="1">IFERROR(__xludf.DUMMYFUNCTION("""COMPUTED_VALUE"""),"Karma")</f>
        <v>Karma</v>
      </c>
      <c r="E1047" s="1" t="str">
        <f ca="1">IFERROR(__xludf.DUMMYFUNCTION("""COMPUTED_VALUE"""),"Rhob Anorico Mercado Kadaghan Aerial View sa Live 😂 Suya jud ka..")</f>
        <v>Rhob Anorico Mercado Kadaghan Aerial View sa Live 😂 Suya jud ka..</v>
      </c>
      <c r="F1047" s="1">
        <f ca="1">IFERROR(__xludf.DUMMYFUNCTION("""COMPUTED_VALUE"""),5)</f>
        <v>5</v>
      </c>
      <c r="G1047" s="1" t="str">
        <f ca="1">IFERROR(__xludf.DUMMYFUNCTION("""COMPUTED_VALUE"""),"3 mos")</f>
        <v>3 mos</v>
      </c>
      <c r="H1047" s="1" t="str">
        <f ca="1">IFERROR(__xludf.DUMMYFUNCTION("""COMPUTED_VALUE"""),"reply")</f>
        <v>reply</v>
      </c>
      <c r="I1047" s="2" t="str">
        <f ca="1">IFERROR(__xludf.DUMMYFUNCTION("""COMPUTED_VALUE"""),"https://www.facebook.com/rapplerdotcom/photos/a.317154781638645/5596022273751843/")</f>
        <v>https://www.facebook.com/rapplerdotcom/photos/a.317154781638645/5596022273751843/</v>
      </c>
      <c r="J1047" s="1" t="str">
        <f ca="1">IFERROR(__xludf.DUMMYFUNCTION("""COMPUTED_VALUE"""),"2022-07-04T15:39:36.624Z")</f>
        <v>2022-07-04T15:39:36.624Z</v>
      </c>
    </row>
    <row r="1048" spans="1:10" x14ac:dyDescent="0.2">
      <c r="A1048" s="2" t="str">
        <f ca="1">IFERROR(__xludf.DUMMYFUNCTION("""COMPUTED_VALUE"""),"https://www.facebook.com/profile.php?id=100069091358264")</f>
        <v>https://www.facebook.com/profile.php?id=100069091358264</v>
      </c>
      <c r="B1048" s="1" t="str">
        <f ca="1">IFERROR(__xludf.DUMMYFUNCTION("""COMPUTED_VALUE"""),"Jedan Arcenal")</f>
        <v>Jedan Arcenal</v>
      </c>
      <c r="C1048" s="1" t="str">
        <f ca="1">IFERROR(__xludf.DUMMYFUNCTION("""COMPUTED_VALUE"""),"Jedan")</f>
        <v>Jedan</v>
      </c>
      <c r="D1048" s="1" t="str">
        <f ca="1">IFERROR(__xludf.DUMMYFUNCTION("""COMPUTED_VALUE"""),"Arcenal")</f>
        <v>Arcenal</v>
      </c>
      <c r="E1048" s="1" t="str">
        <f ca="1">IFERROR(__xludf.DUMMYFUNCTION("""COMPUTED_VALUE"""),"Rhob Anorico Mercado hahahaha bahala ka boo")</f>
        <v>Rhob Anorico Mercado hahahaha bahala ka boo</v>
      </c>
      <c r="F1048" s="1">
        <f ca="1">IFERROR(__xludf.DUMMYFUNCTION("""COMPUTED_VALUE"""),1)</f>
        <v>1</v>
      </c>
      <c r="G1048" s="1" t="str">
        <f ca="1">IFERROR(__xludf.DUMMYFUNCTION("""COMPUTED_VALUE"""),"3 mos")</f>
        <v>3 mos</v>
      </c>
      <c r="H1048" s="1" t="str">
        <f ca="1">IFERROR(__xludf.DUMMYFUNCTION("""COMPUTED_VALUE"""),"reply")</f>
        <v>reply</v>
      </c>
      <c r="I1048" s="2" t="str">
        <f ca="1">IFERROR(__xludf.DUMMYFUNCTION("""COMPUTED_VALUE"""),"https://www.facebook.com/rapplerdotcom/photos/a.317154781638645/5596022273751843/")</f>
        <v>https://www.facebook.com/rapplerdotcom/photos/a.317154781638645/5596022273751843/</v>
      </c>
      <c r="J1048" s="1" t="str">
        <f ca="1">IFERROR(__xludf.DUMMYFUNCTION("""COMPUTED_VALUE"""),"2022-07-04T15:39:36.624Z")</f>
        <v>2022-07-04T15:39:36.624Z</v>
      </c>
    </row>
    <row r="1049" spans="1:10" x14ac:dyDescent="0.2">
      <c r="A1049" s="2" t="str">
        <f ca="1">IFERROR(__xludf.DUMMYFUNCTION("""COMPUTED_VALUE"""),"https://www.facebook.com/davefrancis.ybalig")</f>
        <v>https://www.facebook.com/davefrancis.ybalig</v>
      </c>
      <c r="B1049" s="1" t="str">
        <f ca="1">IFERROR(__xludf.DUMMYFUNCTION("""COMPUTED_VALUE"""),"Evad Sicnarf Gilaby")</f>
        <v>Evad Sicnarf Gilaby</v>
      </c>
      <c r="C1049" s="1" t="str">
        <f ca="1">IFERROR(__xludf.DUMMYFUNCTION("""COMPUTED_VALUE"""),"Evad")</f>
        <v>Evad</v>
      </c>
      <c r="D1049" s="1" t="str">
        <f ca="1">IFERROR(__xludf.DUMMYFUNCTION("""COMPUTED_VALUE"""),"Sicnarf Gilaby")</f>
        <v>Sicnarf Gilaby</v>
      </c>
      <c r="E1049" s="1" t="str">
        <f ca="1">IFERROR(__xludf.DUMMYFUNCTION("""COMPUTED_VALUE"""),"Rhob Anorico Mercado nuod ka ng live nila ongoing pa naman po. Daming Tao, Dakar ping venue  nila")</f>
        <v>Rhob Anorico Mercado nuod ka ng live nila ongoing pa naman po. Daming Tao, Dakar ping venue  nila</v>
      </c>
      <c r="F1049" s="1"/>
      <c r="G1049" s="1" t="str">
        <f ca="1">IFERROR(__xludf.DUMMYFUNCTION("""COMPUTED_VALUE"""),"3 mos")</f>
        <v>3 mos</v>
      </c>
      <c r="H1049" s="1" t="str">
        <f ca="1">IFERROR(__xludf.DUMMYFUNCTION("""COMPUTED_VALUE"""),"reply")</f>
        <v>reply</v>
      </c>
      <c r="I1049" s="2" t="str">
        <f ca="1">IFERROR(__xludf.DUMMYFUNCTION("""COMPUTED_VALUE"""),"https://www.facebook.com/rapplerdotcom/photos/a.317154781638645/5596022273751843/")</f>
        <v>https://www.facebook.com/rapplerdotcom/photos/a.317154781638645/5596022273751843/</v>
      </c>
      <c r="J1049" s="1" t="str">
        <f ca="1">IFERROR(__xludf.DUMMYFUNCTION("""COMPUTED_VALUE"""),"2022-07-04T15:39:36.624Z")</f>
        <v>2022-07-04T15:39:36.624Z</v>
      </c>
    </row>
    <row r="1050" spans="1:10" x14ac:dyDescent="0.2">
      <c r="A1050" s="2" t="str">
        <f ca="1">IFERROR(__xludf.DUMMYFUNCTION("""COMPUTED_VALUE"""),"https://www.facebook.com/gorife.selas")</f>
        <v>https://www.facebook.com/gorife.selas</v>
      </c>
      <c r="B1050" s="1" t="str">
        <f ca="1">IFERROR(__xludf.DUMMYFUNCTION("""COMPUTED_VALUE"""),"Gorife Selas")</f>
        <v>Gorife Selas</v>
      </c>
      <c r="C1050" s="1" t="str">
        <f ca="1">IFERROR(__xludf.DUMMYFUNCTION("""COMPUTED_VALUE"""),"Gorife")</f>
        <v>Gorife</v>
      </c>
      <c r="D1050" s="1" t="str">
        <f ca="1">IFERROR(__xludf.DUMMYFUNCTION("""COMPUTED_VALUE"""),"Selas")</f>
        <v>Selas</v>
      </c>
      <c r="E1050" s="1" t="str">
        <f ca="1">IFERROR(__xludf.DUMMYFUNCTION("""COMPUTED_VALUE"""),"Rhob Anorico Mercado don ka s unithieves manood may puting sobre doon")</f>
        <v>Rhob Anorico Mercado don ka s unithieves manood may puting sobre doon</v>
      </c>
      <c r="F1050" s="1">
        <f ca="1">IFERROR(__xludf.DUMMYFUNCTION("""COMPUTED_VALUE"""),9)</f>
        <v>9</v>
      </c>
      <c r="G1050" s="1" t="str">
        <f ca="1">IFERROR(__xludf.DUMMYFUNCTION("""COMPUTED_VALUE"""),"3 mos")</f>
        <v>3 mos</v>
      </c>
      <c r="H1050" s="1" t="str">
        <f ca="1">IFERROR(__xludf.DUMMYFUNCTION("""COMPUTED_VALUE"""),"reply")</f>
        <v>reply</v>
      </c>
      <c r="I1050" s="2" t="str">
        <f ca="1">IFERROR(__xludf.DUMMYFUNCTION("""COMPUTED_VALUE"""),"https://www.facebook.com/rapplerdotcom/photos/a.317154781638645/5596022273751843/")</f>
        <v>https://www.facebook.com/rapplerdotcom/photos/a.317154781638645/5596022273751843/</v>
      </c>
      <c r="J1050" s="1" t="str">
        <f ca="1">IFERROR(__xludf.DUMMYFUNCTION("""COMPUTED_VALUE"""),"2022-07-04T15:39:36.624Z")</f>
        <v>2022-07-04T15:39:36.624Z</v>
      </c>
    </row>
    <row r="1051" spans="1:10" x14ac:dyDescent="0.2">
      <c r="A1051" s="2" t="str">
        <f ca="1">IFERROR(__xludf.DUMMYFUNCTION("""COMPUTED_VALUE"""),"https://www.facebook.com/sophia.durmiendo")</f>
        <v>https://www.facebook.com/sophia.durmiendo</v>
      </c>
      <c r="B1051" s="1" t="str">
        <f ca="1">IFERROR(__xludf.DUMMYFUNCTION("""COMPUTED_VALUE"""),"Pia Durmiendo")</f>
        <v>Pia Durmiendo</v>
      </c>
      <c r="C1051" s="1" t="str">
        <f ca="1">IFERROR(__xludf.DUMMYFUNCTION("""COMPUTED_VALUE"""),"Pia")</f>
        <v>Pia</v>
      </c>
      <c r="D1051" s="1" t="str">
        <f ca="1">IFERROR(__xludf.DUMMYFUNCTION("""COMPUTED_VALUE"""),"Durmiendo")</f>
        <v>Durmiendo</v>
      </c>
      <c r="E1051" s="1" t="str">
        <f ca="1">IFERROR(__xludf.DUMMYFUNCTION("""COMPUTED_VALUE"""),"Rhob Anorico Mercado Try niyo po panoodin yung live, may mga drone shots po para makita niyo. Welcome na welcome kayo 🤗💖")</f>
        <v>Rhob Anorico Mercado Try niyo po panoodin yung live, may mga drone shots po para makita niyo. Welcome na welcome kayo 🤗💖</v>
      </c>
      <c r="F1051" s="1">
        <f ca="1">IFERROR(__xludf.DUMMYFUNCTION("""COMPUTED_VALUE"""),1)</f>
        <v>1</v>
      </c>
      <c r="G1051" s="1" t="str">
        <f ca="1">IFERROR(__xludf.DUMMYFUNCTION("""COMPUTED_VALUE"""),"3 mos")</f>
        <v>3 mos</v>
      </c>
      <c r="H1051" s="1" t="str">
        <f ca="1">IFERROR(__xludf.DUMMYFUNCTION("""COMPUTED_VALUE"""),"reply")</f>
        <v>reply</v>
      </c>
      <c r="I1051" s="2" t="str">
        <f ca="1">IFERROR(__xludf.DUMMYFUNCTION("""COMPUTED_VALUE"""),"https://www.facebook.com/rapplerdotcom/photos/a.317154781638645/5596022273751843/")</f>
        <v>https://www.facebook.com/rapplerdotcom/photos/a.317154781638645/5596022273751843/</v>
      </c>
      <c r="J1051" s="1" t="str">
        <f ca="1">IFERROR(__xludf.DUMMYFUNCTION("""COMPUTED_VALUE"""),"2022-07-04T15:39:36.624Z")</f>
        <v>2022-07-04T15:39:36.624Z</v>
      </c>
    </row>
    <row r="1052" spans="1:10" x14ac:dyDescent="0.2">
      <c r="A1052" s="2" t="str">
        <f ca="1">IFERROR(__xludf.DUMMYFUNCTION("""COMPUTED_VALUE"""),"https://www.facebook.com/allan.ticatic")</f>
        <v>https://www.facebook.com/allan.ticatic</v>
      </c>
      <c r="B1052" s="1" t="str">
        <f ca="1">IFERROR(__xludf.DUMMYFUNCTION("""COMPUTED_VALUE"""),"Allan S. Ticatic")</f>
        <v>Allan S. Ticatic</v>
      </c>
      <c r="C1052" s="1" t="str">
        <f ca="1">IFERROR(__xludf.DUMMYFUNCTION("""COMPUTED_VALUE"""),"Allan")</f>
        <v>Allan</v>
      </c>
      <c r="D1052" s="1" t="str">
        <f ca="1">IFERROR(__xludf.DUMMYFUNCTION("""COMPUTED_VALUE"""),"S. Ticatic")</f>
        <v>S. Ticatic</v>
      </c>
      <c r="E1052" s="1" t="str">
        <f ca="1">IFERROR(__xludf.DUMMYFUNCTION("""COMPUTED_VALUE"""),"Salamat, CaMaNaVa! #CaMaNaVaIsPink #LeniKiko2022 #GobyernongTapatAngatBuhayLahat")</f>
        <v>Salamat, CaMaNaVa! #CaMaNaVaIsPink #LeniKiko2022 #GobyernongTapatAngatBuhayLahat</v>
      </c>
      <c r="F1052" s="1">
        <f ca="1">IFERROR(__xludf.DUMMYFUNCTION("""COMPUTED_VALUE"""),9)</f>
        <v>9</v>
      </c>
      <c r="G1052" s="1" t="str">
        <f ca="1">IFERROR(__xludf.DUMMYFUNCTION("""COMPUTED_VALUE"""),"3 mos")</f>
        <v>3 mos</v>
      </c>
      <c r="H1052" s="1" t="str">
        <f ca="1">IFERROR(__xludf.DUMMYFUNCTION("""COMPUTED_VALUE"""),"comment")</f>
        <v>comment</v>
      </c>
      <c r="I1052" s="2" t="str">
        <f ca="1">IFERROR(__xludf.DUMMYFUNCTION("""COMPUTED_VALUE"""),"https://www.facebook.com/rapplerdotcom/photos/a.317154781638645/5596022273751843/")</f>
        <v>https://www.facebook.com/rapplerdotcom/photos/a.317154781638645/5596022273751843/</v>
      </c>
      <c r="J1052" s="1" t="str">
        <f ca="1">IFERROR(__xludf.DUMMYFUNCTION("""COMPUTED_VALUE"""),"2022-07-04T15:39:36.624Z")</f>
        <v>2022-07-04T15:39:36.624Z</v>
      </c>
    </row>
    <row r="1053" spans="1:10" x14ac:dyDescent="0.2">
      <c r="A1053" s="2" t="str">
        <f ca="1">IFERROR(__xludf.DUMMYFUNCTION("""COMPUTED_VALUE"""),"https://www.facebook.com/maryrose.t.zamora")</f>
        <v>https://www.facebook.com/maryrose.t.zamora</v>
      </c>
      <c r="B1053" s="1" t="str">
        <f ca="1">IFERROR(__xludf.DUMMYFUNCTION("""COMPUTED_VALUE"""),"Rose TZ")</f>
        <v>Rose TZ</v>
      </c>
      <c r="C1053" s="1" t="str">
        <f ca="1">IFERROR(__xludf.DUMMYFUNCTION("""COMPUTED_VALUE"""),"Rose")</f>
        <v>Rose</v>
      </c>
      <c r="D1053" s="1" t="str">
        <f ca="1">IFERROR(__xludf.DUMMYFUNCTION("""COMPUTED_VALUE"""),"TZ")</f>
        <v>TZ</v>
      </c>
      <c r="E1053" s="1" t="str">
        <f ca="1">IFERROR(__xludf.DUMMYFUNCTION("""COMPUTED_VALUE"""),"Ang boto ng pamilya ko ay para sa isang #GobyernongTapat #LeniForPresident2022 #CamanavaIsPink")</f>
        <v>Ang boto ng pamilya ko ay para sa isang #GobyernongTapat #LeniForPresident2022 #CamanavaIsPink</v>
      </c>
      <c r="F1053" s="1">
        <f ca="1">IFERROR(__xludf.DUMMYFUNCTION("""COMPUTED_VALUE"""),1)</f>
        <v>1</v>
      </c>
      <c r="G1053" s="1" t="str">
        <f ca="1">IFERROR(__xludf.DUMMYFUNCTION("""COMPUTED_VALUE"""),"3 mos")</f>
        <v>3 mos</v>
      </c>
      <c r="H1053" s="1" t="str">
        <f ca="1">IFERROR(__xludf.DUMMYFUNCTION("""COMPUTED_VALUE"""),"comment")</f>
        <v>comment</v>
      </c>
      <c r="I1053" s="2" t="str">
        <f ca="1">IFERROR(__xludf.DUMMYFUNCTION("""COMPUTED_VALUE"""),"https://www.facebook.com/rapplerdotcom/photos/a.317154781638645/5596022273751843/")</f>
        <v>https://www.facebook.com/rapplerdotcom/photos/a.317154781638645/5596022273751843/</v>
      </c>
      <c r="J1053" s="1" t="str">
        <f ca="1">IFERROR(__xludf.DUMMYFUNCTION("""COMPUTED_VALUE"""),"2022-07-04T15:39:36.624Z")</f>
        <v>2022-07-04T15:39:36.624Z</v>
      </c>
    </row>
    <row r="1054" spans="1:10" x14ac:dyDescent="0.2">
      <c r="A1054" s="2" t="str">
        <f ca="1">IFERROR(__xludf.DUMMYFUNCTION("""COMPUTED_VALUE"""),"https://www.facebook.com/jethro.ramirez.3914")</f>
        <v>https://www.facebook.com/jethro.ramirez.3914</v>
      </c>
      <c r="B1054" s="1" t="str">
        <f ca="1">IFERROR(__xludf.DUMMYFUNCTION("""COMPUTED_VALUE"""),"Jethro Tolentino Ramirez")</f>
        <v>Jethro Tolentino Ramirez</v>
      </c>
      <c r="C1054" s="1" t="str">
        <f ca="1">IFERROR(__xludf.DUMMYFUNCTION("""COMPUTED_VALUE"""),"Jethro")</f>
        <v>Jethro</v>
      </c>
      <c r="D1054" s="1" t="str">
        <f ca="1">IFERROR(__xludf.DUMMYFUNCTION("""COMPUTED_VALUE"""),"Tolentino Ramirez")</f>
        <v>Tolentino Ramirez</v>
      </c>
      <c r="E1054" s="1" t="str">
        <f ca="1">IFERROR(__xludf.DUMMYFUNCTION("""COMPUTED_VALUE"""),"Wow! My president and vice president. God bless you both on your fight.")</f>
        <v>Wow! My president and vice president. God bless you both on your fight.</v>
      </c>
      <c r="F1054" s="1">
        <f ca="1">IFERROR(__xludf.DUMMYFUNCTION("""COMPUTED_VALUE"""),43)</f>
        <v>43</v>
      </c>
      <c r="G1054" s="1" t="str">
        <f ca="1">IFERROR(__xludf.DUMMYFUNCTION("""COMPUTED_VALUE"""),"3 mos")</f>
        <v>3 mos</v>
      </c>
      <c r="H1054" s="1" t="str">
        <f ca="1">IFERROR(__xludf.DUMMYFUNCTION("""COMPUTED_VALUE"""),"comment")</f>
        <v>comment</v>
      </c>
      <c r="I1054" s="2" t="str">
        <f ca="1">IFERROR(__xludf.DUMMYFUNCTION("""COMPUTED_VALUE"""),"https://www.facebook.com/rapplerdotcom/photos/a.317154781638645/5596022273751843/")</f>
        <v>https://www.facebook.com/rapplerdotcom/photos/a.317154781638645/5596022273751843/</v>
      </c>
      <c r="J1054" s="1" t="str">
        <f ca="1">IFERROR(__xludf.DUMMYFUNCTION("""COMPUTED_VALUE"""),"2022-07-04T15:39:36.624Z")</f>
        <v>2022-07-04T15:39:36.624Z</v>
      </c>
    </row>
    <row r="1055" spans="1:10" x14ac:dyDescent="0.2">
      <c r="A1055" s="2" t="str">
        <f ca="1">IFERROR(__xludf.DUMMYFUNCTION("""COMPUTED_VALUE"""),"https://www.facebook.com/ditas.roxas")</f>
        <v>https://www.facebook.com/ditas.roxas</v>
      </c>
      <c r="B1055" s="1" t="str">
        <f ca="1">IFERROR(__xludf.DUMMYFUNCTION("""COMPUTED_VALUE"""),"Ditas Rodis Roxas")</f>
        <v>Ditas Rodis Roxas</v>
      </c>
      <c r="C1055" s="1" t="str">
        <f ca="1">IFERROR(__xludf.DUMMYFUNCTION("""COMPUTED_VALUE"""),"Ditas")</f>
        <v>Ditas</v>
      </c>
      <c r="D1055" s="1" t="str">
        <f ca="1">IFERROR(__xludf.DUMMYFUNCTION("""COMPUTED_VALUE"""),"Rodis Roxas")</f>
        <v>Rodis Roxas</v>
      </c>
      <c r="E1055" s="1" t="str">
        <f ca="1">IFERROR(__xludf.DUMMYFUNCTION("""COMPUTED_VALUE"""),"Beautiful pic. Talagang #LiwanagSaDilim si #LeniRobredoForPresident2022 and #kikopangilinanforvicepresident #lenikiko2022")</f>
        <v>Beautiful pic. Talagang #LiwanagSaDilim si #LeniRobredoForPresident2022 and #kikopangilinanforvicepresident #lenikiko2022</v>
      </c>
      <c r="F1055" s="1">
        <f ca="1">IFERROR(__xludf.DUMMYFUNCTION("""COMPUTED_VALUE"""),8)</f>
        <v>8</v>
      </c>
      <c r="G1055" s="1" t="str">
        <f ca="1">IFERROR(__xludf.DUMMYFUNCTION("""COMPUTED_VALUE"""),"3 mos")</f>
        <v>3 mos</v>
      </c>
      <c r="H1055" s="1" t="str">
        <f ca="1">IFERROR(__xludf.DUMMYFUNCTION("""COMPUTED_VALUE"""),"comment")</f>
        <v>comment</v>
      </c>
      <c r="I1055" s="2" t="str">
        <f ca="1">IFERROR(__xludf.DUMMYFUNCTION("""COMPUTED_VALUE"""),"https://www.facebook.com/rapplerdotcom/photos/a.317154781638645/5596022273751843/")</f>
        <v>https://www.facebook.com/rapplerdotcom/photos/a.317154781638645/5596022273751843/</v>
      </c>
      <c r="J1055" s="1" t="str">
        <f ca="1">IFERROR(__xludf.DUMMYFUNCTION("""COMPUTED_VALUE"""),"2022-07-04T15:39:36.624Z")</f>
        <v>2022-07-04T15:39:36.624Z</v>
      </c>
    </row>
    <row r="1056" spans="1:10" x14ac:dyDescent="0.2">
      <c r="A1056" s="2" t="str">
        <f ca="1">IFERROR(__xludf.DUMMYFUNCTION("""COMPUTED_VALUE"""),"https://www.facebook.com/nino.samuel.14")</f>
        <v>https://www.facebook.com/nino.samuel.14</v>
      </c>
      <c r="B1056" s="1" t="str">
        <f ca="1">IFERROR(__xludf.DUMMYFUNCTION("""COMPUTED_VALUE"""),"Nino Samuel")</f>
        <v>Nino Samuel</v>
      </c>
      <c r="C1056" s="1" t="str">
        <f ca="1">IFERROR(__xludf.DUMMYFUNCTION("""COMPUTED_VALUE"""),"Nino")</f>
        <v>Nino</v>
      </c>
      <c r="D1056" s="1" t="str">
        <f ca="1">IFERROR(__xludf.DUMMYFUNCTION("""COMPUTED_VALUE"""),"Samuel")</f>
        <v>Samuel</v>
      </c>
      <c r="E1056" s="1" t="str">
        <f ca="1">IFERROR(__xludf.DUMMYFUNCTION("""COMPUTED_VALUE"""),"💗""When respect must be earned not to be imposed, you show to us how you earn what respect is by your good example, your openness and extra-mile to be one in spirit with the people you serve. 💗")</f>
        <v>💗"When respect must be earned not to be imposed, you show to us how you earn what respect is by your good example, your openness and extra-mile to be one in spirit with the people you serve. 💗</v>
      </c>
      <c r="F1056" s="1"/>
      <c r="G1056" s="1" t="str">
        <f ca="1">IFERROR(__xludf.DUMMYFUNCTION("""COMPUTED_VALUE"""),"3 mos")</f>
        <v>3 mos</v>
      </c>
      <c r="H1056" s="1" t="str">
        <f ca="1">IFERROR(__xludf.DUMMYFUNCTION("""COMPUTED_VALUE"""),"comment")</f>
        <v>comment</v>
      </c>
      <c r="I1056" s="2" t="str">
        <f ca="1">IFERROR(__xludf.DUMMYFUNCTION("""COMPUTED_VALUE"""),"https://www.facebook.com/rapplerdotcom/photos/a.317154781638645/5596022273751843/")</f>
        <v>https://www.facebook.com/rapplerdotcom/photos/a.317154781638645/5596022273751843/</v>
      </c>
      <c r="J1056" s="1" t="str">
        <f ca="1">IFERROR(__xludf.DUMMYFUNCTION("""COMPUTED_VALUE"""),"2022-07-04T15:39:36.624Z")</f>
        <v>2022-07-04T15:39:36.624Z</v>
      </c>
    </row>
    <row r="1057" spans="1:10" x14ac:dyDescent="0.2">
      <c r="A1057" s="2" t="str">
        <f ca="1">IFERROR(__xludf.DUMMYFUNCTION("""COMPUTED_VALUE"""),"https://www.facebook.com/tess.marcelo.7")</f>
        <v>https://www.facebook.com/tess.marcelo.7</v>
      </c>
      <c r="B1057" s="1" t="str">
        <f ca="1">IFERROR(__xludf.DUMMYFUNCTION("""COMPUTED_VALUE"""),"Tess Marcelo")</f>
        <v>Tess Marcelo</v>
      </c>
      <c r="C1057" s="1" t="str">
        <f ca="1">IFERROR(__xludf.DUMMYFUNCTION("""COMPUTED_VALUE"""),"Tess")</f>
        <v>Tess</v>
      </c>
      <c r="D1057" s="1" t="str">
        <f ca="1">IFERROR(__xludf.DUMMYFUNCTION("""COMPUTED_VALUE"""),"Marcelo")</f>
        <v>Marcelo</v>
      </c>
      <c r="E1057" s="1" t="str">
        <f ca="1">IFERROR(__xludf.DUMMYFUNCTION("""COMPUTED_VALUE"""),"Just believe and pray hard, God will give us what our  hearts ' 💕💕💕desire. Ipapanalo ni Lord ito 🙏🙏🙏🙏")</f>
        <v>Just believe and pray hard, God will give us what our  hearts ' 💕💕💕desire. Ipapanalo ni Lord ito 🙏🙏🙏🙏</v>
      </c>
      <c r="F1057" s="1"/>
      <c r="G1057" s="1" t="str">
        <f ca="1">IFERROR(__xludf.DUMMYFUNCTION("""COMPUTED_VALUE"""),"3 mos")</f>
        <v>3 mos</v>
      </c>
      <c r="H1057" s="1" t="str">
        <f ca="1">IFERROR(__xludf.DUMMYFUNCTION("""COMPUTED_VALUE"""),"comment")</f>
        <v>comment</v>
      </c>
      <c r="I1057" s="2" t="str">
        <f ca="1">IFERROR(__xludf.DUMMYFUNCTION("""COMPUTED_VALUE"""),"https://www.facebook.com/rapplerdotcom/photos/a.317154781638645/5596022273751843/")</f>
        <v>https://www.facebook.com/rapplerdotcom/photos/a.317154781638645/5596022273751843/</v>
      </c>
      <c r="J1057" s="1" t="str">
        <f ca="1">IFERROR(__xludf.DUMMYFUNCTION("""COMPUTED_VALUE"""),"2022-07-04T15:39:36.624Z")</f>
        <v>2022-07-04T15:39:36.624Z</v>
      </c>
    </row>
    <row r="1058" spans="1:10" x14ac:dyDescent="0.2">
      <c r="A1058" s="2" t="str">
        <f ca="1">IFERROR(__xludf.DUMMYFUNCTION("""COMPUTED_VALUE"""),"https://www.facebook.com/monette.meris")</f>
        <v>https://www.facebook.com/monette.meris</v>
      </c>
      <c r="B1058" s="1" t="str">
        <f ca="1">IFERROR(__xludf.DUMMYFUNCTION("""COMPUTED_VALUE"""),"Monette Meris")</f>
        <v>Monette Meris</v>
      </c>
      <c r="C1058" s="1" t="str">
        <f ca="1">IFERROR(__xludf.DUMMYFUNCTION("""COMPUTED_VALUE"""),"Monette")</f>
        <v>Monette</v>
      </c>
      <c r="D1058" s="1" t="str">
        <f ca="1">IFERROR(__xludf.DUMMYFUNCTION("""COMPUTED_VALUE"""),"Meris")</f>
        <v>Meris</v>
      </c>
      <c r="E1058" s="1" t="str">
        <f ca="1">IFERROR(__xludf.DUMMYFUNCTION("""COMPUTED_VALUE"""),"Thank you CAMANAVA for supporting VPLeniKiko &amp; team #LeniKiko2022  #AngatBuhayLahat  #GobyernongTapatAngatBuhayLahat")</f>
        <v>Thank you CAMANAVA for supporting VPLeniKiko &amp; team #LeniKiko2022  #AngatBuhayLahat  #GobyernongTapatAngatBuhayLahat</v>
      </c>
      <c r="F1058" s="1"/>
      <c r="G1058" s="1" t="str">
        <f ca="1">IFERROR(__xludf.DUMMYFUNCTION("""COMPUTED_VALUE"""),"3 mos")</f>
        <v>3 mos</v>
      </c>
      <c r="H1058" s="1" t="str">
        <f ca="1">IFERROR(__xludf.DUMMYFUNCTION("""COMPUTED_VALUE"""),"comment")</f>
        <v>comment</v>
      </c>
      <c r="I1058" s="2" t="str">
        <f ca="1">IFERROR(__xludf.DUMMYFUNCTION("""COMPUTED_VALUE"""),"https://www.facebook.com/rapplerdotcom/photos/a.317154781638645/5596022273751843/")</f>
        <v>https://www.facebook.com/rapplerdotcom/photos/a.317154781638645/5596022273751843/</v>
      </c>
      <c r="J1058" s="1" t="str">
        <f ca="1">IFERROR(__xludf.DUMMYFUNCTION("""COMPUTED_VALUE"""),"2022-07-04T15:39:36.624Z")</f>
        <v>2022-07-04T15:39:36.624Z</v>
      </c>
    </row>
    <row r="1059" spans="1:10" x14ac:dyDescent="0.2">
      <c r="A1059" s="2" t="str">
        <f ca="1">IFERROR(__xludf.DUMMYFUNCTION("""COMPUTED_VALUE"""),"https://www.facebook.com/liz.lim.50115")</f>
        <v>https://www.facebook.com/liz.lim.50115</v>
      </c>
      <c r="B1059" s="1" t="str">
        <f ca="1">IFERROR(__xludf.DUMMYFUNCTION("""COMPUTED_VALUE"""),"Liz Lim")</f>
        <v>Liz Lim</v>
      </c>
      <c r="C1059" s="1" t="str">
        <f ca="1">IFERROR(__xludf.DUMMYFUNCTION("""COMPUTED_VALUE"""),"Liz")</f>
        <v>Liz</v>
      </c>
      <c r="D1059" s="1" t="str">
        <f ca="1">IFERROR(__xludf.DUMMYFUNCTION("""COMPUTED_VALUE"""),"Lim")</f>
        <v>Lim</v>
      </c>
      <c r="E1059" s="1" t="str">
        <f ca="1">IFERROR(__xludf.DUMMYFUNCTION("""COMPUTED_VALUE"""),"#AngatBuhayLahatKayLeniKiko #AngatBuhayLahat #SiKikoAngManokKo #KulayRosasAngBukas https://pinkpedia.org/wiki/Angat_Buhay:_Beneficiary_of_Farmer’s_Direct_Link_to_Market")</f>
        <v>#AngatBuhayLahatKayLeniKiko #AngatBuhayLahat #SiKikoAngManokKo #KulayRosasAngBukas https://pinkpedia.org/wiki/Angat_Buhay:_Beneficiary_of_Farmer’s_Direct_Link_to_Market</v>
      </c>
      <c r="F1059" s="1">
        <f ca="1">IFERROR(__xludf.DUMMYFUNCTION("""COMPUTED_VALUE"""),1)</f>
        <v>1</v>
      </c>
      <c r="G1059" s="1" t="str">
        <f ca="1">IFERROR(__xludf.DUMMYFUNCTION("""COMPUTED_VALUE"""),"3 mos")</f>
        <v>3 mos</v>
      </c>
      <c r="H1059" s="1" t="str">
        <f ca="1">IFERROR(__xludf.DUMMYFUNCTION("""COMPUTED_VALUE"""),"comment")</f>
        <v>comment</v>
      </c>
      <c r="I1059" s="2" t="str">
        <f ca="1">IFERROR(__xludf.DUMMYFUNCTION("""COMPUTED_VALUE"""),"https://www.facebook.com/rapplerdotcom/photos/a.317154781638645/5596022273751843/")</f>
        <v>https://www.facebook.com/rapplerdotcom/photos/a.317154781638645/5596022273751843/</v>
      </c>
      <c r="J1059" s="1" t="str">
        <f ca="1">IFERROR(__xludf.DUMMYFUNCTION("""COMPUTED_VALUE"""),"2022-07-04T15:39:36.624Z")</f>
        <v>2022-07-04T15:39:36.624Z</v>
      </c>
    </row>
    <row r="1060" spans="1:10" x14ac:dyDescent="0.2">
      <c r="A1060" s="2" t="str">
        <f ca="1">IFERROR(__xludf.DUMMYFUNCTION("""COMPUTED_VALUE"""),"https://www.facebook.com/maribel.young")</f>
        <v>https://www.facebook.com/maribel.young</v>
      </c>
      <c r="B1060" s="1" t="str">
        <f ca="1">IFERROR(__xludf.DUMMYFUNCTION("""COMPUTED_VALUE"""),"Maribel M. Young")</f>
        <v>Maribel M. Young</v>
      </c>
      <c r="C1060" s="1" t="str">
        <f ca="1">IFERROR(__xludf.DUMMYFUNCTION("""COMPUTED_VALUE"""),"Maribel")</f>
        <v>Maribel</v>
      </c>
      <c r="D1060" s="1" t="str">
        <f ca="1">IFERROR(__xludf.DUMMYFUNCTION("""COMPUTED_VALUE"""),"M. Young")</f>
        <v>M. Young</v>
      </c>
      <c r="E1060" s="1" t="str">
        <f ca="1">IFERROR(__xludf.DUMMYFUNCTION("""COMPUTED_VALUE"""),"#GobyernongTapat #AngatBuhayLahat!  #10RobredoPresident #7PangilinanVicePresident #LeniKiko2022")</f>
        <v>#GobyernongTapat #AngatBuhayLahat!  #10RobredoPresident #7PangilinanVicePresident #LeniKiko2022</v>
      </c>
      <c r="F1060" s="1"/>
      <c r="G1060" s="1" t="str">
        <f ca="1">IFERROR(__xludf.DUMMYFUNCTION("""COMPUTED_VALUE"""),"3 mos")</f>
        <v>3 mos</v>
      </c>
      <c r="H1060" s="1" t="str">
        <f ca="1">IFERROR(__xludf.DUMMYFUNCTION("""COMPUTED_VALUE"""),"comment")</f>
        <v>comment</v>
      </c>
      <c r="I1060" s="2" t="str">
        <f ca="1">IFERROR(__xludf.DUMMYFUNCTION("""COMPUTED_VALUE"""),"https://www.facebook.com/rapplerdotcom/photos/a.317154781638645/5596022273751843/")</f>
        <v>https://www.facebook.com/rapplerdotcom/photos/a.317154781638645/5596022273751843/</v>
      </c>
      <c r="J1060" s="1" t="str">
        <f ca="1">IFERROR(__xludf.DUMMYFUNCTION("""COMPUTED_VALUE"""),"2022-07-04T15:39:36.625Z")</f>
        <v>2022-07-04T15:39:36.625Z</v>
      </c>
    </row>
    <row r="1061" spans="1:10" x14ac:dyDescent="0.2">
      <c r="A1061" s="2" t="str">
        <f ca="1">IFERROR(__xludf.DUMMYFUNCTION("""COMPUTED_VALUE"""),"https://www.facebook.com/jenniebee.hempisao")</f>
        <v>https://www.facebook.com/jenniebee.hempisao</v>
      </c>
      <c r="B1061" s="1" t="str">
        <f ca="1">IFERROR(__xludf.DUMMYFUNCTION("""COMPUTED_VALUE"""),"Jenniebee Hempisao")</f>
        <v>Jenniebee Hempisao</v>
      </c>
      <c r="C1061" s="1" t="str">
        <f ca="1">IFERROR(__xludf.DUMMYFUNCTION("""COMPUTED_VALUE"""),"Jenniebee")</f>
        <v>Jenniebee</v>
      </c>
      <c r="D1061" s="1" t="str">
        <f ca="1">IFERROR(__xludf.DUMMYFUNCTION("""COMPUTED_VALUE"""),"Hempisao")</f>
        <v>Hempisao</v>
      </c>
      <c r="E1061" s="1" t="str">
        <f ca="1">IFERROR(__xludf.DUMMYFUNCTION("""COMPUTED_VALUE"""),"#thanks mucho caloocan #liwanag sa dilim #lenikiko2022 #tara na ipanalo na natin ito")</f>
        <v>#thanks mucho caloocan #liwanag sa dilim #lenikiko2022 #tara na ipanalo na natin ito</v>
      </c>
      <c r="F1061" s="1"/>
      <c r="G1061" s="1" t="str">
        <f ca="1">IFERROR(__xludf.DUMMYFUNCTION("""COMPUTED_VALUE"""),"3 mos")</f>
        <v>3 mos</v>
      </c>
      <c r="H1061" s="1" t="str">
        <f ca="1">IFERROR(__xludf.DUMMYFUNCTION("""COMPUTED_VALUE"""),"comment")</f>
        <v>comment</v>
      </c>
      <c r="I1061" s="2" t="str">
        <f ca="1">IFERROR(__xludf.DUMMYFUNCTION("""COMPUTED_VALUE"""),"https://www.facebook.com/rapplerdotcom/photos/a.317154781638645/5596022273751843/")</f>
        <v>https://www.facebook.com/rapplerdotcom/photos/a.317154781638645/5596022273751843/</v>
      </c>
      <c r="J1061" s="1" t="str">
        <f ca="1">IFERROR(__xludf.DUMMYFUNCTION("""COMPUTED_VALUE"""),"2022-07-04T15:39:36.625Z")</f>
        <v>2022-07-04T15:39:36.625Z</v>
      </c>
    </row>
    <row r="1062" spans="1:10" x14ac:dyDescent="0.2">
      <c r="A1062" s="2" t="str">
        <f ca="1">IFERROR(__xludf.DUMMYFUNCTION("""COMPUTED_VALUE"""),"https://www.facebook.com/maceciliamf")</f>
        <v>https://www.facebook.com/maceciliamf</v>
      </c>
      <c r="B1062" s="1" t="str">
        <f ca="1">IFERROR(__xludf.DUMMYFUNCTION("""COMPUTED_VALUE"""),"Cecil")</f>
        <v>Cecil</v>
      </c>
      <c r="C1062" s="1" t="str">
        <f ca="1">IFERROR(__xludf.DUMMYFUNCTION("""COMPUTED_VALUE"""),"Cecil")</f>
        <v>Cecil</v>
      </c>
      <c r="D1062" s="1"/>
      <c r="E1062" s="1" t="str">
        <f ca="1">IFERROR(__xludf.DUMMYFUNCTION("""COMPUTED_VALUE"""),"Liwanag sa dilim🌠")</f>
        <v>Liwanag sa dilim🌠</v>
      </c>
      <c r="F1062" s="1">
        <f ca="1">IFERROR(__xludf.DUMMYFUNCTION("""COMPUTED_VALUE"""),2)</f>
        <v>2</v>
      </c>
      <c r="G1062" s="1" t="str">
        <f ca="1">IFERROR(__xludf.DUMMYFUNCTION("""COMPUTED_VALUE"""),"3 mos")</f>
        <v>3 mos</v>
      </c>
      <c r="H1062" s="1" t="str">
        <f ca="1">IFERROR(__xludf.DUMMYFUNCTION("""COMPUTED_VALUE"""),"comment")</f>
        <v>comment</v>
      </c>
      <c r="I1062" s="2" t="str">
        <f ca="1">IFERROR(__xludf.DUMMYFUNCTION("""COMPUTED_VALUE"""),"https://www.facebook.com/rapplerdotcom/photos/a.317154781638645/5596022273751843/")</f>
        <v>https://www.facebook.com/rapplerdotcom/photos/a.317154781638645/5596022273751843/</v>
      </c>
      <c r="J1062" s="1" t="str">
        <f ca="1">IFERROR(__xludf.DUMMYFUNCTION("""COMPUTED_VALUE"""),"2022-07-04T15:39:36.625Z")</f>
        <v>2022-07-04T15:39:36.625Z</v>
      </c>
    </row>
    <row r="1063" spans="1:10" x14ac:dyDescent="0.2">
      <c r="A1063" s="2" t="str">
        <f ca="1">IFERROR(__xludf.DUMMYFUNCTION("""COMPUTED_VALUE"""),"https://www.facebook.com/remy.dtamayo")</f>
        <v>https://www.facebook.com/remy.dtamayo</v>
      </c>
      <c r="B1063" s="1" t="str">
        <f ca="1">IFERROR(__xludf.DUMMYFUNCTION("""COMPUTED_VALUE"""),"Remy Daguia")</f>
        <v>Remy Daguia</v>
      </c>
      <c r="C1063" s="1" t="str">
        <f ca="1">IFERROR(__xludf.DUMMYFUNCTION("""COMPUTED_VALUE"""),"Remy")</f>
        <v>Remy</v>
      </c>
      <c r="D1063" s="1" t="str">
        <f ca="1">IFERROR(__xludf.DUMMYFUNCTION("""COMPUTED_VALUE"""),"Daguia")</f>
        <v>Daguia</v>
      </c>
      <c r="E1063" s="1" t="str">
        <f ca="1">IFERROR(__xludf.DUMMYFUNCTION("""COMPUTED_VALUE"""),"Huwooowww ang ganda🥰 #CaMaNaVaIsPink #CaMaNaVaRockNRosas #CaMaNavaForLeniKiko #HelloPagkainGoodbyeGutom #LeniKikoAllTheWay #TropangAngat #GobyernongTapatAngatBuhayLahat #IpanaloNa10To #7KikoPangilinanVicePresident 😊😘🥰💗💪")</f>
        <v>Huwooowww ang ganda🥰 #CaMaNaVaIsPink #CaMaNaVaRockNRosas #CaMaNavaForLeniKiko #HelloPagkainGoodbyeGutom #LeniKikoAllTheWay #TropangAngat #GobyernongTapatAngatBuhayLahat #IpanaloNa10To #7KikoPangilinanVicePresident 😊😘🥰💗💪</v>
      </c>
      <c r="F1063" s="1">
        <f ca="1">IFERROR(__xludf.DUMMYFUNCTION("""COMPUTED_VALUE"""),3)</f>
        <v>3</v>
      </c>
      <c r="G1063" s="1" t="str">
        <f ca="1">IFERROR(__xludf.DUMMYFUNCTION("""COMPUTED_VALUE"""),"3 mos")</f>
        <v>3 mos</v>
      </c>
      <c r="H1063" s="1" t="str">
        <f ca="1">IFERROR(__xludf.DUMMYFUNCTION("""COMPUTED_VALUE"""),"comment")</f>
        <v>comment</v>
      </c>
      <c r="I1063" s="2" t="str">
        <f ca="1">IFERROR(__xludf.DUMMYFUNCTION("""COMPUTED_VALUE"""),"https://www.facebook.com/rapplerdotcom/photos/a.317154781638645/5596022273751843/")</f>
        <v>https://www.facebook.com/rapplerdotcom/photos/a.317154781638645/5596022273751843/</v>
      </c>
      <c r="J1063" s="1" t="str">
        <f ca="1">IFERROR(__xludf.DUMMYFUNCTION("""COMPUTED_VALUE"""),"2022-07-04T15:39:36.625Z")</f>
        <v>2022-07-04T15:39:36.625Z</v>
      </c>
    </row>
    <row r="1064" spans="1:10" x14ac:dyDescent="0.2">
      <c r="A1064" s="2" t="str">
        <f ca="1">IFERROR(__xludf.DUMMYFUNCTION("""COMPUTED_VALUE"""),"https://www.facebook.com/gilbert.barbacena.7")</f>
        <v>https://www.facebook.com/gilbert.barbacena.7</v>
      </c>
      <c r="B1064" s="1" t="str">
        <f ca="1">IFERROR(__xludf.DUMMYFUNCTION("""COMPUTED_VALUE"""),"Ka Berto")</f>
        <v>Ka Berto</v>
      </c>
      <c r="C1064" s="1" t="str">
        <f ca="1">IFERROR(__xludf.DUMMYFUNCTION("""COMPUTED_VALUE"""),"Ka")</f>
        <v>Ka</v>
      </c>
      <c r="D1064" s="1" t="str">
        <f ca="1">IFERROR(__xludf.DUMMYFUNCTION("""COMPUTED_VALUE"""),"Berto")</f>
        <v>Berto</v>
      </c>
      <c r="E1064" s="1" t="str">
        <f ca="1">IFERROR(__xludf.DUMMYFUNCTION("""COMPUTED_VALUE"""),"We well win for the supports of everyone. Mabuhay Tayo.")</f>
        <v>We well win for the supports of everyone. Mabuhay Tayo.</v>
      </c>
      <c r="F1064" s="1"/>
      <c r="G1064" s="1" t="str">
        <f ca="1">IFERROR(__xludf.DUMMYFUNCTION("""COMPUTED_VALUE"""),"3 mos")</f>
        <v>3 mos</v>
      </c>
      <c r="H1064" s="1" t="str">
        <f ca="1">IFERROR(__xludf.DUMMYFUNCTION("""COMPUTED_VALUE"""),"comment")</f>
        <v>comment</v>
      </c>
      <c r="I1064" s="2" t="str">
        <f ca="1">IFERROR(__xludf.DUMMYFUNCTION("""COMPUTED_VALUE"""),"https://www.facebook.com/rapplerdotcom/photos/a.317154781638645/5596022273751843/")</f>
        <v>https://www.facebook.com/rapplerdotcom/photos/a.317154781638645/5596022273751843/</v>
      </c>
      <c r="J1064" s="1" t="str">
        <f ca="1">IFERROR(__xludf.DUMMYFUNCTION("""COMPUTED_VALUE"""),"2022-07-04T15:39:36.625Z")</f>
        <v>2022-07-04T15:39:36.625Z</v>
      </c>
    </row>
    <row r="1065" spans="1:10" x14ac:dyDescent="0.2">
      <c r="A1065" s="2" t="str">
        <f ca="1">IFERROR(__xludf.DUMMYFUNCTION("""COMPUTED_VALUE"""),"https://www.facebook.com/nonoy.tan.7")</f>
        <v>https://www.facebook.com/nonoy.tan.7</v>
      </c>
      <c r="B1065" s="1" t="str">
        <f ca="1">IFERROR(__xludf.DUMMYFUNCTION("""COMPUTED_VALUE"""),"Nonoy Tan")</f>
        <v>Nonoy Tan</v>
      </c>
      <c r="C1065" s="1" t="str">
        <f ca="1">IFERROR(__xludf.DUMMYFUNCTION("""COMPUTED_VALUE"""),"Nonoy")</f>
        <v>Nonoy</v>
      </c>
      <c r="D1065" s="1" t="str">
        <f ca="1">IFERROR(__xludf.DUMMYFUNCTION("""COMPUTED_VALUE"""),"Tan")</f>
        <v>Tan</v>
      </c>
      <c r="E1065" s="1" t="str">
        <f ca="1">IFERROR(__xludf.DUMMYFUNCTION("""COMPUTED_VALUE"""),"Ganda! Must have been very dramatic!!!")</f>
        <v>Ganda! Must have been very dramatic!!!</v>
      </c>
      <c r="F1065" s="1">
        <f ca="1">IFERROR(__xludf.DUMMYFUNCTION("""COMPUTED_VALUE"""),1)</f>
        <v>1</v>
      </c>
      <c r="G1065" s="1" t="str">
        <f ca="1">IFERROR(__xludf.DUMMYFUNCTION("""COMPUTED_VALUE"""),"3 mos")</f>
        <v>3 mos</v>
      </c>
      <c r="H1065" s="1" t="str">
        <f ca="1">IFERROR(__xludf.DUMMYFUNCTION("""COMPUTED_VALUE"""),"comment")</f>
        <v>comment</v>
      </c>
      <c r="I1065" s="2" t="str">
        <f ca="1">IFERROR(__xludf.DUMMYFUNCTION("""COMPUTED_VALUE"""),"https://www.facebook.com/rapplerdotcom/photos/a.317154781638645/5596022273751843/")</f>
        <v>https://www.facebook.com/rapplerdotcom/photos/a.317154781638645/5596022273751843/</v>
      </c>
      <c r="J1065" s="1" t="str">
        <f ca="1">IFERROR(__xludf.DUMMYFUNCTION("""COMPUTED_VALUE"""),"2022-07-04T15:39:36.625Z")</f>
        <v>2022-07-04T15:39:36.625Z</v>
      </c>
    </row>
    <row r="1066" spans="1:10" x14ac:dyDescent="0.2">
      <c r="A1066" s="2" t="str">
        <f ca="1">IFERROR(__xludf.DUMMYFUNCTION("""COMPUTED_VALUE"""),"https://www.facebook.com/analyn.bravo")</f>
        <v>https://www.facebook.com/analyn.bravo</v>
      </c>
      <c r="B1066" s="1" t="str">
        <f ca="1">IFERROR(__xludf.DUMMYFUNCTION("""COMPUTED_VALUE"""),"Analyn Bravo")</f>
        <v>Analyn Bravo</v>
      </c>
      <c r="C1066" s="1" t="str">
        <f ca="1">IFERROR(__xludf.DUMMYFUNCTION("""COMPUTED_VALUE"""),"Analyn")</f>
        <v>Analyn</v>
      </c>
      <c r="D1066" s="1" t="str">
        <f ca="1">IFERROR(__xludf.DUMMYFUNCTION("""COMPUTED_VALUE"""),"Bravo")</f>
        <v>Bravo</v>
      </c>
      <c r="E1066" s="1" t="str">
        <f ca="1">IFERROR(__xludf.DUMMYFUNCTION("""COMPUTED_VALUE"""),"Mabuhay CaMaNaVa!  #CaMaNavaForLeniKiko #CaMaNaVaIsPink")</f>
        <v>Mabuhay CaMaNaVa!  #CaMaNavaForLeniKiko #CaMaNaVaIsPink</v>
      </c>
      <c r="F1066" s="1"/>
      <c r="G1066" s="1" t="str">
        <f ca="1">IFERROR(__xludf.DUMMYFUNCTION("""COMPUTED_VALUE"""),"3 mos")</f>
        <v>3 mos</v>
      </c>
      <c r="H1066" s="1" t="str">
        <f ca="1">IFERROR(__xludf.DUMMYFUNCTION("""COMPUTED_VALUE"""),"comment")</f>
        <v>comment</v>
      </c>
      <c r="I1066" s="2" t="str">
        <f ca="1">IFERROR(__xludf.DUMMYFUNCTION("""COMPUTED_VALUE"""),"https://www.facebook.com/rapplerdotcom/photos/a.317154781638645/5596022273751843/")</f>
        <v>https://www.facebook.com/rapplerdotcom/photos/a.317154781638645/5596022273751843/</v>
      </c>
      <c r="J1066" s="1" t="str">
        <f ca="1">IFERROR(__xludf.DUMMYFUNCTION("""COMPUTED_VALUE"""),"2022-07-04T15:39:36.625Z")</f>
        <v>2022-07-04T15:39:36.625Z</v>
      </c>
    </row>
    <row r="1067" spans="1:10" x14ac:dyDescent="0.2">
      <c r="A1067" s="2" t="str">
        <f ca="1">IFERROR(__xludf.DUMMYFUNCTION("""COMPUTED_VALUE"""),"https://www.facebook.com/leilani.mallorca.543")</f>
        <v>https://www.facebook.com/leilani.mallorca.543</v>
      </c>
      <c r="B1067" s="1" t="str">
        <f ca="1">IFERROR(__xludf.DUMMYFUNCTION("""COMPUTED_VALUE"""),"Leilani Mallorca")</f>
        <v>Leilani Mallorca</v>
      </c>
      <c r="C1067" s="1" t="str">
        <f ca="1">IFERROR(__xludf.DUMMYFUNCTION("""COMPUTED_VALUE"""),"Leilani")</f>
        <v>Leilani</v>
      </c>
      <c r="D1067" s="1" t="str">
        <f ca="1">IFERROR(__xludf.DUMMYFUNCTION("""COMPUTED_VALUE"""),"Mallorca")</f>
        <v>Mallorca</v>
      </c>
      <c r="E1067" s="1" t="str">
        <f ca="1">IFERROR(__xludf.DUMMYFUNCTION("""COMPUTED_VALUE"""),"Earthlovers din ang mga Pinkies!!!! Kami dto buong araw brown out so bawi sa gb hehe")</f>
        <v>Earthlovers din ang mga Pinkies!!!! Kami dto buong araw brown out so bawi sa gb hehe</v>
      </c>
      <c r="F1067" s="1">
        <f ca="1">IFERROR(__xludf.DUMMYFUNCTION("""COMPUTED_VALUE"""),4)</f>
        <v>4</v>
      </c>
      <c r="G1067" s="1" t="str">
        <f ca="1">IFERROR(__xludf.DUMMYFUNCTION("""COMPUTED_VALUE"""),"3 mos")</f>
        <v>3 mos</v>
      </c>
      <c r="H1067" s="1" t="str">
        <f ca="1">IFERROR(__xludf.DUMMYFUNCTION("""COMPUTED_VALUE"""),"comment")</f>
        <v>comment</v>
      </c>
      <c r="I1067" s="2" t="str">
        <f ca="1">IFERROR(__xludf.DUMMYFUNCTION("""COMPUTED_VALUE"""),"https://www.facebook.com/rapplerdotcom/photos/a.317154781638645/5596022273751843/")</f>
        <v>https://www.facebook.com/rapplerdotcom/photos/a.317154781638645/5596022273751843/</v>
      </c>
      <c r="J1067" s="1" t="str">
        <f ca="1">IFERROR(__xludf.DUMMYFUNCTION("""COMPUTED_VALUE"""),"2022-07-04T15:39:36.625Z")</f>
        <v>2022-07-04T15:39:36.625Z</v>
      </c>
    </row>
    <row r="1068" spans="1:10" x14ac:dyDescent="0.2">
      <c r="A1068" s="2" t="str">
        <f ca="1">IFERROR(__xludf.DUMMYFUNCTION("""COMPUTED_VALUE"""),"https://www.facebook.com/guenkisses")</f>
        <v>https://www.facebook.com/guenkisses</v>
      </c>
      <c r="B1068" s="1" t="str">
        <f ca="1">IFERROR(__xludf.DUMMYFUNCTION("""COMPUTED_VALUE"""),"Enelram Opmac")</f>
        <v>Enelram Opmac</v>
      </c>
      <c r="C1068" s="1" t="str">
        <f ca="1">IFERROR(__xludf.DUMMYFUNCTION("""COMPUTED_VALUE"""),"Enelram")</f>
        <v>Enelram</v>
      </c>
      <c r="D1068" s="1" t="str">
        <f ca="1">IFERROR(__xludf.DUMMYFUNCTION("""COMPUTED_VALUE"""),"Opmac")</f>
        <v>Opmac</v>
      </c>
      <c r="E1068" s="1" t="str">
        <f ca="1">IFERROR(__xludf.DUMMYFUNCTION("""COMPUTED_VALUE"""),"Goodluck✌️❤️🇵🇭")</f>
        <v>Goodluck✌️❤️🇵🇭</v>
      </c>
      <c r="F1068" s="1">
        <f ca="1">IFERROR(__xludf.DUMMYFUNCTION("""COMPUTED_VALUE"""),2)</f>
        <v>2</v>
      </c>
      <c r="G1068" s="1" t="str">
        <f ca="1">IFERROR(__xludf.DUMMYFUNCTION("""COMPUTED_VALUE"""),"3 mos")</f>
        <v>3 mos</v>
      </c>
      <c r="H1068" s="1" t="str">
        <f ca="1">IFERROR(__xludf.DUMMYFUNCTION("""COMPUTED_VALUE"""),"comment")</f>
        <v>comment</v>
      </c>
      <c r="I1068" s="2" t="str">
        <f ca="1">IFERROR(__xludf.DUMMYFUNCTION("""COMPUTED_VALUE"""),"https://www.facebook.com/rapplerdotcom/photos/a.317154781638645/5596022273751843/")</f>
        <v>https://www.facebook.com/rapplerdotcom/photos/a.317154781638645/5596022273751843/</v>
      </c>
      <c r="J1068" s="1" t="str">
        <f ca="1">IFERROR(__xludf.DUMMYFUNCTION("""COMPUTED_VALUE"""),"2022-07-04T15:39:36.625Z")</f>
        <v>2022-07-04T15:39:36.625Z</v>
      </c>
    </row>
    <row r="1069" spans="1:10" x14ac:dyDescent="0.2">
      <c r="A1069" s="2" t="str">
        <f ca="1">IFERROR(__xludf.DUMMYFUNCTION("""COMPUTED_VALUE"""),"https://www.facebook.com/gem.lazaro")</f>
        <v>https://www.facebook.com/gem.lazaro</v>
      </c>
      <c r="B1069" s="1" t="str">
        <f ca="1">IFERROR(__xludf.DUMMYFUNCTION("""COMPUTED_VALUE"""),"Gem Lazaro")</f>
        <v>Gem Lazaro</v>
      </c>
      <c r="C1069" s="1" t="str">
        <f ca="1">IFERROR(__xludf.DUMMYFUNCTION("""COMPUTED_VALUE"""),"Gem")</f>
        <v>Gem</v>
      </c>
      <c r="D1069" s="1" t="str">
        <f ca="1">IFERROR(__xludf.DUMMYFUNCTION("""COMPUTED_VALUE"""),"Lazaro")</f>
        <v>Lazaro</v>
      </c>
      <c r="E1069" s="1" t="str">
        <f ca="1">IFERROR(__xludf.DUMMYFUNCTION("""COMPUTED_VALUE"""),"Ganda💖💖💖")</f>
        <v>Ganda💖💖💖</v>
      </c>
      <c r="F1069" s="1">
        <f ca="1">IFERROR(__xludf.DUMMYFUNCTION("""COMPUTED_VALUE"""),1)</f>
        <v>1</v>
      </c>
      <c r="G1069" s="1" t="str">
        <f ca="1">IFERROR(__xludf.DUMMYFUNCTION("""COMPUTED_VALUE"""),"3 mos")</f>
        <v>3 mos</v>
      </c>
      <c r="H1069" s="1" t="str">
        <f ca="1">IFERROR(__xludf.DUMMYFUNCTION("""COMPUTED_VALUE"""),"comment")</f>
        <v>comment</v>
      </c>
      <c r="I1069" s="2" t="str">
        <f ca="1">IFERROR(__xludf.DUMMYFUNCTION("""COMPUTED_VALUE"""),"https://www.facebook.com/rapplerdotcom/photos/a.317154781638645/5596022273751843/")</f>
        <v>https://www.facebook.com/rapplerdotcom/photos/a.317154781638645/5596022273751843/</v>
      </c>
      <c r="J1069" s="1" t="str">
        <f ca="1">IFERROR(__xludf.DUMMYFUNCTION("""COMPUTED_VALUE"""),"2022-07-04T15:39:36.625Z")</f>
        <v>2022-07-04T15:39:36.625Z</v>
      </c>
    </row>
    <row r="1070" spans="1:10" x14ac:dyDescent="0.2">
      <c r="A1070" s="2" t="str">
        <f ca="1">IFERROR(__xludf.DUMMYFUNCTION("""COMPUTED_VALUE"""),"https://www.facebook.com/asset.serrano")</f>
        <v>https://www.facebook.com/asset.serrano</v>
      </c>
      <c r="B1070" s="1" t="str">
        <f ca="1">IFERROR(__xludf.DUMMYFUNCTION("""COMPUTED_VALUE"""),"Asset Serrano")</f>
        <v>Asset Serrano</v>
      </c>
      <c r="C1070" s="1" t="str">
        <f ca="1">IFERROR(__xludf.DUMMYFUNCTION("""COMPUTED_VALUE"""),"Asset")</f>
        <v>Asset</v>
      </c>
      <c r="D1070" s="1" t="str">
        <f ca="1">IFERROR(__xludf.DUMMYFUNCTION("""COMPUTED_VALUE"""),"Serrano")</f>
        <v>Serrano</v>
      </c>
      <c r="E1070" s="1" t="str">
        <f ca="1">IFERROR(__xludf.DUMMYFUNCTION("""COMPUTED_VALUE"""),"BABAWI KAMI mam! Ipapanalo ka na namin sa CAMANAVA!")</f>
        <v>BABAWI KAMI mam! Ipapanalo ka na namin sa CAMANAVA!</v>
      </c>
      <c r="F1070" s="1">
        <f ca="1">IFERROR(__xludf.DUMMYFUNCTION("""COMPUTED_VALUE"""),1)</f>
        <v>1</v>
      </c>
      <c r="G1070" s="1" t="str">
        <f ca="1">IFERROR(__xludf.DUMMYFUNCTION("""COMPUTED_VALUE"""),"3 mos")</f>
        <v>3 mos</v>
      </c>
      <c r="H1070" s="1" t="str">
        <f ca="1">IFERROR(__xludf.DUMMYFUNCTION("""COMPUTED_VALUE"""),"comment")</f>
        <v>comment</v>
      </c>
      <c r="I1070" s="2" t="str">
        <f ca="1">IFERROR(__xludf.DUMMYFUNCTION("""COMPUTED_VALUE"""),"https://www.facebook.com/rapplerdotcom/photos/a.317154781638645/5596022273751843/")</f>
        <v>https://www.facebook.com/rapplerdotcom/photos/a.317154781638645/5596022273751843/</v>
      </c>
      <c r="J1070" s="1" t="str">
        <f ca="1">IFERROR(__xludf.DUMMYFUNCTION("""COMPUTED_VALUE"""),"2022-07-04T15:39:36.625Z")</f>
        <v>2022-07-04T15:39:36.625Z</v>
      </c>
    </row>
    <row r="1071" spans="1:10" x14ac:dyDescent="0.2">
      <c r="A1071" s="2" t="str">
        <f ca="1">IFERROR(__xludf.DUMMYFUNCTION("""COMPUTED_VALUE"""),"https://www.facebook.com/cherylmae.cy.73")</f>
        <v>https://www.facebook.com/cherylmae.cy.73</v>
      </c>
      <c r="B1071" s="1" t="str">
        <f ca="1">IFERROR(__xludf.DUMMYFUNCTION("""COMPUTED_VALUE"""),"Cheryl Mae Suguihan")</f>
        <v>Cheryl Mae Suguihan</v>
      </c>
      <c r="C1071" s="1" t="str">
        <f ca="1">IFERROR(__xludf.DUMMYFUNCTION("""COMPUTED_VALUE"""),"Cheryl")</f>
        <v>Cheryl</v>
      </c>
      <c r="D1071" s="1" t="str">
        <f ca="1">IFERROR(__xludf.DUMMYFUNCTION("""COMPUTED_VALUE"""),"Mae Suguihan")</f>
        <v>Mae Suguihan</v>
      </c>
      <c r="E1071" s="1" t="str">
        <f ca="1">IFERROR(__xludf.DUMMYFUNCTION("""COMPUTED_VALUE"""),"Mga oppa 😂😂😂")</f>
        <v>Mga oppa 😂😂😂</v>
      </c>
      <c r="F1071" s="1">
        <f ca="1">IFERROR(__xludf.DUMMYFUNCTION("""COMPUTED_VALUE"""),1)</f>
        <v>1</v>
      </c>
      <c r="G1071" s="1" t="str">
        <f ca="1">IFERROR(__xludf.DUMMYFUNCTION("""COMPUTED_VALUE"""),"3 mos")</f>
        <v>3 mos</v>
      </c>
      <c r="H1071" s="1" t="str">
        <f ca="1">IFERROR(__xludf.DUMMYFUNCTION("""COMPUTED_VALUE"""),"comment")</f>
        <v>comment</v>
      </c>
      <c r="I1071" s="2" t="str">
        <f ca="1">IFERROR(__xludf.DUMMYFUNCTION("""COMPUTED_VALUE"""),"https://www.facebook.com/rapplerdotcom/photos/a.317154781638645/5596022273751843/")</f>
        <v>https://www.facebook.com/rapplerdotcom/photos/a.317154781638645/5596022273751843/</v>
      </c>
      <c r="J1071" s="1" t="str">
        <f ca="1">IFERROR(__xludf.DUMMYFUNCTION("""COMPUTED_VALUE"""),"2022-07-04T15:39:36.625Z")</f>
        <v>2022-07-04T15:39:36.625Z</v>
      </c>
    </row>
    <row r="1072" spans="1:10" x14ac:dyDescent="0.2">
      <c r="A1072" s="2" t="str">
        <f ca="1">IFERROR(__xludf.DUMMYFUNCTION("""COMPUTED_VALUE"""),"https://www.facebook.com/regina.r.bastida")</f>
        <v>https://www.facebook.com/regina.r.bastida</v>
      </c>
      <c r="B1072" s="1" t="str">
        <f ca="1">IFERROR(__xludf.DUMMYFUNCTION("""COMPUTED_VALUE"""),"Regina Bastida Montargo")</f>
        <v>Regina Bastida Montargo</v>
      </c>
      <c r="C1072" s="1" t="str">
        <f ca="1">IFERROR(__xludf.DUMMYFUNCTION("""COMPUTED_VALUE"""),"Regina")</f>
        <v>Regina</v>
      </c>
      <c r="D1072" s="1" t="str">
        <f ca="1">IFERROR(__xludf.DUMMYFUNCTION("""COMPUTED_VALUE"""),"Bastida Montargo")</f>
        <v>Bastida Montargo</v>
      </c>
      <c r="E1072" s="1" t="str">
        <f ca="1">IFERROR(__xludf.DUMMYFUNCTION("""COMPUTED_VALUE"""),"God bless po LENIKIKO💗💗💗🙏")</f>
        <v>God bless po LENIKIKO💗💗💗🙏</v>
      </c>
      <c r="F1072" s="1"/>
      <c r="G1072" s="1" t="str">
        <f ca="1">IFERROR(__xludf.DUMMYFUNCTION("""COMPUTED_VALUE"""),"3 mos")</f>
        <v>3 mos</v>
      </c>
      <c r="H1072" s="1" t="str">
        <f ca="1">IFERROR(__xludf.DUMMYFUNCTION("""COMPUTED_VALUE"""),"comment")</f>
        <v>comment</v>
      </c>
      <c r="I1072" s="2" t="str">
        <f ca="1">IFERROR(__xludf.DUMMYFUNCTION("""COMPUTED_VALUE"""),"https://www.facebook.com/rapplerdotcom/photos/a.317154781638645/5596022273751843/")</f>
        <v>https://www.facebook.com/rapplerdotcom/photos/a.317154781638645/5596022273751843/</v>
      </c>
      <c r="J1072" s="1" t="str">
        <f ca="1">IFERROR(__xludf.DUMMYFUNCTION("""COMPUTED_VALUE"""),"2022-07-04T15:39:36.625Z")</f>
        <v>2022-07-04T15:39:36.625Z</v>
      </c>
    </row>
    <row r="1073" spans="1:10" x14ac:dyDescent="0.2">
      <c r="A1073" s="2" t="str">
        <f ca="1">IFERROR(__xludf.DUMMYFUNCTION("""COMPUTED_VALUE"""),"https://www.facebook.com/ruby.galura")</f>
        <v>https://www.facebook.com/ruby.galura</v>
      </c>
      <c r="B1073" s="1" t="str">
        <f ca="1">IFERROR(__xludf.DUMMYFUNCTION("""COMPUTED_VALUE"""),"Ruby Lung")</f>
        <v>Ruby Lung</v>
      </c>
      <c r="C1073" s="1" t="str">
        <f ca="1">IFERROR(__xludf.DUMMYFUNCTION("""COMPUTED_VALUE"""),"Ruby")</f>
        <v>Ruby</v>
      </c>
      <c r="D1073" s="1" t="str">
        <f ca="1">IFERROR(__xludf.DUMMYFUNCTION("""COMPUTED_VALUE"""),"Lung")</f>
        <v>Lung</v>
      </c>
      <c r="E1073" s="1" t="str">
        <f ca="1">IFERROR(__xludf.DUMMYFUNCTION("""COMPUTED_VALUE"""),"#KulayRosasAngBukas #at kumukutitap❤❤❤")</f>
        <v>#KulayRosasAngBukas #at kumukutitap❤❤❤</v>
      </c>
      <c r="F1073" s="1">
        <f ca="1">IFERROR(__xludf.DUMMYFUNCTION("""COMPUTED_VALUE"""),1)</f>
        <v>1</v>
      </c>
      <c r="G1073" s="1" t="str">
        <f ca="1">IFERROR(__xludf.DUMMYFUNCTION("""COMPUTED_VALUE"""),"3 mos")</f>
        <v>3 mos</v>
      </c>
      <c r="H1073" s="1" t="str">
        <f ca="1">IFERROR(__xludf.DUMMYFUNCTION("""COMPUTED_VALUE"""),"comment")</f>
        <v>comment</v>
      </c>
      <c r="I1073" s="2" t="str">
        <f ca="1">IFERROR(__xludf.DUMMYFUNCTION("""COMPUTED_VALUE"""),"https://www.facebook.com/rapplerdotcom/photos/a.317154781638645/5596022273751843/")</f>
        <v>https://www.facebook.com/rapplerdotcom/photos/a.317154781638645/5596022273751843/</v>
      </c>
      <c r="J1073" s="1" t="str">
        <f ca="1">IFERROR(__xludf.DUMMYFUNCTION("""COMPUTED_VALUE"""),"2022-07-04T15:39:36.625Z")</f>
        <v>2022-07-04T15:39:36.625Z</v>
      </c>
    </row>
    <row r="1074" spans="1:10" x14ac:dyDescent="0.2">
      <c r="A1074" s="2" t="str">
        <f ca="1">IFERROR(__xludf.DUMMYFUNCTION("""COMPUTED_VALUE"""),"https://www.facebook.com/restituto.mangalindan")</f>
        <v>https://www.facebook.com/restituto.mangalindan</v>
      </c>
      <c r="B1074" s="1" t="str">
        <f ca="1">IFERROR(__xludf.DUMMYFUNCTION("""COMPUTED_VALUE"""),"Magaling Na Daan")</f>
        <v>Magaling Na Daan</v>
      </c>
      <c r="C1074" s="1" t="str">
        <f ca="1">IFERROR(__xludf.DUMMYFUNCTION("""COMPUTED_VALUE"""),"Magaling")</f>
        <v>Magaling</v>
      </c>
      <c r="D1074" s="1" t="str">
        <f ca="1">IFERROR(__xludf.DUMMYFUNCTION("""COMPUTED_VALUE"""),"Na Daan")</f>
        <v>Na Daan</v>
      </c>
      <c r="E1074" s="1" t="str">
        <f ca="1">IFERROR(__xludf.DUMMYFUNCTION("""COMPUTED_VALUE"""),"Liwanag sa Dilim💕")</f>
        <v>Liwanag sa Dilim💕</v>
      </c>
      <c r="F1074" s="1"/>
      <c r="G1074" s="1" t="str">
        <f ca="1">IFERROR(__xludf.DUMMYFUNCTION("""COMPUTED_VALUE"""),"3 mos")</f>
        <v>3 mos</v>
      </c>
      <c r="H1074" s="1" t="str">
        <f ca="1">IFERROR(__xludf.DUMMYFUNCTION("""COMPUTED_VALUE"""),"comment")</f>
        <v>comment</v>
      </c>
      <c r="I1074" s="2" t="str">
        <f ca="1">IFERROR(__xludf.DUMMYFUNCTION("""COMPUTED_VALUE"""),"https://www.facebook.com/rapplerdotcom/photos/a.317154781638645/5596022273751843/")</f>
        <v>https://www.facebook.com/rapplerdotcom/photos/a.317154781638645/5596022273751843/</v>
      </c>
      <c r="J1074" s="1" t="str">
        <f ca="1">IFERROR(__xludf.DUMMYFUNCTION("""COMPUTED_VALUE"""),"2022-07-04T15:39:36.625Z")</f>
        <v>2022-07-04T15:39:36.625Z</v>
      </c>
    </row>
    <row r="1075" spans="1:10" x14ac:dyDescent="0.2">
      <c r="A1075" s="2" t="str">
        <f ca="1">IFERROR(__xludf.DUMMYFUNCTION("""COMPUTED_VALUE"""),"https://www.facebook.com/kap.riegodedios")</f>
        <v>https://www.facebook.com/kap.riegodedios</v>
      </c>
      <c r="B1075" s="1" t="str">
        <f ca="1">IFERROR(__xludf.DUMMYFUNCTION("""COMPUTED_VALUE"""),"Kap Riego de Dios")</f>
        <v>Kap Riego de Dios</v>
      </c>
      <c r="C1075" s="1" t="str">
        <f ca="1">IFERROR(__xludf.DUMMYFUNCTION("""COMPUTED_VALUE"""),"Kap")</f>
        <v>Kap</v>
      </c>
      <c r="D1075" s="1" t="str">
        <f ca="1">IFERROR(__xludf.DUMMYFUNCTION("""COMPUTED_VALUE"""),"Riego de Dios")</f>
        <v>Riego de Dios</v>
      </c>
      <c r="E1075" s="1" t="str">
        <f ca="1">IFERROR(__xludf.DUMMYFUNCTION("""COMPUTED_VALUE"""),"Maraming salamat po")</f>
        <v>Maraming salamat po</v>
      </c>
      <c r="F1075" s="1"/>
      <c r="G1075" s="1" t="str">
        <f ca="1">IFERROR(__xludf.DUMMYFUNCTION("""COMPUTED_VALUE"""),"3 mos")</f>
        <v>3 mos</v>
      </c>
      <c r="H1075" s="1" t="str">
        <f ca="1">IFERROR(__xludf.DUMMYFUNCTION("""COMPUTED_VALUE"""),"comment")</f>
        <v>comment</v>
      </c>
      <c r="I1075" s="2" t="str">
        <f ca="1">IFERROR(__xludf.DUMMYFUNCTION("""COMPUTED_VALUE"""),"https://www.facebook.com/rapplerdotcom/photos/a.317154781638645/5596022273751843/")</f>
        <v>https://www.facebook.com/rapplerdotcom/photos/a.317154781638645/5596022273751843/</v>
      </c>
      <c r="J1075" s="1" t="str">
        <f ca="1">IFERROR(__xludf.DUMMYFUNCTION("""COMPUTED_VALUE"""),"2022-07-04T15:39:36.625Z")</f>
        <v>2022-07-04T15:39:36.625Z</v>
      </c>
    </row>
    <row r="1076" spans="1:10" x14ac:dyDescent="0.2">
      <c r="A1076" s="2" t="str">
        <f ca="1">IFERROR(__xludf.DUMMYFUNCTION("""COMPUTED_VALUE"""),"https://www.facebook.com/uycheskaanne")</f>
        <v>https://www.facebook.com/uycheskaanne</v>
      </c>
      <c r="B1076" s="1" t="str">
        <f ca="1">IFERROR(__xludf.DUMMYFUNCTION("""COMPUTED_VALUE"""),"Cheska Uy")</f>
        <v>Cheska Uy</v>
      </c>
      <c r="C1076" s="1" t="str">
        <f ca="1">IFERROR(__xludf.DUMMYFUNCTION("""COMPUTED_VALUE"""),"Cheska")</f>
        <v>Cheska</v>
      </c>
      <c r="D1076" s="1" t="str">
        <f ca="1">IFERROR(__xludf.DUMMYFUNCTION("""COMPUTED_VALUE"""),"Uy")</f>
        <v>Uy</v>
      </c>
      <c r="E1076" s="1" t="str">
        <f ca="1">IFERROR(__xludf.DUMMYFUNCTION("""COMPUTED_VALUE"""),"Liwanag sa dilim ✨")</f>
        <v>Liwanag sa dilim ✨</v>
      </c>
      <c r="F1076" s="1"/>
      <c r="G1076" s="1" t="str">
        <f ca="1">IFERROR(__xludf.DUMMYFUNCTION("""COMPUTED_VALUE"""),"3 mos")</f>
        <v>3 mos</v>
      </c>
      <c r="H1076" s="1" t="str">
        <f ca="1">IFERROR(__xludf.DUMMYFUNCTION("""COMPUTED_VALUE"""),"comment")</f>
        <v>comment</v>
      </c>
      <c r="I1076" s="2" t="str">
        <f ca="1">IFERROR(__xludf.DUMMYFUNCTION("""COMPUTED_VALUE"""),"https://www.facebook.com/rapplerdotcom/photos/a.317154781638645/5596022273751843/")</f>
        <v>https://www.facebook.com/rapplerdotcom/photos/a.317154781638645/5596022273751843/</v>
      </c>
      <c r="J1076" s="1" t="str">
        <f ca="1">IFERROR(__xludf.DUMMYFUNCTION("""COMPUTED_VALUE"""),"2022-07-04T15:39:36.625Z")</f>
        <v>2022-07-04T15:39:36.625Z</v>
      </c>
    </row>
    <row r="1077" spans="1:10" x14ac:dyDescent="0.2">
      <c r="A1077" s="2" t="str">
        <f ca="1">IFERROR(__xludf.DUMMYFUNCTION("""COMPUTED_VALUE"""),"https://www.facebook.com/mynameis.leagirl")</f>
        <v>https://www.facebook.com/mynameis.leagirl</v>
      </c>
      <c r="B1077" s="1" t="str">
        <f ca="1">IFERROR(__xludf.DUMMYFUNCTION("""COMPUTED_VALUE"""),"Lea Lrn")</f>
        <v>Lea Lrn</v>
      </c>
      <c r="C1077" s="1" t="str">
        <f ca="1">IFERROR(__xludf.DUMMYFUNCTION("""COMPUTED_VALUE"""),"Lea")</f>
        <v>Lea</v>
      </c>
      <c r="D1077" s="1" t="str">
        <f ca="1">IFERROR(__xludf.DUMMYFUNCTION("""COMPUTED_VALUE"""),"Lrn")</f>
        <v>Lrn</v>
      </c>
      <c r="E1077" s="1" t="str">
        <f ca="1">IFERROR(__xludf.DUMMYFUNCTION("""COMPUTED_VALUE"""),"Liwanag Sa Dilim! 💗")</f>
        <v>Liwanag Sa Dilim! 💗</v>
      </c>
      <c r="F1077" s="1">
        <f ca="1">IFERROR(__xludf.DUMMYFUNCTION("""COMPUTED_VALUE"""),1)</f>
        <v>1</v>
      </c>
      <c r="G1077" s="1" t="str">
        <f ca="1">IFERROR(__xludf.DUMMYFUNCTION("""COMPUTED_VALUE"""),"3 mos")</f>
        <v>3 mos</v>
      </c>
      <c r="H1077" s="1" t="str">
        <f ca="1">IFERROR(__xludf.DUMMYFUNCTION("""COMPUTED_VALUE"""),"comment")</f>
        <v>comment</v>
      </c>
      <c r="I1077" s="2" t="str">
        <f ca="1">IFERROR(__xludf.DUMMYFUNCTION("""COMPUTED_VALUE"""),"https://www.facebook.com/rapplerdotcom/photos/a.317154781638645/5596022273751843/")</f>
        <v>https://www.facebook.com/rapplerdotcom/photos/a.317154781638645/5596022273751843/</v>
      </c>
      <c r="J1077" s="1" t="str">
        <f ca="1">IFERROR(__xludf.DUMMYFUNCTION("""COMPUTED_VALUE"""),"2022-07-04T15:39:36.625Z")</f>
        <v>2022-07-04T15:39:36.625Z</v>
      </c>
    </row>
    <row r="1078" spans="1:10" x14ac:dyDescent="0.2">
      <c r="A1078" s="2" t="str">
        <f ca="1">IFERROR(__xludf.DUMMYFUNCTION("""COMPUTED_VALUE"""),"https://www.facebook.com/joseph.aniversario.9")</f>
        <v>https://www.facebook.com/joseph.aniversario.9</v>
      </c>
      <c r="B1078" s="1" t="str">
        <f ca="1">IFERROR(__xludf.DUMMYFUNCTION("""COMPUTED_VALUE"""),"Joseph Aniversario")</f>
        <v>Joseph Aniversario</v>
      </c>
      <c r="C1078" s="1" t="str">
        <f ca="1">IFERROR(__xludf.DUMMYFUNCTION("""COMPUTED_VALUE"""),"Joseph")</f>
        <v>Joseph</v>
      </c>
      <c r="D1078" s="1" t="str">
        <f ca="1">IFERROR(__xludf.DUMMYFUNCTION("""COMPUTED_VALUE"""),"Aniversario")</f>
        <v>Aniversario</v>
      </c>
      <c r="E1078" s="1" t="str">
        <f ca="1">IFERROR(__xludf.DUMMYFUNCTION("""COMPUTED_VALUE"""),"Kulay pink")</f>
        <v>Kulay pink</v>
      </c>
      <c r="F1078" s="1"/>
      <c r="G1078" s="1" t="str">
        <f ca="1">IFERROR(__xludf.DUMMYFUNCTION("""COMPUTED_VALUE"""),"3 mos")</f>
        <v>3 mos</v>
      </c>
      <c r="H1078" s="1" t="str">
        <f ca="1">IFERROR(__xludf.DUMMYFUNCTION("""COMPUTED_VALUE"""),"comment")</f>
        <v>comment</v>
      </c>
      <c r="I1078" s="2" t="str">
        <f ca="1">IFERROR(__xludf.DUMMYFUNCTION("""COMPUTED_VALUE"""),"https://www.facebook.com/rapplerdotcom/photos/a.317154781638645/5596022273751843/")</f>
        <v>https://www.facebook.com/rapplerdotcom/photos/a.317154781638645/5596022273751843/</v>
      </c>
      <c r="J1078" s="1" t="str">
        <f ca="1">IFERROR(__xludf.DUMMYFUNCTION("""COMPUTED_VALUE"""),"2022-07-04T15:39:36.625Z")</f>
        <v>2022-07-04T15:39:36.625Z</v>
      </c>
    </row>
    <row r="1079" spans="1:10" x14ac:dyDescent="0.2">
      <c r="A1079" s="2" t="str">
        <f ca="1">IFERROR(__xludf.DUMMYFUNCTION("""COMPUTED_VALUE"""),"https://www.facebook.com/gorife.selas")</f>
        <v>https://www.facebook.com/gorife.selas</v>
      </c>
      <c r="B1079" s="1" t="str">
        <f ca="1">IFERROR(__xludf.DUMMYFUNCTION("""COMPUTED_VALUE"""),"Gorife Selas")</f>
        <v>Gorife Selas</v>
      </c>
      <c r="C1079" s="1" t="str">
        <f ca="1">IFERROR(__xludf.DUMMYFUNCTION("""COMPUTED_VALUE"""),"Gorife")</f>
        <v>Gorife</v>
      </c>
      <c r="D1079" s="1" t="str">
        <f ca="1">IFERROR(__xludf.DUMMYFUNCTION("""COMPUTED_VALUE"""),"Selas")</f>
        <v>Selas</v>
      </c>
      <c r="E1079" s="1" t="str">
        <f ca="1">IFERROR(__xludf.DUMMYFUNCTION("""COMPUTED_VALUE"""),"Ang ganda tingnan!!!! Laban 💪💪💪💗")</f>
        <v>Ang ganda tingnan!!!! Laban 💪💪💪💗</v>
      </c>
      <c r="F1079" s="1"/>
      <c r="G1079" s="1" t="str">
        <f ca="1">IFERROR(__xludf.DUMMYFUNCTION("""COMPUTED_VALUE"""),"3 mos")</f>
        <v>3 mos</v>
      </c>
      <c r="H1079" s="1" t="str">
        <f ca="1">IFERROR(__xludf.DUMMYFUNCTION("""COMPUTED_VALUE"""),"comment")</f>
        <v>comment</v>
      </c>
      <c r="I1079" s="2" t="str">
        <f ca="1">IFERROR(__xludf.DUMMYFUNCTION("""COMPUTED_VALUE"""),"https://www.facebook.com/rapplerdotcom/photos/a.317154781638645/5596022273751843/")</f>
        <v>https://www.facebook.com/rapplerdotcom/photos/a.317154781638645/5596022273751843/</v>
      </c>
      <c r="J1079" s="1" t="str">
        <f ca="1">IFERROR(__xludf.DUMMYFUNCTION("""COMPUTED_VALUE"""),"2022-07-04T15:39:36.625Z")</f>
        <v>2022-07-04T15:39:36.625Z</v>
      </c>
    </row>
    <row r="1080" spans="1:10" x14ac:dyDescent="0.2">
      <c r="A1080" s="2" t="str">
        <f ca="1">IFERROR(__xludf.DUMMYFUNCTION("""COMPUTED_VALUE"""),"https://www.facebook.com/joviegee")</f>
        <v>https://www.facebook.com/joviegee</v>
      </c>
      <c r="B1080" s="1" t="str">
        <f ca="1">IFERROR(__xludf.DUMMYFUNCTION("""COMPUTED_VALUE"""),"Jovie Gratuito")</f>
        <v>Jovie Gratuito</v>
      </c>
      <c r="C1080" s="1" t="str">
        <f ca="1">IFERROR(__xludf.DUMMYFUNCTION("""COMPUTED_VALUE"""),"Jovie")</f>
        <v>Jovie</v>
      </c>
      <c r="D1080" s="1" t="str">
        <f ca="1">IFERROR(__xludf.DUMMYFUNCTION("""COMPUTED_VALUE"""),"Gratuito")</f>
        <v>Gratuito</v>
      </c>
      <c r="E1080" s="1" t="str">
        <f ca="1">IFERROR(__xludf.DUMMYFUNCTION("""COMPUTED_VALUE"""),"#LeniKiko  Mahal tayo at mahal ang mundo! 💡🌍🌷")</f>
        <v>#LeniKiko  Mahal tayo at mahal ang mundo! 💡🌍🌷</v>
      </c>
      <c r="F1080" s="1">
        <f ca="1">IFERROR(__xludf.DUMMYFUNCTION("""COMPUTED_VALUE"""),8)</f>
        <v>8</v>
      </c>
      <c r="G1080" s="1" t="str">
        <f ca="1">IFERROR(__xludf.DUMMYFUNCTION("""COMPUTED_VALUE"""),"3 mos")</f>
        <v>3 mos</v>
      </c>
      <c r="H1080" s="1" t="str">
        <f ca="1">IFERROR(__xludf.DUMMYFUNCTION("""COMPUTED_VALUE"""),"comment")</f>
        <v>comment</v>
      </c>
      <c r="I1080" s="2" t="str">
        <f ca="1">IFERROR(__xludf.DUMMYFUNCTION("""COMPUTED_VALUE"""),"https://www.facebook.com/rapplerdotcom/photos/a.317154781638645/5596022273751843/")</f>
        <v>https://www.facebook.com/rapplerdotcom/photos/a.317154781638645/5596022273751843/</v>
      </c>
      <c r="J1080" s="1" t="str">
        <f ca="1">IFERROR(__xludf.DUMMYFUNCTION("""COMPUTED_VALUE"""),"2022-07-04T15:39:36.625Z")</f>
        <v>2022-07-04T15:39:36.625Z</v>
      </c>
    </row>
    <row r="1081" spans="1:10" x14ac:dyDescent="0.2">
      <c r="A1081" s="2" t="str">
        <f ca="1">IFERROR(__xludf.DUMMYFUNCTION("""COMPUTED_VALUE"""),"https://www.facebook.com/everayo")</f>
        <v>https://www.facebook.com/everayo</v>
      </c>
      <c r="B1081" s="1" t="str">
        <f ca="1">IFERROR(__xludf.DUMMYFUNCTION("""COMPUTED_VALUE"""),"Emily Verayo")</f>
        <v>Emily Verayo</v>
      </c>
      <c r="C1081" s="1" t="str">
        <f ca="1">IFERROR(__xludf.DUMMYFUNCTION("""COMPUTED_VALUE"""),"Emily")</f>
        <v>Emily</v>
      </c>
      <c r="D1081" s="1" t="str">
        <f ca="1">IFERROR(__xludf.DUMMYFUNCTION("""COMPUTED_VALUE"""),"Verayo")</f>
        <v>Verayo</v>
      </c>
      <c r="E1081" s="1" t="str">
        <f ca="1">IFERROR(__xludf.DUMMYFUNCTION("""COMPUTED_VALUE"""),"Alitaptap sa dilim😊🌸")</f>
        <v>Alitaptap sa dilim😊🌸</v>
      </c>
      <c r="F1081" s="1">
        <f ca="1">IFERROR(__xludf.DUMMYFUNCTION("""COMPUTED_VALUE"""),1)</f>
        <v>1</v>
      </c>
      <c r="G1081" s="1" t="str">
        <f ca="1">IFERROR(__xludf.DUMMYFUNCTION("""COMPUTED_VALUE"""),"3 mos")</f>
        <v>3 mos</v>
      </c>
      <c r="H1081" s="1" t="str">
        <f ca="1">IFERROR(__xludf.DUMMYFUNCTION("""COMPUTED_VALUE"""),"comment")</f>
        <v>comment</v>
      </c>
      <c r="I1081" s="2" t="str">
        <f ca="1">IFERROR(__xludf.DUMMYFUNCTION("""COMPUTED_VALUE"""),"https://www.facebook.com/rapplerdotcom/photos/a.317154781638645/5596022273751843/")</f>
        <v>https://www.facebook.com/rapplerdotcom/photos/a.317154781638645/5596022273751843/</v>
      </c>
      <c r="J1081" s="1" t="str">
        <f ca="1">IFERROR(__xludf.DUMMYFUNCTION("""COMPUTED_VALUE"""),"2022-07-04T15:39:36.625Z")</f>
        <v>2022-07-04T15:39:36.625Z</v>
      </c>
    </row>
    <row r="1082" spans="1:10" x14ac:dyDescent="0.2">
      <c r="A1082" s="2" t="str">
        <f ca="1">IFERROR(__xludf.DUMMYFUNCTION("""COMPUTED_VALUE"""),"https://www.facebook.com/yonehl.inasor")</f>
        <v>https://www.facebook.com/yonehl.inasor</v>
      </c>
      <c r="B1082" s="1" t="str">
        <f ca="1">IFERROR(__xludf.DUMMYFUNCTION("""COMPUTED_VALUE"""),"Inasor Acosta")</f>
        <v>Inasor Acosta</v>
      </c>
      <c r="C1082" s="1" t="str">
        <f ca="1">IFERROR(__xludf.DUMMYFUNCTION("""COMPUTED_VALUE"""),"Inasor")</f>
        <v>Inasor</v>
      </c>
      <c r="D1082" s="1" t="str">
        <f ca="1">IFERROR(__xludf.DUMMYFUNCTION("""COMPUTED_VALUE"""),"Acosta")</f>
        <v>Acosta</v>
      </c>
      <c r="E1082" s="1" t="str">
        <f ca="1">IFERROR(__xludf.DUMMYFUNCTION("""COMPUTED_VALUE"""),"Salamat camanava...")</f>
        <v>Salamat camanava...</v>
      </c>
      <c r="F1082" s="1"/>
      <c r="G1082" s="1" t="str">
        <f ca="1">IFERROR(__xludf.DUMMYFUNCTION("""COMPUTED_VALUE"""),"3 mos")</f>
        <v>3 mos</v>
      </c>
      <c r="H1082" s="1" t="str">
        <f ca="1">IFERROR(__xludf.DUMMYFUNCTION("""COMPUTED_VALUE"""),"comment")</f>
        <v>comment</v>
      </c>
      <c r="I1082" s="2" t="str">
        <f ca="1">IFERROR(__xludf.DUMMYFUNCTION("""COMPUTED_VALUE"""),"https://www.facebook.com/rapplerdotcom/photos/a.317154781638645/5596022273751843/")</f>
        <v>https://www.facebook.com/rapplerdotcom/photos/a.317154781638645/5596022273751843/</v>
      </c>
      <c r="J1082" s="1" t="str">
        <f ca="1">IFERROR(__xludf.DUMMYFUNCTION("""COMPUTED_VALUE"""),"2022-07-04T15:39:36.625Z")</f>
        <v>2022-07-04T15:39:36.625Z</v>
      </c>
    </row>
    <row r="1083" spans="1:10" x14ac:dyDescent="0.2">
      <c r="A1083" s="2" t="str">
        <f ca="1">IFERROR(__xludf.DUMMYFUNCTION("""COMPUTED_VALUE"""),"https://www.facebook.com/egaythessa.resurreccion")</f>
        <v>https://www.facebook.com/egaythessa.resurreccion</v>
      </c>
      <c r="B1083" s="1" t="str">
        <f ca="1">IFERROR(__xludf.DUMMYFUNCTION("""COMPUTED_VALUE"""),"EgayThessa Resurreccion")</f>
        <v>EgayThessa Resurreccion</v>
      </c>
      <c r="C1083" s="1" t="str">
        <f ca="1">IFERROR(__xludf.DUMMYFUNCTION("""COMPUTED_VALUE"""),"EgayThessa")</f>
        <v>EgayThessa</v>
      </c>
      <c r="D1083" s="1" t="str">
        <f ca="1">IFERROR(__xludf.DUMMYFUNCTION("""COMPUTED_VALUE"""),"Resurreccion")</f>
        <v>Resurreccion</v>
      </c>
      <c r="E1083" s="1" t="str">
        <f ca="1">IFERROR(__xludf.DUMMYFUNCTION("""COMPUTED_VALUE"""),"Ang ganda. Yan ang liwanag sa dilim  🌸🤗🎆💗 #KulayRosasAngBukas #LeniKiko2022 #GobyernongTapatAngatBuhayLahat")</f>
        <v>Ang ganda. Yan ang liwanag sa dilim  🌸🤗🎆💗 #KulayRosasAngBukas #LeniKiko2022 #GobyernongTapatAngatBuhayLahat</v>
      </c>
      <c r="F1083" s="1">
        <f ca="1">IFERROR(__xludf.DUMMYFUNCTION("""COMPUTED_VALUE"""),5)</f>
        <v>5</v>
      </c>
      <c r="G1083" s="1" t="str">
        <f ca="1">IFERROR(__xludf.DUMMYFUNCTION("""COMPUTED_VALUE"""),"3 mos")</f>
        <v>3 mos</v>
      </c>
      <c r="H1083" s="1" t="str">
        <f ca="1">IFERROR(__xludf.DUMMYFUNCTION("""COMPUTED_VALUE"""),"comment")</f>
        <v>comment</v>
      </c>
      <c r="I1083" s="2" t="str">
        <f ca="1">IFERROR(__xludf.DUMMYFUNCTION("""COMPUTED_VALUE"""),"https://www.facebook.com/rapplerdotcom/photos/a.317154781638645/5596022273751843/")</f>
        <v>https://www.facebook.com/rapplerdotcom/photos/a.317154781638645/5596022273751843/</v>
      </c>
      <c r="J1083" s="1" t="str">
        <f ca="1">IFERROR(__xludf.DUMMYFUNCTION("""COMPUTED_VALUE"""),"2022-07-04T15:39:36.625Z")</f>
        <v>2022-07-04T15:39:36.625Z</v>
      </c>
    </row>
    <row r="1084" spans="1:10" x14ac:dyDescent="0.2">
      <c r="A1084" s="2" t="str">
        <f ca="1">IFERROR(__xludf.DUMMYFUNCTION("""COMPUTED_VALUE"""),"https://www.facebook.com/joyjoy.montenegro.71")</f>
        <v>https://www.facebook.com/joyjoy.montenegro.71</v>
      </c>
      <c r="B1084" s="1" t="str">
        <f ca="1">IFERROR(__xludf.DUMMYFUNCTION("""COMPUTED_VALUE"""),"Yaj Montenegro")</f>
        <v>Yaj Montenegro</v>
      </c>
      <c r="C1084" s="1" t="str">
        <f ca="1">IFERROR(__xludf.DUMMYFUNCTION("""COMPUTED_VALUE"""),"Yaj")</f>
        <v>Yaj</v>
      </c>
      <c r="D1084" s="1" t="str">
        <f ca="1">IFERROR(__xludf.DUMMYFUNCTION("""COMPUTED_VALUE"""),"Montenegro")</f>
        <v>Montenegro</v>
      </c>
      <c r="E1084" s="1" t="str">
        <f ca="1">IFERROR(__xludf.DUMMYFUNCTION("""COMPUTED_VALUE"""),"may malasakit💕🌷❤️")</f>
        <v>may malasakit💕🌷❤️</v>
      </c>
      <c r="F1084" s="1"/>
      <c r="G1084" s="1" t="str">
        <f ca="1">IFERROR(__xludf.DUMMYFUNCTION("""COMPUTED_VALUE"""),"3 mos")</f>
        <v>3 mos</v>
      </c>
      <c r="H1084" s="1" t="str">
        <f ca="1">IFERROR(__xludf.DUMMYFUNCTION("""COMPUTED_VALUE"""),"comment")</f>
        <v>comment</v>
      </c>
      <c r="I1084" s="2" t="str">
        <f ca="1">IFERROR(__xludf.DUMMYFUNCTION("""COMPUTED_VALUE"""),"https://www.facebook.com/rapplerdotcom/photos/a.317154781638645/5596022273751843/")</f>
        <v>https://www.facebook.com/rapplerdotcom/photos/a.317154781638645/5596022273751843/</v>
      </c>
      <c r="J1084" s="1" t="str">
        <f ca="1">IFERROR(__xludf.DUMMYFUNCTION("""COMPUTED_VALUE"""),"2022-07-04T15:39:36.625Z")</f>
        <v>2022-07-04T15:39:36.625Z</v>
      </c>
    </row>
    <row r="1085" spans="1:10" x14ac:dyDescent="0.2">
      <c r="A1085" s="2" t="str">
        <f ca="1">IFERROR(__xludf.DUMMYFUNCTION("""COMPUTED_VALUE"""),"https://www.facebook.com/moana.minerva.39")</f>
        <v>https://www.facebook.com/moana.minerva.39</v>
      </c>
      <c r="B1085" s="1" t="str">
        <f ca="1">IFERROR(__xludf.DUMMYFUNCTION("""COMPUTED_VALUE"""),"Ma Rî Car")</f>
        <v>Ma Rî Car</v>
      </c>
      <c r="C1085" s="1" t="str">
        <f ca="1">IFERROR(__xludf.DUMMYFUNCTION("""COMPUTED_VALUE"""),"Ma")</f>
        <v>Ma</v>
      </c>
      <c r="D1085" s="1" t="str">
        <f ca="1">IFERROR(__xludf.DUMMYFUNCTION("""COMPUTED_VALUE"""),"Rî Car")</f>
        <v>Rî Car</v>
      </c>
      <c r="E1085" s="1" t="str">
        <f ca="1">IFERROR(__xludf.DUMMYFUNCTION("""COMPUTED_VALUE"""),"Nice! I was actually wondering kung makikiisa sila sa Earth hour.  Ang sarap maging #kakampink!")</f>
        <v>Nice! I was actually wondering kung makikiisa sila sa Earth hour.  Ang sarap maging #kakampink!</v>
      </c>
      <c r="F1085" s="1">
        <f ca="1">IFERROR(__xludf.DUMMYFUNCTION("""COMPUTED_VALUE"""),2)</f>
        <v>2</v>
      </c>
      <c r="G1085" s="1" t="str">
        <f ca="1">IFERROR(__xludf.DUMMYFUNCTION("""COMPUTED_VALUE"""),"3 mos")</f>
        <v>3 mos</v>
      </c>
      <c r="H1085" s="1" t="str">
        <f ca="1">IFERROR(__xludf.DUMMYFUNCTION("""COMPUTED_VALUE"""),"comment")</f>
        <v>comment</v>
      </c>
      <c r="I1085" s="2" t="str">
        <f ca="1">IFERROR(__xludf.DUMMYFUNCTION("""COMPUTED_VALUE"""),"https://www.facebook.com/rapplerdotcom/photos/a.317154781638645/5596022273751843/")</f>
        <v>https://www.facebook.com/rapplerdotcom/photos/a.317154781638645/5596022273751843/</v>
      </c>
      <c r="J1085" s="1" t="str">
        <f ca="1">IFERROR(__xludf.DUMMYFUNCTION("""COMPUTED_VALUE"""),"2022-07-04T15:39:36.625Z")</f>
        <v>2022-07-04T15:39:36.625Z</v>
      </c>
    </row>
    <row r="1086" spans="1:10" x14ac:dyDescent="0.2">
      <c r="A1086" s="2" t="str">
        <f ca="1">IFERROR(__xludf.DUMMYFUNCTION("""COMPUTED_VALUE"""),"https://www.facebook.com/aye.rentoy.73")</f>
        <v>https://www.facebook.com/aye.rentoy.73</v>
      </c>
      <c r="B1086" s="1" t="str">
        <f ca="1">IFERROR(__xludf.DUMMYFUNCTION("""COMPUTED_VALUE"""),"Aye Rentoy")</f>
        <v>Aye Rentoy</v>
      </c>
      <c r="C1086" s="1" t="str">
        <f ca="1">IFERROR(__xludf.DUMMYFUNCTION("""COMPUTED_VALUE"""),"Aye")</f>
        <v>Aye</v>
      </c>
      <c r="D1086" s="1" t="str">
        <f ca="1">IFERROR(__xludf.DUMMYFUNCTION("""COMPUTED_VALUE"""),"Rentoy")</f>
        <v>Rentoy</v>
      </c>
      <c r="E1086" s="1" t="str">
        <f ca="1">IFERROR(__xludf.DUMMYFUNCTION("""COMPUTED_VALUE"""),"Galing nyu CAMANAVA.")</f>
        <v>Galing nyu CAMANAVA.</v>
      </c>
      <c r="F1086" s="1"/>
      <c r="G1086" s="1" t="str">
        <f ca="1">IFERROR(__xludf.DUMMYFUNCTION("""COMPUTED_VALUE"""),"3 mos")</f>
        <v>3 mos</v>
      </c>
      <c r="H1086" s="1" t="str">
        <f ca="1">IFERROR(__xludf.DUMMYFUNCTION("""COMPUTED_VALUE"""),"comment")</f>
        <v>comment</v>
      </c>
      <c r="I1086" s="2" t="str">
        <f ca="1">IFERROR(__xludf.DUMMYFUNCTION("""COMPUTED_VALUE"""),"https://www.facebook.com/rapplerdotcom/photos/a.317154781638645/5596022273751843/")</f>
        <v>https://www.facebook.com/rapplerdotcom/photos/a.317154781638645/5596022273751843/</v>
      </c>
      <c r="J1086" s="1" t="str">
        <f ca="1">IFERROR(__xludf.DUMMYFUNCTION("""COMPUTED_VALUE"""),"2022-07-04T15:39:36.625Z")</f>
        <v>2022-07-04T15:39:36.625Z</v>
      </c>
    </row>
    <row r="1087" spans="1:10" x14ac:dyDescent="0.2">
      <c r="A1087" s="2" t="str">
        <f ca="1">IFERROR(__xludf.DUMMYFUNCTION("""COMPUTED_VALUE"""),"https://www.facebook.com/haidi.lim")</f>
        <v>https://www.facebook.com/haidi.lim</v>
      </c>
      <c r="B1087" s="1" t="str">
        <f ca="1">IFERROR(__xludf.DUMMYFUNCTION("""COMPUTED_VALUE"""),"Haidi Lim")</f>
        <v>Haidi Lim</v>
      </c>
      <c r="C1087" s="1" t="str">
        <f ca="1">IFERROR(__xludf.DUMMYFUNCTION("""COMPUTED_VALUE"""),"Haidi")</f>
        <v>Haidi</v>
      </c>
      <c r="D1087" s="1" t="str">
        <f ca="1">IFERROR(__xludf.DUMMYFUNCTION("""COMPUTED_VALUE"""),"Lim")</f>
        <v>Lim</v>
      </c>
      <c r="E1087" s="1" t="str">
        <f ca="1">IFERROR(__xludf.DUMMYFUNCTION("""COMPUTED_VALUE"""),"Ang Ganda  Sa rosas tayo tiyak gaganda ang bukas")</f>
        <v>Ang Ganda  Sa rosas tayo tiyak gaganda ang bukas</v>
      </c>
      <c r="F1087" s="1"/>
      <c r="G1087" s="1" t="str">
        <f ca="1">IFERROR(__xludf.DUMMYFUNCTION("""COMPUTED_VALUE"""),"3 mos")</f>
        <v>3 mos</v>
      </c>
      <c r="H1087" s="1" t="str">
        <f ca="1">IFERROR(__xludf.DUMMYFUNCTION("""COMPUTED_VALUE"""),"comment")</f>
        <v>comment</v>
      </c>
      <c r="I1087" s="2" t="str">
        <f ca="1">IFERROR(__xludf.DUMMYFUNCTION("""COMPUTED_VALUE"""),"https://www.facebook.com/rapplerdotcom/photos/a.317154781638645/5596022273751843/")</f>
        <v>https://www.facebook.com/rapplerdotcom/photos/a.317154781638645/5596022273751843/</v>
      </c>
      <c r="J1087" s="1" t="str">
        <f ca="1">IFERROR(__xludf.DUMMYFUNCTION("""COMPUTED_VALUE"""),"2022-07-04T15:39:36.625Z")</f>
        <v>2022-07-04T15:39:36.625Z</v>
      </c>
    </row>
    <row r="1088" spans="1:10" x14ac:dyDescent="0.2">
      <c r="A1088" s="2" t="str">
        <f ca="1">IFERROR(__xludf.DUMMYFUNCTION("""COMPUTED_VALUE"""),"https://www.facebook.com/annruth.bolisaygochingco")</f>
        <v>https://www.facebook.com/annruth.bolisaygochingco</v>
      </c>
      <c r="B1088" s="1" t="str">
        <f ca="1">IFERROR(__xludf.DUMMYFUNCTION("""COMPUTED_VALUE"""),"Ann Ruth Bolisay-Gochingco")</f>
        <v>Ann Ruth Bolisay-Gochingco</v>
      </c>
      <c r="C1088" s="1" t="str">
        <f ca="1">IFERROR(__xludf.DUMMYFUNCTION("""COMPUTED_VALUE"""),"Ann")</f>
        <v>Ann</v>
      </c>
      <c r="D1088" s="1" t="str">
        <f ca="1">IFERROR(__xludf.DUMMYFUNCTION("""COMPUTED_VALUE"""),"Ruth Bolisay-Gochingco")</f>
        <v>Ruth Bolisay-Gochingco</v>
      </c>
      <c r="E1088" s="1" t="str">
        <f ca="1">IFERROR(__xludf.DUMMYFUNCTION("""COMPUTED_VALUE"""),"Ang ganda!!! Wow!!! 💖💖💖")</f>
        <v>Ang ganda!!! Wow!!! 💖💖💖</v>
      </c>
      <c r="F1088" s="1"/>
      <c r="G1088" s="1" t="str">
        <f ca="1">IFERROR(__xludf.DUMMYFUNCTION("""COMPUTED_VALUE"""),"3 mos")</f>
        <v>3 mos</v>
      </c>
      <c r="H1088" s="1" t="str">
        <f ca="1">IFERROR(__xludf.DUMMYFUNCTION("""COMPUTED_VALUE"""),"comment")</f>
        <v>comment</v>
      </c>
      <c r="I1088" s="2" t="str">
        <f ca="1">IFERROR(__xludf.DUMMYFUNCTION("""COMPUTED_VALUE"""),"https://www.facebook.com/rapplerdotcom/photos/a.317154781638645/5596022273751843/")</f>
        <v>https://www.facebook.com/rapplerdotcom/photos/a.317154781638645/5596022273751843/</v>
      </c>
      <c r="J1088" s="1" t="str">
        <f ca="1">IFERROR(__xludf.DUMMYFUNCTION("""COMPUTED_VALUE"""),"2022-07-04T15:39:36.625Z")</f>
        <v>2022-07-04T15:39:36.625Z</v>
      </c>
    </row>
    <row r="1089" spans="1:10" x14ac:dyDescent="0.2">
      <c r="A1089" s="2" t="str">
        <f ca="1">IFERROR(__xludf.DUMMYFUNCTION("""COMPUTED_VALUE"""),"https://www.facebook.com/johnmark.maclang")</f>
        <v>https://www.facebook.com/johnmark.maclang</v>
      </c>
      <c r="B1089" s="1" t="str">
        <f ca="1">IFERROR(__xludf.DUMMYFUNCTION("""COMPUTED_VALUE"""),"John Mark Maclang")</f>
        <v>John Mark Maclang</v>
      </c>
      <c r="C1089" s="1" t="str">
        <f ca="1">IFERROR(__xludf.DUMMYFUNCTION("""COMPUTED_VALUE"""),"John")</f>
        <v>John</v>
      </c>
      <c r="D1089" s="1" t="str">
        <f ca="1">IFERROR(__xludf.DUMMYFUNCTION("""COMPUTED_VALUE"""),"Mark Maclang")</f>
        <v>Mark Maclang</v>
      </c>
      <c r="E1089" s="1" t="str">
        <f ca="1">IFERROR(__xludf.DUMMYFUNCTION("""COMPUTED_VALUE"""),"Malinis, matino, at mahusay 🌸🌸🌸  Trabaho, kalusugan, at edukasyon 🌸🌸🌸  Sa gobyernong tapat, angat buhay lahat 🇵🇭🇵🇭🇵🇭  www.lenirobredo.com  #KulayRosasAngBukas  #AngatBuhayLahat  #LetLeniLead  #LeniKiko2022")</f>
        <v>Malinis, matino, at mahusay 🌸🌸🌸  Trabaho, kalusugan, at edukasyon 🌸🌸🌸  Sa gobyernong tapat, angat buhay lahat 🇵🇭🇵🇭🇵🇭  www.lenirobredo.com  #KulayRosasAngBukas  #AngatBuhayLahat  #LetLeniLead  #LeniKiko2022</v>
      </c>
      <c r="F1089" s="1">
        <f ca="1">IFERROR(__xludf.DUMMYFUNCTION("""COMPUTED_VALUE"""),7)</f>
        <v>7</v>
      </c>
      <c r="G1089" s="1" t="str">
        <f ca="1">IFERROR(__xludf.DUMMYFUNCTION("""COMPUTED_VALUE"""),"3 mos")</f>
        <v>3 mos</v>
      </c>
      <c r="H1089" s="1" t="str">
        <f ca="1">IFERROR(__xludf.DUMMYFUNCTION("""COMPUTED_VALUE"""),"comment")</f>
        <v>comment</v>
      </c>
      <c r="I1089" s="2" t="str">
        <f ca="1">IFERROR(__xludf.DUMMYFUNCTION("""COMPUTED_VALUE"""),"https://www.facebook.com/rapplerdotcom/photos/a.317154781638645/5596022273751843/")</f>
        <v>https://www.facebook.com/rapplerdotcom/photos/a.317154781638645/5596022273751843/</v>
      </c>
      <c r="J1089" s="1" t="str">
        <f ca="1">IFERROR(__xludf.DUMMYFUNCTION("""COMPUTED_VALUE"""),"2022-07-04T15:39:36.625Z")</f>
        <v>2022-07-04T15:39:36.625Z</v>
      </c>
    </row>
    <row r="1090" spans="1:10" x14ac:dyDescent="0.2">
      <c r="A1090" s="2" t="str">
        <f ca="1">IFERROR(__xludf.DUMMYFUNCTION("""COMPUTED_VALUE"""),"https://www.facebook.com/dynah.ferrer.1")</f>
        <v>https://www.facebook.com/dynah.ferrer.1</v>
      </c>
      <c r="B1090" s="1" t="str">
        <f ca="1">IFERROR(__xludf.DUMMYFUNCTION("""COMPUTED_VALUE"""),"Dynah Ann Valles Ferrer")</f>
        <v>Dynah Ann Valles Ferrer</v>
      </c>
      <c r="C1090" s="1" t="str">
        <f ca="1">IFERROR(__xludf.DUMMYFUNCTION("""COMPUTED_VALUE"""),"Dynah")</f>
        <v>Dynah</v>
      </c>
      <c r="D1090" s="1" t="str">
        <f ca="1">IFERROR(__xludf.DUMMYFUNCTION("""COMPUTED_VALUE"""),"Ann Valles Ferrer")</f>
        <v>Ann Valles Ferrer</v>
      </c>
      <c r="E1090" s="1" t="str">
        <f ca="1">IFERROR(__xludf.DUMMYFUNCTION("""COMPUTED_VALUE"""),"May pag-asa dahil sa liwanag na taglay ng #LeniKikoTeam2022🌸🌸🌸")</f>
        <v>May pag-asa dahil sa liwanag na taglay ng #LeniKikoTeam2022🌸🌸🌸</v>
      </c>
      <c r="F1090" s="1">
        <f ca="1">IFERROR(__xludf.DUMMYFUNCTION("""COMPUTED_VALUE"""),1)</f>
        <v>1</v>
      </c>
      <c r="G1090" s="1" t="str">
        <f ca="1">IFERROR(__xludf.DUMMYFUNCTION("""COMPUTED_VALUE"""),"3 mos")</f>
        <v>3 mos</v>
      </c>
      <c r="H1090" s="1" t="str">
        <f ca="1">IFERROR(__xludf.DUMMYFUNCTION("""COMPUTED_VALUE"""),"comment")</f>
        <v>comment</v>
      </c>
      <c r="I1090" s="2" t="str">
        <f ca="1">IFERROR(__xludf.DUMMYFUNCTION("""COMPUTED_VALUE"""),"https://www.facebook.com/rapplerdotcom/photos/a.317154781638645/5596022273751843/")</f>
        <v>https://www.facebook.com/rapplerdotcom/photos/a.317154781638645/5596022273751843/</v>
      </c>
      <c r="J1090" s="1" t="str">
        <f ca="1">IFERROR(__xludf.DUMMYFUNCTION("""COMPUTED_VALUE"""),"2022-07-04T15:39:36.625Z")</f>
        <v>2022-07-04T15:39:36.625Z</v>
      </c>
    </row>
    <row r="1091" spans="1:10" x14ac:dyDescent="0.2">
      <c r="A1091" s="2" t="str">
        <f ca="1">IFERROR(__xludf.DUMMYFUNCTION("""COMPUTED_VALUE"""),"https://www.facebook.com/ofelia.guimbaolibot")</f>
        <v>https://www.facebook.com/ofelia.guimbaolibot</v>
      </c>
      <c r="B1091" s="1" t="str">
        <f ca="1">IFERROR(__xludf.DUMMYFUNCTION("""COMPUTED_VALUE"""),"Ofelia Guimbaolibot")</f>
        <v>Ofelia Guimbaolibot</v>
      </c>
      <c r="C1091" s="1" t="str">
        <f ca="1">IFERROR(__xludf.DUMMYFUNCTION("""COMPUTED_VALUE"""),"Ofelia")</f>
        <v>Ofelia</v>
      </c>
      <c r="D1091" s="1" t="str">
        <f ca="1">IFERROR(__xludf.DUMMYFUNCTION("""COMPUTED_VALUE"""),"Guimbaolibot")</f>
        <v>Guimbaolibot</v>
      </c>
      <c r="E1091" s="1" t="str">
        <f ca="1">IFERROR(__xludf.DUMMYFUNCTION("""COMPUTED_VALUE"""),"ganda")</f>
        <v>ganda</v>
      </c>
      <c r="F1091" s="1"/>
      <c r="G1091" s="1" t="str">
        <f ca="1">IFERROR(__xludf.DUMMYFUNCTION("""COMPUTED_VALUE"""),"3 mos")</f>
        <v>3 mos</v>
      </c>
      <c r="H1091" s="1" t="str">
        <f ca="1">IFERROR(__xludf.DUMMYFUNCTION("""COMPUTED_VALUE"""),"comment")</f>
        <v>comment</v>
      </c>
      <c r="I1091" s="2" t="str">
        <f ca="1">IFERROR(__xludf.DUMMYFUNCTION("""COMPUTED_VALUE"""),"https://www.facebook.com/rapplerdotcom/photos/a.317154781638645/5596022273751843/")</f>
        <v>https://www.facebook.com/rapplerdotcom/photos/a.317154781638645/5596022273751843/</v>
      </c>
      <c r="J1091" s="1" t="str">
        <f ca="1">IFERROR(__xludf.DUMMYFUNCTION("""COMPUTED_VALUE"""),"2022-07-04T15:39:36.625Z")</f>
        <v>2022-07-04T15:39:36.625Z</v>
      </c>
    </row>
    <row r="1092" spans="1:10" x14ac:dyDescent="0.2">
      <c r="A1092" s="2" t="str">
        <f ca="1">IFERROR(__xludf.DUMMYFUNCTION("""COMPUTED_VALUE"""),"https://www.facebook.com/almher.manalo")</f>
        <v>https://www.facebook.com/almher.manalo</v>
      </c>
      <c r="B1092" s="1" t="str">
        <f ca="1">IFERROR(__xludf.DUMMYFUNCTION("""COMPUTED_VALUE"""),"Almher Macosme Manalo")</f>
        <v>Almher Macosme Manalo</v>
      </c>
      <c r="C1092" s="1" t="str">
        <f ca="1">IFERROR(__xludf.DUMMYFUNCTION("""COMPUTED_VALUE"""),"Almher")</f>
        <v>Almher</v>
      </c>
      <c r="D1092" s="1" t="str">
        <f ca="1">IFERROR(__xludf.DUMMYFUNCTION("""COMPUTED_VALUE"""),"Macosme Manalo")</f>
        <v>Macosme Manalo</v>
      </c>
      <c r="E1092" s="1" t="str">
        <f ca="1">IFERROR(__xludf.DUMMYFUNCTION("""COMPUTED_VALUE"""),"CaMaNaVa Rock n Rosas!  Welcome dito ang lahat!   #CaMaNaVabeybeh  #CaMaNaVaIsPink  #CaMaNaVaForLeniKiko  #CaMaNaVaRockNRosas")</f>
        <v>CaMaNaVa Rock n Rosas!  Welcome dito ang lahat!   #CaMaNaVabeybeh  #CaMaNaVaIsPink  #CaMaNaVaForLeniKiko  #CaMaNaVaRockNRosas</v>
      </c>
      <c r="F1092" s="1">
        <f ca="1">IFERROR(__xludf.DUMMYFUNCTION("""COMPUTED_VALUE"""),3)</f>
        <v>3</v>
      </c>
      <c r="G1092" s="1" t="str">
        <f ca="1">IFERROR(__xludf.DUMMYFUNCTION("""COMPUTED_VALUE"""),"3 mos")</f>
        <v>3 mos</v>
      </c>
      <c r="H1092" s="1" t="str">
        <f ca="1">IFERROR(__xludf.DUMMYFUNCTION("""COMPUTED_VALUE"""),"comment")</f>
        <v>comment</v>
      </c>
      <c r="I1092" s="2" t="str">
        <f ca="1">IFERROR(__xludf.DUMMYFUNCTION("""COMPUTED_VALUE"""),"https://www.facebook.com/rapplerdotcom/photos/a.317154781638645/5596022273751843/")</f>
        <v>https://www.facebook.com/rapplerdotcom/photos/a.317154781638645/5596022273751843/</v>
      </c>
      <c r="J1092" s="1" t="str">
        <f ca="1">IFERROR(__xludf.DUMMYFUNCTION("""COMPUTED_VALUE"""),"2022-07-04T15:39:36.625Z")</f>
        <v>2022-07-04T15:39:36.625Z</v>
      </c>
    </row>
    <row r="1093" spans="1:10" x14ac:dyDescent="0.2">
      <c r="A1093" s="2" t="str">
        <f ca="1">IFERROR(__xludf.DUMMYFUNCTION("""COMPUTED_VALUE"""),"https://www.facebook.com/marygracie.tamayo")</f>
        <v>https://www.facebook.com/marygracie.tamayo</v>
      </c>
      <c r="B1093" s="1" t="str">
        <f ca="1">IFERROR(__xludf.DUMMYFUNCTION("""COMPUTED_VALUE"""),"Maria Gracia Oyamat")</f>
        <v>Maria Gracia Oyamat</v>
      </c>
      <c r="C1093" s="1" t="str">
        <f ca="1">IFERROR(__xludf.DUMMYFUNCTION("""COMPUTED_VALUE"""),"Maria")</f>
        <v>Maria</v>
      </c>
      <c r="D1093" s="1" t="str">
        <f ca="1">IFERROR(__xludf.DUMMYFUNCTION("""COMPUTED_VALUE"""),"Gracia Oyamat")</f>
        <v>Gracia Oyamat</v>
      </c>
      <c r="E1093" s="1" t="str">
        <f ca="1">IFERROR(__xludf.DUMMYFUNCTION("""COMPUTED_VALUE"""),"Gusto Sana caravan  puro kau venue✌️✌️✌️😱😱😱😱😱😱✌️✌️✌️")</f>
        <v>Gusto Sana caravan  puro kau venue✌️✌️✌️😱😱😱😱😱😱✌️✌️✌️</v>
      </c>
      <c r="F1093" s="1">
        <f ca="1">IFERROR(__xludf.DUMMYFUNCTION("""COMPUTED_VALUE"""),2)</f>
        <v>2</v>
      </c>
      <c r="G1093" s="1" t="str">
        <f ca="1">IFERROR(__xludf.DUMMYFUNCTION("""COMPUTED_VALUE"""),"3 mos")</f>
        <v>3 mos</v>
      </c>
      <c r="H1093" s="1" t="str">
        <f ca="1">IFERROR(__xludf.DUMMYFUNCTION("""COMPUTED_VALUE"""),"comment")</f>
        <v>comment</v>
      </c>
      <c r="I1093" s="2" t="str">
        <f ca="1">IFERROR(__xludf.DUMMYFUNCTION("""COMPUTED_VALUE"""),"https://www.facebook.com/rapplerdotcom/photos/a.317154781638645/5596022273751843/")</f>
        <v>https://www.facebook.com/rapplerdotcom/photos/a.317154781638645/5596022273751843/</v>
      </c>
      <c r="J1093" s="1" t="str">
        <f ca="1">IFERROR(__xludf.DUMMYFUNCTION("""COMPUTED_VALUE"""),"2022-07-04T15:39:36.625Z")</f>
        <v>2022-07-04T15:39:36.625Z</v>
      </c>
    </row>
    <row r="1094" spans="1:10" x14ac:dyDescent="0.2">
      <c r="A1094" s="2" t="str">
        <f ca="1">IFERROR(__xludf.DUMMYFUNCTION("""COMPUTED_VALUE"""),"https://www.facebook.com/arlene.buela.9")</f>
        <v>https://www.facebook.com/arlene.buela.9</v>
      </c>
      <c r="B1094" s="1" t="str">
        <f ca="1">IFERROR(__xludf.DUMMYFUNCTION("""COMPUTED_VALUE"""),"Arlene Buela")</f>
        <v>Arlene Buela</v>
      </c>
      <c r="C1094" s="1" t="str">
        <f ca="1">IFERROR(__xludf.DUMMYFUNCTION("""COMPUTED_VALUE"""),"Arlene")</f>
        <v>Arlene</v>
      </c>
      <c r="D1094" s="1" t="str">
        <f ca="1">IFERROR(__xludf.DUMMYFUNCTION("""COMPUTED_VALUE"""),"Buela")</f>
        <v>Buela</v>
      </c>
      <c r="E1094" s="1" t="str">
        <f ca="1">IFERROR(__xludf.DUMMYFUNCTION("""COMPUTED_VALUE"""),"Maria Gracia Oyamat mahal ang gasolina wala kaming budget sa pang full tank at 500p 😂")</f>
        <v>Maria Gracia Oyamat mahal ang gasolina wala kaming budget sa pang full tank at 500p 😂</v>
      </c>
      <c r="F1094" s="1">
        <f ca="1">IFERROR(__xludf.DUMMYFUNCTION("""COMPUTED_VALUE"""),2)</f>
        <v>2</v>
      </c>
      <c r="G1094" s="1" t="str">
        <f ca="1">IFERROR(__xludf.DUMMYFUNCTION("""COMPUTED_VALUE"""),"3 mos")</f>
        <v>3 mos</v>
      </c>
      <c r="H1094" s="1" t="str">
        <f ca="1">IFERROR(__xludf.DUMMYFUNCTION("""COMPUTED_VALUE"""),"reply")</f>
        <v>reply</v>
      </c>
      <c r="I1094" s="2" t="str">
        <f ca="1">IFERROR(__xludf.DUMMYFUNCTION("""COMPUTED_VALUE"""),"https://www.facebook.com/rapplerdotcom/photos/a.317154781638645/5596022273751843/")</f>
        <v>https://www.facebook.com/rapplerdotcom/photos/a.317154781638645/5596022273751843/</v>
      </c>
      <c r="J1094" s="1" t="str">
        <f ca="1">IFERROR(__xludf.DUMMYFUNCTION("""COMPUTED_VALUE"""),"2022-07-04T15:39:36.625Z")</f>
        <v>2022-07-04T15:39:36.625Z</v>
      </c>
    </row>
    <row r="1095" spans="1:10" x14ac:dyDescent="0.2">
      <c r="A1095" s="2" t="str">
        <f ca="1">IFERROR(__xludf.DUMMYFUNCTION("""COMPUTED_VALUE"""),"https://www.facebook.com/marygracie.tamayo")</f>
        <v>https://www.facebook.com/marygracie.tamayo</v>
      </c>
      <c r="B1095" s="1" t="str">
        <f ca="1">IFERROR(__xludf.DUMMYFUNCTION("""COMPUTED_VALUE"""),"Maria Gracia Oyamat")</f>
        <v>Maria Gracia Oyamat</v>
      </c>
      <c r="C1095" s="1" t="str">
        <f ca="1">IFERROR(__xludf.DUMMYFUNCTION("""COMPUTED_VALUE"""),"Maria")</f>
        <v>Maria</v>
      </c>
      <c r="D1095" s="1" t="str">
        <f ca="1">IFERROR(__xludf.DUMMYFUNCTION("""COMPUTED_VALUE"""),"Gracia Oyamat")</f>
        <v>Gracia Oyamat</v>
      </c>
      <c r="E1095" s="1" t="str">
        <f ca="1">IFERROR(__xludf.DUMMYFUNCTION("""COMPUTED_VALUE"""),"Arlene Buela langaw kasi caravan kaya ganun reason pero venue bigla Dami🤣🤣🤣🤣🤣🤣tank nga kau hakot bus✌️✌️✌️✌️✌️")</f>
        <v>Arlene Buela langaw kasi caravan kaya ganun reason pero venue bigla Dami🤣🤣🤣🤣🤣🤣tank nga kau hakot bus✌️✌️✌️✌️✌️</v>
      </c>
      <c r="F1095" s="1"/>
      <c r="G1095" s="1" t="str">
        <f ca="1">IFERROR(__xludf.DUMMYFUNCTION("""COMPUTED_VALUE"""),"3 mos")</f>
        <v>3 mos</v>
      </c>
      <c r="H1095" s="1" t="str">
        <f ca="1">IFERROR(__xludf.DUMMYFUNCTION("""COMPUTED_VALUE"""),"reply")</f>
        <v>reply</v>
      </c>
      <c r="I1095" s="2" t="str">
        <f ca="1">IFERROR(__xludf.DUMMYFUNCTION("""COMPUTED_VALUE"""),"https://www.facebook.com/rapplerdotcom/photos/a.317154781638645/5596022273751843/")</f>
        <v>https://www.facebook.com/rapplerdotcom/photos/a.317154781638645/5596022273751843/</v>
      </c>
      <c r="J1095" s="1" t="str">
        <f ca="1">IFERROR(__xludf.DUMMYFUNCTION("""COMPUTED_VALUE"""),"2022-07-04T15:39:36.625Z")</f>
        <v>2022-07-04T15:39:36.625Z</v>
      </c>
    </row>
    <row r="1096" spans="1:10" x14ac:dyDescent="0.2">
      <c r="A1096" s="2" t="str">
        <f ca="1">IFERROR(__xludf.DUMMYFUNCTION("""COMPUTED_VALUE"""),"https://www.facebook.com/arlene.buela.9")</f>
        <v>https://www.facebook.com/arlene.buela.9</v>
      </c>
      <c r="B1096" s="1" t="str">
        <f ca="1">IFERROR(__xludf.DUMMYFUNCTION("""COMPUTED_VALUE"""),"Arlene Buela")</f>
        <v>Arlene Buela</v>
      </c>
      <c r="C1096" s="1" t="str">
        <f ca="1">IFERROR(__xludf.DUMMYFUNCTION("""COMPUTED_VALUE"""),"Arlene")</f>
        <v>Arlene</v>
      </c>
      <c r="D1096" s="1" t="str">
        <f ca="1">IFERROR(__xludf.DUMMYFUNCTION("""COMPUTED_VALUE"""),"Buela")</f>
        <v>Buela</v>
      </c>
      <c r="E1096" s="1" t="str">
        <f ca="1">IFERROR(__xludf.DUMMYFUNCTION("""COMPUTED_VALUE"""),"Maria Gracia Oyamat political strategy yan.. Strategy nyo ang Caravan, sa amin Grand Rally.. Hindi pa mag cause ng traffic, perwisyo yan sa daan. At wala kaming budget pang full tank at 500p eh.. At masyadong mahal ang gasolina ngayon..sa Rally sama sama "&amp;"ang mga supporters nagkakasiyahan!")</f>
        <v>Maria Gracia Oyamat political strategy yan.. Strategy nyo ang Caravan, sa amin Grand Rally.. Hindi pa mag cause ng traffic, perwisyo yan sa daan. At wala kaming budget pang full tank at 500p eh.. At masyadong mahal ang gasolina ngayon..sa Rally sama sama ang mga supporters nagkakasiyahan!</v>
      </c>
      <c r="F1096" s="1"/>
      <c r="G1096" s="1" t="str">
        <f ca="1">IFERROR(__xludf.DUMMYFUNCTION("""COMPUTED_VALUE"""),"3 mos")</f>
        <v>3 mos</v>
      </c>
      <c r="H1096" s="1" t="str">
        <f ca="1">IFERROR(__xludf.DUMMYFUNCTION("""COMPUTED_VALUE"""),"reply")</f>
        <v>reply</v>
      </c>
      <c r="I1096" s="2" t="str">
        <f ca="1">IFERROR(__xludf.DUMMYFUNCTION("""COMPUTED_VALUE"""),"https://www.facebook.com/rapplerdotcom/photos/a.317154781638645/5596022273751843/")</f>
        <v>https://www.facebook.com/rapplerdotcom/photos/a.317154781638645/5596022273751843/</v>
      </c>
      <c r="J1096" s="1" t="str">
        <f ca="1">IFERROR(__xludf.DUMMYFUNCTION("""COMPUTED_VALUE"""),"2022-07-04T15:39:36.625Z")</f>
        <v>2022-07-04T15:39:36.625Z</v>
      </c>
    </row>
    <row r="1097" spans="1:10" x14ac:dyDescent="0.2">
      <c r="A1097" s="2" t="str">
        <f ca="1">IFERROR(__xludf.DUMMYFUNCTION("""COMPUTED_VALUE"""),"https://www.facebook.com/marygracie.tamayo")</f>
        <v>https://www.facebook.com/marygracie.tamayo</v>
      </c>
      <c r="B1097" s="1" t="str">
        <f ca="1">IFERROR(__xludf.DUMMYFUNCTION("""COMPUTED_VALUE"""),"Maria Gracia Oyamat")</f>
        <v>Maria Gracia Oyamat</v>
      </c>
      <c r="C1097" s="1" t="str">
        <f ca="1">IFERROR(__xludf.DUMMYFUNCTION("""COMPUTED_VALUE"""),"Maria")</f>
        <v>Maria</v>
      </c>
      <c r="D1097" s="1" t="str">
        <f ca="1">IFERROR(__xludf.DUMMYFUNCTION("""COMPUTED_VALUE"""),"Gracia Oyamat")</f>
        <v>Gracia Oyamat</v>
      </c>
      <c r="E1097" s="1" t="str">
        <f ca="1">IFERROR(__xludf.DUMMYFUNCTION("""COMPUTED_VALUE"""),"Arlene Buela hahahahah hiya  kasi kau langaw lang talaga caravan kasi Dyan talaga kita tao gusto kandidato kusa lalabas Bahay nila🤣🤣🤣🤣🤣🤣🤣cge yabang venue ninyo pero sa caravan Wala laban🤣🤣🤣🤣🤣pakita kau caravan para Makita talaga Dami tao supor"&amp;"ta✌️✌️✌️✌️")</f>
        <v>Arlene Buela hahahahah hiya  kasi kau langaw lang talaga caravan kasi Dyan talaga kita tao gusto kandidato kusa lalabas Bahay nila🤣🤣🤣🤣🤣🤣🤣cge yabang venue ninyo pero sa caravan Wala laban🤣🤣🤣🤣🤣pakita kau caravan para Makita talaga Dami tao suporta✌️✌️✌️✌️</v>
      </c>
      <c r="F1097" s="1"/>
      <c r="G1097" s="1" t="str">
        <f ca="1">IFERROR(__xludf.DUMMYFUNCTION("""COMPUTED_VALUE"""),"3 mos")</f>
        <v>3 mos</v>
      </c>
      <c r="H1097" s="1" t="str">
        <f ca="1">IFERROR(__xludf.DUMMYFUNCTION("""COMPUTED_VALUE"""),"reply")</f>
        <v>reply</v>
      </c>
      <c r="I1097" s="2" t="str">
        <f ca="1">IFERROR(__xludf.DUMMYFUNCTION("""COMPUTED_VALUE"""),"https://www.facebook.com/rapplerdotcom/photos/a.317154781638645/5596022273751843/")</f>
        <v>https://www.facebook.com/rapplerdotcom/photos/a.317154781638645/5596022273751843/</v>
      </c>
      <c r="J1097" s="1" t="str">
        <f ca="1">IFERROR(__xludf.DUMMYFUNCTION("""COMPUTED_VALUE"""),"2022-07-04T15:39:36.625Z")</f>
        <v>2022-07-04T15:39:36.625Z</v>
      </c>
    </row>
    <row r="1098" spans="1:10" x14ac:dyDescent="0.2">
      <c r="A1098" s="2" t="str">
        <f ca="1">IFERROR(__xludf.DUMMYFUNCTION("""COMPUTED_VALUE"""),"https://www.facebook.com/litomn")</f>
        <v>https://www.facebook.com/litomn</v>
      </c>
      <c r="B1098" s="1" t="str">
        <f ca="1">IFERROR(__xludf.DUMMYFUNCTION("""COMPUTED_VALUE"""),"Lito Nartéa")</f>
        <v>Lito Nartéa</v>
      </c>
      <c r="C1098" s="1" t="str">
        <f ca="1">IFERROR(__xludf.DUMMYFUNCTION("""COMPUTED_VALUE"""),"Lito")</f>
        <v>Lito</v>
      </c>
      <c r="D1098" s="1" t="str">
        <f ca="1">IFERROR(__xludf.DUMMYFUNCTION("""COMPUTED_VALUE"""),"Nartéa")</f>
        <v>Nartéa</v>
      </c>
      <c r="E1098" s="1" t="str">
        <f ca="1">IFERROR(__xludf.DUMMYFUNCTION("""COMPUTED_VALUE"""),"Liwanag sa Dilim")</f>
        <v>Liwanag sa Dilim</v>
      </c>
      <c r="F1098" s="1">
        <f ca="1">IFERROR(__xludf.DUMMYFUNCTION("""COMPUTED_VALUE"""),21)</f>
        <v>21</v>
      </c>
      <c r="G1098" s="1" t="str">
        <f ca="1">IFERROR(__xludf.DUMMYFUNCTION("""COMPUTED_VALUE"""),"3 mos")</f>
        <v>3 mos</v>
      </c>
      <c r="H1098" s="1" t="str">
        <f ca="1">IFERROR(__xludf.DUMMYFUNCTION("""COMPUTED_VALUE"""),"comment")</f>
        <v>comment</v>
      </c>
      <c r="I1098" s="2" t="str">
        <f ca="1">IFERROR(__xludf.DUMMYFUNCTION("""COMPUTED_VALUE"""),"https://www.facebook.com/rapplerdotcom/photos/a.317154781638645/5596022273751843/")</f>
        <v>https://www.facebook.com/rapplerdotcom/photos/a.317154781638645/5596022273751843/</v>
      </c>
      <c r="J1098" s="1" t="str">
        <f ca="1">IFERROR(__xludf.DUMMYFUNCTION("""COMPUTED_VALUE"""),"2022-07-04T15:39:36.625Z")</f>
        <v>2022-07-04T15:39:36.625Z</v>
      </c>
    </row>
    <row r="1099" spans="1:10" x14ac:dyDescent="0.2">
      <c r="A1099" s="2" t="str">
        <f ca="1">IFERROR(__xludf.DUMMYFUNCTION("""COMPUTED_VALUE"""),"https://www.facebook.com/faithjoan.gaerlan.5")</f>
        <v>https://www.facebook.com/faithjoan.gaerlan.5</v>
      </c>
      <c r="B1099" s="1" t="str">
        <f ca="1">IFERROR(__xludf.DUMMYFUNCTION("""COMPUTED_VALUE"""),"Faith Joan Gaerlan")</f>
        <v>Faith Joan Gaerlan</v>
      </c>
      <c r="C1099" s="1" t="str">
        <f ca="1">IFERROR(__xludf.DUMMYFUNCTION("""COMPUTED_VALUE"""),"Faith")</f>
        <v>Faith</v>
      </c>
      <c r="D1099" s="1" t="str">
        <f ca="1">IFERROR(__xludf.DUMMYFUNCTION("""COMPUTED_VALUE"""),"Joan Gaerlan")</f>
        <v>Joan Gaerlan</v>
      </c>
      <c r="E1099" s="1" t="str">
        <f ca="1">IFERROR(__xludf.DUMMYFUNCTION("""COMPUTED_VALUE"""),"May pag-asa na sa CAMANAVA.")</f>
        <v>May pag-asa na sa CAMANAVA.</v>
      </c>
      <c r="F1099" s="1"/>
      <c r="G1099" s="1" t="str">
        <f ca="1">IFERROR(__xludf.DUMMYFUNCTION("""COMPUTED_VALUE"""),"3 mos")</f>
        <v>3 mos</v>
      </c>
      <c r="H1099" s="1" t="str">
        <f ca="1">IFERROR(__xludf.DUMMYFUNCTION("""COMPUTED_VALUE"""),"comment")</f>
        <v>comment</v>
      </c>
      <c r="I1099" s="2" t="str">
        <f ca="1">IFERROR(__xludf.DUMMYFUNCTION("""COMPUTED_VALUE"""),"https://www.facebook.com/rapplerdotcom/photos/a.317154781638645/5596022273751843/")</f>
        <v>https://www.facebook.com/rapplerdotcom/photos/a.317154781638645/5596022273751843/</v>
      </c>
      <c r="J1099" s="1" t="str">
        <f ca="1">IFERROR(__xludf.DUMMYFUNCTION("""COMPUTED_VALUE"""),"2022-07-04T15:39:36.625Z")</f>
        <v>2022-07-04T15:39:36.625Z</v>
      </c>
    </row>
    <row r="1100" spans="1:10" x14ac:dyDescent="0.2">
      <c r="A1100" s="2" t="str">
        <f ca="1">IFERROR(__xludf.DUMMYFUNCTION("""COMPUTED_VALUE"""),"https://www.facebook.com/helen.pesquisa")</f>
        <v>https://www.facebook.com/helen.pesquisa</v>
      </c>
      <c r="B1100" s="1" t="str">
        <f ca="1">IFERROR(__xludf.DUMMYFUNCTION("""COMPUTED_VALUE"""),"Helen Pesquisa")</f>
        <v>Helen Pesquisa</v>
      </c>
      <c r="C1100" s="1" t="str">
        <f ca="1">IFERROR(__xludf.DUMMYFUNCTION("""COMPUTED_VALUE"""),"Helen")</f>
        <v>Helen</v>
      </c>
      <c r="D1100" s="1" t="str">
        <f ca="1">IFERROR(__xludf.DUMMYFUNCTION("""COMPUTED_VALUE"""),"Pesquisa")</f>
        <v>Pesquisa</v>
      </c>
      <c r="E1100" s="1" t="str">
        <f ca="1">IFERROR(__xludf.DUMMYFUNCTION("""COMPUTED_VALUE"""),"Proud to be kakampink ...liwanag sa,dilim")</f>
        <v>Proud to be kakampink ...liwanag sa,dilim</v>
      </c>
      <c r="F1100" s="1"/>
      <c r="G1100" s="1" t="str">
        <f ca="1">IFERROR(__xludf.DUMMYFUNCTION("""COMPUTED_VALUE"""),"3 mos")</f>
        <v>3 mos</v>
      </c>
      <c r="H1100" s="1" t="str">
        <f ca="1">IFERROR(__xludf.DUMMYFUNCTION("""COMPUTED_VALUE"""),"comment")</f>
        <v>comment</v>
      </c>
      <c r="I1100" s="2" t="str">
        <f ca="1">IFERROR(__xludf.DUMMYFUNCTION("""COMPUTED_VALUE"""),"https://www.facebook.com/rapplerdotcom/photos/a.317154781638645/5596022273751843/")</f>
        <v>https://www.facebook.com/rapplerdotcom/photos/a.317154781638645/5596022273751843/</v>
      </c>
      <c r="J1100" s="1" t="str">
        <f ca="1">IFERROR(__xludf.DUMMYFUNCTION("""COMPUTED_VALUE"""),"2022-07-04T15:39:36.625Z")</f>
        <v>2022-07-04T15:39:36.625Z</v>
      </c>
    </row>
    <row r="1101" spans="1:10" x14ac:dyDescent="0.2">
      <c r="A1101" s="2" t="str">
        <f ca="1">IFERROR(__xludf.DUMMYFUNCTION("""COMPUTED_VALUE"""),"https://www.facebook.com/finkvarna")</f>
        <v>https://www.facebook.com/finkvarna</v>
      </c>
      <c r="B1101" s="1" t="str">
        <f ca="1">IFERROR(__xludf.DUMMYFUNCTION("""COMPUTED_VALUE"""),"Jean Centeno")</f>
        <v>Jean Centeno</v>
      </c>
      <c r="C1101" s="1" t="str">
        <f ca="1">IFERROR(__xludf.DUMMYFUNCTION("""COMPUTED_VALUE"""),"Jean")</f>
        <v>Jean</v>
      </c>
      <c r="D1101" s="1" t="str">
        <f ca="1">IFERROR(__xludf.DUMMYFUNCTION("""COMPUTED_VALUE"""),"Centeno")</f>
        <v>Centeno</v>
      </c>
      <c r="E1101" s="1" t="str">
        <f ca="1">IFERROR(__xludf.DUMMYFUNCTION("""COMPUTED_VALUE"""),"Ang gandaaaa!!!  #GobyernongTapatAngatBuhayLahat #CaMaNaVaRockNRosas #camanavaispink #CaMaNavaForLeniKiko")</f>
        <v>Ang gandaaaa!!!  #GobyernongTapatAngatBuhayLahat #CaMaNaVaRockNRosas #camanavaispink #CaMaNavaForLeniKiko</v>
      </c>
      <c r="F1101" s="1"/>
      <c r="G1101" s="1" t="str">
        <f ca="1">IFERROR(__xludf.DUMMYFUNCTION("""COMPUTED_VALUE"""),"3 mos")</f>
        <v>3 mos</v>
      </c>
      <c r="H1101" s="1" t="str">
        <f ca="1">IFERROR(__xludf.DUMMYFUNCTION("""COMPUTED_VALUE"""),"comment")</f>
        <v>comment</v>
      </c>
      <c r="I1101" s="2" t="str">
        <f ca="1">IFERROR(__xludf.DUMMYFUNCTION("""COMPUTED_VALUE"""),"https://www.facebook.com/rapplerdotcom/photos/a.317154781638645/5596022273751843/")</f>
        <v>https://www.facebook.com/rapplerdotcom/photos/a.317154781638645/5596022273751843/</v>
      </c>
      <c r="J1101" s="1" t="str">
        <f ca="1">IFERROR(__xludf.DUMMYFUNCTION("""COMPUTED_VALUE"""),"2022-07-04T15:39:36.625Z")</f>
        <v>2022-07-04T15:39:36.625Z</v>
      </c>
    </row>
    <row r="1102" spans="1:10" x14ac:dyDescent="0.2">
      <c r="A1102" s="2" t="str">
        <f ca="1">IFERROR(__xludf.DUMMYFUNCTION("""COMPUTED_VALUE"""),"https://www.facebook.com/nhienyanz14")</f>
        <v>https://www.facebook.com/nhienyanz14</v>
      </c>
      <c r="B1102" s="1" t="str">
        <f ca="1">IFERROR(__xludf.DUMMYFUNCTION("""COMPUTED_VALUE"""),"Laarns Floralde")</f>
        <v>Laarns Floralde</v>
      </c>
      <c r="C1102" s="1" t="str">
        <f ca="1">IFERROR(__xludf.DUMMYFUNCTION("""COMPUTED_VALUE"""),"Laarns")</f>
        <v>Laarns</v>
      </c>
      <c r="D1102" s="1" t="str">
        <f ca="1">IFERROR(__xludf.DUMMYFUNCTION("""COMPUTED_VALUE"""),"Floralde")</f>
        <v>Floralde</v>
      </c>
      <c r="E1102" s="1" t="str">
        <f ca="1">IFERROR(__xludf.DUMMYFUNCTION("""COMPUTED_VALUE"""),"#LetLeniLead2022 sa pagsoli sa ninakaw na iphone ng pamangkin kong senior high lang. Pati bata ninanakawan nyo. 🤬🤬🤬")</f>
        <v>#LetLeniLead2022 sa pagsoli sa ninakaw na iphone ng pamangkin kong senior high lang. Pati bata ninanakawan nyo. 🤬🤬🤬</v>
      </c>
      <c r="F1102" s="1"/>
      <c r="G1102" s="1" t="str">
        <f ca="1">IFERROR(__xludf.DUMMYFUNCTION("""COMPUTED_VALUE"""),"3 mos")</f>
        <v>3 mos</v>
      </c>
      <c r="H1102" s="1" t="str">
        <f ca="1">IFERROR(__xludf.DUMMYFUNCTION("""COMPUTED_VALUE"""),"comment")</f>
        <v>comment</v>
      </c>
      <c r="I1102" s="2" t="str">
        <f ca="1">IFERROR(__xludf.DUMMYFUNCTION("""COMPUTED_VALUE"""),"https://www.facebook.com/rapplerdotcom/photos/a.317154781638645/5596022273751843/")</f>
        <v>https://www.facebook.com/rapplerdotcom/photos/a.317154781638645/5596022273751843/</v>
      </c>
      <c r="J1102" s="1" t="str">
        <f ca="1">IFERROR(__xludf.DUMMYFUNCTION("""COMPUTED_VALUE"""),"2022-07-04T15:39:36.625Z")</f>
        <v>2022-07-04T15:39:36.625Z</v>
      </c>
    </row>
    <row r="1103" spans="1:10" x14ac:dyDescent="0.2">
      <c r="A1103" s="2" t="str">
        <f ca="1">IFERROR(__xludf.DUMMYFUNCTION("""COMPUTED_VALUE"""),"https://www.facebook.com/dez.delmundosamson")</f>
        <v>https://www.facebook.com/dez.delmundosamson</v>
      </c>
      <c r="B1103" s="1" t="str">
        <f ca="1">IFERROR(__xludf.DUMMYFUNCTION("""COMPUTED_VALUE"""),"Theysee Theearth Samson")</f>
        <v>Theysee Theearth Samson</v>
      </c>
      <c r="C1103" s="1" t="str">
        <f ca="1">IFERROR(__xludf.DUMMYFUNCTION("""COMPUTED_VALUE"""),"Theysee")</f>
        <v>Theysee</v>
      </c>
      <c r="D1103" s="1" t="str">
        <f ca="1">IFERROR(__xludf.DUMMYFUNCTION("""COMPUTED_VALUE"""),"Theearth Samson")</f>
        <v>Theearth Samson</v>
      </c>
      <c r="E1103" s="1" t="str">
        <f ca="1">IFERROR(__xludf.DUMMYFUNCTION("""COMPUTED_VALUE"""),"Ipanalo na natin ito. #CaMaNaVaIsPink  #CaMaNavaForLeniKiko  #GobyernongTapatAngatBuhayLahat #KulayRosasAngBukas #LeniKiko2022")</f>
        <v>Ipanalo na natin ito. #CaMaNaVaIsPink  #CaMaNavaForLeniKiko  #GobyernongTapatAngatBuhayLahat #KulayRosasAngBukas #LeniKiko2022</v>
      </c>
      <c r="F1103" s="1"/>
      <c r="G1103" s="1" t="str">
        <f ca="1">IFERROR(__xludf.DUMMYFUNCTION("""COMPUTED_VALUE"""),"3 mos")</f>
        <v>3 mos</v>
      </c>
      <c r="H1103" s="1" t="str">
        <f ca="1">IFERROR(__xludf.DUMMYFUNCTION("""COMPUTED_VALUE"""),"comment")</f>
        <v>comment</v>
      </c>
      <c r="I1103" s="2" t="str">
        <f ca="1">IFERROR(__xludf.DUMMYFUNCTION("""COMPUTED_VALUE"""),"https://www.facebook.com/rapplerdotcom/photos/a.317154781638645/5596022273751843/")</f>
        <v>https://www.facebook.com/rapplerdotcom/photos/a.317154781638645/5596022273751843/</v>
      </c>
      <c r="J1103" s="1" t="str">
        <f ca="1">IFERROR(__xludf.DUMMYFUNCTION("""COMPUTED_VALUE"""),"2022-07-04T15:39:36.625Z")</f>
        <v>2022-07-04T15:39:36.625Z</v>
      </c>
    </row>
    <row r="1104" spans="1:10" x14ac:dyDescent="0.2">
      <c r="A1104" s="2" t="str">
        <f ca="1">IFERROR(__xludf.DUMMYFUNCTION("""COMPUTED_VALUE"""),"https://www.facebook.com/raquel.timones")</f>
        <v>https://www.facebook.com/raquel.timones</v>
      </c>
      <c r="B1104" s="1" t="str">
        <f ca="1">IFERROR(__xludf.DUMMYFUNCTION("""COMPUTED_VALUE"""),"Raquel Timones")</f>
        <v>Raquel Timones</v>
      </c>
      <c r="C1104" s="1" t="str">
        <f ca="1">IFERROR(__xludf.DUMMYFUNCTION("""COMPUTED_VALUE"""),"Raquel")</f>
        <v>Raquel</v>
      </c>
      <c r="D1104" s="1" t="str">
        <f ca="1">IFERROR(__xludf.DUMMYFUNCTION("""COMPUTED_VALUE"""),"Timones")</f>
        <v>Timones</v>
      </c>
      <c r="E1104" s="1" t="str">
        <f ca="1">IFERROR(__xludf.DUMMYFUNCTION("""COMPUTED_VALUE"""),"Ang ganda, liwanag sa dilim. Basta kakampink rally iba talaga.")</f>
        <v>Ang ganda, liwanag sa dilim. Basta kakampink rally iba talaga.</v>
      </c>
      <c r="F1104" s="1">
        <f ca="1">IFERROR(__xludf.DUMMYFUNCTION("""COMPUTED_VALUE"""),3)</f>
        <v>3</v>
      </c>
      <c r="G1104" s="1" t="str">
        <f ca="1">IFERROR(__xludf.DUMMYFUNCTION("""COMPUTED_VALUE"""),"3 mos")</f>
        <v>3 mos</v>
      </c>
      <c r="H1104" s="1" t="str">
        <f ca="1">IFERROR(__xludf.DUMMYFUNCTION("""COMPUTED_VALUE"""),"comment")</f>
        <v>comment</v>
      </c>
      <c r="I1104" s="2" t="str">
        <f ca="1">IFERROR(__xludf.DUMMYFUNCTION("""COMPUTED_VALUE"""),"https://www.facebook.com/rapplerdotcom/photos/a.317154781638645/5596022273751843/")</f>
        <v>https://www.facebook.com/rapplerdotcom/photos/a.317154781638645/5596022273751843/</v>
      </c>
      <c r="J1104" s="1" t="str">
        <f ca="1">IFERROR(__xludf.DUMMYFUNCTION("""COMPUTED_VALUE"""),"2022-07-04T15:39:36.625Z")</f>
        <v>2022-07-04T15:39:36.625Z</v>
      </c>
    </row>
    <row r="1105" spans="1:10" x14ac:dyDescent="0.2">
      <c r="A1105" s="2" t="str">
        <f ca="1">IFERROR(__xludf.DUMMYFUNCTION("""COMPUTED_VALUE"""),"https://www.facebook.com/mariatheresa.cabantog")</f>
        <v>https://www.facebook.com/mariatheresa.cabantog</v>
      </c>
      <c r="B1105" s="1" t="str">
        <f ca="1">IFERROR(__xludf.DUMMYFUNCTION("""COMPUTED_VALUE"""),"Theresa Cabantog")</f>
        <v>Theresa Cabantog</v>
      </c>
      <c r="C1105" s="1" t="str">
        <f ca="1">IFERROR(__xludf.DUMMYFUNCTION("""COMPUTED_VALUE"""),"Theresa")</f>
        <v>Theresa</v>
      </c>
      <c r="D1105" s="1" t="str">
        <f ca="1">IFERROR(__xludf.DUMMYFUNCTION("""COMPUTED_VALUE"""),"Cabantog")</f>
        <v>Cabantog</v>
      </c>
      <c r="E1105" s="1" t="str">
        <f ca="1">IFERROR(__xludf.DUMMYFUNCTION("""COMPUTED_VALUE"""),"Crying coz umuwi na ako")</f>
        <v>Crying coz umuwi na ako</v>
      </c>
      <c r="F1105" s="1"/>
      <c r="G1105" s="1" t="str">
        <f ca="1">IFERROR(__xludf.DUMMYFUNCTION("""COMPUTED_VALUE"""),"3 mos")</f>
        <v>3 mos</v>
      </c>
      <c r="H1105" s="1" t="str">
        <f ca="1">IFERROR(__xludf.DUMMYFUNCTION("""COMPUTED_VALUE"""),"comment")</f>
        <v>comment</v>
      </c>
      <c r="I1105" s="2" t="str">
        <f ca="1">IFERROR(__xludf.DUMMYFUNCTION("""COMPUTED_VALUE"""),"https://www.facebook.com/rapplerdotcom/photos/a.317154781638645/5596022273751843/")</f>
        <v>https://www.facebook.com/rapplerdotcom/photos/a.317154781638645/5596022273751843/</v>
      </c>
      <c r="J1105" s="1" t="str">
        <f ca="1">IFERROR(__xludf.DUMMYFUNCTION("""COMPUTED_VALUE"""),"2022-07-04T15:39:36.625Z")</f>
        <v>2022-07-04T15:39:36.625Z</v>
      </c>
    </row>
    <row r="1106" spans="1:10" x14ac:dyDescent="0.2">
      <c r="A1106" s="2" t="str">
        <f ca="1">IFERROR(__xludf.DUMMYFUNCTION("""COMPUTED_VALUE"""),"https://www.facebook.com/arlene.buela.9")</f>
        <v>https://www.facebook.com/arlene.buela.9</v>
      </c>
      <c r="B1106" s="1" t="str">
        <f ca="1">IFERROR(__xludf.DUMMYFUNCTION("""COMPUTED_VALUE"""),"Arlene Buela")</f>
        <v>Arlene Buela</v>
      </c>
      <c r="C1106" s="1" t="str">
        <f ca="1">IFERROR(__xludf.DUMMYFUNCTION("""COMPUTED_VALUE"""),"Arlene")</f>
        <v>Arlene</v>
      </c>
      <c r="D1106" s="1" t="str">
        <f ca="1">IFERROR(__xludf.DUMMYFUNCTION("""COMPUTED_VALUE"""),"Buela")</f>
        <v>Buela</v>
      </c>
      <c r="E1106" s="1" t="str">
        <f ca="1">IFERROR(__xludf.DUMMYFUNCTION("""COMPUTED_VALUE"""),"Theresa Cabantog sayang ganda pa nung mga banda sa Rally nyo.. Swerte nyo kayo pinaka marami performers.. Si Ben&amp;Ben ginanahan pa sa crowd.")</f>
        <v>Theresa Cabantog sayang ganda pa nung mga banda sa Rally nyo.. Swerte nyo kayo pinaka marami performers.. Si Ben&amp;Ben ginanahan pa sa crowd.</v>
      </c>
      <c r="F1106" s="1"/>
      <c r="G1106" s="1" t="str">
        <f ca="1">IFERROR(__xludf.DUMMYFUNCTION("""COMPUTED_VALUE"""),"3 mos")</f>
        <v>3 mos</v>
      </c>
      <c r="H1106" s="1" t="str">
        <f ca="1">IFERROR(__xludf.DUMMYFUNCTION("""COMPUTED_VALUE"""),"reply")</f>
        <v>reply</v>
      </c>
      <c r="I1106" s="2" t="str">
        <f ca="1">IFERROR(__xludf.DUMMYFUNCTION("""COMPUTED_VALUE"""),"https://www.facebook.com/rapplerdotcom/photos/a.317154781638645/5596022273751843/")</f>
        <v>https://www.facebook.com/rapplerdotcom/photos/a.317154781638645/5596022273751843/</v>
      </c>
      <c r="J1106" s="1" t="str">
        <f ca="1">IFERROR(__xludf.DUMMYFUNCTION("""COMPUTED_VALUE"""),"2022-07-04T15:39:36.625Z")</f>
        <v>2022-07-04T15:39:36.625Z</v>
      </c>
    </row>
    <row r="1107" spans="1:10" x14ac:dyDescent="0.2">
      <c r="A1107" s="2" t="str">
        <f ca="1">IFERROR(__xludf.DUMMYFUNCTION("""COMPUTED_VALUE"""),"https://www.facebook.com/lourdeseleanor.miranda")</f>
        <v>https://www.facebook.com/lourdeseleanor.miranda</v>
      </c>
      <c r="B1107" s="1" t="str">
        <f ca="1">IFERROR(__xludf.DUMMYFUNCTION("""COMPUTED_VALUE"""),"Lourdes Eleanor Miranda")</f>
        <v>Lourdes Eleanor Miranda</v>
      </c>
      <c r="C1107" s="1" t="str">
        <f ca="1">IFERROR(__xludf.DUMMYFUNCTION("""COMPUTED_VALUE"""),"Lourdes")</f>
        <v>Lourdes</v>
      </c>
      <c r="D1107" s="1" t="str">
        <f ca="1">IFERROR(__xludf.DUMMYFUNCTION("""COMPUTED_VALUE"""),"Eleanor Miranda")</f>
        <v>Eleanor Miranda</v>
      </c>
      <c r="E1107" s="1" t="str">
        <f ca="1">IFERROR(__xludf.DUMMYFUNCTION("""COMPUTED_VALUE"""),"Wow 🌸🌸🌸👏👏👏")</f>
        <v>Wow 🌸🌸🌸👏👏👏</v>
      </c>
      <c r="F1107" s="1">
        <f ca="1">IFERROR(__xludf.DUMMYFUNCTION("""COMPUTED_VALUE"""),2)</f>
        <v>2</v>
      </c>
      <c r="G1107" s="1" t="str">
        <f ca="1">IFERROR(__xludf.DUMMYFUNCTION("""COMPUTED_VALUE"""),"3 mos")</f>
        <v>3 mos</v>
      </c>
      <c r="H1107" s="1" t="str">
        <f ca="1">IFERROR(__xludf.DUMMYFUNCTION("""COMPUTED_VALUE"""),"comment")</f>
        <v>comment</v>
      </c>
      <c r="I1107" s="2" t="str">
        <f ca="1">IFERROR(__xludf.DUMMYFUNCTION("""COMPUTED_VALUE"""),"https://www.facebook.com/rapplerdotcom/photos/a.317154781638645/5596022273751843/")</f>
        <v>https://www.facebook.com/rapplerdotcom/photos/a.317154781638645/5596022273751843/</v>
      </c>
      <c r="J1107" s="1" t="str">
        <f ca="1">IFERROR(__xludf.DUMMYFUNCTION("""COMPUTED_VALUE"""),"2022-07-04T15:39:36.625Z")</f>
        <v>2022-07-04T15:39:36.625Z</v>
      </c>
    </row>
    <row r="1108" spans="1:10" x14ac:dyDescent="0.2">
      <c r="A1108" s="2" t="str">
        <f ca="1">IFERROR(__xludf.DUMMYFUNCTION("""COMPUTED_VALUE"""),"https://www.facebook.com/roberto.sembrano")</f>
        <v>https://www.facebook.com/roberto.sembrano</v>
      </c>
      <c r="B1108" s="1" t="str">
        <f ca="1">IFERROR(__xludf.DUMMYFUNCTION("""COMPUTED_VALUE"""),"Roberto Sembrano")</f>
        <v>Roberto Sembrano</v>
      </c>
      <c r="C1108" s="1" t="str">
        <f ca="1">IFERROR(__xludf.DUMMYFUNCTION("""COMPUTED_VALUE"""),"Roberto")</f>
        <v>Roberto</v>
      </c>
      <c r="D1108" s="1" t="str">
        <f ca="1">IFERROR(__xludf.DUMMYFUNCTION("""COMPUTED_VALUE"""),"Sembrano")</f>
        <v>Sembrano</v>
      </c>
      <c r="E1108" s="1" t="str">
        <f ca="1">IFERROR(__xludf.DUMMYFUNCTION("""COMPUTED_VALUE"""),"Go go go #LeniKikoTeam2022 ipanalo natin ito para sa ating mga anak!")</f>
        <v>Go go go #LeniKikoTeam2022 ipanalo natin ito para sa ating mga anak!</v>
      </c>
      <c r="F1108" s="1"/>
      <c r="G1108" s="1" t="str">
        <f ca="1">IFERROR(__xludf.DUMMYFUNCTION("""COMPUTED_VALUE"""),"3 mos")</f>
        <v>3 mos</v>
      </c>
      <c r="H1108" s="1" t="str">
        <f ca="1">IFERROR(__xludf.DUMMYFUNCTION("""COMPUTED_VALUE"""),"comment")</f>
        <v>comment</v>
      </c>
      <c r="I1108" s="2" t="str">
        <f ca="1">IFERROR(__xludf.DUMMYFUNCTION("""COMPUTED_VALUE"""),"https://www.facebook.com/rapplerdotcom/photos/a.317154781638645/5596022273751843/")</f>
        <v>https://www.facebook.com/rapplerdotcom/photos/a.317154781638645/5596022273751843/</v>
      </c>
      <c r="J1108" s="1" t="str">
        <f ca="1">IFERROR(__xludf.DUMMYFUNCTION("""COMPUTED_VALUE"""),"2022-07-04T15:39:36.625Z")</f>
        <v>2022-07-04T15:39:36.625Z</v>
      </c>
    </row>
    <row r="1109" spans="1:10" x14ac:dyDescent="0.2">
      <c r="A1109" s="2" t="str">
        <f ca="1">IFERROR(__xludf.DUMMYFUNCTION("""COMPUTED_VALUE"""),"https://www.facebook.com/noel.ahadan")</f>
        <v>https://www.facebook.com/noel.ahadan</v>
      </c>
      <c r="B1109" s="1" t="str">
        <f ca="1">IFERROR(__xludf.DUMMYFUNCTION("""COMPUTED_VALUE"""),"Norway S Dan")</f>
        <v>Norway S Dan</v>
      </c>
      <c r="C1109" s="1" t="str">
        <f ca="1">IFERROR(__xludf.DUMMYFUNCTION("""COMPUTED_VALUE"""),"Norway")</f>
        <v>Norway</v>
      </c>
      <c r="D1109" s="1" t="str">
        <f ca="1">IFERROR(__xludf.DUMMYFUNCTION("""COMPUTED_VALUE"""),"S Dan")</f>
        <v>S Dan</v>
      </c>
      <c r="E1109" s="1" t="str">
        <f ca="1">IFERROR(__xludf.DUMMYFUNCTION("""COMPUTED_VALUE"""),"Lokal da.")</f>
        <v>Lokal da.</v>
      </c>
      <c r="F1109" s="1"/>
      <c r="G1109" s="1" t="str">
        <f ca="1">IFERROR(__xludf.DUMMYFUNCTION("""COMPUTED_VALUE"""),"3 mos")</f>
        <v>3 mos</v>
      </c>
      <c r="H1109" s="1" t="str">
        <f ca="1">IFERROR(__xludf.DUMMYFUNCTION("""COMPUTED_VALUE"""),"comment")</f>
        <v>comment</v>
      </c>
      <c r="I1109" s="2" t="str">
        <f ca="1">IFERROR(__xludf.DUMMYFUNCTION("""COMPUTED_VALUE"""),"https://www.facebook.com/rapplerdotcom/photos/a.317154781638645/5596022273751843/")</f>
        <v>https://www.facebook.com/rapplerdotcom/photos/a.317154781638645/5596022273751843/</v>
      </c>
      <c r="J1109" s="1" t="str">
        <f ca="1">IFERROR(__xludf.DUMMYFUNCTION("""COMPUTED_VALUE"""),"2022-07-04T15:39:36.625Z")</f>
        <v>2022-07-04T15:39:36.625Z</v>
      </c>
    </row>
    <row r="1110" spans="1:10" x14ac:dyDescent="0.2">
      <c r="A1110" s="2" t="str">
        <f ca="1">IFERROR(__xludf.DUMMYFUNCTION("""COMPUTED_VALUE"""),"https://www.facebook.com/johnraffy.patrocinio")</f>
        <v>https://www.facebook.com/johnraffy.patrocinio</v>
      </c>
      <c r="B1110" s="1" t="str">
        <f ca="1">IFERROR(__xludf.DUMMYFUNCTION("""COMPUTED_VALUE"""),"Raffy Patrocinio")</f>
        <v>Raffy Patrocinio</v>
      </c>
      <c r="C1110" s="1" t="str">
        <f ca="1">IFERROR(__xludf.DUMMYFUNCTION("""COMPUTED_VALUE"""),"Raffy")</f>
        <v>Raffy</v>
      </c>
      <c r="D1110" s="1" t="str">
        <f ca="1">IFERROR(__xludf.DUMMYFUNCTION("""COMPUTED_VALUE"""),"Patrocinio")</f>
        <v>Patrocinio</v>
      </c>
      <c r="E1110" s="1" t="str">
        <f ca="1">IFERROR(__xludf.DUMMYFUNCTION("""COMPUTED_VALUE"""),"yung kabilang kampo, libag na sa dilim😆😆")</f>
        <v>yung kabilang kampo, libag na sa dilim😆😆</v>
      </c>
      <c r="F1110" s="1"/>
      <c r="G1110" s="1" t="str">
        <f ca="1">IFERROR(__xludf.DUMMYFUNCTION("""COMPUTED_VALUE"""),"3 mos")</f>
        <v>3 mos</v>
      </c>
      <c r="H1110" s="1" t="str">
        <f ca="1">IFERROR(__xludf.DUMMYFUNCTION("""COMPUTED_VALUE"""),"comment")</f>
        <v>comment</v>
      </c>
      <c r="I1110" s="2" t="str">
        <f ca="1">IFERROR(__xludf.DUMMYFUNCTION("""COMPUTED_VALUE"""),"https://www.facebook.com/rapplerdotcom/photos/a.317154781638645/5596022273751843/")</f>
        <v>https://www.facebook.com/rapplerdotcom/photos/a.317154781638645/5596022273751843/</v>
      </c>
      <c r="J1110" s="1" t="str">
        <f ca="1">IFERROR(__xludf.DUMMYFUNCTION("""COMPUTED_VALUE"""),"2022-07-04T15:39:36.625Z")</f>
        <v>2022-07-04T15:39:36.625Z</v>
      </c>
    </row>
    <row r="1111" spans="1:10" x14ac:dyDescent="0.2">
      <c r="A1111" s="2" t="str">
        <f ca="1">IFERROR(__xludf.DUMMYFUNCTION("""COMPUTED_VALUE"""),"https://www.facebook.com/rmdsierra")</f>
        <v>https://www.facebook.com/rmdsierra</v>
      </c>
      <c r="B1111" s="1" t="str">
        <f ca="1">IFERROR(__xludf.DUMMYFUNCTION("""COMPUTED_VALUE"""),"Rmd Arreis")</f>
        <v>Rmd Arreis</v>
      </c>
      <c r="C1111" s="1" t="str">
        <f ca="1">IFERROR(__xludf.DUMMYFUNCTION("""COMPUTED_VALUE"""),"Rmd")</f>
        <v>Rmd</v>
      </c>
      <c r="D1111" s="1" t="str">
        <f ca="1">IFERROR(__xludf.DUMMYFUNCTION("""COMPUTED_VALUE"""),"Arreis")</f>
        <v>Arreis</v>
      </c>
      <c r="E1111" s="1" t="str">
        <f ca="1">IFERROR(__xludf.DUMMYFUNCTION("""COMPUTED_VALUE"""),"Raffy Patrocinio woww kaya pala ayaw nyo na ng caravan🤦‍♂️😂")</f>
        <v>Raffy Patrocinio woww kaya pala ayaw nyo na ng caravan🤦‍♂️😂</v>
      </c>
      <c r="F1111" s="1"/>
      <c r="G1111" s="1" t="str">
        <f ca="1">IFERROR(__xludf.DUMMYFUNCTION("""COMPUTED_VALUE"""),"3 mos")</f>
        <v>3 mos</v>
      </c>
      <c r="H1111" s="1" t="str">
        <f ca="1">IFERROR(__xludf.DUMMYFUNCTION("""COMPUTED_VALUE"""),"reply")</f>
        <v>reply</v>
      </c>
      <c r="I1111" s="2" t="str">
        <f ca="1">IFERROR(__xludf.DUMMYFUNCTION("""COMPUTED_VALUE"""),"https://www.facebook.com/rapplerdotcom/photos/a.317154781638645/5596022273751843/")</f>
        <v>https://www.facebook.com/rapplerdotcom/photos/a.317154781638645/5596022273751843/</v>
      </c>
      <c r="J1111" s="1" t="str">
        <f ca="1">IFERROR(__xludf.DUMMYFUNCTION("""COMPUTED_VALUE"""),"2022-07-04T15:39:36.625Z")</f>
        <v>2022-07-04T15:39:36.625Z</v>
      </c>
    </row>
    <row r="1112" spans="1:10" x14ac:dyDescent="0.2">
      <c r="A1112" s="2" t="str">
        <f ca="1">IFERROR(__xludf.DUMMYFUNCTION("""COMPUTED_VALUE"""),"https://www.facebook.com/johnraffy.patrocinio")</f>
        <v>https://www.facebook.com/johnraffy.patrocinio</v>
      </c>
      <c r="B1112" s="1" t="str">
        <f ca="1">IFERROR(__xludf.DUMMYFUNCTION("""COMPUTED_VALUE"""),"Raffy Patrocinio")</f>
        <v>Raffy Patrocinio</v>
      </c>
      <c r="C1112" s="1" t="str">
        <f ca="1">IFERROR(__xludf.DUMMYFUNCTION("""COMPUTED_VALUE"""),"Raffy")</f>
        <v>Raffy</v>
      </c>
      <c r="D1112" s="1" t="str">
        <f ca="1">IFERROR(__xludf.DUMMYFUNCTION("""COMPUTED_VALUE"""),"Patrocinio")</f>
        <v>Patrocinio</v>
      </c>
      <c r="E1112" s="1" t="str">
        <f ca="1">IFERROR(__xludf.DUMMYFUNCTION("""COMPUTED_VALUE"""),"Rmd Arreis huh? kakagaling ko lang kahapon, pag sabog, i2log")</f>
        <v>Rmd Arreis huh? kakagaling ko lang kahapon, pag sabog, i2log</v>
      </c>
      <c r="F1112" s="1"/>
      <c r="G1112" s="1" t="str">
        <f ca="1">IFERROR(__xludf.DUMMYFUNCTION("""COMPUTED_VALUE"""),"3 mos")</f>
        <v>3 mos</v>
      </c>
      <c r="H1112" s="1" t="str">
        <f ca="1">IFERROR(__xludf.DUMMYFUNCTION("""COMPUTED_VALUE"""),"reply")</f>
        <v>reply</v>
      </c>
      <c r="I1112" s="2" t="str">
        <f ca="1">IFERROR(__xludf.DUMMYFUNCTION("""COMPUTED_VALUE"""),"https://www.facebook.com/rapplerdotcom/photos/a.317154781638645/5596022273751843/")</f>
        <v>https://www.facebook.com/rapplerdotcom/photos/a.317154781638645/5596022273751843/</v>
      </c>
      <c r="J1112" s="1" t="str">
        <f ca="1">IFERROR(__xludf.DUMMYFUNCTION("""COMPUTED_VALUE"""),"2022-07-04T15:39:36.625Z")</f>
        <v>2022-07-04T15:39:36.625Z</v>
      </c>
    </row>
    <row r="1113" spans="1:10" x14ac:dyDescent="0.2">
      <c r="A1113" s="2" t="str">
        <f ca="1">IFERROR(__xludf.DUMMYFUNCTION("""COMPUTED_VALUE"""),"https://www.facebook.com/rmdsierra")</f>
        <v>https://www.facebook.com/rmdsierra</v>
      </c>
      <c r="B1113" s="1" t="str">
        <f ca="1">IFERROR(__xludf.DUMMYFUNCTION("""COMPUTED_VALUE"""),"Rmd Arreis")</f>
        <v>Rmd Arreis</v>
      </c>
      <c r="C1113" s="1" t="str">
        <f ca="1">IFERROR(__xludf.DUMMYFUNCTION("""COMPUTED_VALUE"""),"Rmd")</f>
        <v>Rmd</v>
      </c>
      <c r="D1113" s="1" t="str">
        <f ca="1">IFERROR(__xludf.DUMMYFUNCTION("""COMPUTED_VALUE"""),"Arreis")</f>
        <v>Arreis</v>
      </c>
      <c r="E1113" s="1" t="str">
        <f ca="1">IFERROR(__xludf.DUMMYFUNCTION("""COMPUTED_VALUE"""),"Tigil tigilan mo, kaya ka single eh, kabobohan mo🤦‍♂️")</f>
        <v>Tigil tigilan mo, kaya ka single eh, kabobohan mo🤦‍♂️</v>
      </c>
      <c r="F1113" s="1"/>
      <c r="G1113" s="1" t="str">
        <f ca="1">IFERROR(__xludf.DUMMYFUNCTION("""COMPUTED_VALUE"""),"3 mos")</f>
        <v>3 mos</v>
      </c>
      <c r="H1113" s="1" t="str">
        <f ca="1">IFERROR(__xludf.DUMMYFUNCTION("""COMPUTED_VALUE"""),"reply")</f>
        <v>reply</v>
      </c>
      <c r="I1113" s="2" t="str">
        <f ca="1">IFERROR(__xludf.DUMMYFUNCTION("""COMPUTED_VALUE"""),"https://www.facebook.com/rapplerdotcom/photos/a.317154781638645/5596022273751843/")</f>
        <v>https://www.facebook.com/rapplerdotcom/photos/a.317154781638645/5596022273751843/</v>
      </c>
      <c r="J1113" s="1" t="str">
        <f ca="1">IFERROR(__xludf.DUMMYFUNCTION("""COMPUTED_VALUE"""),"2022-07-04T15:39:36.625Z")</f>
        <v>2022-07-04T15:39:36.625Z</v>
      </c>
    </row>
    <row r="1114" spans="1:10" x14ac:dyDescent="0.2">
      <c r="A1114" s="2" t="str">
        <f ca="1">IFERROR(__xludf.DUMMYFUNCTION("""COMPUTED_VALUE"""),"https://www.facebook.com/jbmcaballero")</f>
        <v>https://www.facebook.com/jbmcaballero</v>
      </c>
      <c r="B1114" s="1" t="str">
        <f ca="1">IFERROR(__xludf.DUMMYFUNCTION("""COMPUTED_VALUE"""),"Joey Caballero")</f>
        <v>Joey Caballero</v>
      </c>
      <c r="C1114" s="1" t="str">
        <f ca="1">IFERROR(__xludf.DUMMYFUNCTION("""COMPUTED_VALUE"""),"Joey")</f>
        <v>Joey</v>
      </c>
      <c r="D1114" s="1" t="str">
        <f ca="1">IFERROR(__xludf.DUMMYFUNCTION("""COMPUTED_VALUE"""),"Caballero")</f>
        <v>Caballero</v>
      </c>
      <c r="E1114" s="1" t="str">
        <f ca="1">IFERROR(__xludf.DUMMYFUNCTION("""COMPUTED_VALUE"""),"IpapanaloNa10 talaga ito!💕💕💕")</f>
        <v>IpapanaloNa10 talaga ito!💕💕💕</v>
      </c>
      <c r="F1114" s="1">
        <f ca="1">IFERROR(__xludf.DUMMYFUNCTION("""COMPUTED_VALUE"""),9)</f>
        <v>9</v>
      </c>
      <c r="G1114" s="1" t="str">
        <f ca="1">IFERROR(__xludf.DUMMYFUNCTION("""COMPUTED_VALUE"""),"3 mos")</f>
        <v>3 mos</v>
      </c>
      <c r="H1114" s="1" t="str">
        <f ca="1">IFERROR(__xludf.DUMMYFUNCTION("""COMPUTED_VALUE"""),"comment")</f>
        <v>comment</v>
      </c>
      <c r="I1114" s="2" t="str">
        <f ca="1">IFERROR(__xludf.DUMMYFUNCTION("""COMPUTED_VALUE"""),"https://www.facebook.com/rapplerdotcom/photos/a.317154781638645/5596022273751843/")</f>
        <v>https://www.facebook.com/rapplerdotcom/photos/a.317154781638645/5596022273751843/</v>
      </c>
      <c r="J1114" s="1" t="str">
        <f ca="1">IFERROR(__xludf.DUMMYFUNCTION("""COMPUTED_VALUE"""),"2022-07-04T15:39:36.625Z")</f>
        <v>2022-07-04T15:39:36.625Z</v>
      </c>
    </row>
    <row r="1115" spans="1:10" x14ac:dyDescent="0.2">
      <c r="A1115" s="2" t="str">
        <f ca="1">IFERROR(__xludf.DUMMYFUNCTION("""COMPUTED_VALUE"""),"https://www.facebook.com/jening.martinez")</f>
        <v>https://www.facebook.com/jening.martinez</v>
      </c>
      <c r="B1115" s="1" t="str">
        <f ca="1">IFERROR(__xludf.DUMMYFUNCTION("""COMPUTED_VALUE"""),"Jenine Cayetano Magcalayo Martinez")</f>
        <v>Jenine Cayetano Magcalayo Martinez</v>
      </c>
      <c r="C1115" s="1" t="str">
        <f ca="1">IFERROR(__xludf.DUMMYFUNCTION("""COMPUTED_VALUE"""),"Jenine")</f>
        <v>Jenine</v>
      </c>
      <c r="D1115" s="1" t="str">
        <f ca="1">IFERROR(__xludf.DUMMYFUNCTION("""COMPUTED_VALUE"""),"Cayetano Magcalayo Martinez")</f>
        <v>Cayetano Magcalayo Martinez</v>
      </c>
      <c r="E1115" s="1" t="str">
        <f ca="1">IFERROR(__xludf.DUMMYFUNCTION("""COMPUTED_VALUE"""),"Maliit Ang venue dami pa sa labas n Hindi nkapasok#GobyernongTapatAngatBuhayAngLahat")</f>
        <v>Maliit Ang venue dami pa sa labas n Hindi nkapasok#GobyernongTapatAngatBuhayAngLahat</v>
      </c>
      <c r="F1115" s="1">
        <f ca="1">IFERROR(__xludf.DUMMYFUNCTION("""COMPUTED_VALUE"""),34)</f>
        <v>34</v>
      </c>
      <c r="G1115" s="1" t="str">
        <f ca="1">IFERROR(__xludf.DUMMYFUNCTION("""COMPUTED_VALUE"""),"3 mos")</f>
        <v>3 mos</v>
      </c>
      <c r="H1115" s="1" t="str">
        <f ca="1">IFERROR(__xludf.DUMMYFUNCTION("""COMPUTED_VALUE"""),"comment")</f>
        <v>comment</v>
      </c>
      <c r="I1115" s="2" t="str">
        <f ca="1">IFERROR(__xludf.DUMMYFUNCTION("""COMPUTED_VALUE"""),"https://www.facebook.com/rapplerdotcom/photos/a.317154781638645/5596022273751843/")</f>
        <v>https://www.facebook.com/rapplerdotcom/photos/a.317154781638645/5596022273751843/</v>
      </c>
      <c r="J1115" s="1" t="str">
        <f ca="1">IFERROR(__xludf.DUMMYFUNCTION("""COMPUTED_VALUE"""),"2022-07-04T15:39:36.625Z")</f>
        <v>2022-07-04T15:39:36.625Z</v>
      </c>
    </row>
    <row r="1116" spans="1:10" x14ac:dyDescent="0.2">
      <c r="A1116" s="2" t="str">
        <f ca="1">IFERROR(__xludf.DUMMYFUNCTION("""COMPUTED_VALUE"""),"https://www.facebook.com/joelcueno30")</f>
        <v>https://www.facebook.com/joelcueno30</v>
      </c>
      <c r="B1116" s="1" t="str">
        <f ca="1">IFERROR(__xludf.DUMMYFUNCTION("""COMPUTED_VALUE"""),"Joel Cueno")</f>
        <v>Joel Cueno</v>
      </c>
      <c r="C1116" s="1" t="str">
        <f ca="1">IFERROR(__xludf.DUMMYFUNCTION("""COMPUTED_VALUE"""),"Joel")</f>
        <v>Joel</v>
      </c>
      <c r="D1116" s="1" t="str">
        <f ca="1">IFERROR(__xludf.DUMMYFUNCTION("""COMPUTED_VALUE"""),"Cueno")</f>
        <v>Cueno</v>
      </c>
      <c r="E1116" s="1" t="str">
        <f ca="1">IFERROR(__xludf.DUMMYFUNCTION("""COMPUTED_VALUE"""),"Jenine Cayetano Magcalayo Martinez thats why camanava is pinakamraming LED na nagamit. Pati sa labas sunod sunod LED screen")</f>
        <v>Jenine Cayetano Magcalayo Martinez thats why camanava is pinakamraming LED na nagamit. Pati sa labas sunod sunod LED screen</v>
      </c>
      <c r="F1116" s="1"/>
      <c r="G1116" s="1" t="str">
        <f ca="1">IFERROR(__xludf.DUMMYFUNCTION("""COMPUTED_VALUE"""),"3 mos")</f>
        <v>3 mos</v>
      </c>
      <c r="H1116" s="1" t="str">
        <f ca="1">IFERROR(__xludf.DUMMYFUNCTION("""COMPUTED_VALUE"""),"reply")</f>
        <v>reply</v>
      </c>
      <c r="I1116" s="2" t="str">
        <f ca="1">IFERROR(__xludf.DUMMYFUNCTION("""COMPUTED_VALUE"""),"https://www.facebook.com/rapplerdotcom/photos/a.317154781638645/5596022273751843/")</f>
        <v>https://www.facebook.com/rapplerdotcom/photos/a.317154781638645/5596022273751843/</v>
      </c>
      <c r="J1116" s="1" t="str">
        <f ca="1">IFERROR(__xludf.DUMMYFUNCTION("""COMPUTED_VALUE"""),"2022-07-04T15:39:36.625Z")</f>
        <v>2022-07-04T15:39:36.625Z</v>
      </c>
    </row>
    <row r="1117" spans="1:10" x14ac:dyDescent="0.2">
      <c r="A1117" s="2" t="str">
        <f ca="1">IFERROR(__xludf.DUMMYFUNCTION("""COMPUTED_VALUE"""),"https://www.facebook.com/remzi.onal.9")</f>
        <v>https://www.facebook.com/remzi.onal.9</v>
      </c>
      <c r="B1117" s="1" t="str">
        <f ca="1">IFERROR(__xludf.DUMMYFUNCTION("""COMPUTED_VALUE"""),"Remzi Onal")</f>
        <v>Remzi Onal</v>
      </c>
      <c r="C1117" s="1" t="str">
        <f ca="1">IFERROR(__xludf.DUMMYFUNCTION("""COMPUTED_VALUE"""),"Remzi")</f>
        <v>Remzi</v>
      </c>
      <c r="D1117" s="1" t="str">
        <f ca="1">IFERROR(__xludf.DUMMYFUNCTION("""COMPUTED_VALUE"""),"Onal")</f>
        <v>Onal</v>
      </c>
      <c r="E1117" s="1" t="str">
        <f ca="1">IFERROR(__xludf.DUMMYFUNCTION("""COMPUTED_VALUE"""),"Napakagandang tignan🌸🌸🌸  #CAMANAVAisPink #EarthHour")</f>
        <v>Napakagandang tignan🌸🌸🌸  #CAMANAVAisPink #EarthHour</v>
      </c>
      <c r="F1117" s="1"/>
      <c r="G1117" s="1" t="str">
        <f ca="1">IFERROR(__xludf.DUMMYFUNCTION("""COMPUTED_VALUE"""),"3 mos")</f>
        <v>3 mos</v>
      </c>
      <c r="H1117" s="1" t="str">
        <f ca="1">IFERROR(__xludf.DUMMYFUNCTION("""COMPUTED_VALUE"""),"comment")</f>
        <v>comment</v>
      </c>
      <c r="I1117" s="2" t="str">
        <f ca="1">IFERROR(__xludf.DUMMYFUNCTION("""COMPUTED_VALUE"""),"https://www.facebook.com/rapplerdotcom/photos/a.317154781638645/5596022273751843/")</f>
        <v>https://www.facebook.com/rapplerdotcom/photos/a.317154781638645/5596022273751843/</v>
      </c>
      <c r="J1117" s="1" t="str">
        <f ca="1">IFERROR(__xludf.DUMMYFUNCTION("""COMPUTED_VALUE"""),"2022-07-04T15:39:36.625Z")</f>
        <v>2022-07-04T15:39:36.625Z</v>
      </c>
    </row>
    <row r="1118" spans="1:10" x14ac:dyDescent="0.2">
      <c r="A1118" s="2" t="str">
        <f ca="1">IFERROR(__xludf.DUMMYFUNCTION("""COMPUTED_VALUE"""),"https://www.facebook.com/chabbykitz")</f>
        <v>https://www.facebook.com/chabbykitz</v>
      </c>
      <c r="B1118" s="1" t="str">
        <f ca="1">IFERROR(__xludf.DUMMYFUNCTION("""COMPUTED_VALUE"""),"乔迪")</f>
        <v>乔迪</v>
      </c>
      <c r="C1118" s="1" t="str">
        <f ca="1">IFERROR(__xludf.DUMMYFUNCTION("""COMPUTED_VALUE"""),"乔迪")</f>
        <v>乔迪</v>
      </c>
      <c r="D1118" s="1"/>
      <c r="E1118" s="1" t="str">
        <f ca="1">IFERROR(__xludf.DUMMYFUNCTION("""COMPUTED_VALUE"""),"Kulay pula")</f>
        <v>Kulay pula</v>
      </c>
      <c r="F1118" s="1"/>
      <c r="G1118" s="1" t="str">
        <f ca="1">IFERROR(__xludf.DUMMYFUNCTION("""COMPUTED_VALUE"""),"3 mos")</f>
        <v>3 mos</v>
      </c>
      <c r="H1118" s="1" t="str">
        <f ca="1">IFERROR(__xludf.DUMMYFUNCTION("""COMPUTED_VALUE"""),"comment")</f>
        <v>comment</v>
      </c>
      <c r="I1118" s="2" t="str">
        <f ca="1">IFERROR(__xludf.DUMMYFUNCTION("""COMPUTED_VALUE"""),"https://www.facebook.com/rapplerdotcom/photos/a.317154781638645/5596022273751843/")</f>
        <v>https://www.facebook.com/rapplerdotcom/photos/a.317154781638645/5596022273751843/</v>
      </c>
      <c r="J1118" s="1" t="str">
        <f ca="1">IFERROR(__xludf.DUMMYFUNCTION("""COMPUTED_VALUE"""),"2022-07-04T15:39:36.625Z")</f>
        <v>2022-07-04T15:39:36.625Z</v>
      </c>
    </row>
    <row r="1119" spans="1:10" x14ac:dyDescent="0.2">
      <c r="A1119" s="2" t="str">
        <f ca="1">IFERROR(__xludf.DUMMYFUNCTION("""COMPUTED_VALUE"""),"https://www.facebook.com/rueven.cuizon")</f>
        <v>https://www.facebook.com/rueven.cuizon</v>
      </c>
      <c r="B1119" s="1" t="str">
        <f ca="1">IFERROR(__xludf.DUMMYFUNCTION("""COMPUTED_VALUE"""),"Ven Cuizon")</f>
        <v>Ven Cuizon</v>
      </c>
      <c r="C1119" s="1" t="str">
        <f ca="1">IFERROR(__xludf.DUMMYFUNCTION("""COMPUTED_VALUE"""),"Ven")</f>
        <v>Ven</v>
      </c>
      <c r="D1119" s="1" t="str">
        <f ca="1">IFERROR(__xludf.DUMMYFUNCTION("""COMPUTED_VALUE"""),"Cuizon")</f>
        <v>Cuizon</v>
      </c>
      <c r="E1119" s="1" t="str">
        <f ca="1">IFERROR(__xludf.DUMMYFUNCTION("""COMPUTED_VALUE"""),"Liwanag sa dilim!!!!")</f>
        <v>Liwanag sa dilim!!!!</v>
      </c>
      <c r="F1119" s="1">
        <f ca="1">IFERROR(__xludf.DUMMYFUNCTION("""COMPUTED_VALUE"""),1)</f>
        <v>1</v>
      </c>
      <c r="G1119" s="1" t="str">
        <f ca="1">IFERROR(__xludf.DUMMYFUNCTION("""COMPUTED_VALUE"""),"3 mos")</f>
        <v>3 mos</v>
      </c>
      <c r="H1119" s="1" t="str">
        <f ca="1">IFERROR(__xludf.DUMMYFUNCTION("""COMPUTED_VALUE"""),"comment")</f>
        <v>comment</v>
      </c>
      <c r="I1119" s="2" t="str">
        <f ca="1">IFERROR(__xludf.DUMMYFUNCTION("""COMPUTED_VALUE"""),"https://www.facebook.com/rapplerdotcom/photos/a.317154781638645/5596022273751843/")</f>
        <v>https://www.facebook.com/rapplerdotcom/photos/a.317154781638645/5596022273751843/</v>
      </c>
      <c r="J1119" s="1" t="str">
        <f ca="1">IFERROR(__xludf.DUMMYFUNCTION("""COMPUTED_VALUE"""),"2022-07-04T15:39:36.626Z")</f>
        <v>2022-07-04T15:39:36.626Z</v>
      </c>
    </row>
    <row r="1120" spans="1:10" x14ac:dyDescent="0.2">
      <c r="A1120" s="2" t="str">
        <f ca="1">IFERROR(__xludf.DUMMYFUNCTION("""COMPUTED_VALUE"""),"https://www.facebook.com/ferdinand.arellano.92")</f>
        <v>https://www.facebook.com/ferdinand.arellano.92</v>
      </c>
      <c r="B1120" s="1" t="str">
        <f ca="1">IFERROR(__xludf.DUMMYFUNCTION("""COMPUTED_VALUE"""),"Ferdz Arellano")</f>
        <v>Ferdz Arellano</v>
      </c>
      <c r="C1120" s="1" t="str">
        <f ca="1">IFERROR(__xludf.DUMMYFUNCTION("""COMPUTED_VALUE"""),"Ferdz")</f>
        <v>Ferdz</v>
      </c>
      <c r="D1120" s="1" t="str">
        <f ca="1">IFERROR(__xludf.DUMMYFUNCTION("""COMPUTED_VALUE"""),"Arellano")</f>
        <v>Arellano</v>
      </c>
      <c r="E1120" s="1" t="str">
        <f ca="1">IFERROR(__xludf.DUMMYFUNCTION("""COMPUTED_VALUE"""),"I want clean election on May 9 2022  WALANG!!!!!!!!!!!!!!!!!!!!!!!!!!!!!!!! DAYAAN!!!!!!!!!!!!!!!!!!!!!!!!!!!!!!!!!😀 Kagaya nanyari noon 2016  Election")</f>
        <v>I want clean election on May 9 2022  WALANG!!!!!!!!!!!!!!!!!!!!!!!!!!!!!!!! DAYAAN!!!!!!!!!!!!!!!!!!!!!!!!!!!!!!!!!😀 Kagaya nanyari noon 2016  Election</v>
      </c>
      <c r="F1120" s="1">
        <f ca="1">IFERROR(__xludf.DUMMYFUNCTION("""COMPUTED_VALUE"""),2)</f>
        <v>2</v>
      </c>
      <c r="G1120" s="1" t="str">
        <f ca="1">IFERROR(__xludf.DUMMYFUNCTION("""COMPUTED_VALUE"""),"3 mos")</f>
        <v>3 mos</v>
      </c>
      <c r="H1120" s="1" t="str">
        <f ca="1">IFERROR(__xludf.DUMMYFUNCTION("""COMPUTED_VALUE"""),"comment")</f>
        <v>comment</v>
      </c>
      <c r="I1120" s="2" t="str">
        <f ca="1">IFERROR(__xludf.DUMMYFUNCTION("""COMPUTED_VALUE"""),"https://www.facebook.com/rapplerdotcom/photos/a.317154781638645/5596022273751843/")</f>
        <v>https://www.facebook.com/rapplerdotcom/photos/a.317154781638645/5596022273751843/</v>
      </c>
      <c r="J1120" s="1" t="str">
        <f ca="1">IFERROR(__xludf.DUMMYFUNCTION("""COMPUTED_VALUE"""),"2022-07-04T15:39:36.626Z")</f>
        <v>2022-07-04T15:39:36.626Z</v>
      </c>
    </row>
    <row r="1121" spans="1:10" x14ac:dyDescent="0.2">
      <c r="A1121" s="2" t="str">
        <f ca="1">IFERROR(__xludf.DUMMYFUNCTION("""COMPUTED_VALUE"""),"https://www.facebook.com/lorenzfajardo.amin")</f>
        <v>https://www.facebook.com/lorenzfajardo.amin</v>
      </c>
      <c r="B1121" s="1" t="str">
        <f ca="1">IFERROR(__xludf.DUMMYFUNCTION("""COMPUTED_VALUE"""),"John Lorenz")</f>
        <v>John Lorenz</v>
      </c>
      <c r="C1121" s="1" t="str">
        <f ca="1">IFERROR(__xludf.DUMMYFUNCTION("""COMPUTED_VALUE"""),"John")</f>
        <v>John</v>
      </c>
      <c r="D1121" s="1" t="str">
        <f ca="1">IFERROR(__xludf.DUMMYFUNCTION("""COMPUTED_VALUE"""),"Lorenz")</f>
        <v>Lorenz</v>
      </c>
      <c r="E1121" s="1" t="str">
        <f ca="1">IFERROR(__xludf.DUMMYFUNCTION("""COMPUTED_VALUE"""),"Ferdinand O Arellano 3 times po nagparecount")</f>
        <v>Ferdinand O Arellano 3 times po nagparecount</v>
      </c>
      <c r="F1121" s="1">
        <f ca="1">IFERROR(__xludf.DUMMYFUNCTION("""COMPUTED_VALUE"""),3)</f>
        <v>3</v>
      </c>
      <c r="G1121" s="1" t="str">
        <f ca="1">IFERROR(__xludf.DUMMYFUNCTION("""COMPUTED_VALUE"""),"3 mos")</f>
        <v>3 mos</v>
      </c>
      <c r="H1121" s="1" t="str">
        <f ca="1">IFERROR(__xludf.DUMMYFUNCTION("""COMPUTED_VALUE"""),"reply")</f>
        <v>reply</v>
      </c>
      <c r="I1121" s="2" t="str">
        <f ca="1">IFERROR(__xludf.DUMMYFUNCTION("""COMPUTED_VALUE"""),"https://www.facebook.com/rapplerdotcom/photos/a.317154781638645/5596022273751843/")</f>
        <v>https://www.facebook.com/rapplerdotcom/photos/a.317154781638645/5596022273751843/</v>
      </c>
      <c r="J1121" s="1" t="str">
        <f ca="1">IFERROR(__xludf.DUMMYFUNCTION("""COMPUTED_VALUE"""),"2022-07-04T15:39:36.626Z")</f>
        <v>2022-07-04T15:39:36.626Z</v>
      </c>
    </row>
    <row r="1122" spans="1:10" x14ac:dyDescent="0.2">
      <c r="A1122" s="2" t="str">
        <f ca="1">IFERROR(__xludf.DUMMYFUNCTION("""COMPUTED_VALUE"""),"https://www.facebook.com/angelica.perig.7")</f>
        <v>https://www.facebook.com/angelica.perig.7</v>
      </c>
      <c r="B1122" s="1" t="str">
        <f ca="1">IFERROR(__xludf.DUMMYFUNCTION("""COMPUTED_VALUE"""),"Angelica Perig")</f>
        <v>Angelica Perig</v>
      </c>
      <c r="C1122" s="1" t="str">
        <f ca="1">IFERROR(__xludf.DUMMYFUNCTION("""COMPUTED_VALUE"""),"Angelica")</f>
        <v>Angelica</v>
      </c>
      <c r="D1122" s="1" t="str">
        <f ca="1">IFERROR(__xludf.DUMMYFUNCTION("""COMPUTED_VALUE"""),"Perig")</f>
        <v>Perig</v>
      </c>
      <c r="E1122" s="1" t="str">
        <f ca="1">IFERROR(__xludf.DUMMYFUNCTION("""COMPUTED_VALUE"""),"John Lorenz 3times nga nag parecount pero ..yong iba hinde pinabilang 😂😂")</f>
        <v>John Lorenz 3times nga nag parecount pero ..yong iba hinde pinabilang 😂😂</v>
      </c>
      <c r="F1122" s="1">
        <f ca="1">IFERROR(__xludf.DUMMYFUNCTION("""COMPUTED_VALUE"""),4)</f>
        <v>4</v>
      </c>
      <c r="G1122" s="1" t="str">
        <f ca="1">IFERROR(__xludf.DUMMYFUNCTION("""COMPUTED_VALUE"""),"3 mos")</f>
        <v>3 mos</v>
      </c>
      <c r="H1122" s="1" t="str">
        <f ca="1">IFERROR(__xludf.DUMMYFUNCTION("""COMPUTED_VALUE"""),"reply")</f>
        <v>reply</v>
      </c>
      <c r="I1122" s="2" t="str">
        <f ca="1">IFERROR(__xludf.DUMMYFUNCTION("""COMPUTED_VALUE"""),"https://www.facebook.com/rapplerdotcom/photos/a.317154781638645/5596022273751843/")</f>
        <v>https://www.facebook.com/rapplerdotcom/photos/a.317154781638645/5596022273751843/</v>
      </c>
      <c r="J1122" s="1" t="str">
        <f ca="1">IFERROR(__xludf.DUMMYFUNCTION("""COMPUTED_VALUE"""),"2022-07-04T15:39:36.626Z")</f>
        <v>2022-07-04T15:39:36.626Z</v>
      </c>
    </row>
    <row r="1123" spans="1:10" x14ac:dyDescent="0.2">
      <c r="A1123" s="2" t="str">
        <f ca="1">IFERROR(__xludf.DUMMYFUNCTION("""COMPUTED_VALUE"""),"https://www.facebook.com/noel.sison.96")</f>
        <v>https://www.facebook.com/noel.sison.96</v>
      </c>
      <c r="B1123" s="1" t="str">
        <f ca="1">IFERROR(__xludf.DUMMYFUNCTION("""COMPUTED_VALUE"""),"Noel Sison")</f>
        <v>Noel Sison</v>
      </c>
      <c r="C1123" s="1" t="str">
        <f ca="1">IFERROR(__xludf.DUMMYFUNCTION("""COMPUTED_VALUE"""),"Noel")</f>
        <v>Noel</v>
      </c>
      <c r="D1123" s="1" t="str">
        <f ca="1">IFERROR(__xludf.DUMMYFUNCTION("""COMPUTED_VALUE"""),"Sison")</f>
        <v>Sison</v>
      </c>
      <c r="E1123" s="1" t="str">
        <f ca="1">IFERROR(__xludf.DUMMYFUNCTION("""COMPUTED_VALUE"""),"Angelica Perig ngayon naman meron nang di nabilang balota? Haha. Walang katapusan talaga yung ilusyon ninyong mga apologists.")</f>
        <v>Angelica Perig ngayon naman meron nang di nabilang balota? Haha. Walang katapusan talaga yung ilusyon ninyong mga apologists.</v>
      </c>
      <c r="F1123" s="1">
        <f ca="1">IFERROR(__xludf.DUMMYFUNCTION("""COMPUTED_VALUE"""),1)</f>
        <v>1</v>
      </c>
      <c r="G1123" s="1" t="str">
        <f ca="1">IFERROR(__xludf.DUMMYFUNCTION("""COMPUTED_VALUE"""),"3 mos")</f>
        <v>3 mos</v>
      </c>
      <c r="H1123" s="1" t="str">
        <f ca="1">IFERROR(__xludf.DUMMYFUNCTION("""COMPUTED_VALUE"""),"reply")</f>
        <v>reply</v>
      </c>
      <c r="I1123" s="2" t="str">
        <f ca="1">IFERROR(__xludf.DUMMYFUNCTION("""COMPUTED_VALUE"""),"https://www.facebook.com/rapplerdotcom/photos/a.317154781638645/5596022273751843/")</f>
        <v>https://www.facebook.com/rapplerdotcom/photos/a.317154781638645/5596022273751843/</v>
      </c>
      <c r="J1123" s="1" t="str">
        <f ca="1">IFERROR(__xludf.DUMMYFUNCTION("""COMPUTED_VALUE"""),"2022-07-04T15:39:36.626Z")</f>
        <v>2022-07-04T15:39:36.626Z</v>
      </c>
    </row>
    <row r="1124" spans="1:10" x14ac:dyDescent="0.2">
      <c r="A1124" s="2" t="str">
        <f ca="1">IFERROR(__xludf.DUMMYFUNCTION("""COMPUTED_VALUE"""),"https://www.facebook.com/undress.bonifacio.100")</f>
        <v>https://www.facebook.com/undress.bonifacio.100</v>
      </c>
      <c r="B1124" s="1" t="str">
        <f ca="1">IFERROR(__xludf.DUMMYFUNCTION("""COMPUTED_VALUE"""),"Andres Luis")</f>
        <v>Andres Luis</v>
      </c>
      <c r="C1124" s="1" t="str">
        <f ca="1">IFERROR(__xludf.DUMMYFUNCTION("""COMPUTED_VALUE"""),"Andres")</f>
        <v>Andres</v>
      </c>
      <c r="D1124" s="1" t="str">
        <f ca="1">IFERROR(__xludf.DUMMYFUNCTION("""COMPUTED_VALUE"""),"Luis")</f>
        <v>Luis</v>
      </c>
      <c r="E1124" s="1" t="str">
        <f ca="1">IFERROR(__xludf.DUMMYFUNCTION("""COMPUTED_VALUE"""),"Para sa #GobyernongTapat hindi kurap #AngatBuhayLahat #IpanaloNa10To  #LeniKiko2022 po.")</f>
        <v>Para sa #GobyernongTapat hindi kurap #AngatBuhayLahat #IpanaloNa10To  #LeniKiko2022 po.</v>
      </c>
      <c r="F1124" s="1"/>
      <c r="G1124" s="1" t="str">
        <f ca="1">IFERROR(__xludf.DUMMYFUNCTION("""COMPUTED_VALUE"""),"3 mos")</f>
        <v>3 mos</v>
      </c>
      <c r="H1124" s="1" t="str">
        <f ca="1">IFERROR(__xludf.DUMMYFUNCTION("""COMPUTED_VALUE"""),"comment")</f>
        <v>comment</v>
      </c>
      <c r="I1124" s="2" t="str">
        <f ca="1">IFERROR(__xludf.DUMMYFUNCTION("""COMPUTED_VALUE"""),"https://www.facebook.com/rapplerdotcom/photos/a.317154781638645/5596022273751843/")</f>
        <v>https://www.facebook.com/rapplerdotcom/photos/a.317154781638645/5596022273751843/</v>
      </c>
      <c r="J1124" s="1" t="str">
        <f ca="1">IFERROR(__xludf.DUMMYFUNCTION("""COMPUTED_VALUE"""),"2022-07-04T15:39:36.626Z")</f>
        <v>2022-07-04T15:39:36.626Z</v>
      </c>
    </row>
    <row r="1125" spans="1:10" x14ac:dyDescent="0.2">
      <c r="A1125" s="2" t="str">
        <f ca="1">IFERROR(__xludf.DUMMYFUNCTION("""COMPUTED_VALUE"""),"https://www.facebook.com/kenneth.shinkim")</f>
        <v>https://www.facebook.com/kenneth.shinkim</v>
      </c>
      <c r="B1125" s="1" t="str">
        <f ca="1">IFERROR(__xludf.DUMMYFUNCTION("""COMPUTED_VALUE"""),"Kenneth Shin Kim")</f>
        <v>Kenneth Shin Kim</v>
      </c>
      <c r="C1125" s="1" t="str">
        <f ca="1">IFERROR(__xludf.DUMMYFUNCTION("""COMPUTED_VALUE"""),"Kenneth")</f>
        <v>Kenneth</v>
      </c>
      <c r="D1125" s="1" t="str">
        <f ca="1">IFERROR(__xludf.DUMMYFUNCTION("""COMPUTED_VALUE"""),"Shin Kim")</f>
        <v>Shin Kim</v>
      </c>
      <c r="E1125" s="1" t="str">
        <f ca="1">IFERROR(__xludf.DUMMYFUNCTION("""COMPUTED_VALUE"""),"Parami na ng parami ang gusto ng #GobyerongTapat para #AngatBuhayLahat ng mga Pilipino sa Pilipinas at sa buong mundo!! 🌷🇵🇭💕   Maraming salamat mga #Kakampink tuloy-tuloy ang laban at tindig natin!  #KulayRosasAngBukas #IbobotoKoSiLeni #10RobredoForPr"&amp;"esident #7PangilinanForVicePresident #LeniRobredoIsMyPresident #KikoPangilinanForVicePresident #ChelDioknoforSenator2022 #AntonioTrillanesforSenator2022. #LeilaDeLimaforSenator2022  #RissaHontiverosforSenator2022.  #TeddyBaguilatforSenator2022. #AlexLacso"&amp;"nforSenator2022. #SonnyMatulaforSenaror2022.  #TROPA2022 #LeniKiko2022")</f>
        <v>Parami na ng parami ang gusto ng #GobyerongTapat para #AngatBuhayLahat ng mga Pilipino sa Pilipinas at sa buong mundo!! 🌷🇵🇭💕   Maraming salamat mga #Kakampink tuloy-tuloy ang laban at tindig natin!  #KulayRosasAngBukas #IbobotoKoSiLeni #10RobredoForPresident #7PangilinanForVicePresident #LeniRobredoIsMyPresident #KikoPangilinanForVicePresident #ChelDioknoforSenator2022 #AntonioTrillanesforSenator2022. #LeilaDeLimaforSenator2022  #RissaHontiverosforSenator2022.  #TeddyBaguilatforSenator2022. #AlexLacsonforSenator2022. #SonnyMatulaforSenaror2022.  #TROPA2022 #LeniKiko2022</v>
      </c>
      <c r="F1125" s="1">
        <f ca="1">IFERROR(__xludf.DUMMYFUNCTION("""COMPUTED_VALUE"""),31)</f>
        <v>31</v>
      </c>
      <c r="G1125" s="1" t="str">
        <f ca="1">IFERROR(__xludf.DUMMYFUNCTION("""COMPUTED_VALUE"""),"3 mos")</f>
        <v>3 mos</v>
      </c>
      <c r="H1125" s="1" t="str">
        <f ca="1">IFERROR(__xludf.DUMMYFUNCTION("""COMPUTED_VALUE"""),"comment")</f>
        <v>comment</v>
      </c>
      <c r="I1125" s="2" t="str">
        <f ca="1">IFERROR(__xludf.DUMMYFUNCTION("""COMPUTED_VALUE"""),"https://www.facebook.com/rapplerdotcom/photos/a.317154781638645/5596022273751843/")</f>
        <v>https://www.facebook.com/rapplerdotcom/photos/a.317154781638645/5596022273751843/</v>
      </c>
      <c r="J1125" s="1" t="str">
        <f ca="1">IFERROR(__xludf.DUMMYFUNCTION("""COMPUTED_VALUE"""),"2022-07-04T15:39:36.626Z")</f>
        <v>2022-07-04T15:39:36.626Z</v>
      </c>
    </row>
    <row r="1126" spans="1:10" x14ac:dyDescent="0.2">
      <c r="A1126" s="2" t="str">
        <f ca="1">IFERROR(__xludf.DUMMYFUNCTION("""COMPUTED_VALUE"""),"https://www.facebook.com/totskie.alkhan")</f>
        <v>https://www.facebook.com/totskie.alkhan</v>
      </c>
      <c r="B1126" s="1" t="str">
        <f ca="1">IFERROR(__xludf.DUMMYFUNCTION("""COMPUTED_VALUE"""),"Alphy Bandojo Amil")</f>
        <v>Alphy Bandojo Amil</v>
      </c>
      <c r="C1126" s="1" t="str">
        <f ca="1">IFERROR(__xludf.DUMMYFUNCTION("""COMPUTED_VALUE"""),"Alphy")</f>
        <v>Alphy</v>
      </c>
      <c r="D1126" s="1" t="str">
        <f ca="1">IFERROR(__xludf.DUMMYFUNCTION("""COMPUTED_VALUE"""),"Bandojo Amil")</f>
        <v>Bandojo Amil</v>
      </c>
      <c r="E1126" s="1" t="str">
        <f ca="1">IFERROR(__xludf.DUMMYFUNCTION("""COMPUTED_VALUE"""),"Kenneth Shin Kim pero ung 20% nyo naging 15% na lng😂")</f>
        <v>Kenneth Shin Kim pero ung 20% nyo naging 15% na lng😂</v>
      </c>
      <c r="F1126" s="1"/>
      <c r="G1126" s="1" t="str">
        <f ca="1">IFERROR(__xludf.DUMMYFUNCTION("""COMPUTED_VALUE"""),"3 mos")</f>
        <v>3 mos</v>
      </c>
      <c r="H1126" s="1" t="str">
        <f ca="1">IFERROR(__xludf.DUMMYFUNCTION("""COMPUTED_VALUE"""),"reply")</f>
        <v>reply</v>
      </c>
      <c r="I1126" s="2" t="str">
        <f ca="1">IFERROR(__xludf.DUMMYFUNCTION("""COMPUTED_VALUE"""),"https://www.facebook.com/rapplerdotcom/photos/a.317154781638645/5596022273751843/")</f>
        <v>https://www.facebook.com/rapplerdotcom/photos/a.317154781638645/5596022273751843/</v>
      </c>
      <c r="J1126" s="1" t="str">
        <f ca="1">IFERROR(__xludf.DUMMYFUNCTION("""COMPUTED_VALUE"""),"2022-07-04T15:39:36.626Z")</f>
        <v>2022-07-04T15:39:36.626Z</v>
      </c>
    </row>
    <row r="1127" spans="1:10" x14ac:dyDescent="0.2">
      <c r="A1127" s="2" t="str">
        <f ca="1">IFERROR(__xludf.DUMMYFUNCTION("""COMPUTED_VALUE"""),"https://www.facebook.com/vicky.v.quiachon")</f>
        <v>https://www.facebook.com/vicky.v.quiachon</v>
      </c>
      <c r="B1127" s="1" t="str">
        <f ca="1">IFERROR(__xludf.DUMMYFUNCTION("""COMPUTED_VALUE"""),"Inday Vicvic")</f>
        <v>Inday Vicvic</v>
      </c>
      <c r="C1127" s="1" t="str">
        <f ca="1">IFERROR(__xludf.DUMMYFUNCTION("""COMPUTED_VALUE"""),"Inday")</f>
        <v>Inday</v>
      </c>
      <c r="D1127" s="1" t="str">
        <f ca="1">IFERROR(__xludf.DUMMYFUNCTION("""COMPUTED_VALUE"""),"Vicvic")</f>
        <v>Vicvic</v>
      </c>
      <c r="E1127" s="1" t="str">
        <f ca="1">IFERROR(__xludf.DUMMYFUNCTION("""COMPUTED_VALUE"""),"Ang ganda! Kumukuti-kutitap! Parang kinabukasan natin kapag si Leninat Kiko ang manalo! #LeniKikoAllTheWay  #CaMaNaVaIsPink  #CaMaNavaForLeniKiko  #CaMaNaVaRockAndRosas")</f>
        <v>Ang ganda! Kumukuti-kutitap! Parang kinabukasan natin kapag si Leninat Kiko ang manalo! #LeniKikoAllTheWay  #CaMaNaVaIsPink  #CaMaNavaForLeniKiko  #CaMaNaVaRockAndRosas</v>
      </c>
      <c r="F1127" s="1"/>
      <c r="G1127" s="1" t="str">
        <f ca="1">IFERROR(__xludf.DUMMYFUNCTION("""COMPUTED_VALUE"""),"3 mos")</f>
        <v>3 mos</v>
      </c>
      <c r="H1127" s="1" t="str">
        <f ca="1">IFERROR(__xludf.DUMMYFUNCTION("""COMPUTED_VALUE"""),"comment")</f>
        <v>comment</v>
      </c>
      <c r="I1127" s="2" t="str">
        <f ca="1">IFERROR(__xludf.DUMMYFUNCTION("""COMPUTED_VALUE"""),"https://www.facebook.com/rapplerdotcom/photos/a.317154781638645/5596022273751843/")</f>
        <v>https://www.facebook.com/rapplerdotcom/photos/a.317154781638645/5596022273751843/</v>
      </c>
      <c r="J1127" s="1" t="str">
        <f ca="1">IFERROR(__xludf.DUMMYFUNCTION("""COMPUTED_VALUE"""),"2022-07-04T15:39:36.626Z")</f>
        <v>2022-07-04T15:39:36.626Z</v>
      </c>
    </row>
    <row r="1128" spans="1:10" x14ac:dyDescent="0.2">
      <c r="A1128" s="2" t="str">
        <f ca="1">IFERROR(__xludf.DUMMYFUNCTION("""COMPUTED_VALUE"""),"https://www.facebook.com/profile.php?id=100009501826063")</f>
        <v>https://www.facebook.com/profile.php?id=100009501826063</v>
      </c>
      <c r="B1128" s="1" t="str">
        <f ca="1">IFERROR(__xludf.DUMMYFUNCTION("""COMPUTED_VALUE"""),"Bing Rebite")</f>
        <v>Bing Rebite</v>
      </c>
      <c r="C1128" s="1" t="str">
        <f ca="1">IFERROR(__xludf.DUMMYFUNCTION("""COMPUTED_VALUE"""),"Bing")</f>
        <v>Bing</v>
      </c>
      <c r="D1128" s="1" t="str">
        <f ca="1">IFERROR(__xludf.DUMMYFUNCTION("""COMPUTED_VALUE"""),"Rebite")</f>
        <v>Rebite</v>
      </c>
      <c r="E1128" s="1" t="str">
        <f ca="1">IFERROR(__xludf.DUMMYFUNCTION("""COMPUTED_VALUE"""),"Galing Ng nag edit Ng picture")</f>
        <v>Galing Ng nag edit Ng picture</v>
      </c>
      <c r="F1128" s="1"/>
      <c r="G1128" s="1" t="str">
        <f ca="1">IFERROR(__xludf.DUMMYFUNCTION("""COMPUTED_VALUE"""),"3 mos")</f>
        <v>3 mos</v>
      </c>
      <c r="H1128" s="1" t="str">
        <f ca="1">IFERROR(__xludf.DUMMYFUNCTION("""COMPUTED_VALUE"""),"comment")</f>
        <v>comment</v>
      </c>
      <c r="I1128" s="2" t="str">
        <f ca="1">IFERROR(__xludf.DUMMYFUNCTION("""COMPUTED_VALUE"""),"https://www.facebook.com/rapplerdotcom/photos/a.317154781638645/5596022273751843/")</f>
        <v>https://www.facebook.com/rapplerdotcom/photos/a.317154781638645/5596022273751843/</v>
      </c>
      <c r="J1128" s="1" t="str">
        <f ca="1">IFERROR(__xludf.DUMMYFUNCTION("""COMPUTED_VALUE"""),"2022-07-04T15:39:36.626Z")</f>
        <v>2022-07-04T15:39:36.626Z</v>
      </c>
    </row>
    <row r="1129" spans="1:10" x14ac:dyDescent="0.2">
      <c r="A1129" s="2" t="str">
        <f ca="1">IFERROR(__xludf.DUMMYFUNCTION("""COMPUTED_VALUE"""),"https://www.facebook.com/kylie.azure")</f>
        <v>https://www.facebook.com/kylie.azure</v>
      </c>
      <c r="B1129" s="1" t="str">
        <f ca="1">IFERROR(__xludf.DUMMYFUNCTION("""COMPUTED_VALUE"""),"Kyle Mendoza")</f>
        <v>Kyle Mendoza</v>
      </c>
      <c r="C1129" s="1" t="str">
        <f ca="1">IFERROR(__xludf.DUMMYFUNCTION("""COMPUTED_VALUE"""),"Kyle")</f>
        <v>Kyle</v>
      </c>
      <c r="D1129" s="1" t="str">
        <f ca="1">IFERROR(__xludf.DUMMYFUNCTION("""COMPUTED_VALUE"""),"Mendoza")</f>
        <v>Mendoza</v>
      </c>
      <c r="E1129" s="1" t="str">
        <f ca="1">IFERROR(__xludf.DUMMYFUNCTION("""COMPUTED_VALUE"""),"Gaya gaya")</f>
        <v>Gaya gaya</v>
      </c>
      <c r="F1129" s="1">
        <f ca="1">IFERROR(__xludf.DUMMYFUNCTION("""COMPUTED_VALUE"""),1)</f>
        <v>1</v>
      </c>
      <c r="G1129" s="1" t="str">
        <f ca="1">IFERROR(__xludf.DUMMYFUNCTION("""COMPUTED_VALUE"""),"3 mos")</f>
        <v>3 mos</v>
      </c>
      <c r="H1129" s="1" t="str">
        <f ca="1">IFERROR(__xludf.DUMMYFUNCTION("""COMPUTED_VALUE"""),"comment")</f>
        <v>comment</v>
      </c>
      <c r="I1129" s="2" t="str">
        <f ca="1">IFERROR(__xludf.DUMMYFUNCTION("""COMPUTED_VALUE"""),"https://www.facebook.com/rapplerdotcom/photos/a.317154781638645/5596022273751843/")</f>
        <v>https://www.facebook.com/rapplerdotcom/photos/a.317154781638645/5596022273751843/</v>
      </c>
      <c r="J1129" s="1" t="str">
        <f ca="1">IFERROR(__xludf.DUMMYFUNCTION("""COMPUTED_VALUE"""),"2022-07-04T15:39:36.626Z")</f>
        <v>2022-07-04T15:39:36.626Z</v>
      </c>
    </row>
    <row r="1130" spans="1:10" x14ac:dyDescent="0.2">
      <c r="A1130" s="2" t="str">
        <f ca="1">IFERROR(__xludf.DUMMYFUNCTION("""COMPUTED_VALUE"""),"https://www.facebook.com/marlene.delacruz.5602")</f>
        <v>https://www.facebook.com/marlene.delacruz.5602</v>
      </c>
      <c r="B1130" s="1" t="str">
        <f ca="1">IFERROR(__xludf.DUMMYFUNCTION("""COMPUTED_VALUE"""),"Marlene Caurel Dela Cruz")</f>
        <v>Marlene Caurel Dela Cruz</v>
      </c>
      <c r="C1130" s="1" t="str">
        <f ca="1">IFERROR(__xludf.DUMMYFUNCTION("""COMPUTED_VALUE"""),"Marlene")</f>
        <v>Marlene</v>
      </c>
      <c r="D1130" s="1" t="str">
        <f ca="1">IFERROR(__xludf.DUMMYFUNCTION("""COMPUTED_VALUE"""),"Caurel Dela Cruz")</f>
        <v>Caurel Dela Cruz</v>
      </c>
      <c r="E1130" s="1" t="str">
        <f ca="1">IFERROR(__xludf.DUMMYFUNCTION("""COMPUTED_VALUE"""),"Kyle Mendoza True inilawan din Ang cp.parang sa UNITEAM sa Marikina")</f>
        <v>Kyle Mendoza True inilawan din Ang cp.parang sa UNITEAM sa Marikina</v>
      </c>
      <c r="F1130" s="1"/>
      <c r="G1130" s="1" t="str">
        <f ca="1">IFERROR(__xludf.DUMMYFUNCTION("""COMPUTED_VALUE"""),"3 mos")</f>
        <v>3 mos</v>
      </c>
      <c r="H1130" s="1" t="str">
        <f ca="1">IFERROR(__xludf.DUMMYFUNCTION("""COMPUTED_VALUE"""),"reply")</f>
        <v>reply</v>
      </c>
      <c r="I1130" s="2" t="str">
        <f ca="1">IFERROR(__xludf.DUMMYFUNCTION("""COMPUTED_VALUE"""),"https://www.facebook.com/rapplerdotcom/photos/a.317154781638645/5596022273751843/")</f>
        <v>https://www.facebook.com/rapplerdotcom/photos/a.317154781638645/5596022273751843/</v>
      </c>
      <c r="J1130" s="1" t="str">
        <f ca="1">IFERROR(__xludf.DUMMYFUNCTION("""COMPUTED_VALUE"""),"2022-07-04T15:39:36.626Z")</f>
        <v>2022-07-04T15:39:36.626Z</v>
      </c>
    </row>
    <row r="1131" spans="1:10" x14ac:dyDescent="0.2">
      <c r="A1131" s="2" t="str">
        <f ca="1">IFERROR(__xludf.DUMMYFUNCTION("""COMPUTED_VALUE"""),"https://www.facebook.com/NelvieParilla")</f>
        <v>https://www.facebook.com/NelvieParilla</v>
      </c>
      <c r="B1131" s="1" t="str">
        <f ca="1">IFERROR(__xludf.DUMMYFUNCTION("""COMPUTED_VALUE"""),"Nelvie")</f>
        <v>Nelvie</v>
      </c>
      <c r="C1131" s="1" t="str">
        <f ca="1">IFERROR(__xludf.DUMMYFUNCTION("""COMPUTED_VALUE"""),"Nelvie")</f>
        <v>Nelvie</v>
      </c>
      <c r="D1131" s="1"/>
      <c r="E1131" s="1" t="str">
        <f ca="1">IFERROR(__xludf.DUMMYFUNCTION("""COMPUTED_VALUE"""),"Marlene Caurel Dela Cruz alam niyo yung earth hour? 🤦")</f>
        <v>Marlene Caurel Dela Cruz alam niyo yung earth hour? 🤦</v>
      </c>
      <c r="F1131" s="1">
        <f ca="1">IFERROR(__xludf.DUMMYFUNCTION("""COMPUTED_VALUE"""),1)</f>
        <v>1</v>
      </c>
      <c r="G1131" s="1" t="str">
        <f ca="1">IFERROR(__xludf.DUMMYFUNCTION("""COMPUTED_VALUE"""),"3 mos")</f>
        <v>3 mos</v>
      </c>
      <c r="H1131" s="1" t="str">
        <f ca="1">IFERROR(__xludf.DUMMYFUNCTION("""COMPUTED_VALUE"""),"reply")</f>
        <v>reply</v>
      </c>
      <c r="I1131" s="2" t="str">
        <f ca="1">IFERROR(__xludf.DUMMYFUNCTION("""COMPUTED_VALUE"""),"https://www.facebook.com/rapplerdotcom/photos/a.317154781638645/5596022273751843/")</f>
        <v>https://www.facebook.com/rapplerdotcom/photos/a.317154781638645/5596022273751843/</v>
      </c>
      <c r="J1131" s="1" t="str">
        <f ca="1">IFERROR(__xludf.DUMMYFUNCTION("""COMPUTED_VALUE"""),"2022-07-04T15:39:36.626Z")</f>
        <v>2022-07-04T15:39:36.626Z</v>
      </c>
    </row>
    <row r="1132" spans="1:10" x14ac:dyDescent="0.2">
      <c r="A1132" s="2" t="str">
        <f ca="1">IFERROR(__xludf.DUMMYFUNCTION("""COMPUTED_VALUE"""),"https://www.facebook.com/yonehl.inasor")</f>
        <v>https://www.facebook.com/yonehl.inasor</v>
      </c>
      <c r="B1132" s="1" t="str">
        <f ca="1">IFERROR(__xludf.DUMMYFUNCTION("""COMPUTED_VALUE"""),"Inasor Acosta")</f>
        <v>Inasor Acosta</v>
      </c>
      <c r="C1132" s="1" t="str">
        <f ca="1">IFERROR(__xludf.DUMMYFUNCTION("""COMPUTED_VALUE"""),"Inasor")</f>
        <v>Inasor</v>
      </c>
      <c r="D1132" s="1" t="str">
        <f ca="1">IFERROR(__xludf.DUMMYFUNCTION("""COMPUTED_VALUE"""),"Acosta")</f>
        <v>Acosta</v>
      </c>
      <c r="E1132" s="1" t="str">
        <f ca="1">IFERROR(__xludf.DUMMYFUNCTION("""COMPUTED_VALUE"""),"Nelvie di sila inform kaya nga Earth hour hihihi...")</f>
        <v>Nelvie di sila inform kaya nga Earth hour hihihi...</v>
      </c>
      <c r="F1132" s="1"/>
      <c r="G1132" s="1" t="str">
        <f ca="1">IFERROR(__xludf.DUMMYFUNCTION("""COMPUTED_VALUE"""),"3 mos")</f>
        <v>3 mos</v>
      </c>
      <c r="H1132" s="1" t="str">
        <f ca="1">IFERROR(__xludf.DUMMYFUNCTION("""COMPUTED_VALUE"""),"reply")</f>
        <v>reply</v>
      </c>
      <c r="I1132" s="2" t="str">
        <f ca="1">IFERROR(__xludf.DUMMYFUNCTION("""COMPUTED_VALUE"""),"https://www.facebook.com/rapplerdotcom/photos/a.317154781638645/5596022273751843/")</f>
        <v>https://www.facebook.com/rapplerdotcom/photos/a.317154781638645/5596022273751843/</v>
      </c>
      <c r="J1132" s="1" t="str">
        <f ca="1">IFERROR(__xludf.DUMMYFUNCTION("""COMPUTED_VALUE"""),"2022-07-04T15:39:36.626Z")</f>
        <v>2022-07-04T15:39:36.626Z</v>
      </c>
    </row>
    <row r="1133" spans="1:10" x14ac:dyDescent="0.2">
      <c r="A1133" s="2" t="str">
        <f ca="1">IFERROR(__xludf.DUMMYFUNCTION("""COMPUTED_VALUE"""),"https://www.facebook.com/senpaiz09")</f>
        <v>https://www.facebook.com/senpaiz09</v>
      </c>
      <c r="B1133" s="1" t="str">
        <f ca="1">IFERROR(__xludf.DUMMYFUNCTION("""COMPUTED_VALUE"""),"Paul Hedrick Virtudez")</f>
        <v>Paul Hedrick Virtudez</v>
      </c>
      <c r="C1133" s="1" t="str">
        <f ca="1">IFERROR(__xludf.DUMMYFUNCTION("""COMPUTED_VALUE"""),"Paul")</f>
        <v>Paul</v>
      </c>
      <c r="D1133" s="1" t="str">
        <f ca="1">IFERROR(__xludf.DUMMYFUNCTION("""COMPUTED_VALUE"""),"Hedrick Virtudez")</f>
        <v>Hedrick Virtudez</v>
      </c>
      <c r="E1133" s="1" t="str">
        <f ca="1">IFERROR(__xludf.DUMMYFUNCTION("""COMPUTED_VALUE"""),"Kyle Mendoza kuya alam niyo po ba yung EARTH HOUR???")</f>
        <v>Kyle Mendoza kuya alam niyo po ba yung EARTH HOUR???</v>
      </c>
      <c r="F1133" s="1"/>
      <c r="G1133" s="1" t="str">
        <f ca="1">IFERROR(__xludf.DUMMYFUNCTION("""COMPUTED_VALUE"""),"3 mos")</f>
        <v>3 mos</v>
      </c>
      <c r="H1133" s="1" t="str">
        <f ca="1">IFERROR(__xludf.DUMMYFUNCTION("""COMPUTED_VALUE"""),"reply")</f>
        <v>reply</v>
      </c>
      <c r="I1133" s="2" t="str">
        <f ca="1">IFERROR(__xludf.DUMMYFUNCTION("""COMPUTED_VALUE"""),"https://www.facebook.com/rapplerdotcom/photos/a.317154781638645/5596022273751843/")</f>
        <v>https://www.facebook.com/rapplerdotcom/photos/a.317154781638645/5596022273751843/</v>
      </c>
      <c r="J1133" s="1" t="str">
        <f ca="1">IFERROR(__xludf.DUMMYFUNCTION("""COMPUTED_VALUE"""),"2022-07-04T15:39:36.626Z")</f>
        <v>2022-07-04T15:39:36.626Z</v>
      </c>
    </row>
    <row r="1134" spans="1:10" x14ac:dyDescent="0.2">
      <c r="A1134" s="2" t="str">
        <f ca="1">IFERROR(__xludf.DUMMYFUNCTION("""COMPUTED_VALUE"""),"https://www.facebook.com/ronnie.mangaoang.1")</f>
        <v>https://www.facebook.com/ronnie.mangaoang.1</v>
      </c>
      <c r="B1134" s="1" t="str">
        <f ca="1">IFERROR(__xludf.DUMMYFUNCTION("""COMPUTED_VALUE"""),"Ronnie Mangaoang")</f>
        <v>Ronnie Mangaoang</v>
      </c>
      <c r="C1134" s="1" t="str">
        <f ca="1">IFERROR(__xludf.DUMMYFUNCTION("""COMPUTED_VALUE"""),"Ronnie")</f>
        <v>Ronnie</v>
      </c>
      <c r="D1134" s="1" t="str">
        <f ca="1">IFERROR(__xludf.DUMMYFUNCTION("""COMPUTED_VALUE"""),"Mangaoang")</f>
        <v>Mangaoang</v>
      </c>
      <c r="E1134" s="1" t="str">
        <f ca="1">IFERROR(__xludf.DUMMYFUNCTION("""COMPUTED_VALUE"""),"Malinaw na ang may kakayahan")</f>
        <v>Malinaw na ang may kakayahan</v>
      </c>
      <c r="F1134" s="1"/>
      <c r="G1134" s="1" t="str">
        <f ca="1">IFERROR(__xludf.DUMMYFUNCTION("""COMPUTED_VALUE"""),"3 mos")</f>
        <v>3 mos</v>
      </c>
      <c r="H1134" s="1" t="str">
        <f ca="1">IFERROR(__xludf.DUMMYFUNCTION("""COMPUTED_VALUE"""),"comment")</f>
        <v>comment</v>
      </c>
      <c r="I1134" s="2" t="str">
        <f ca="1">IFERROR(__xludf.DUMMYFUNCTION("""COMPUTED_VALUE"""),"https://www.facebook.com/rapplerdotcom/photos/a.317154781638645/5596022273751843/")</f>
        <v>https://www.facebook.com/rapplerdotcom/photos/a.317154781638645/5596022273751843/</v>
      </c>
      <c r="J1134" s="1" t="str">
        <f ca="1">IFERROR(__xludf.DUMMYFUNCTION("""COMPUTED_VALUE"""),"2022-07-04T15:39:36.626Z")</f>
        <v>2022-07-04T15:39:36.626Z</v>
      </c>
    </row>
    <row r="1135" spans="1:10" x14ac:dyDescent="0.2">
      <c r="A1135" s="2" t="str">
        <f ca="1">IFERROR(__xludf.DUMMYFUNCTION("""COMPUTED_VALUE"""),"https://www.facebook.com/jianson")</f>
        <v>https://www.facebook.com/jianson</v>
      </c>
      <c r="B1135" s="1" t="str">
        <f ca="1">IFERROR(__xludf.DUMMYFUNCTION("""COMPUTED_VALUE"""),"Ian Tiao")</f>
        <v>Ian Tiao</v>
      </c>
      <c r="C1135" s="1" t="str">
        <f ca="1">IFERROR(__xludf.DUMMYFUNCTION("""COMPUTED_VALUE"""),"Ian")</f>
        <v>Ian</v>
      </c>
      <c r="D1135" s="1" t="str">
        <f ca="1">IFERROR(__xludf.DUMMYFUNCTION("""COMPUTED_VALUE"""),"Tiao")</f>
        <v>Tiao</v>
      </c>
      <c r="E1135" s="1" t="str">
        <f ca="1">IFERROR(__xludf.DUMMYFUNCTION("""COMPUTED_VALUE"""),"Wow daming kakampink. #LetLeniLead")</f>
        <v>Wow daming kakampink. #LetLeniLead</v>
      </c>
      <c r="F1135" s="1">
        <f ca="1">IFERROR(__xludf.DUMMYFUNCTION("""COMPUTED_VALUE"""),1)</f>
        <v>1</v>
      </c>
      <c r="G1135" s="1" t="str">
        <f ca="1">IFERROR(__xludf.DUMMYFUNCTION("""COMPUTED_VALUE"""),"3 mos")</f>
        <v>3 mos</v>
      </c>
      <c r="H1135" s="1" t="str">
        <f ca="1">IFERROR(__xludf.DUMMYFUNCTION("""COMPUTED_VALUE"""),"comment")</f>
        <v>comment</v>
      </c>
      <c r="I1135" s="2" t="str">
        <f ca="1">IFERROR(__xludf.DUMMYFUNCTION("""COMPUTED_VALUE"""),"https://www.facebook.com/rapplerdotcom/photos/a.317154781638645/5596022273751843/")</f>
        <v>https://www.facebook.com/rapplerdotcom/photos/a.317154781638645/5596022273751843/</v>
      </c>
      <c r="J1135" s="1" t="str">
        <f ca="1">IFERROR(__xludf.DUMMYFUNCTION("""COMPUTED_VALUE"""),"2022-07-04T15:39:36.626Z")</f>
        <v>2022-07-04T15:39:36.626Z</v>
      </c>
    </row>
    <row r="1136" spans="1:10" x14ac:dyDescent="0.2">
      <c r="A1136" s="2" t="str">
        <f ca="1">IFERROR(__xludf.DUMMYFUNCTION("""COMPUTED_VALUE"""),"https://www.facebook.com/profile.php?id=100009111409816")</f>
        <v>https://www.facebook.com/profile.php?id=100009111409816</v>
      </c>
      <c r="B1136" s="1" t="str">
        <f ca="1">IFERROR(__xludf.DUMMYFUNCTION("""COMPUTED_VALUE"""),"Nida Saldivia")</f>
        <v>Nida Saldivia</v>
      </c>
      <c r="C1136" s="1" t="str">
        <f ca="1">IFERROR(__xludf.DUMMYFUNCTION("""COMPUTED_VALUE"""),"Nida")</f>
        <v>Nida</v>
      </c>
      <c r="D1136" s="1" t="str">
        <f ca="1">IFERROR(__xludf.DUMMYFUNCTION("""COMPUTED_VALUE"""),"Saldivia")</f>
        <v>Saldivia</v>
      </c>
      <c r="E1136" s="1" t="str">
        <f ca="1">IFERROR(__xludf.DUMMYFUNCTION("""COMPUTED_VALUE"""),"Ian Tiao wow!! DAMI MINOR D Pa pede makaboto😯")</f>
        <v>Ian Tiao wow!! DAMI MINOR D Pa pede makaboto😯</v>
      </c>
      <c r="F1136" s="1">
        <f ca="1">IFERROR(__xludf.DUMMYFUNCTION("""COMPUTED_VALUE"""),1)</f>
        <v>1</v>
      </c>
      <c r="G1136" s="1" t="str">
        <f ca="1">IFERROR(__xludf.DUMMYFUNCTION("""COMPUTED_VALUE"""),"3 mos")</f>
        <v>3 mos</v>
      </c>
      <c r="H1136" s="1" t="str">
        <f ca="1">IFERROR(__xludf.DUMMYFUNCTION("""COMPUTED_VALUE"""),"reply")</f>
        <v>reply</v>
      </c>
      <c r="I1136" s="2" t="str">
        <f ca="1">IFERROR(__xludf.DUMMYFUNCTION("""COMPUTED_VALUE"""),"https://www.facebook.com/rapplerdotcom/photos/a.317154781638645/5596022273751843/")</f>
        <v>https://www.facebook.com/rapplerdotcom/photos/a.317154781638645/5596022273751843/</v>
      </c>
      <c r="J1136" s="1" t="str">
        <f ca="1">IFERROR(__xludf.DUMMYFUNCTION("""COMPUTED_VALUE"""),"2022-07-04T15:39:36.626Z")</f>
        <v>2022-07-04T15:39:36.626Z</v>
      </c>
    </row>
    <row r="1137" spans="1:10" x14ac:dyDescent="0.2">
      <c r="A1137" s="2" t="str">
        <f ca="1">IFERROR(__xludf.DUMMYFUNCTION("""COMPUTED_VALUE"""),"https://www.facebook.com/mikhail.maslog")</f>
        <v>https://www.facebook.com/mikhail.maslog</v>
      </c>
      <c r="B1137" s="1" t="str">
        <f ca="1">IFERROR(__xludf.DUMMYFUNCTION("""COMPUTED_VALUE"""),"Mikha'El Maslog")</f>
        <v>Mikha'El Maslog</v>
      </c>
      <c r="C1137" s="1" t="str">
        <f ca="1">IFERROR(__xludf.DUMMYFUNCTION("""COMPUTED_VALUE"""),"Mikha'El")</f>
        <v>Mikha'El</v>
      </c>
      <c r="D1137" s="1" t="str">
        <f ca="1">IFERROR(__xludf.DUMMYFUNCTION("""COMPUTED_VALUE"""),"Maslog")</f>
        <v>Maslog</v>
      </c>
      <c r="E1137" s="1" t="str">
        <f ca="1">IFERROR(__xludf.DUMMYFUNCTION("""COMPUTED_VALUE"""),"Thank you CAMANAVA!! Shabay shabay HINDI KAMI ALITAPTAP! HINDI KAMI ALITAPTAP 🙃")</f>
        <v>Thank you CAMANAVA!! Shabay shabay HINDI KAMI ALITAPTAP! HINDI KAMI ALITAPTAP 🙃</v>
      </c>
      <c r="F1137" s="1"/>
      <c r="G1137" s="1" t="str">
        <f ca="1">IFERROR(__xludf.DUMMYFUNCTION("""COMPUTED_VALUE"""),"3 mos")</f>
        <v>3 mos</v>
      </c>
      <c r="H1137" s="1" t="str">
        <f ca="1">IFERROR(__xludf.DUMMYFUNCTION("""COMPUTED_VALUE"""),"comment")</f>
        <v>comment</v>
      </c>
      <c r="I1137" s="2" t="str">
        <f ca="1">IFERROR(__xludf.DUMMYFUNCTION("""COMPUTED_VALUE"""),"https://www.facebook.com/rapplerdotcom/photos/a.317154781638645/5596022273751843/")</f>
        <v>https://www.facebook.com/rapplerdotcom/photos/a.317154781638645/5596022273751843/</v>
      </c>
      <c r="J1137" s="1" t="str">
        <f ca="1">IFERROR(__xludf.DUMMYFUNCTION("""COMPUTED_VALUE"""),"2022-07-04T15:39:36.626Z")</f>
        <v>2022-07-04T15:39:36.626Z</v>
      </c>
    </row>
    <row r="1138" spans="1:10" x14ac:dyDescent="0.2">
      <c r="A1138" s="2" t="str">
        <f ca="1">IFERROR(__xludf.DUMMYFUNCTION("""COMPUTED_VALUE"""),"https://www.facebook.com/nissan.urvan.779")</f>
        <v>https://www.facebook.com/nissan.urvan.779</v>
      </c>
      <c r="B1138" s="1" t="str">
        <f ca="1">IFERROR(__xludf.DUMMYFUNCTION("""COMPUTED_VALUE"""),"Ryndell Bustonera Serafines")</f>
        <v>Ryndell Bustonera Serafines</v>
      </c>
      <c r="C1138" s="1" t="str">
        <f ca="1">IFERROR(__xludf.DUMMYFUNCTION("""COMPUTED_VALUE"""),"Ryndell")</f>
        <v>Ryndell</v>
      </c>
      <c r="D1138" s="1" t="str">
        <f ca="1">IFERROR(__xludf.DUMMYFUNCTION("""COMPUTED_VALUE"""),"Bustonera Serafines")</f>
        <v>Bustonera Serafines</v>
      </c>
      <c r="E1138" s="1" t="str">
        <f ca="1">IFERROR(__xludf.DUMMYFUNCTION("""COMPUTED_VALUE"""),"Mga alitaptap para sa BAYAN. 🇵🇭 #GobyernongTapatAngatBuhayLahat")</f>
        <v>Mga alitaptap para sa BAYAN. 🇵🇭 #GobyernongTapatAngatBuhayLahat</v>
      </c>
      <c r="F1138" s="1">
        <f ca="1">IFERROR(__xludf.DUMMYFUNCTION("""COMPUTED_VALUE"""),1)</f>
        <v>1</v>
      </c>
      <c r="G1138" s="1" t="str">
        <f ca="1">IFERROR(__xludf.DUMMYFUNCTION("""COMPUTED_VALUE"""),"3 mos")</f>
        <v>3 mos</v>
      </c>
      <c r="H1138" s="1" t="str">
        <f ca="1">IFERROR(__xludf.DUMMYFUNCTION("""COMPUTED_VALUE"""),"comment")</f>
        <v>comment</v>
      </c>
      <c r="I1138" s="2" t="str">
        <f ca="1">IFERROR(__xludf.DUMMYFUNCTION("""COMPUTED_VALUE"""),"https://www.facebook.com/rapplerdotcom/photos/a.317154781638645/5596022273751843/")</f>
        <v>https://www.facebook.com/rapplerdotcom/photos/a.317154781638645/5596022273751843/</v>
      </c>
      <c r="J1138" s="1" t="str">
        <f ca="1">IFERROR(__xludf.DUMMYFUNCTION("""COMPUTED_VALUE"""),"2022-07-04T15:39:36.626Z")</f>
        <v>2022-07-04T15:39:36.626Z</v>
      </c>
    </row>
    <row r="1139" spans="1:10" x14ac:dyDescent="0.2">
      <c r="A1139" s="2" t="str">
        <f ca="1">IFERROR(__xludf.DUMMYFUNCTION("""COMPUTED_VALUE"""),"https://www.facebook.com/carie.tablismaaguila")</f>
        <v>https://www.facebook.com/carie.tablismaaguila</v>
      </c>
      <c r="B1139" s="1" t="str">
        <f ca="1">IFERROR(__xludf.DUMMYFUNCTION("""COMPUTED_VALUE"""),"Carie Tablisma Aguila")</f>
        <v>Carie Tablisma Aguila</v>
      </c>
      <c r="C1139" s="1" t="str">
        <f ca="1">IFERROR(__xludf.DUMMYFUNCTION("""COMPUTED_VALUE"""),"Carie")</f>
        <v>Carie</v>
      </c>
      <c r="D1139" s="1" t="str">
        <f ca="1">IFERROR(__xludf.DUMMYFUNCTION("""COMPUTED_VALUE"""),"Tablisma Aguila")</f>
        <v>Tablisma Aguila</v>
      </c>
      <c r="E1139" s="1" t="str">
        <f ca="1">IFERROR(__xludf.DUMMYFUNCTION("""COMPUTED_VALUE"""),"Wala pa dyan yung sa kabila at sa mga screen sa labas")</f>
        <v>Wala pa dyan yung sa kabila at sa mga screen sa labas</v>
      </c>
      <c r="F1139" s="1"/>
      <c r="G1139" s="1" t="str">
        <f ca="1">IFERROR(__xludf.DUMMYFUNCTION("""COMPUTED_VALUE"""),"3 mos")</f>
        <v>3 mos</v>
      </c>
      <c r="H1139" s="1" t="str">
        <f ca="1">IFERROR(__xludf.DUMMYFUNCTION("""COMPUTED_VALUE"""),"comment")</f>
        <v>comment</v>
      </c>
      <c r="I1139" s="2" t="str">
        <f ca="1">IFERROR(__xludf.DUMMYFUNCTION("""COMPUTED_VALUE"""),"https://www.facebook.com/rapplerdotcom/photos/a.317154781638645/5596022273751843/")</f>
        <v>https://www.facebook.com/rapplerdotcom/photos/a.317154781638645/5596022273751843/</v>
      </c>
      <c r="J1139" s="1" t="str">
        <f ca="1">IFERROR(__xludf.DUMMYFUNCTION("""COMPUTED_VALUE"""),"2022-07-04T15:39:36.626Z")</f>
        <v>2022-07-04T15:39:36.626Z</v>
      </c>
    </row>
    <row r="1140" spans="1:10" x14ac:dyDescent="0.2">
      <c r="A1140" s="2" t="str">
        <f ca="1">IFERROR(__xludf.DUMMYFUNCTION("""COMPUTED_VALUE"""),"https://www.facebook.com/josh.riguer")</f>
        <v>https://www.facebook.com/josh.riguer</v>
      </c>
      <c r="B1140" s="1" t="str">
        <f ca="1">IFERROR(__xludf.DUMMYFUNCTION("""COMPUTED_VALUE"""),"Josh Turalba Riguer")</f>
        <v>Josh Turalba Riguer</v>
      </c>
      <c r="C1140" s="1" t="str">
        <f ca="1">IFERROR(__xludf.DUMMYFUNCTION("""COMPUTED_VALUE"""),"Josh")</f>
        <v>Josh</v>
      </c>
      <c r="D1140" s="1" t="str">
        <f ca="1">IFERROR(__xludf.DUMMYFUNCTION("""COMPUTED_VALUE"""),"Turalba Riguer")</f>
        <v>Turalba Riguer</v>
      </c>
      <c r="E1140" s="1" t="str">
        <f ca="1">IFERROR(__xludf.DUMMYFUNCTION("""COMPUTED_VALUE"""),"Para sa #GobyernongTapatAngatBuhayLahat #LeniForPresident2022 #LeniKikoAllTheWay")</f>
        <v>Para sa #GobyernongTapatAngatBuhayLahat #LeniForPresident2022 #LeniKikoAllTheWay</v>
      </c>
      <c r="F1140" s="1"/>
      <c r="G1140" s="1" t="str">
        <f ca="1">IFERROR(__xludf.DUMMYFUNCTION("""COMPUTED_VALUE"""),"3 mos")</f>
        <v>3 mos</v>
      </c>
      <c r="H1140" s="1" t="str">
        <f ca="1">IFERROR(__xludf.DUMMYFUNCTION("""COMPUTED_VALUE"""),"comment")</f>
        <v>comment</v>
      </c>
      <c r="I1140" s="2" t="str">
        <f ca="1">IFERROR(__xludf.DUMMYFUNCTION("""COMPUTED_VALUE"""),"https://www.facebook.com/rapplerdotcom/photos/a.317154781638645/5596022273751843/")</f>
        <v>https://www.facebook.com/rapplerdotcom/photos/a.317154781638645/5596022273751843/</v>
      </c>
      <c r="J1140" s="1" t="str">
        <f ca="1">IFERROR(__xludf.DUMMYFUNCTION("""COMPUTED_VALUE"""),"2022-07-04T15:39:36.626Z")</f>
        <v>2022-07-04T15:39:36.626Z</v>
      </c>
    </row>
    <row r="1141" spans="1:10" x14ac:dyDescent="0.2">
      <c r="A1141" s="2" t="str">
        <f ca="1">IFERROR(__xludf.DUMMYFUNCTION("""COMPUTED_VALUE"""),"https://www.facebook.com/Agtakhanisla14")</f>
        <v>https://www.facebook.com/Agtakhanisla14</v>
      </c>
      <c r="B1141" s="1" t="str">
        <f ca="1">IFERROR(__xludf.DUMMYFUNCTION("""COMPUTED_VALUE"""),"Agta Khan Isla")</f>
        <v>Agta Khan Isla</v>
      </c>
      <c r="C1141" s="1" t="str">
        <f ca="1">IFERROR(__xludf.DUMMYFUNCTION("""COMPUTED_VALUE"""),"Agta")</f>
        <v>Agta</v>
      </c>
      <c r="D1141" s="1" t="str">
        <f ca="1">IFERROR(__xludf.DUMMYFUNCTION("""COMPUTED_VALUE"""),"Khan Isla")</f>
        <v>Khan Isla</v>
      </c>
      <c r="E1141" s="1" t="str">
        <f ca="1">IFERROR(__xludf.DUMMYFUNCTION("""COMPUTED_VALUE"""),"mura na sibuyas ngayon kc an dami na supply ahaha...")</f>
        <v>mura na sibuyas ngayon kc an dami na supply ahaha...</v>
      </c>
      <c r="F1141" s="1"/>
      <c r="G1141" s="1" t="str">
        <f ca="1">IFERROR(__xludf.DUMMYFUNCTION("""COMPUTED_VALUE"""),"3 mos")</f>
        <v>3 mos</v>
      </c>
      <c r="H1141" s="1" t="str">
        <f ca="1">IFERROR(__xludf.DUMMYFUNCTION("""COMPUTED_VALUE"""),"comment")</f>
        <v>comment</v>
      </c>
      <c r="I1141" s="2" t="str">
        <f ca="1">IFERROR(__xludf.DUMMYFUNCTION("""COMPUTED_VALUE"""),"https://www.facebook.com/rapplerdotcom/photos/a.317154781638645/5596022273751843/")</f>
        <v>https://www.facebook.com/rapplerdotcom/photos/a.317154781638645/5596022273751843/</v>
      </c>
      <c r="J1141" s="1" t="str">
        <f ca="1">IFERROR(__xludf.DUMMYFUNCTION("""COMPUTED_VALUE"""),"2022-07-04T15:39:36.626Z")</f>
        <v>2022-07-04T15:39:36.626Z</v>
      </c>
    </row>
    <row r="1142" spans="1:10" x14ac:dyDescent="0.2">
      <c r="A1142" s="2" t="str">
        <f ca="1">IFERROR(__xludf.DUMMYFUNCTION("""COMPUTED_VALUE"""),"https://www.facebook.com/ferrerantonia")</f>
        <v>https://www.facebook.com/ferrerantonia</v>
      </c>
      <c r="B1142" s="1" t="str">
        <f ca="1">IFERROR(__xludf.DUMMYFUNCTION("""COMPUTED_VALUE"""),"Antonia Ferrer")</f>
        <v>Antonia Ferrer</v>
      </c>
      <c r="C1142" s="1" t="str">
        <f ca="1">IFERROR(__xludf.DUMMYFUNCTION("""COMPUTED_VALUE"""),"Antonia")</f>
        <v>Antonia</v>
      </c>
      <c r="D1142" s="1" t="str">
        <f ca="1">IFERROR(__xludf.DUMMYFUNCTION("""COMPUTED_VALUE"""),"Ferrer")</f>
        <v>Ferrer</v>
      </c>
      <c r="E1142" s="1" t="str">
        <f ca="1">IFERROR(__xludf.DUMMYFUNCTION("""COMPUTED_VALUE"""),"ang bagong pag-asa #LeniKiko2022 💗💚")</f>
        <v>ang bagong pag-asa #LeniKiko2022 💗💚</v>
      </c>
      <c r="F1142" s="1"/>
      <c r="G1142" s="1" t="str">
        <f ca="1">IFERROR(__xludf.DUMMYFUNCTION("""COMPUTED_VALUE"""),"3 mos")</f>
        <v>3 mos</v>
      </c>
      <c r="H1142" s="1" t="str">
        <f ca="1">IFERROR(__xludf.DUMMYFUNCTION("""COMPUTED_VALUE"""),"comment")</f>
        <v>comment</v>
      </c>
      <c r="I1142" s="2" t="str">
        <f ca="1">IFERROR(__xludf.DUMMYFUNCTION("""COMPUTED_VALUE"""),"https://www.facebook.com/rapplerdotcom/photos/a.317154781638645/5596022273751843/")</f>
        <v>https://www.facebook.com/rapplerdotcom/photos/a.317154781638645/5596022273751843/</v>
      </c>
      <c r="J1142" s="1" t="str">
        <f ca="1">IFERROR(__xludf.DUMMYFUNCTION("""COMPUTED_VALUE"""),"2022-07-04T15:39:36.626Z")</f>
        <v>2022-07-04T15:39:36.626Z</v>
      </c>
    </row>
    <row r="1143" spans="1:10" x14ac:dyDescent="0.2">
      <c r="A1143" s="2" t="str">
        <f ca="1">IFERROR(__xludf.DUMMYFUNCTION("""COMPUTED_VALUE"""),"https://www.facebook.com/lmfloralde")</f>
        <v>https://www.facebook.com/lmfloralde</v>
      </c>
      <c r="B1143" s="1" t="str">
        <f ca="1">IFERROR(__xludf.DUMMYFUNCTION("""COMPUTED_VALUE"""),"Lorrilyn Floralde")</f>
        <v>Lorrilyn Floralde</v>
      </c>
      <c r="C1143" s="1" t="str">
        <f ca="1">IFERROR(__xludf.DUMMYFUNCTION("""COMPUTED_VALUE"""),"Lorrilyn")</f>
        <v>Lorrilyn</v>
      </c>
      <c r="D1143" s="1" t="str">
        <f ca="1">IFERROR(__xludf.DUMMYFUNCTION("""COMPUTED_VALUE"""),"Floralde")</f>
        <v>Floralde</v>
      </c>
      <c r="E1143" s="1" t="str">
        <f ca="1">IFERROR(__xludf.DUMMYFUNCTION("""COMPUTED_VALUE"""),"yung mga nanjan pa sa notre dame, shout out sa nagnakaw ng cp ng anak ko!!! istudyante lang yung ninakawan mo!!!")</f>
        <v>yung mga nanjan pa sa notre dame, shout out sa nagnakaw ng cp ng anak ko!!! istudyante lang yung ninakawan mo!!!</v>
      </c>
      <c r="F1143" s="1">
        <f ca="1">IFERROR(__xludf.DUMMYFUNCTION("""COMPUTED_VALUE"""),2)</f>
        <v>2</v>
      </c>
      <c r="G1143" s="1" t="str">
        <f ca="1">IFERROR(__xludf.DUMMYFUNCTION("""COMPUTED_VALUE"""),"3 mos")</f>
        <v>3 mos</v>
      </c>
      <c r="H1143" s="1" t="str">
        <f ca="1">IFERROR(__xludf.DUMMYFUNCTION("""COMPUTED_VALUE"""),"comment")</f>
        <v>comment</v>
      </c>
      <c r="I1143" s="2" t="str">
        <f ca="1">IFERROR(__xludf.DUMMYFUNCTION("""COMPUTED_VALUE"""),"https://www.facebook.com/rapplerdotcom/photos/a.317154781638645/5596022273751843/")</f>
        <v>https://www.facebook.com/rapplerdotcom/photos/a.317154781638645/5596022273751843/</v>
      </c>
      <c r="J1143" s="1" t="str">
        <f ca="1">IFERROR(__xludf.DUMMYFUNCTION("""COMPUTED_VALUE"""),"2022-07-04T15:39:36.626Z")</f>
        <v>2022-07-04T15:39:36.626Z</v>
      </c>
    </row>
    <row r="1144" spans="1:10" x14ac:dyDescent="0.2">
      <c r="A1144" s="2" t="str">
        <f ca="1">IFERROR(__xludf.DUMMYFUNCTION("""COMPUTED_VALUE"""),"https://www.facebook.com/nigeltan.ph")</f>
        <v>https://www.facebook.com/nigeltan.ph</v>
      </c>
      <c r="B1144" s="1" t="str">
        <f ca="1">IFERROR(__xludf.DUMMYFUNCTION("""COMPUTED_VALUE"""),"Rodjun Nigel Tan")</f>
        <v>Rodjun Nigel Tan</v>
      </c>
      <c r="C1144" s="1" t="str">
        <f ca="1">IFERROR(__xludf.DUMMYFUNCTION("""COMPUTED_VALUE"""),"Rodjun")</f>
        <v>Rodjun</v>
      </c>
      <c r="D1144" s="1" t="str">
        <f ca="1">IFERROR(__xludf.DUMMYFUNCTION("""COMPUTED_VALUE"""),"Nigel Tan")</f>
        <v>Nigel Tan</v>
      </c>
      <c r="E1144" s="1" t="str">
        <f ca="1">IFERROR(__xludf.DUMMYFUNCTION("""COMPUTED_VALUE"""),"Lorrilyn Floralde may lost and found corner po dyan. Pwede nya ireport kung nasa area pa.")</f>
        <v>Lorrilyn Floralde may lost and found corner po dyan. Pwede nya ireport kung nasa area pa.</v>
      </c>
      <c r="F1144" s="1">
        <f ca="1">IFERROR(__xludf.DUMMYFUNCTION("""COMPUTED_VALUE"""),1)</f>
        <v>1</v>
      </c>
      <c r="G1144" s="1" t="str">
        <f ca="1">IFERROR(__xludf.DUMMYFUNCTION("""COMPUTED_VALUE"""),"3 mos")</f>
        <v>3 mos</v>
      </c>
      <c r="H1144" s="1" t="str">
        <f ca="1">IFERROR(__xludf.DUMMYFUNCTION("""COMPUTED_VALUE"""),"reply")</f>
        <v>reply</v>
      </c>
      <c r="I1144" s="2" t="str">
        <f ca="1">IFERROR(__xludf.DUMMYFUNCTION("""COMPUTED_VALUE"""),"https://www.facebook.com/rapplerdotcom/photos/a.317154781638645/5596022273751843/")</f>
        <v>https://www.facebook.com/rapplerdotcom/photos/a.317154781638645/5596022273751843/</v>
      </c>
      <c r="J1144" s="1" t="str">
        <f ca="1">IFERROR(__xludf.DUMMYFUNCTION("""COMPUTED_VALUE"""),"2022-07-04T15:39:36.626Z")</f>
        <v>2022-07-04T15:39:36.626Z</v>
      </c>
    </row>
    <row r="1145" spans="1:10" x14ac:dyDescent="0.2">
      <c r="A1145" s="2" t="str">
        <f ca="1">IFERROR(__xludf.DUMMYFUNCTION("""COMPUTED_VALUE"""),"https://www.facebook.com/profile.php?id=100005732081750")</f>
        <v>https://www.facebook.com/profile.php?id=100005732081750</v>
      </c>
      <c r="B1145" s="1" t="str">
        <f ca="1">IFERROR(__xludf.DUMMYFUNCTION("""COMPUTED_VALUE"""),"Star Sunday")</f>
        <v>Star Sunday</v>
      </c>
      <c r="C1145" s="1" t="str">
        <f ca="1">IFERROR(__xludf.DUMMYFUNCTION("""COMPUTED_VALUE"""),"Star")</f>
        <v>Star</v>
      </c>
      <c r="D1145" s="1" t="str">
        <f ca="1">IFERROR(__xludf.DUMMYFUNCTION("""COMPUTED_VALUE"""),"Sunday")</f>
        <v>Sunday</v>
      </c>
      <c r="E1145" s="1" t="str">
        <f ca="1">IFERROR(__xludf.DUMMYFUNCTION("""COMPUTED_VALUE"""),"Lorrilyn Floralde I watched awhile ago po. May inannounce sa stage na may nadampot na cellphone at sinabihan na kung sino man ung may-Ari ay puntahan daw po ung phone sa back ng stage sa may security area kung saan nandoon ung table ng mga police/pulis.")</f>
        <v>Lorrilyn Floralde I watched awhile ago po. May inannounce sa stage na may nadampot na cellphone at sinabihan na kung sino man ung may-Ari ay puntahan daw po ung phone sa back ng stage sa may security area kung saan nandoon ung table ng mga police/pulis.</v>
      </c>
      <c r="F1145" s="1">
        <f ca="1">IFERROR(__xludf.DUMMYFUNCTION("""COMPUTED_VALUE"""),2)</f>
        <v>2</v>
      </c>
      <c r="G1145" s="1" t="str">
        <f ca="1">IFERROR(__xludf.DUMMYFUNCTION("""COMPUTED_VALUE"""),"3 mos")</f>
        <v>3 mos</v>
      </c>
      <c r="H1145" s="1" t="str">
        <f ca="1">IFERROR(__xludf.DUMMYFUNCTION("""COMPUTED_VALUE"""),"reply")</f>
        <v>reply</v>
      </c>
      <c r="I1145" s="2" t="str">
        <f ca="1">IFERROR(__xludf.DUMMYFUNCTION("""COMPUTED_VALUE"""),"https://www.facebook.com/rapplerdotcom/photos/a.317154781638645/5596022273751843/")</f>
        <v>https://www.facebook.com/rapplerdotcom/photos/a.317154781638645/5596022273751843/</v>
      </c>
      <c r="J1145" s="1" t="str">
        <f ca="1">IFERROR(__xludf.DUMMYFUNCTION("""COMPUTED_VALUE"""),"2022-07-04T15:39:36.626Z")</f>
        <v>2022-07-04T15:39:36.626Z</v>
      </c>
    </row>
    <row r="1146" spans="1:10" x14ac:dyDescent="0.2">
      <c r="A1146" s="2" t="str">
        <f ca="1">IFERROR(__xludf.DUMMYFUNCTION("""COMPUTED_VALUE"""),"https://www.facebook.com/lmfloralde")</f>
        <v>https://www.facebook.com/lmfloralde</v>
      </c>
      <c r="B1146" s="1" t="str">
        <f ca="1">IFERROR(__xludf.DUMMYFUNCTION("""COMPUTED_VALUE"""),"Lorrilyn Floralde")</f>
        <v>Lorrilyn Floralde</v>
      </c>
      <c r="C1146" s="1" t="str">
        <f ca="1">IFERROR(__xludf.DUMMYFUNCTION("""COMPUTED_VALUE"""),"Lorrilyn")</f>
        <v>Lorrilyn</v>
      </c>
      <c r="D1146" s="1" t="str">
        <f ca="1">IFERROR(__xludf.DUMMYFUNCTION("""COMPUTED_VALUE"""),"Floralde")</f>
        <v>Floralde</v>
      </c>
      <c r="E1146" s="1" t="str">
        <f ca="1">IFERROR(__xludf.DUMMYFUNCTION("""COMPUTED_VALUE"""),"ibang cp po yun, nag iwan n ng contact number yung anak til now wala pa rin")</f>
        <v>ibang cp po yun, nag iwan n ng contact number yung anak til now wala pa rin</v>
      </c>
      <c r="F1146" s="1"/>
      <c r="G1146" s="1" t="str">
        <f ca="1">IFERROR(__xludf.DUMMYFUNCTION("""COMPUTED_VALUE"""),"3 mos")</f>
        <v>3 mos</v>
      </c>
      <c r="H1146" s="1" t="str">
        <f ca="1">IFERROR(__xludf.DUMMYFUNCTION("""COMPUTED_VALUE"""),"reply")</f>
        <v>reply</v>
      </c>
      <c r="I1146" s="2" t="str">
        <f ca="1">IFERROR(__xludf.DUMMYFUNCTION("""COMPUTED_VALUE"""),"https://www.facebook.com/rapplerdotcom/photos/a.317154781638645/5596022273751843/")</f>
        <v>https://www.facebook.com/rapplerdotcom/photos/a.317154781638645/5596022273751843/</v>
      </c>
      <c r="J1146" s="1" t="str">
        <f ca="1">IFERROR(__xludf.DUMMYFUNCTION("""COMPUTED_VALUE"""),"2022-07-04T15:39:36.626Z")</f>
        <v>2022-07-04T15:39:36.626Z</v>
      </c>
    </row>
    <row r="1147" spans="1:10" x14ac:dyDescent="0.2">
      <c r="A1147" s="2" t="str">
        <f ca="1">IFERROR(__xludf.DUMMYFUNCTION("""COMPUTED_VALUE"""),"https://www.facebook.com/lmfloralde")</f>
        <v>https://www.facebook.com/lmfloralde</v>
      </c>
      <c r="B1147" s="1" t="str">
        <f ca="1">IFERROR(__xludf.DUMMYFUNCTION("""COMPUTED_VALUE"""),"Lorrilyn Floralde")</f>
        <v>Lorrilyn Floralde</v>
      </c>
      <c r="C1147" s="1" t="str">
        <f ca="1">IFERROR(__xludf.DUMMYFUNCTION("""COMPUTED_VALUE"""),"Lorrilyn")</f>
        <v>Lorrilyn</v>
      </c>
      <c r="D1147" s="1" t="str">
        <f ca="1">IFERROR(__xludf.DUMMYFUNCTION("""COMPUTED_VALUE"""),"Floralde")</f>
        <v>Floralde</v>
      </c>
      <c r="E1147" s="1" t="str">
        <f ca="1">IFERROR(__xludf.DUMMYFUNCTION("""COMPUTED_VALUE"""),"Angel Coin talaga ba!!! Laarns Floralde nagkunwari lang daw")</f>
        <v>Angel Coin talaga ba!!! Laarns Floralde nagkunwari lang daw</v>
      </c>
      <c r="F1147" s="1"/>
      <c r="G1147" s="1" t="str">
        <f ca="1">IFERROR(__xludf.DUMMYFUNCTION("""COMPUTED_VALUE"""),"3 mos")</f>
        <v>3 mos</v>
      </c>
      <c r="H1147" s="1" t="str">
        <f ca="1">IFERROR(__xludf.DUMMYFUNCTION("""COMPUTED_VALUE"""),"reply")</f>
        <v>reply</v>
      </c>
      <c r="I1147" s="2" t="str">
        <f ca="1">IFERROR(__xludf.DUMMYFUNCTION("""COMPUTED_VALUE"""),"https://www.facebook.com/rapplerdotcom/photos/a.317154781638645/5596022273751843/")</f>
        <v>https://www.facebook.com/rapplerdotcom/photos/a.317154781638645/5596022273751843/</v>
      </c>
      <c r="J1147" s="1" t="str">
        <f ca="1">IFERROR(__xludf.DUMMYFUNCTION("""COMPUTED_VALUE"""),"2022-07-04T15:39:36.626Z")</f>
        <v>2022-07-04T15:39:36.626Z</v>
      </c>
    </row>
    <row r="1148" spans="1:10" x14ac:dyDescent="0.2">
      <c r="A1148" s="2" t="str">
        <f ca="1">IFERROR(__xludf.DUMMYFUNCTION("""COMPUTED_VALUE"""),"https://www.facebook.com/lmfloralde")</f>
        <v>https://www.facebook.com/lmfloralde</v>
      </c>
      <c r="B1148" s="1" t="str">
        <f ca="1">IFERROR(__xludf.DUMMYFUNCTION("""COMPUTED_VALUE"""),"Lorrilyn Floralde")</f>
        <v>Lorrilyn Floralde</v>
      </c>
      <c r="C1148" s="1" t="str">
        <f ca="1">IFERROR(__xludf.DUMMYFUNCTION("""COMPUTED_VALUE"""),"Lorrilyn")</f>
        <v>Lorrilyn</v>
      </c>
      <c r="D1148" s="1" t="str">
        <f ca="1">IFERROR(__xludf.DUMMYFUNCTION("""COMPUTED_VALUE"""),"Floralde")</f>
        <v>Floralde</v>
      </c>
      <c r="E1148" s="1" t="str">
        <f ca="1">IFERROR(__xludf.DUMMYFUNCTION("""COMPUTED_VALUE"""),"Angel Coin pag napatuyang jan nawala sa notre dame cp ng anak, may record jan na nareport, maka husga tlg, ugali nyo yan no!!!")</f>
        <v>Angel Coin pag napatuyang jan nawala sa notre dame cp ng anak, may record jan na nareport, maka husga tlg, ugali nyo yan no!!!</v>
      </c>
      <c r="F1148" s="1"/>
      <c r="G1148" s="1" t="str">
        <f ca="1">IFERROR(__xludf.DUMMYFUNCTION("""COMPUTED_VALUE"""),"3 mos")</f>
        <v>3 mos</v>
      </c>
      <c r="H1148" s="1" t="str">
        <f ca="1">IFERROR(__xludf.DUMMYFUNCTION("""COMPUTED_VALUE"""),"reply")</f>
        <v>reply</v>
      </c>
      <c r="I1148" s="2" t="str">
        <f ca="1">IFERROR(__xludf.DUMMYFUNCTION("""COMPUTED_VALUE"""),"https://www.facebook.com/rapplerdotcom/photos/a.317154781638645/5596022273751843/")</f>
        <v>https://www.facebook.com/rapplerdotcom/photos/a.317154781638645/5596022273751843/</v>
      </c>
      <c r="J1148" s="1" t="str">
        <f ca="1">IFERROR(__xludf.DUMMYFUNCTION("""COMPUTED_VALUE"""),"2022-07-04T15:39:36.626Z")</f>
        <v>2022-07-04T15:39:36.626Z</v>
      </c>
    </row>
    <row r="1149" spans="1:10" x14ac:dyDescent="0.2">
      <c r="A1149" s="2" t="str">
        <f ca="1">IFERROR(__xludf.DUMMYFUNCTION("""COMPUTED_VALUE"""),"https://www.facebook.com/lmfloralde")</f>
        <v>https://www.facebook.com/lmfloralde</v>
      </c>
      <c r="B1149" s="1" t="str">
        <f ca="1">IFERROR(__xludf.DUMMYFUNCTION("""COMPUTED_VALUE"""),"Lorrilyn Floralde")</f>
        <v>Lorrilyn Floralde</v>
      </c>
      <c r="C1149" s="1" t="str">
        <f ca="1">IFERROR(__xludf.DUMMYFUNCTION("""COMPUTED_VALUE"""),"Lorrilyn")</f>
        <v>Lorrilyn</v>
      </c>
      <c r="D1149" s="1" t="str">
        <f ca="1">IFERROR(__xludf.DUMMYFUNCTION("""COMPUTED_VALUE"""),"Floralde")</f>
        <v>Floralde</v>
      </c>
      <c r="E1149" s="1" t="str">
        <f ca="1">IFERROR(__xludf.DUMMYFUNCTION("""COMPUTED_VALUE"""),"Angel Coin nagpunta kc mga kabataan dito sa lugar namin sa paconcert mawawala lng pla cp nya jan")</f>
        <v>Angel Coin nagpunta kc mga kabataan dito sa lugar namin sa paconcert mawawala lng pla cp nya jan</v>
      </c>
      <c r="F1149" s="1"/>
      <c r="G1149" s="1" t="str">
        <f ca="1">IFERROR(__xludf.DUMMYFUNCTION("""COMPUTED_VALUE"""),"3 mos")</f>
        <v>3 mos</v>
      </c>
      <c r="H1149" s="1" t="str">
        <f ca="1">IFERROR(__xludf.DUMMYFUNCTION("""COMPUTED_VALUE"""),"reply")</f>
        <v>reply</v>
      </c>
      <c r="I1149" s="2" t="str">
        <f ca="1">IFERROR(__xludf.DUMMYFUNCTION("""COMPUTED_VALUE"""),"https://www.facebook.com/rapplerdotcom/photos/a.317154781638645/5596022273751843/")</f>
        <v>https://www.facebook.com/rapplerdotcom/photos/a.317154781638645/5596022273751843/</v>
      </c>
      <c r="J1149" s="1" t="str">
        <f ca="1">IFERROR(__xludf.DUMMYFUNCTION("""COMPUTED_VALUE"""),"2022-07-04T15:39:36.626Z")</f>
        <v>2022-07-04T15:39:36.626Z</v>
      </c>
    </row>
    <row r="1150" spans="1:10" x14ac:dyDescent="0.2">
      <c r="A1150" s="2" t="str">
        <f ca="1">IFERROR(__xludf.DUMMYFUNCTION("""COMPUTED_VALUE"""),"https://www.facebook.com/profile.php?id=100005732081750")</f>
        <v>https://www.facebook.com/profile.php?id=100005732081750</v>
      </c>
      <c r="B1150" s="1" t="str">
        <f ca="1">IFERROR(__xludf.DUMMYFUNCTION("""COMPUTED_VALUE"""),"Star Sunday")</f>
        <v>Star Sunday</v>
      </c>
      <c r="C1150" s="1" t="str">
        <f ca="1">IFERROR(__xludf.DUMMYFUNCTION("""COMPUTED_VALUE"""),"Star")</f>
        <v>Star</v>
      </c>
      <c r="D1150" s="1" t="str">
        <f ca="1">IFERROR(__xludf.DUMMYFUNCTION("""COMPUTED_VALUE"""),"Sunday")</f>
        <v>Sunday</v>
      </c>
      <c r="E1150" s="1" t="str">
        <f ca="1">IFERROR(__xludf.DUMMYFUNCTION("""COMPUTED_VALUE"""),"Lorrilyn Floralde May lost and found area po na inorganize ung committee na nag organize ng program. Ipagtanong niyo po muna sa kanila bago po tayo manghusga o kaya magpost dito sa thread. Dahil kung talaga pong ninakaw talaga after niyo tinanong at wala "&amp;"talaga saka niyo po ipa blotter sa police station.")</f>
        <v>Lorrilyn Floralde May lost and found area po na inorganize ung committee na nag organize ng program. Ipagtanong niyo po muna sa kanila bago po tayo manghusga o kaya magpost dito sa thread. Dahil kung talaga pong ninakaw talaga after niyo tinanong at wala talaga saka niyo po ipa blotter sa police station.</v>
      </c>
      <c r="F1150" s="1"/>
      <c r="G1150" s="1" t="str">
        <f ca="1">IFERROR(__xludf.DUMMYFUNCTION("""COMPUTED_VALUE"""),"3 mos")</f>
        <v>3 mos</v>
      </c>
      <c r="H1150" s="1" t="str">
        <f ca="1">IFERROR(__xludf.DUMMYFUNCTION("""COMPUTED_VALUE"""),"reply")</f>
        <v>reply</v>
      </c>
      <c r="I1150" s="2" t="str">
        <f ca="1">IFERROR(__xludf.DUMMYFUNCTION("""COMPUTED_VALUE"""),"https://www.facebook.com/rapplerdotcom/photos/a.317154781638645/5596022273751843/")</f>
        <v>https://www.facebook.com/rapplerdotcom/photos/a.317154781638645/5596022273751843/</v>
      </c>
      <c r="J1150" s="1" t="str">
        <f ca="1">IFERROR(__xludf.DUMMYFUNCTION("""COMPUTED_VALUE"""),"2022-07-04T15:39:36.626Z")</f>
        <v>2022-07-04T15:39:36.626Z</v>
      </c>
    </row>
    <row r="1151" spans="1:10" x14ac:dyDescent="0.2">
      <c r="A1151" s="2" t="str">
        <f ca="1">IFERROR(__xludf.DUMMYFUNCTION("""COMPUTED_VALUE"""),"https://www.facebook.com/lmfloralde")</f>
        <v>https://www.facebook.com/lmfloralde</v>
      </c>
      <c r="B1151" s="1" t="str">
        <f ca="1">IFERROR(__xludf.DUMMYFUNCTION("""COMPUTED_VALUE"""),"Lorrilyn Floralde")</f>
        <v>Lorrilyn Floralde</v>
      </c>
      <c r="C1151" s="1" t="str">
        <f ca="1">IFERROR(__xludf.DUMMYFUNCTION("""COMPUTED_VALUE"""),"Lorrilyn")</f>
        <v>Lorrilyn</v>
      </c>
      <c r="D1151" s="1" t="str">
        <f ca="1">IFERROR(__xludf.DUMMYFUNCTION("""COMPUTED_VALUE"""),"Floralde")</f>
        <v>Floralde</v>
      </c>
      <c r="E1151" s="1" t="str">
        <f ca="1">IFERROR(__xludf.DUMMYFUNCTION("""COMPUTED_VALUE"""),"Star Sunday nareport na lost and found jan, naannounce na rin jan na nawala, nag iwan na rin ng contact number jan. umuwi anak ko ng around 7pm ng umiiyak para lang sabihin na tanghali palang mawawala na cp nya")</f>
        <v>Star Sunday nareport na lost and found jan, naannounce na rin jan na nawala, nag iwan na rin ng contact number jan. umuwi anak ko ng around 7pm ng umiiyak para lang sabihin na tanghali palang mawawala na cp nya</v>
      </c>
      <c r="F1151" s="1"/>
      <c r="G1151" s="1" t="str">
        <f ca="1">IFERROR(__xludf.DUMMYFUNCTION("""COMPUTED_VALUE"""),"3 mos")</f>
        <v>3 mos</v>
      </c>
      <c r="H1151" s="1" t="str">
        <f ca="1">IFERROR(__xludf.DUMMYFUNCTION("""COMPUTED_VALUE"""),"reply")</f>
        <v>reply</v>
      </c>
      <c r="I1151" s="2" t="str">
        <f ca="1">IFERROR(__xludf.DUMMYFUNCTION("""COMPUTED_VALUE"""),"https://www.facebook.com/rapplerdotcom/photos/a.317154781638645/5596022273751843/")</f>
        <v>https://www.facebook.com/rapplerdotcom/photos/a.317154781638645/5596022273751843/</v>
      </c>
      <c r="J1151" s="1" t="str">
        <f ca="1">IFERROR(__xludf.DUMMYFUNCTION("""COMPUTED_VALUE"""),"2022-07-04T15:39:36.626Z")</f>
        <v>2022-07-04T15:39:36.626Z</v>
      </c>
    </row>
    <row r="1152" spans="1:10" x14ac:dyDescent="0.2">
      <c r="A1152" s="2" t="str">
        <f ca="1">IFERROR(__xludf.DUMMYFUNCTION("""COMPUTED_VALUE"""),"https://www.facebook.com/gerard.abangan.1")</f>
        <v>https://www.facebook.com/gerard.abangan.1</v>
      </c>
      <c r="B1152" s="1" t="str">
        <f ca="1">IFERROR(__xludf.DUMMYFUNCTION("""COMPUTED_VALUE"""),"Gerald Siopao Abangan")</f>
        <v>Gerald Siopao Abangan</v>
      </c>
      <c r="C1152" s="1" t="str">
        <f ca="1">IFERROR(__xludf.DUMMYFUNCTION("""COMPUTED_VALUE"""),"Gerald")</f>
        <v>Gerald</v>
      </c>
      <c r="D1152" s="1" t="str">
        <f ca="1">IFERROR(__xludf.DUMMYFUNCTION("""COMPUTED_VALUE"""),"Siopao Abangan")</f>
        <v>Siopao Abangan</v>
      </c>
      <c r="E1152" s="1" t="str">
        <f ca="1">IFERROR(__xludf.DUMMYFUNCTION("""COMPUTED_VALUE"""),"Edit")</f>
        <v>Edit</v>
      </c>
      <c r="F1152" s="1"/>
      <c r="G1152" s="1" t="str">
        <f ca="1">IFERROR(__xludf.DUMMYFUNCTION("""COMPUTED_VALUE"""),"3 mos")</f>
        <v>3 mos</v>
      </c>
      <c r="H1152" s="1" t="str">
        <f ca="1">IFERROR(__xludf.DUMMYFUNCTION("""COMPUTED_VALUE"""),"comment")</f>
        <v>comment</v>
      </c>
      <c r="I1152" s="2" t="str">
        <f ca="1">IFERROR(__xludf.DUMMYFUNCTION("""COMPUTED_VALUE"""),"https://www.facebook.com/rapplerdotcom/photos/a.317154781638645/5596022273751843/")</f>
        <v>https://www.facebook.com/rapplerdotcom/photos/a.317154781638645/5596022273751843/</v>
      </c>
      <c r="J1152" s="1" t="str">
        <f ca="1">IFERROR(__xludf.DUMMYFUNCTION("""COMPUTED_VALUE"""),"2022-07-04T15:39:36.626Z")</f>
        <v>2022-07-04T15:39:36.626Z</v>
      </c>
    </row>
    <row r="1153" spans="1:10" x14ac:dyDescent="0.2">
      <c r="A1153" s="2" t="str">
        <f ca="1">IFERROR(__xludf.DUMMYFUNCTION("""COMPUTED_VALUE"""),"https://www.facebook.com/rodelmadrid")</f>
        <v>https://www.facebook.com/rodelmadrid</v>
      </c>
      <c r="B1153" s="1" t="str">
        <f ca="1">IFERROR(__xludf.DUMMYFUNCTION("""COMPUTED_VALUE"""),"Rodel Madrid")</f>
        <v>Rodel Madrid</v>
      </c>
      <c r="C1153" s="1" t="str">
        <f ca="1">IFERROR(__xludf.DUMMYFUNCTION("""COMPUTED_VALUE"""),"Rodel")</f>
        <v>Rodel</v>
      </c>
      <c r="D1153" s="1" t="str">
        <f ca="1">IFERROR(__xludf.DUMMYFUNCTION("""COMPUTED_VALUE"""),"Madrid")</f>
        <v>Madrid</v>
      </c>
      <c r="E1153" s="1" t="str">
        <f ca="1">IFERROR(__xludf.DUMMYFUNCTION("""COMPUTED_VALUE"""),"Ilaw para sa isang #GobyernongTapat #LeniKikoTeam2022 ang dapat! 💟💟💟")</f>
        <v>Ilaw para sa isang #GobyernongTapat #LeniKikoTeam2022 ang dapat! 💟💟💟</v>
      </c>
      <c r="F1153" s="1">
        <f ca="1">IFERROR(__xludf.DUMMYFUNCTION("""COMPUTED_VALUE"""),9)</f>
        <v>9</v>
      </c>
      <c r="G1153" s="1" t="str">
        <f ca="1">IFERROR(__xludf.DUMMYFUNCTION("""COMPUTED_VALUE"""),"3 mos")</f>
        <v>3 mos</v>
      </c>
      <c r="H1153" s="1" t="str">
        <f ca="1">IFERROR(__xludf.DUMMYFUNCTION("""COMPUTED_VALUE"""),"comment")</f>
        <v>comment</v>
      </c>
      <c r="I1153" s="2" t="str">
        <f ca="1">IFERROR(__xludf.DUMMYFUNCTION("""COMPUTED_VALUE"""),"https://www.facebook.com/rapplerdotcom/photos/a.317154781638645/5596022273751843/")</f>
        <v>https://www.facebook.com/rapplerdotcom/photos/a.317154781638645/5596022273751843/</v>
      </c>
      <c r="J1153" s="1" t="str">
        <f ca="1">IFERROR(__xludf.DUMMYFUNCTION("""COMPUTED_VALUE"""),"2022-07-04T15:39:36.626Z")</f>
        <v>2022-07-04T15:39:36.626Z</v>
      </c>
    </row>
    <row r="1154" spans="1:10" x14ac:dyDescent="0.2">
      <c r="A1154" s="2" t="str">
        <f ca="1">IFERROR(__xludf.DUMMYFUNCTION("""COMPUTED_VALUE"""),"https://www.facebook.com/alfredofabro.boking")</f>
        <v>https://www.facebook.com/alfredofabro.boking</v>
      </c>
      <c r="B1154" s="1" t="str">
        <f ca="1">IFERROR(__xludf.DUMMYFUNCTION("""COMPUTED_VALUE"""),"Alfredo Fabro Boking")</f>
        <v>Alfredo Fabro Boking</v>
      </c>
      <c r="C1154" s="1" t="str">
        <f ca="1">IFERROR(__xludf.DUMMYFUNCTION("""COMPUTED_VALUE"""),"Alfredo")</f>
        <v>Alfredo</v>
      </c>
      <c r="D1154" s="1" t="str">
        <f ca="1">IFERROR(__xludf.DUMMYFUNCTION("""COMPUTED_VALUE"""),"Fabro Boking")</f>
        <v>Fabro Boking</v>
      </c>
      <c r="E1154" s="1" t="str">
        <f ca="1">IFERROR(__xludf.DUMMYFUNCTION("""COMPUTED_VALUE"""),"Wahahahaha ang daming Hakot na sibuyas at lobo wahahahaha 😂🤣😂🤣😂🤣😂🤣😂🤣😂🤣")</f>
        <v>Wahahahaha ang daming Hakot na sibuyas at lobo wahahahaha 😂🤣😂🤣😂🤣😂🤣😂🤣😂🤣</v>
      </c>
      <c r="F1154" s="1">
        <f ca="1">IFERROR(__xludf.DUMMYFUNCTION("""COMPUTED_VALUE"""),1)</f>
        <v>1</v>
      </c>
      <c r="G1154" s="1" t="str">
        <f ca="1">IFERROR(__xludf.DUMMYFUNCTION("""COMPUTED_VALUE"""),"3 mos")</f>
        <v>3 mos</v>
      </c>
      <c r="H1154" s="1" t="str">
        <f ca="1">IFERROR(__xludf.DUMMYFUNCTION("""COMPUTED_VALUE"""),"comment")</f>
        <v>comment</v>
      </c>
      <c r="I1154" s="2" t="str">
        <f ca="1">IFERROR(__xludf.DUMMYFUNCTION("""COMPUTED_VALUE"""),"https://www.facebook.com/rapplerdotcom/photos/a.317154781638645/5596022273751843/")</f>
        <v>https://www.facebook.com/rapplerdotcom/photos/a.317154781638645/5596022273751843/</v>
      </c>
      <c r="J1154" s="1" t="str">
        <f ca="1">IFERROR(__xludf.DUMMYFUNCTION("""COMPUTED_VALUE"""),"2022-07-04T15:39:36.626Z")</f>
        <v>2022-07-04T15:39:36.626Z</v>
      </c>
    </row>
    <row r="1155" spans="1:10" x14ac:dyDescent="0.2">
      <c r="A1155" s="2" t="str">
        <f ca="1">IFERROR(__xludf.DUMMYFUNCTION("""COMPUTED_VALUE"""),"https://www.facebook.com/terrence.co")</f>
        <v>https://www.facebook.com/terrence.co</v>
      </c>
      <c r="B1155" s="1" t="str">
        <f ca="1">IFERROR(__xludf.DUMMYFUNCTION("""COMPUTED_VALUE"""),"Terence Co")</f>
        <v>Terence Co</v>
      </c>
      <c r="C1155" s="1" t="str">
        <f ca="1">IFERROR(__xludf.DUMMYFUNCTION("""COMPUTED_VALUE"""),"Terence")</f>
        <v>Terence</v>
      </c>
      <c r="D1155" s="1" t="str">
        <f ca="1">IFERROR(__xludf.DUMMYFUNCTION("""COMPUTED_VALUE"""),"Co")</f>
        <v>Co</v>
      </c>
      <c r="E1155" s="1" t="str">
        <f ca="1">IFERROR(__xludf.DUMMYFUNCTION("""COMPUTED_VALUE"""),"We are #Kakampink because we want good governance!! Someone who doens’t back out when the going gets tough!  #Ipanalona10to #LENIwanagSaDilim #LeniKiko2022")</f>
        <v>We are #Kakampink because we want good governance!! Someone who doens’t back out when the going gets tough!  #Ipanalona10to #LENIwanagSaDilim #LeniKiko2022</v>
      </c>
      <c r="F1155" s="1">
        <f ca="1">IFERROR(__xludf.DUMMYFUNCTION("""COMPUTED_VALUE"""),80)</f>
        <v>80</v>
      </c>
      <c r="G1155" s="1" t="str">
        <f ca="1">IFERROR(__xludf.DUMMYFUNCTION("""COMPUTED_VALUE"""),"3 mos")</f>
        <v>3 mos</v>
      </c>
      <c r="H1155" s="1" t="str">
        <f ca="1">IFERROR(__xludf.DUMMYFUNCTION("""COMPUTED_VALUE"""),"comment")</f>
        <v>comment</v>
      </c>
      <c r="I1155"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55" s="1" t="str">
        <f ca="1">IFERROR(__xludf.DUMMYFUNCTION("""COMPUTED_VALUE"""),"2022-07-04T15:40:03.367Z")</f>
        <v>2022-07-04T15:40:03.367Z</v>
      </c>
    </row>
    <row r="1156" spans="1:10" x14ac:dyDescent="0.2">
      <c r="A1156" s="2" t="str">
        <f ca="1">IFERROR(__xludf.DUMMYFUNCTION("""COMPUTED_VALUE"""),"https://www.facebook.com/profile.php?id=100078461366052")</f>
        <v>https://www.facebook.com/profile.php?id=100078461366052</v>
      </c>
      <c r="B1156" s="1" t="str">
        <f ca="1">IFERROR(__xludf.DUMMYFUNCTION("""COMPUTED_VALUE"""),"Patrick Ramirez")</f>
        <v>Patrick Ramirez</v>
      </c>
      <c r="C1156" s="1" t="str">
        <f ca="1">IFERROR(__xludf.DUMMYFUNCTION("""COMPUTED_VALUE"""),"Patrick")</f>
        <v>Patrick</v>
      </c>
      <c r="D1156" s="1" t="str">
        <f ca="1">IFERROR(__xludf.DUMMYFUNCTION("""COMPUTED_VALUE"""),"Ramirez")</f>
        <v>Ramirez</v>
      </c>
      <c r="E1156" s="1" t="str">
        <f ca="1">IFERROR(__xludf.DUMMYFUNCTION("""COMPUTED_VALUE"""),"Terence Co beautiful sea of kakampinks!")</f>
        <v>Terence Co beautiful sea of kakampinks!</v>
      </c>
      <c r="F1156" s="1">
        <f ca="1">IFERROR(__xludf.DUMMYFUNCTION("""COMPUTED_VALUE"""),1)</f>
        <v>1</v>
      </c>
      <c r="G1156" s="1" t="str">
        <f ca="1">IFERROR(__xludf.DUMMYFUNCTION("""COMPUTED_VALUE"""),"3 mos")</f>
        <v>3 mos</v>
      </c>
      <c r="H1156" s="1" t="str">
        <f ca="1">IFERROR(__xludf.DUMMYFUNCTION("""COMPUTED_VALUE"""),"reply")</f>
        <v>reply</v>
      </c>
      <c r="I1156"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56" s="1" t="str">
        <f ca="1">IFERROR(__xludf.DUMMYFUNCTION("""COMPUTED_VALUE"""),"2022-07-04T15:40:03.367Z")</f>
        <v>2022-07-04T15:40:03.367Z</v>
      </c>
    </row>
    <row r="1157" spans="1:10" x14ac:dyDescent="0.2">
      <c r="A1157" s="2" t="str">
        <f ca="1">IFERROR(__xludf.DUMMYFUNCTION("""COMPUTED_VALUE"""),"https://www.facebook.com/profile.php?id=100078433647836")</f>
        <v>https://www.facebook.com/profile.php?id=100078433647836</v>
      </c>
      <c r="B1157" s="1" t="str">
        <f ca="1">IFERROR(__xludf.DUMMYFUNCTION("""COMPUTED_VALUE"""),"Melinda Rosario")</f>
        <v>Melinda Rosario</v>
      </c>
      <c r="C1157" s="1" t="str">
        <f ca="1">IFERROR(__xludf.DUMMYFUNCTION("""COMPUTED_VALUE"""),"Melinda")</f>
        <v>Melinda</v>
      </c>
      <c r="D1157" s="1" t="str">
        <f ca="1">IFERROR(__xludf.DUMMYFUNCTION("""COMPUTED_VALUE"""),"Rosario")</f>
        <v>Rosario</v>
      </c>
      <c r="E1157" s="1" t="str">
        <f ca="1">IFERROR(__xludf.DUMMYFUNCTION("""COMPUTED_VALUE"""),"Terence Co Mabuhay ang mga kakampink!")</f>
        <v>Terence Co Mabuhay ang mga kakampink!</v>
      </c>
      <c r="F1157" s="1">
        <f ca="1">IFERROR(__xludf.DUMMYFUNCTION("""COMPUTED_VALUE"""),1)</f>
        <v>1</v>
      </c>
      <c r="G1157" s="1" t="str">
        <f ca="1">IFERROR(__xludf.DUMMYFUNCTION("""COMPUTED_VALUE"""),"3 mos")</f>
        <v>3 mos</v>
      </c>
      <c r="H1157" s="1" t="str">
        <f ca="1">IFERROR(__xludf.DUMMYFUNCTION("""COMPUTED_VALUE"""),"reply")</f>
        <v>reply</v>
      </c>
      <c r="I1157"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57" s="1" t="str">
        <f ca="1">IFERROR(__xludf.DUMMYFUNCTION("""COMPUTED_VALUE"""),"2022-07-04T15:40:03.367Z")</f>
        <v>2022-07-04T15:40:03.367Z</v>
      </c>
    </row>
    <row r="1158" spans="1:10" x14ac:dyDescent="0.2">
      <c r="A1158" s="2" t="str">
        <f ca="1">IFERROR(__xludf.DUMMYFUNCTION("""COMPUTED_VALUE"""),"https://www.facebook.com/profile.php?id=100077975515176")</f>
        <v>https://www.facebook.com/profile.php?id=100077975515176</v>
      </c>
      <c r="B1158" s="1" t="str">
        <f ca="1">IFERROR(__xludf.DUMMYFUNCTION("""COMPUTED_VALUE"""),"David Yulinco")</f>
        <v>David Yulinco</v>
      </c>
      <c r="C1158" s="1" t="str">
        <f ca="1">IFERROR(__xludf.DUMMYFUNCTION("""COMPUTED_VALUE"""),"David")</f>
        <v>David</v>
      </c>
      <c r="D1158" s="1" t="str">
        <f ca="1">IFERROR(__xludf.DUMMYFUNCTION("""COMPUTED_VALUE"""),"Yulinco")</f>
        <v>Yulinco</v>
      </c>
      <c r="E1158" s="1" t="str">
        <f ca="1">IFERROR(__xludf.DUMMYFUNCTION("""COMPUTED_VALUE"""),"Terence Co #LetLeniLead")</f>
        <v>Terence Co #LetLeniLead</v>
      </c>
      <c r="F1158" s="1">
        <f ca="1">IFERROR(__xludf.DUMMYFUNCTION("""COMPUTED_VALUE"""),1)</f>
        <v>1</v>
      </c>
      <c r="G1158" s="1" t="str">
        <f ca="1">IFERROR(__xludf.DUMMYFUNCTION("""COMPUTED_VALUE"""),"3 mos")</f>
        <v>3 mos</v>
      </c>
      <c r="H1158" s="1" t="str">
        <f ca="1">IFERROR(__xludf.DUMMYFUNCTION("""COMPUTED_VALUE"""),"reply")</f>
        <v>reply</v>
      </c>
      <c r="I1158"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58" s="1" t="str">
        <f ca="1">IFERROR(__xludf.DUMMYFUNCTION("""COMPUTED_VALUE"""),"2022-07-04T15:40:03.367Z")</f>
        <v>2022-07-04T15:40:03.367Z</v>
      </c>
    </row>
    <row r="1159" spans="1:10" x14ac:dyDescent="0.2">
      <c r="A1159" s="2" t="str">
        <f ca="1">IFERROR(__xludf.DUMMYFUNCTION("""COMPUTED_VALUE"""),"https://www.facebook.com/leah.leonidas.9")</f>
        <v>https://www.facebook.com/leah.leonidas.9</v>
      </c>
      <c r="B1159" s="1" t="str">
        <f ca="1">IFERROR(__xludf.DUMMYFUNCTION("""COMPUTED_VALUE"""),"Leah Leonidas")</f>
        <v>Leah Leonidas</v>
      </c>
      <c r="C1159" s="1" t="str">
        <f ca="1">IFERROR(__xludf.DUMMYFUNCTION("""COMPUTED_VALUE"""),"Leah")</f>
        <v>Leah</v>
      </c>
      <c r="D1159" s="1" t="str">
        <f ca="1">IFERROR(__xludf.DUMMYFUNCTION("""COMPUTED_VALUE"""),"Leonidas")</f>
        <v>Leonidas</v>
      </c>
      <c r="E1159" s="1" t="str">
        <f ca="1">IFERROR(__xludf.DUMMYFUNCTION("""COMPUTED_VALUE"""),"Kapag tumindig ka, may titindig sa tabi mo.. kaya sama sama po tayong tumindig para sa isa MATAPAT AT DISENTENG GOBYERNO 🙏🙏💪💪 #LeniKikoAllTheWay  #10RobredoForPresident #7PangilinanForVicePresident  #CaMaNaVaIsPink   Dito Hindi ka iiwan at Hindi ka pa"&amp;"babayaan 💗💗")</f>
        <v>Kapag tumindig ka, may titindig sa tabi mo.. kaya sama sama po tayong tumindig para sa isa MATAPAT AT DISENTENG GOBYERNO 🙏🙏💪💪 #LeniKikoAllTheWay  #10RobredoForPresident #7PangilinanForVicePresident  #CaMaNaVaIsPink   Dito Hindi ka iiwan at Hindi ka pababayaan 💗💗</v>
      </c>
      <c r="F1159" s="1">
        <f ca="1">IFERROR(__xludf.DUMMYFUNCTION("""COMPUTED_VALUE"""),20)</f>
        <v>20</v>
      </c>
      <c r="G1159" s="1" t="str">
        <f ca="1">IFERROR(__xludf.DUMMYFUNCTION("""COMPUTED_VALUE"""),"3 mos")</f>
        <v>3 mos</v>
      </c>
      <c r="H1159" s="1" t="str">
        <f ca="1">IFERROR(__xludf.DUMMYFUNCTION("""COMPUTED_VALUE"""),"comment")</f>
        <v>comment</v>
      </c>
      <c r="I1159"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59" s="1" t="str">
        <f ca="1">IFERROR(__xludf.DUMMYFUNCTION("""COMPUTED_VALUE"""),"2022-07-04T15:40:03.367Z")</f>
        <v>2022-07-04T15:40:03.367Z</v>
      </c>
    </row>
    <row r="1160" spans="1:10" x14ac:dyDescent="0.2">
      <c r="A1160" s="2" t="str">
        <f ca="1">IFERROR(__xludf.DUMMYFUNCTION("""COMPUTED_VALUE"""),"https://www.facebook.com/blesilda.bolante")</f>
        <v>https://www.facebook.com/blesilda.bolante</v>
      </c>
      <c r="B1160" s="1" t="str">
        <f ca="1">IFERROR(__xludf.DUMMYFUNCTION("""COMPUTED_VALUE"""),"Bles Bolante")</f>
        <v>Bles Bolante</v>
      </c>
      <c r="C1160" s="1" t="str">
        <f ca="1">IFERROR(__xludf.DUMMYFUNCTION("""COMPUTED_VALUE"""),"Bles")</f>
        <v>Bles</v>
      </c>
      <c r="D1160" s="1" t="str">
        <f ca="1">IFERROR(__xludf.DUMMYFUNCTION("""COMPUTED_VALUE"""),"Bolante")</f>
        <v>Bolante</v>
      </c>
      <c r="E1160" s="1" t="str">
        <f ca="1">IFERROR(__xludf.DUMMYFUNCTION("""COMPUTED_VALUE"""),"Salamat Camanava for supporting Earth Hour. Mabuhay po kayo! #HusayAtTibay  #LeniKikoTeam2022  #CaMaNaVaIsPink")</f>
        <v>Salamat Camanava for supporting Earth Hour. Mabuhay po kayo! #HusayAtTibay  #LeniKikoTeam2022  #CaMaNaVaIsPink</v>
      </c>
      <c r="F1160" s="1">
        <f ca="1">IFERROR(__xludf.DUMMYFUNCTION("""COMPUTED_VALUE"""),7)</f>
        <v>7</v>
      </c>
      <c r="G1160" s="1" t="str">
        <f ca="1">IFERROR(__xludf.DUMMYFUNCTION("""COMPUTED_VALUE"""),"3 mos")</f>
        <v>3 mos</v>
      </c>
      <c r="H1160" s="1" t="str">
        <f ca="1">IFERROR(__xludf.DUMMYFUNCTION("""COMPUTED_VALUE"""),"comment")</f>
        <v>comment</v>
      </c>
      <c r="I1160"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60" s="1" t="str">
        <f ca="1">IFERROR(__xludf.DUMMYFUNCTION("""COMPUTED_VALUE"""),"2022-07-04T15:40:03.367Z")</f>
        <v>2022-07-04T15:40:03.367Z</v>
      </c>
    </row>
    <row r="1161" spans="1:10" x14ac:dyDescent="0.2">
      <c r="A1161" s="2" t="str">
        <f ca="1">IFERROR(__xludf.DUMMYFUNCTION("""COMPUTED_VALUE"""),"https://www.facebook.com/faithjoan.gaerlan.5")</f>
        <v>https://www.facebook.com/faithjoan.gaerlan.5</v>
      </c>
      <c r="B1161" s="1" t="str">
        <f ca="1">IFERROR(__xludf.DUMMYFUNCTION("""COMPUTED_VALUE"""),"Faith Joan Gaerlan")</f>
        <v>Faith Joan Gaerlan</v>
      </c>
      <c r="C1161" s="1" t="str">
        <f ca="1">IFERROR(__xludf.DUMMYFUNCTION("""COMPUTED_VALUE"""),"Faith")</f>
        <v>Faith</v>
      </c>
      <c r="D1161" s="1" t="str">
        <f ca="1">IFERROR(__xludf.DUMMYFUNCTION("""COMPUTED_VALUE"""),"Joan Gaerlan")</f>
        <v>Joan Gaerlan</v>
      </c>
      <c r="E1161" s="1" t="str">
        <f ca="1">IFERROR(__xludf.DUMMYFUNCTION("""COMPUTED_VALUE"""),"#Liwanag sa Dilim. Tayo ang pag-asa ng bayan nasadlak sa dilim")</f>
        <v>#Liwanag sa Dilim. Tayo ang pag-asa ng bayan nasadlak sa dilim</v>
      </c>
      <c r="F1161" s="1">
        <f ca="1">IFERROR(__xludf.DUMMYFUNCTION("""COMPUTED_VALUE"""),17)</f>
        <v>17</v>
      </c>
      <c r="G1161" s="1" t="str">
        <f ca="1">IFERROR(__xludf.DUMMYFUNCTION("""COMPUTED_VALUE"""),"3 mos")</f>
        <v>3 mos</v>
      </c>
      <c r="H1161" s="1" t="str">
        <f ca="1">IFERROR(__xludf.DUMMYFUNCTION("""COMPUTED_VALUE"""),"comment")</f>
        <v>comment</v>
      </c>
      <c r="I1161"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61" s="1" t="str">
        <f ca="1">IFERROR(__xludf.DUMMYFUNCTION("""COMPUTED_VALUE"""),"2022-07-04T15:40:03.367Z")</f>
        <v>2022-07-04T15:40:03.367Z</v>
      </c>
    </row>
    <row r="1162" spans="1:10" x14ac:dyDescent="0.2">
      <c r="A1162" s="2" t="str">
        <f ca="1">IFERROR(__xludf.DUMMYFUNCTION("""COMPUTED_VALUE"""),"https://www.facebook.com/steve.tamayo.18")</f>
        <v>https://www.facebook.com/steve.tamayo.18</v>
      </c>
      <c r="B1162" s="1" t="str">
        <f ca="1">IFERROR(__xludf.DUMMYFUNCTION("""COMPUTED_VALUE"""),"Steve Tamayo")</f>
        <v>Steve Tamayo</v>
      </c>
      <c r="C1162" s="1" t="str">
        <f ca="1">IFERROR(__xludf.DUMMYFUNCTION("""COMPUTED_VALUE"""),"Steve")</f>
        <v>Steve</v>
      </c>
      <c r="D1162" s="1" t="str">
        <f ca="1">IFERROR(__xludf.DUMMYFUNCTION("""COMPUTED_VALUE"""),"Tamayo")</f>
        <v>Tamayo</v>
      </c>
      <c r="E1162" s="1" t="str">
        <f ca="1">IFERROR(__xludf.DUMMYFUNCTION("""COMPUTED_VALUE"""),"Ang boto ko ay para sa isang #GobyernongTapatAngatBuhayLahat at #MasRadikalAngMagmahal  #IdasalNa10to #LeniKikoAllTheWay  #CaMaNavaForLeniKiko #RockAndRosas #CaMaNaVaIsPink  #LugawIsWowSaDabaw #DabawIsPink #tarLENIqueño #TarlacIsPink #PUSOtarlac  #Masagan"&amp;"angANEhan  #NuevaEcijaIsPink #IpanaloNa10Ito #10RobredoPresident  #KikoISDAKey #KikoAngManokKo  #7PangilinanForVicePresident  #MASSKARApatDapatLeniKiko  #TeamRObredoPAngilinan2022 kasamahan para sa Senado iboto din ng straight, Atty Alex Lacson, Atty Sonn"&amp;"y Matula, Dean Chel Diokno, Indigenous Peoples representative Teddy Baguilat, Sen DeLima, Sen Hontiveros, Sen Trillianes at 1Sambayan Atty Neri Colmenares, Sen Gordon at Labor Leader Elmer Labog at 2 pa.")</f>
        <v>Ang boto ko ay para sa isang #GobyernongTapatAngatBuhayLahat at #MasRadikalAngMagmahal  #IdasalNa10to #LeniKikoAllTheWay  #CaMaNavaForLeniKiko #RockAndRosas #CaMaNaVaIsPink  #LugawIsWowSaDabaw #DabawIsPink #tarLENIqueño #TarlacIsPink #PUSOtarlac  #MasaganangANEhan  #NuevaEcijaIsPink #IpanaloNa10Ito #10RobredoPresident  #KikoISDAKey #KikoAngManokKo  #7PangilinanForVicePresident  #MASSKARApatDapatLeniKiko  #TeamRObredoPAngilinan2022 kasamahan para sa Senado iboto din ng straight, Atty Alex Lacson, Atty Sonny Matula, Dean Chel Diokno, Indigenous Peoples representative Teddy Baguilat, Sen DeLima, Sen Hontiveros, Sen Trillianes at 1Sambayan Atty Neri Colmenares, Sen Gordon at Labor Leader Elmer Labog at 2 pa.</v>
      </c>
      <c r="F1162" s="1">
        <f ca="1">IFERROR(__xludf.DUMMYFUNCTION("""COMPUTED_VALUE"""),25)</f>
        <v>25</v>
      </c>
      <c r="G1162" s="1" t="str">
        <f ca="1">IFERROR(__xludf.DUMMYFUNCTION("""COMPUTED_VALUE"""),"3 mos")</f>
        <v>3 mos</v>
      </c>
      <c r="H1162" s="1" t="str">
        <f ca="1">IFERROR(__xludf.DUMMYFUNCTION("""COMPUTED_VALUE"""),"comment")</f>
        <v>comment</v>
      </c>
      <c r="I1162"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62" s="1" t="str">
        <f ca="1">IFERROR(__xludf.DUMMYFUNCTION("""COMPUTED_VALUE"""),"2022-07-04T15:40:03.367Z")</f>
        <v>2022-07-04T15:40:03.367Z</v>
      </c>
    </row>
    <row r="1163" spans="1:10" x14ac:dyDescent="0.2">
      <c r="A1163" s="2" t="str">
        <f ca="1">IFERROR(__xludf.DUMMYFUNCTION("""COMPUTED_VALUE"""),"https://www.facebook.com/inquisitive.mind.739")</f>
        <v>https://www.facebook.com/inquisitive.mind.739</v>
      </c>
      <c r="B1163" s="1" t="str">
        <f ca="1">IFERROR(__xludf.DUMMYFUNCTION("""COMPUTED_VALUE"""),"Ojae GR")</f>
        <v>Ojae GR</v>
      </c>
      <c r="C1163" s="1" t="str">
        <f ca="1">IFERROR(__xludf.DUMMYFUNCTION("""COMPUTED_VALUE"""),"Ojae")</f>
        <v>Ojae</v>
      </c>
      <c r="D1163" s="1" t="str">
        <f ca="1">IFERROR(__xludf.DUMMYFUNCTION("""COMPUTED_VALUE"""),"GR")</f>
        <v>GR</v>
      </c>
      <c r="E1163" s="1" t="str">
        <f ca="1">IFERROR(__xludf.DUMMYFUNCTION("""COMPUTED_VALUE"""),"Ang Ganda. Lagi laging may magandang pangyayari sa bawat rally Ng TroPa that sets them apart from the others.")</f>
        <v>Ang Ganda. Lagi laging may magandang pangyayari sa bawat rally Ng TroPa that sets them apart from the others.</v>
      </c>
      <c r="F1163" s="1">
        <f ca="1">IFERROR(__xludf.DUMMYFUNCTION("""COMPUTED_VALUE"""),169)</f>
        <v>169</v>
      </c>
      <c r="G1163" s="1" t="str">
        <f ca="1">IFERROR(__xludf.DUMMYFUNCTION("""COMPUTED_VALUE"""),"3 mos")</f>
        <v>3 mos</v>
      </c>
      <c r="H1163" s="1" t="str">
        <f ca="1">IFERROR(__xludf.DUMMYFUNCTION("""COMPUTED_VALUE"""),"comment")</f>
        <v>comment</v>
      </c>
      <c r="I1163"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63" s="1" t="str">
        <f ca="1">IFERROR(__xludf.DUMMYFUNCTION("""COMPUTED_VALUE"""),"2022-07-04T15:40:03.367Z")</f>
        <v>2022-07-04T15:40:03.367Z</v>
      </c>
    </row>
    <row r="1164" spans="1:10" x14ac:dyDescent="0.2">
      <c r="A1164" s="2" t="str">
        <f ca="1">IFERROR(__xludf.DUMMYFUNCTION("""COMPUTED_VALUE"""),"https://www.facebook.com/lian.calizo")</f>
        <v>https://www.facebook.com/lian.calizo</v>
      </c>
      <c r="B1164" s="1" t="str">
        <f ca="1">IFERROR(__xludf.DUMMYFUNCTION("""COMPUTED_VALUE"""),"Lian Calizo")</f>
        <v>Lian Calizo</v>
      </c>
      <c r="C1164" s="1" t="str">
        <f ca="1">IFERROR(__xludf.DUMMYFUNCTION("""COMPUTED_VALUE"""),"Lian")</f>
        <v>Lian</v>
      </c>
      <c r="D1164" s="1" t="str">
        <f ca="1">IFERROR(__xludf.DUMMYFUNCTION("""COMPUTED_VALUE"""),"Calizo")</f>
        <v>Calizo</v>
      </c>
      <c r="E1164" s="1" t="str">
        <f ca="1">IFERROR(__xludf.DUMMYFUNCTION("""COMPUTED_VALUE"""),"Ojae GR Laging may magic")</f>
        <v>Ojae GR Laging may magic</v>
      </c>
      <c r="F1164" s="1">
        <f ca="1">IFERROR(__xludf.DUMMYFUNCTION("""COMPUTED_VALUE"""),2)</f>
        <v>2</v>
      </c>
      <c r="G1164" s="1" t="str">
        <f ca="1">IFERROR(__xludf.DUMMYFUNCTION("""COMPUTED_VALUE"""),"3 mos")</f>
        <v>3 mos</v>
      </c>
      <c r="H1164" s="1" t="str">
        <f ca="1">IFERROR(__xludf.DUMMYFUNCTION("""COMPUTED_VALUE"""),"reply")</f>
        <v>reply</v>
      </c>
      <c r="I1164"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64" s="1" t="str">
        <f ca="1">IFERROR(__xludf.DUMMYFUNCTION("""COMPUTED_VALUE"""),"2022-07-04T15:40:03.367Z")</f>
        <v>2022-07-04T15:40:03.367Z</v>
      </c>
    </row>
    <row r="1165" spans="1:10" x14ac:dyDescent="0.2">
      <c r="A1165" s="2" t="str">
        <f ca="1">IFERROR(__xludf.DUMMYFUNCTION("""COMPUTED_VALUE"""),"https://www.facebook.com/lewizzz")</f>
        <v>https://www.facebook.com/lewizzz</v>
      </c>
      <c r="B1165" s="1" t="str">
        <f ca="1">IFERROR(__xludf.DUMMYFUNCTION("""COMPUTED_VALUE"""),"Amiel Lewis Mareposque")</f>
        <v>Amiel Lewis Mareposque</v>
      </c>
      <c r="C1165" s="1" t="str">
        <f ca="1">IFERROR(__xludf.DUMMYFUNCTION("""COMPUTED_VALUE"""),"Amiel")</f>
        <v>Amiel</v>
      </c>
      <c r="D1165" s="1" t="str">
        <f ca="1">IFERROR(__xludf.DUMMYFUNCTION("""COMPUTED_VALUE"""),"Lewis Mareposque")</f>
        <v>Lewis Mareposque</v>
      </c>
      <c r="E1165" s="1" t="str">
        <f ca="1">IFERROR(__xludf.DUMMYFUNCTION("""COMPUTED_VALUE"""),"Lian Calizo yup laging magical ang ganda")</f>
        <v>Lian Calizo yup laging magical ang ganda</v>
      </c>
      <c r="F1165" s="1">
        <f ca="1">IFERROR(__xludf.DUMMYFUNCTION("""COMPUTED_VALUE"""),3)</f>
        <v>3</v>
      </c>
      <c r="G1165" s="1" t="str">
        <f ca="1">IFERROR(__xludf.DUMMYFUNCTION("""COMPUTED_VALUE"""),"3 mos")</f>
        <v>3 mos</v>
      </c>
      <c r="H1165" s="1" t="str">
        <f ca="1">IFERROR(__xludf.DUMMYFUNCTION("""COMPUTED_VALUE"""),"reply")</f>
        <v>reply</v>
      </c>
      <c r="I1165"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65" s="1" t="str">
        <f ca="1">IFERROR(__xludf.DUMMYFUNCTION("""COMPUTED_VALUE"""),"2022-07-04T15:40:03.367Z")</f>
        <v>2022-07-04T15:40:03.367Z</v>
      </c>
    </row>
    <row r="1166" spans="1:10" x14ac:dyDescent="0.2">
      <c r="A1166" s="2" t="str">
        <f ca="1">IFERROR(__xludf.DUMMYFUNCTION("""COMPUTED_VALUE"""),"https://www.facebook.com/trish.arana.9")</f>
        <v>https://www.facebook.com/trish.arana.9</v>
      </c>
      <c r="B1166" s="1" t="str">
        <f ca="1">IFERROR(__xludf.DUMMYFUNCTION("""COMPUTED_VALUE"""),"Trish Araña")</f>
        <v>Trish Araña</v>
      </c>
      <c r="C1166" s="1" t="str">
        <f ca="1">IFERROR(__xludf.DUMMYFUNCTION("""COMPUTED_VALUE"""),"Trish")</f>
        <v>Trish</v>
      </c>
      <c r="D1166" s="1" t="str">
        <f ca="1">IFERROR(__xludf.DUMMYFUNCTION("""COMPUTED_VALUE"""),"Araña")</f>
        <v>Araña</v>
      </c>
      <c r="E1166" s="1" t="str">
        <f ca="1">IFERROR(__xludf.DUMMYFUNCTION("""COMPUTED_VALUE"""),"Ojae GR best of the Philippines!")</f>
        <v>Ojae GR best of the Philippines!</v>
      </c>
      <c r="F1166" s="1">
        <f ca="1">IFERROR(__xludf.DUMMYFUNCTION("""COMPUTED_VALUE"""),2)</f>
        <v>2</v>
      </c>
      <c r="G1166" s="1" t="str">
        <f ca="1">IFERROR(__xludf.DUMMYFUNCTION("""COMPUTED_VALUE"""),"3 mos")</f>
        <v>3 mos</v>
      </c>
      <c r="H1166" s="1" t="str">
        <f ca="1">IFERROR(__xludf.DUMMYFUNCTION("""COMPUTED_VALUE"""),"reply")</f>
        <v>reply</v>
      </c>
      <c r="I1166"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66" s="1" t="str">
        <f ca="1">IFERROR(__xludf.DUMMYFUNCTION("""COMPUTED_VALUE"""),"2022-07-04T15:40:03.367Z")</f>
        <v>2022-07-04T15:40:03.367Z</v>
      </c>
    </row>
    <row r="1167" spans="1:10" x14ac:dyDescent="0.2">
      <c r="A1167" s="2" t="str">
        <f ca="1">IFERROR(__xludf.DUMMYFUNCTION("""COMPUTED_VALUE"""),"https://www.facebook.com/cielo.dupayamendiola")</f>
        <v>https://www.facebook.com/cielo.dupayamendiola</v>
      </c>
      <c r="B1167" s="1" t="str">
        <f ca="1">IFERROR(__xludf.DUMMYFUNCTION("""COMPUTED_VALUE"""),"Cielo Dupaya Mendiola")</f>
        <v>Cielo Dupaya Mendiola</v>
      </c>
      <c r="C1167" s="1" t="str">
        <f ca="1">IFERROR(__xludf.DUMMYFUNCTION("""COMPUTED_VALUE"""),"Cielo")</f>
        <v>Cielo</v>
      </c>
      <c r="D1167" s="1" t="str">
        <f ca="1">IFERROR(__xludf.DUMMYFUNCTION("""COMPUTED_VALUE"""),"Dupaya Mendiola")</f>
        <v>Dupaya Mendiola</v>
      </c>
      <c r="E1167" s="1" t="str">
        <f ca="1">IFERROR(__xludf.DUMMYFUNCTION("""COMPUTED_VALUE"""),"Impressive! Congratulations po sa organizers and volunteers! 🌷🌸🌷")</f>
        <v>Impressive! Congratulations po sa organizers and volunteers! 🌷🌸🌷</v>
      </c>
      <c r="F1167" s="1">
        <f ca="1">IFERROR(__xludf.DUMMYFUNCTION("""COMPUTED_VALUE"""),19)</f>
        <v>19</v>
      </c>
      <c r="G1167" s="1" t="str">
        <f ca="1">IFERROR(__xludf.DUMMYFUNCTION("""COMPUTED_VALUE"""),"3 mos")</f>
        <v>3 mos</v>
      </c>
      <c r="H1167" s="1" t="str">
        <f ca="1">IFERROR(__xludf.DUMMYFUNCTION("""COMPUTED_VALUE"""),"comment")</f>
        <v>comment</v>
      </c>
      <c r="I1167"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67" s="1" t="str">
        <f ca="1">IFERROR(__xludf.DUMMYFUNCTION("""COMPUTED_VALUE"""),"2022-07-04T15:40:03.368Z")</f>
        <v>2022-07-04T15:40:03.368Z</v>
      </c>
    </row>
    <row r="1168" spans="1:10" x14ac:dyDescent="0.2">
      <c r="A1168" s="2" t="str">
        <f ca="1">IFERROR(__xludf.DUMMYFUNCTION("""COMPUTED_VALUE"""),"https://www.facebook.com/profile.php?id=100075207451456")</f>
        <v>https://www.facebook.com/profile.php?id=100075207451456</v>
      </c>
      <c r="B1168" s="1" t="str">
        <f ca="1">IFERROR(__xludf.DUMMYFUNCTION("""COMPUTED_VALUE"""),"Gina P Raviz")</f>
        <v>Gina P Raviz</v>
      </c>
      <c r="C1168" s="1" t="str">
        <f ca="1">IFERROR(__xludf.DUMMYFUNCTION("""COMPUTED_VALUE"""),"Gina")</f>
        <v>Gina</v>
      </c>
      <c r="D1168" s="1" t="str">
        <f ca="1">IFERROR(__xludf.DUMMYFUNCTION("""COMPUTED_VALUE"""),"P Raviz")</f>
        <v>P Raviz</v>
      </c>
      <c r="E1168" s="1" t="str">
        <f ca="1">IFERROR(__xludf.DUMMYFUNCTION("""COMPUTED_VALUE"""),"The darkness for Earth Hour and everyone’s raising their phones to give each other light. What a symbolism. Ang ganda super I watched it live 💗💗💗🌸🌸🌸 #CaMaNaVaIsPink #LeniKiko2022")</f>
        <v>The darkness for Earth Hour and everyone’s raising their phones to give each other light. What a symbolism. Ang ganda super I watched it live 💗💗💗🌸🌸🌸 #CaMaNaVaIsPink #LeniKiko2022</v>
      </c>
      <c r="F1168" s="1">
        <f ca="1">IFERROR(__xludf.DUMMYFUNCTION("""COMPUTED_VALUE"""),208)</f>
        <v>208</v>
      </c>
      <c r="G1168" s="1" t="str">
        <f ca="1">IFERROR(__xludf.DUMMYFUNCTION("""COMPUTED_VALUE"""),"3 mos")</f>
        <v>3 mos</v>
      </c>
      <c r="H1168" s="1" t="str">
        <f ca="1">IFERROR(__xludf.DUMMYFUNCTION("""COMPUTED_VALUE"""),"comment")</f>
        <v>comment</v>
      </c>
      <c r="I1168"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68" s="1" t="str">
        <f ca="1">IFERROR(__xludf.DUMMYFUNCTION("""COMPUTED_VALUE"""),"2022-07-04T15:40:03.368Z")</f>
        <v>2022-07-04T15:40:03.368Z</v>
      </c>
    </row>
    <row r="1169" spans="1:10" x14ac:dyDescent="0.2">
      <c r="A1169" s="2" t="str">
        <f ca="1">IFERROR(__xludf.DUMMYFUNCTION("""COMPUTED_VALUE"""),"https://www.facebook.com/legong.banez.9")</f>
        <v>https://www.facebook.com/legong.banez.9</v>
      </c>
      <c r="B1169" s="1" t="str">
        <f ca="1">IFERROR(__xludf.DUMMYFUNCTION("""COMPUTED_VALUE"""),"Legong Banez")</f>
        <v>Legong Banez</v>
      </c>
      <c r="C1169" s="1" t="str">
        <f ca="1">IFERROR(__xludf.DUMMYFUNCTION("""COMPUTED_VALUE"""),"Legong")</f>
        <v>Legong</v>
      </c>
      <c r="D1169" s="1" t="str">
        <f ca="1">IFERROR(__xludf.DUMMYFUNCTION("""COMPUTED_VALUE"""),"Banez")</f>
        <v>Banez</v>
      </c>
      <c r="E1169" s="1" t="str">
        <f ca="1">IFERROR(__xludf.DUMMYFUNCTION("""COMPUTED_VALUE"""),"Gina P Raviz #may Leniwanag sa Dilim")</f>
        <v>Gina P Raviz #may Leniwanag sa Dilim</v>
      </c>
      <c r="F1169" s="1">
        <f ca="1">IFERROR(__xludf.DUMMYFUNCTION("""COMPUTED_VALUE"""),3)</f>
        <v>3</v>
      </c>
      <c r="G1169" s="1" t="str">
        <f ca="1">IFERROR(__xludf.DUMMYFUNCTION("""COMPUTED_VALUE"""),"3 mos")</f>
        <v>3 mos</v>
      </c>
      <c r="H1169" s="1" t="str">
        <f ca="1">IFERROR(__xludf.DUMMYFUNCTION("""COMPUTED_VALUE"""),"reply")</f>
        <v>reply</v>
      </c>
      <c r="I1169"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69" s="1" t="str">
        <f ca="1">IFERROR(__xludf.DUMMYFUNCTION("""COMPUTED_VALUE"""),"2022-07-04T15:40:03.368Z")</f>
        <v>2022-07-04T15:40:03.368Z</v>
      </c>
    </row>
    <row r="1170" spans="1:10" x14ac:dyDescent="0.2">
      <c r="A1170" s="2" t="str">
        <f ca="1">IFERROR(__xludf.DUMMYFUNCTION("""COMPUTED_VALUE"""),"https://www.facebook.com/marite513")</f>
        <v>https://www.facebook.com/marite513</v>
      </c>
      <c r="B1170" s="1" t="str">
        <f ca="1">IFERROR(__xludf.DUMMYFUNCTION("""COMPUTED_VALUE"""),"Marite Damsani")</f>
        <v>Marite Damsani</v>
      </c>
      <c r="C1170" s="1" t="str">
        <f ca="1">IFERROR(__xludf.DUMMYFUNCTION("""COMPUTED_VALUE"""),"Marite")</f>
        <v>Marite</v>
      </c>
      <c r="D1170" s="1" t="str">
        <f ca="1">IFERROR(__xludf.DUMMYFUNCTION("""COMPUTED_VALUE"""),"Damsani")</f>
        <v>Damsani</v>
      </c>
      <c r="E1170" s="1" t="str">
        <f ca="1">IFERROR(__xludf.DUMMYFUNCTION("""COMPUTED_VALUE"""),"Mabuhay ang mga taga Caloocan, Malabon, Navotas at Valenzuela! God bless you all! Ang gagaling ninyo!")</f>
        <v>Mabuhay ang mga taga Caloocan, Malabon, Navotas at Valenzuela! God bless you all! Ang gagaling ninyo!</v>
      </c>
      <c r="F1170" s="1">
        <f ca="1">IFERROR(__xludf.DUMMYFUNCTION("""COMPUTED_VALUE"""),11)</f>
        <v>11</v>
      </c>
      <c r="G1170" s="1" t="str">
        <f ca="1">IFERROR(__xludf.DUMMYFUNCTION("""COMPUTED_VALUE"""),"3 mos")</f>
        <v>3 mos</v>
      </c>
      <c r="H1170" s="1" t="str">
        <f ca="1">IFERROR(__xludf.DUMMYFUNCTION("""COMPUTED_VALUE"""),"comment")</f>
        <v>comment</v>
      </c>
      <c r="I1170"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70" s="1" t="str">
        <f ca="1">IFERROR(__xludf.DUMMYFUNCTION("""COMPUTED_VALUE"""),"2022-07-04T15:40:03.368Z")</f>
        <v>2022-07-04T15:40:03.368Z</v>
      </c>
    </row>
    <row r="1171" spans="1:10" x14ac:dyDescent="0.2">
      <c r="A1171" s="2" t="str">
        <f ca="1">IFERROR(__xludf.DUMMYFUNCTION("""COMPUTED_VALUE"""),"https://www.facebook.com/siguenza.med96")</f>
        <v>https://www.facebook.com/siguenza.med96</v>
      </c>
      <c r="B1171" s="1" t="str">
        <f ca="1">IFERROR(__xludf.DUMMYFUNCTION("""COMPUTED_VALUE"""),"Siguenza Med")</f>
        <v>Siguenza Med</v>
      </c>
      <c r="C1171" s="1" t="str">
        <f ca="1">IFERROR(__xludf.DUMMYFUNCTION("""COMPUTED_VALUE"""),"Siguenza")</f>
        <v>Siguenza</v>
      </c>
      <c r="D1171" s="1" t="str">
        <f ca="1">IFERROR(__xludf.DUMMYFUNCTION("""COMPUTED_VALUE"""),"Med")</f>
        <v>Med</v>
      </c>
      <c r="E1171" s="1" t="str">
        <f ca="1">IFERROR(__xludf.DUMMYFUNCTION("""COMPUTED_VALUE"""),"Unity with the world for our Mother Earth. #GobyernongTapatAngatBuhayLahat")</f>
        <v>Unity with the world for our Mother Earth. #GobyernongTapatAngatBuhayLahat</v>
      </c>
      <c r="F1171" s="1">
        <f ca="1">IFERROR(__xludf.DUMMYFUNCTION("""COMPUTED_VALUE"""),49)</f>
        <v>49</v>
      </c>
      <c r="G1171" s="1" t="str">
        <f ca="1">IFERROR(__xludf.DUMMYFUNCTION("""COMPUTED_VALUE"""),"3 mos")</f>
        <v>3 mos</v>
      </c>
      <c r="H1171" s="1" t="str">
        <f ca="1">IFERROR(__xludf.DUMMYFUNCTION("""COMPUTED_VALUE"""),"comment")</f>
        <v>comment</v>
      </c>
      <c r="I1171"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71" s="1" t="str">
        <f ca="1">IFERROR(__xludf.DUMMYFUNCTION("""COMPUTED_VALUE"""),"2022-07-04T15:40:03.368Z")</f>
        <v>2022-07-04T15:40:03.368Z</v>
      </c>
    </row>
    <row r="1172" spans="1:10" x14ac:dyDescent="0.2">
      <c r="A1172" s="2" t="str">
        <f ca="1">IFERROR(__xludf.DUMMYFUNCTION("""COMPUTED_VALUE"""),"https://www.facebook.com/myyaJrosales")</f>
        <v>https://www.facebook.com/myyaJrosales</v>
      </c>
      <c r="B1172" s="1" t="str">
        <f ca="1">IFERROR(__xludf.DUMMYFUNCTION("""COMPUTED_VALUE"""),"Myya Jacoba-Rosales")</f>
        <v>Myya Jacoba-Rosales</v>
      </c>
      <c r="C1172" s="1" t="str">
        <f ca="1">IFERROR(__xludf.DUMMYFUNCTION("""COMPUTED_VALUE"""),"Myya")</f>
        <v>Myya</v>
      </c>
      <c r="D1172" s="1" t="str">
        <f ca="1">IFERROR(__xludf.DUMMYFUNCTION("""COMPUTED_VALUE"""),"Jacoba-Rosales")</f>
        <v>Jacoba-Rosales</v>
      </c>
      <c r="E1172" s="1" t="str">
        <f ca="1">IFERROR(__xludf.DUMMYFUNCTION("""COMPUTED_VALUE"""),"Beautiful... talagang na kay #LeniKiko2022 ang Pag-Asa!  #CaMaNaVaIsPink #LeniKikoAllTheWay  #RosasAngKulayNgBukas #GobyernongTapatAngatBuhayLahat #KayLeniKikoPanaloAngPilipino #HusayAtTibay #BangonPilipinas #IpanaloNa10To")</f>
        <v>Beautiful... talagang na kay #LeniKiko2022 ang Pag-Asa!  #CaMaNaVaIsPink #LeniKikoAllTheWay  #RosasAngKulayNgBukas #GobyernongTapatAngatBuhayLahat #KayLeniKikoPanaloAngPilipino #HusayAtTibay #BangonPilipinas #IpanaloNa10To</v>
      </c>
      <c r="F1172" s="1">
        <f ca="1">IFERROR(__xludf.DUMMYFUNCTION("""COMPUTED_VALUE"""),6)</f>
        <v>6</v>
      </c>
      <c r="G1172" s="1" t="str">
        <f ca="1">IFERROR(__xludf.DUMMYFUNCTION("""COMPUTED_VALUE"""),"3 mos")</f>
        <v>3 mos</v>
      </c>
      <c r="H1172" s="1" t="str">
        <f ca="1">IFERROR(__xludf.DUMMYFUNCTION("""COMPUTED_VALUE"""),"comment")</f>
        <v>comment</v>
      </c>
      <c r="I1172"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72" s="1" t="str">
        <f ca="1">IFERROR(__xludf.DUMMYFUNCTION("""COMPUTED_VALUE"""),"2022-07-04T15:40:03.368Z")</f>
        <v>2022-07-04T15:40:03.368Z</v>
      </c>
    </row>
    <row r="1173" spans="1:10" x14ac:dyDescent="0.2">
      <c r="A1173" s="2" t="str">
        <f ca="1">IFERROR(__xludf.DUMMYFUNCTION("""COMPUTED_VALUE"""),"https://www.facebook.com/ventura.mariejane")</f>
        <v>https://www.facebook.com/ventura.mariejane</v>
      </c>
      <c r="B1173" s="1" t="str">
        <f ca="1">IFERROR(__xludf.DUMMYFUNCTION("""COMPUTED_VALUE"""),"Jane Maltu Ventura")</f>
        <v>Jane Maltu Ventura</v>
      </c>
      <c r="C1173" s="1" t="str">
        <f ca="1">IFERROR(__xludf.DUMMYFUNCTION("""COMPUTED_VALUE"""),"Jane")</f>
        <v>Jane</v>
      </c>
      <c r="D1173" s="1" t="str">
        <f ca="1">IFERROR(__xludf.DUMMYFUNCTION("""COMPUTED_VALUE"""),"Maltu Ventura")</f>
        <v>Maltu Ventura</v>
      </c>
      <c r="E1173" s="1" t="str">
        <f ca="1">IFERROR(__xludf.DUMMYFUNCTION("""COMPUTED_VALUE"""),"For better Philippines  The best Man for the job is a Woman 👠👠 #IpanaloNa10T #CaMaNaVaIsPink  #RockandRosas  #LeniKiko2022 #10RobredoForPresident  #7KikoPangilinanVicePresident  #TrillanesForSenator2022  #LeilaDeLima2022  #RisaHontiveros2022  #SonnyMatu"&amp;"la2022  #AlexLacson2022  #ChelDioknoSaSenado  #DickGordon #NeriComenares #AngatBuhayLahat #KulayRosasAngBukas  #GobyernongTapatAngatBuhayLahat  #HelloPagkainGoodbyeGutom")</f>
        <v>For better Philippines  The best Man for the job is a Woman 👠👠 #IpanaloNa10T #CaMaNaVaIsPink  #RockandRosas  #LeniKiko2022 #10RobredoForPresident  #7KikoPangilinanVicePresident  #TrillanesForSenator2022  #LeilaDeLima2022  #RisaHontiveros2022  #SonnyMatula2022  #AlexLacson2022  #ChelDioknoSaSenado  #DickGordon #NeriComenares #AngatBuhayLahat #KulayRosasAngBukas  #GobyernongTapatAngatBuhayLahat  #HelloPagkainGoodbyeGutom</v>
      </c>
      <c r="F1173" s="1"/>
      <c r="G1173" s="1" t="str">
        <f ca="1">IFERROR(__xludf.DUMMYFUNCTION("""COMPUTED_VALUE"""),"3 mos")</f>
        <v>3 mos</v>
      </c>
      <c r="H1173" s="1" t="str">
        <f ca="1">IFERROR(__xludf.DUMMYFUNCTION("""COMPUTED_VALUE"""),"comment")</f>
        <v>comment</v>
      </c>
      <c r="I1173"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73" s="1" t="str">
        <f ca="1">IFERROR(__xludf.DUMMYFUNCTION("""COMPUTED_VALUE"""),"2022-07-04T15:40:03.368Z")</f>
        <v>2022-07-04T15:40:03.368Z</v>
      </c>
    </row>
    <row r="1174" spans="1:10" x14ac:dyDescent="0.2">
      <c r="A1174" s="2" t="str">
        <f ca="1">IFERROR(__xludf.DUMMYFUNCTION("""COMPUTED_VALUE"""),"https://www.facebook.com/ditas.ravanilla")</f>
        <v>https://www.facebook.com/ditas.ravanilla</v>
      </c>
      <c r="B1174" s="1" t="str">
        <f ca="1">IFERROR(__xludf.DUMMYFUNCTION("""COMPUTED_VALUE"""),"Ditas Ravanilla")</f>
        <v>Ditas Ravanilla</v>
      </c>
      <c r="C1174" s="1" t="str">
        <f ca="1">IFERROR(__xludf.DUMMYFUNCTION("""COMPUTED_VALUE"""),"Ditas")</f>
        <v>Ditas</v>
      </c>
      <c r="D1174" s="1" t="str">
        <f ca="1">IFERROR(__xludf.DUMMYFUNCTION("""COMPUTED_VALUE"""),"Ravanilla")</f>
        <v>Ravanilla</v>
      </c>
      <c r="E1174" s="1" t="str">
        <f ca="1">IFERROR(__xludf.DUMMYFUNCTION("""COMPUTED_VALUE"""),"Marunong magkalinga hindi lamang ng sambayanang Pilipino kundi pati na rin ng kalikasan! Tara na sa #GobyernongTapat kung saan #AngatBuhayLahat at #KulayRosasAngBukas! #IpanaloNa10To #LeniKikoAllTheWay 🌷❤🌷❤🌷❤")</f>
        <v>Marunong magkalinga hindi lamang ng sambayanang Pilipino kundi pati na rin ng kalikasan! Tara na sa #GobyernongTapat kung saan #AngatBuhayLahat at #KulayRosasAngBukas! #IpanaloNa10To #LeniKikoAllTheWay 🌷❤🌷❤🌷❤</v>
      </c>
      <c r="F1174" s="1">
        <f ca="1">IFERROR(__xludf.DUMMYFUNCTION("""COMPUTED_VALUE"""),1)</f>
        <v>1</v>
      </c>
      <c r="G1174" s="1" t="str">
        <f ca="1">IFERROR(__xludf.DUMMYFUNCTION("""COMPUTED_VALUE"""),"3 mos")</f>
        <v>3 mos</v>
      </c>
      <c r="H1174" s="1" t="str">
        <f ca="1">IFERROR(__xludf.DUMMYFUNCTION("""COMPUTED_VALUE"""),"comment")</f>
        <v>comment</v>
      </c>
      <c r="I1174"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74" s="1" t="str">
        <f ca="1">IFERROR(__xludf.DUMMYFUNCTION("""COMPUTED_VALUE"""),"2022-07-04T15:40:03.368Z")</f>
        <v>2022-07-04T15:40:03.368Z</v>
      </c>
    </row>
    <row r="1175" spans="1:10" x14ac:dyDescent="0.2">
      <c r="A1175" s="2" t="str">
        <f ca="1">IFERROR(__xludf.DUMMYFUNCTION("""COMPUTED_VALUE"""),"https://www.facebook.com/felicidad.lala.7")</f>
        <v>https://www.facebook.com/felicidad.lala.7</v>
      </c>
      <c r="B1175" s="1" t="str">
        <f ca="1">IFERROR(__xludf.DUMMYFUNCTION("""COMPUTED_VALUE"""),"Felicidad Lala")</f>
        <v>Felicidad Lala</v>
      </c>
      <c r="C1175" s="1" t="str">
        <f ca="1">IFERROR(__xludf.DUMMYFUNCTION("""COMPUTED_VALUE"""),"Felicidad")</f>
        <v>Felicidad</v>
      </c>
      <c r="D1175" s="1" t="str">
        <f ca="1">IFERROR(__xludf.DUMMYFUNCTION("""COMPUTED_VALUE"""),"Lala")</f>
        <v>Lala</v>
      </c>
      <c r="E1175" s="1" t="str">
        <f ca="1">IFERROR(__xludf.DUMMYFUNCTION("""COMPUTED_VALUE"""),"Congratulations sa mga organizers! Excellent para sa akin mga gawa nyo! GOD LOVES A CHEERFUL GIVER! time, talent and treasure na i share because of radical ang magmahal. God bless your heart!")</f>
        <v>Congratulations sa mga organizers! Excellent para sa akin mga gawa nyo! GOD LOVES A CHEERFUL GIVER! time, talent and treasure na i share because of radical ang magmahal. God bless your heart!</v>
      </c>
      <c r="F1175" s="1">
        <f ca="1">IFERROR(__xludf.DUMMYFUNCTION("""COMPUTED_VALUE"""),3)</f>
        <v>3</v>
      </c>
      <c r="G1175" s="1" t="str">
        <f ca="1">IFERROR(__xludf.DUMMYFUNCTION("""COMPUTED_VALUE"""),"3 mos")</f>
        <v>3 mos</v>
      </c>
      <c r="H1175" s="1" t="str">
        <f ca="1">IFERROR(__xludf.DUMMYFUNCTION("""COMPUTED_VALUE"""),"comment")</f>
        <v>comment</v>
      </c>
      <c r="I1175"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75" s="1" t="str">
        <f ca="1">IFERROR(__xludf.DUMMYFUNCTION("""COMPUTED_VALUE"""),"2022-07-04T15:40:03.368Z")</f>
        <v>2022-07-04T15:40:03.368Z</v>
      </c>
    </row>
    <row r="1176" spans="1:10" x14ac:dyDescent="0.2">
      <c r="A1176" s="2" t="str">
        <f ca="1">IFERROR(__xludf.DUMMYFUNCTION("""COMPUTED_VALUE"""),"https://www.facebook.com/ajejejejejelly")</f>
        <v>https://www.facebook.com/ajejejejejelly</v>
      </c>
      <c r="B1176" s="1" t="str">
        <f ca="1">IFERROR(__xludf.DUMMYFUNCTION("""COMPUTED_VALUE"""),"김젤리")</f>
        <v>김젤리</v>
      </c>
      <c r="C1176" s="1" t="str">
        <f ca="1">IFERROR(__xludf.DUMMYFUNCTION("""COMPUTED_VALUE"""),"김젤리")</f>
        <v>김젤리</v>
      </c>
      <c r="D1176" s="1"/>
      <c r="E1176" s="1" t="str">
        <f ca="1">IFERROR(__xludf.DUMMYFUNCTION("""COMPUTED_VALUE"""),"I stan the right president 💗💗💗💗 observing and participating in Earth Hour 💗💗")</f>
        <v>I stan the right president 💗💗💗💗 observing and participating in Earth Hour 💗💗</v>
      </c>
      <c r="F1176" s="1">
        <f ca="1">IFERROR(__xludf.DUMMYFUNCTION("""COMPUTED_VALUE"""),2)</f>
        <v>2</v>
      </c>
      <c r="G1176" s="1" t="str">
        <f ca="1">IFERROR(__xludf.DUMMYFUNCTION("""COMPUTED_VALUE"""),"3 mos")</f>
        <v>3 mos</v>
      </c>
      <c r="H1176" s="1" t="str">
        <f ca="1">IFERROR(__xludf.DUMMYFUNCTION("""COMPUTED_VALUE"""),"comment")</f>
        <v>comment</v>
      </c>
      <c r="I1176"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76" s="1" t="str">
        <f ca="1">IFERROR(__xludf.DUMMYFUNCTION("""COMPUTED_VALUE"""),"2022-07-04T15:40:03.368Z")</f>
        <v>2022-07-04T15:40:03.368Z</v>
      </c>
    </row>
    <row r="1177" spans="1:10" x14ac:dyDescent="0.2">
      <c r="A1177" s="2" t="str">
        <f ca="1">IFERROR(__xludf.DUMMYFUNCTION("""COMPUTED_VALUE"""),"https://www.facebook.com/christinejoy.cabrera.92")</f>
        <v>https://www.facebook.com/christinejoy.cabrera.92</v>
      </c>
      <c r="B1177" s="1" t="str">
        <f ca="1">IFERROR(__xludf.DUMMYFUNCTION("""COMPUTED_VALUE"""),"Christine Joy Cabrera")</f>
        <v>Christine Joy Cabrera</v>
      </c>
      <c r="C1177" s="1" t="str">
        <f ca="1">IFERROR(__xludf.DUMMYFUNCTION("""COMPUTED_VALUE"""),"Christine")</f>
        <v>Christine</v>
      </c>
      <c r="D1177" s="1" t="str">
        <f ca="1">IFERROR(__xludf.DUMMYFUNCTION("""COMPUTED_VALUE"""),"Joy Cabrera")</f>
        <v>Joy Cabrera</v>
      </c>
      <c r="E1177" s="1" t="str">
        <f ca="1">IFERROR(__xludf.DUMMYFUNCTION("""COMPUTED_VALUE"""),"김젤리 based nezuko")</f>
        <v>김젤리 based nezuko</v>
      </c>
      <c r="F1177" s="1"/>
      <c r="G1177" s="1" t="str">
        <f ca="1">IFERROR(__xludf.DUMMYFUNCTION("""COMPUTED_VALUE"""),"3 mos")</f>
        <v>3 mos</v>
      </c>
      <c r="H1177" s="1" t="str">
        <f ca="1">IFERROR(__xludf.DUMMYFUNCTION("""COMPUTED_VALUE"""),"reply")</f>
        <v>reply</v>
      </c>
      <c r="I1177"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77" s="1" t="str">
        <f ca="1">IFERROR(__xludf.DUMMYFUNCTION("""COMPUTED_VALUE"""),"2022-07-04T15:40:03.368Z")</f>
        <v>2022-07-04T15:40:03.368Z</v>
      </c>
    </row>
    <row r="1178" spans="1:10" x14ac:dyDescent="0.2">
      <c r="A1178" s="2" t="str">
        <f ca="1">IFERROR(__xludf.DUMMYFUNCTION("""COMPUTED_VALUE"""),"https://www.facebook.com/nilo.seda")</f>
        <v>https://www.facebook.com/nilo.seda</v>
      </c>
      <c r="B1178" s="1" t="str">
        <f ca="1">IFERROR(__xludf.DUMMYFUNCTION("""COMPUTED_VALUE"""),"Nilo Sasot Seda")</f>
        <v>Nilo Sasot Seda</v>
      </c>
      <c r="C1178" s="1" t="str">
        <f ca="1">IFERROR(__xludf.DUMMYFUNCTION("""COMPUTED_VALUE"""),"Nilo")</f>
        <v>Nilo</v>
      </c>
      <c r="D1178" s="1" t="str">
        <f ca="1">IFERROR(__xludf.DUMMYFUNCTION("""COMPUTED_VALUE"""),"Sasot Seda")</f>
        <v>Sasot Seda</v>
      </c>
      <c r="E1178" s="1" t="str">
        <f ca="1">IFERROR(__xludf.DUMMYFUNCTION("""COMPUTED_VALUE"""),"SALAMAT CAMANAVA SA SUPORTA SA LENIKIKO TEAM AT SA LAHAT PO NG VOLUNTEERS, AT PERFORMERS SULIT ANG PAGOD AT UMUWING. MASASAYA. GABAYAN TAYO NG DIYOS SA LAHAT NG RALLY NG LENIKIKO TEAM.")</f>
        <v>SALAMAT CAMANAVA SA SUPORTA SA LENIKIKO TEAM AT SA LAHAT PO NG VOLUNTEERS, AT PERFORMERS SULIT ANG PAGOD AT UMUWING. MASASAYA. GABAYAN TAYO NG DIYOS SA LAHAT NG RALLY NG LENIKIKO TEAM.</v>
      </c>
      <c r="F1178" s="1">
        <f ca="1">IFERROR(__xludf.DUMMYFUNCTION("""COMPUTED_VALUE"""),2)</f>
        <v>2</v>
      </c>
      <c r="G1178" s="1" t="str">
        <f ca="1">IFERROR(__xludf.DUMMYFUNCTION("""COMPUTED_VALUE"""),"3 mos")</f>
        <v>3 mos</v>
      </c>
      <c r="H1178" s="1" t="str">
        <f ca="1">IFERROR(__xludf.DUMMYFUNCTION("""COMPUTED_VALUE"""),"comment")</f>
        <v>comment</v>
      </c>
      <c r="I1178"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78" s="1" t="str">
        <f ca="1">IFERROR(__xludf.DUMMYFUNCTION("""COMPUTED_VALUE"""),"2022-07-04T15:40:03.368Z")</f>
        <v>2022-07-04T15:40:03.368Z</v>
      </c>
    </row>
    <row r="1179" spans="1:10" x14ac:dyDescent="0.2">
      <c r="A1179" s="2" t="str">
        <f ca="1">IFERROR(__xludf.DUMMYFUNCTION("""COMPUTED_VALUE"""),"https://www.facebook.com/jeremiasmoronjr")</f>
        <v>https://www.facebook.com/jeremiasmoronjr</v>
      </c>
      <c r="B1179" s="1" t="str">
        <f ca="1">IFERROR(__xludf.DUMMYFUNCTION("""COMPUTED_VALUE"""),"Jeremias Morron Jr.")</f>
        <v>Jeremias Morron Jr.</v>
      </c>
      <c r="C1179" s="1" t="str">
        <f ca="1">IFERROR(__xludf.DUMMYFUNCTION("""COMPUTED_VALUE"""),"Jeremias")</f>
        <v>Jeremias</v>
      </c>
      <c r="D1179" s="1" t="str">
        <f ca="1">IFERROR(__xludf.DUMMYFUNCTION("""COMPUTED_VALUE"""),"Morron Jr.")</f>
        <v>Morron Jr.</v>
      </c>
      <c r="E1179" s="1" t="str">
        <f ca="1">IFERROR(__xludf.DUMMYFUNCTION("""COMPUTED_VALUE"""),"Ipanalo na10 ito #10RobredoForPresident #7KikoPangilinanVicePresident #61TESDAMAN #GobyernongTapat #AngatBuhayLahat #CaMaNaVaIsPink #CaMaNavaForLeniKiko")</f>
        <v>Ipanalo na10 ito #10RobredoForPresident #7KikoPangilinanVicePresident #61TESDAMAN #GobyernongTapat #AngatBuhayLahat #CaMaNaVaIsPink #CaMaNavaForLeniKiko</v>
      </c>
      <c r="F1179" s="1"/>
      <c r="G1179" s="1" t="str">
        <f ca="1">IFERROR(__xludf.DUMMYFUNCTION("""COMPUTED_VALUE"""),"3 mos")</f>
        <v>3 mos</v>
      </c>
      <c r="H1179" s="1" t="str">
        <f ca="1">IFERROR(__xludf.DUMMYFUNCTION("""COMPUTED_VALUE"""),"comment")</f>
        <v>comment</v>
      </c>
      <c r="I1179"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79" s="1" t="str">
        <f ca="1">IFERROR(__xludf.DUMMYFUNCTION("""COMPUTED_VALUE"""),"2022-07-04T15:40:03.368Z")</f>
        <v>2022-07-04T15:40:03.368Z</v>
      </c>
    </row>
    <row r="1180" spans="1:10" x14ac:dyDescent="0.2">
      <c r="A1180" s="2" t="str">
        <f ca="1">IFERROR(__xludf.DUMMYFUNCTION("""COMPUTED_VALUE"""),"https://www.facebook.com/winet.bautista")</f>
        <v>https://www.facebook.com/winet.bautista</v>
      </c>
      <c r="B1180" s="1" t="str">
        <f ca="1">IFERROR(__xludf.DUMMYFUNCTION("""COMPUTED_VALUE"""),"Winet Bautista")</f>
        <v>Winet Bautista</v>
      </c>
      <c r="C1180" s="1" t="str">
        <f ca="1">IFERROR(__xludf.DUMMYFUNCTION("""COMPUTED_VALUE"""),"Winet")</f>
        <v>Winet</v>
      </c>
      <c r="D1180" s="1" t="str">
        <f ca="1">IFERROR(__xludf.DUMMYFUNCTION("""COMPUTED_VALUE"""),"Bautista")</f>
        <v>Bautista</v>
      </c>
      <c r="E1180" s="1" t="str">
        <f ca="1">IFERROR(__xludf.DUMMYFUNCTION("""COMPUTED_VALUE"""),"Wow! Beautiful!!! Fight, fight, fight, CAMANAVA!!!  #CAMANAVAisPink #CAMANAVARockAndRosas #IpanaloNa10To #LeniKiko2022 #AngatBuhayLahat")</f>
        <v>Wow! Beautiful!!! Fight, fight, fight, CAMANAVA!!!  #CAMANAVAisPink #CAMANAVARockAndRosas #IpanaloNa10To #LeniKiko2022 #AngatBuhayLahat</v>
      </c>
      <c r="F1180" s="1">
        <f ca="1">IFERROR(__xludf.DUMMYFUNCTION("""COMPUTED_VALUE"""),1)</f>
        <v>1</v>
      </c>
      <c r="G1180" s="1" t="str">
        <f ca="1">IFERROR(__xludf.DUMMYFUNCTION("""COMPUTED_VALUE"""),"3 mos")</f>
        <v>3 mos</v>
      </c>
      <c r="H1180" s="1" t="str">
        <f ca="1">IFERROR(__xludf.DUMMYFUNCTION("""COMPUTED_VALUE"""),"comment")</f>
        <v>comment</v>
      </c>
      <c r="I1180"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80" s="1" t="str">
        <f ca="1">IFERROR(__xludf.DUMMYFUNCTION("""COMPUTED_VALUE"""),"2022-07-04T15:40:03.368Z")</f>
        <v>2022-07-04T15:40:03.368Z</v>
      </c>
    </row>
    <row r="1181" spans="1:10" x14ac:dyDescent="0.2">
      <c r="A1181" s="2" t="str">
        <f ca="1">IFERROR(__xludf.DUMMYFUNCTION("""COMPUTED_VALUE"""),"https://www.facebook.com/yisamagallanes")</f>
        <v>https://www.facebook.com/yisamagallanes</v>
      </c>
      <c r="B1181" s="1" t="str">
        <f ca="1">IFERROR(__xludf.DUMMYFUNCTION("""COMPUTED_VALUE"""),"Ds Llanes")</f>
        <v>Ds Llanes</v>
      </c>
      <c r="C1181" s="1" t="str">
        <f ca="1">IFERROR(__xludf.DUMMYFUNCTION("""COMPUTED_VALUE"""),"Ds")</f>
        <v>Ds</v>
      </c>
      <c r="D1181" s="1" t="str">
        <f ca="1">IFERROR(__xludf.DUMMYFUNCTION("""COMPUTED_VALUE"""),"Llanes")</f>
        <v>Llanes</v>
      </c>
      <c r="E1181" s="1" t="str">
        <f ca="1">IFERROR(__xludf.DUMMYFUNCTION("""COMPUTED_VALUE"""),"Amazing 🌸🎀🌸 #GobyernongTapatAngatBuhayLahat  #LetLeniKikoLead2022  Mabuhay mga Kakampink 🌸💗🌸")</f>
        <v>Amazing 🌸🎀🌸 #GobyernongTapatAngatBuhayLahat  #LetLeniKikoLead2022  Mabuhay mga Kakampink 🌸💗🌸</v>
      </c>
      <c r="F1181" s="1">
        <f ca="1">IFERROR(__xludf.DUMMYFUNCTION("""COMPUTED_VALUE"""),7)</f>
        <v>7</v>
      </c>
      <c r="G1181" s="1" t="str">
        <f ca="1">IFERROR(__xludf.DUMMYFUNCTION("""COMPUTED_VALUE"""),"3 mos")</f>
        <v>3 mos</v>
      </c>
      <c r="H1181" s="1" t="str">
        <f ca="1">IFERROR(__xludf.DUMMYFUNCTION("""COMPUTED_VALUE"""),"comment")</f>
        <v>comment</v>
      </c>
      <c r="I1181"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81" s="1" t="str">
        <f ca="1">IFERROR(__xludf.DUMMYFUNCTION("""COMPUTED_VALUE"""),"2022-07-04T15:40:03.368Z")</f>
        <v>2022-07-04T15:40:03.368Z</v>
      </c>
    </row>
    <row r="1182" spans="1:10" x14ac:dyDescent="0.2">
      <c r="A1182" s="2" t="str">
        <f ca="1">IFERROR(__xludf.DUMMYFUNCTION("""COMPUTED_VALUE"""),"https://www.facebook.com/haidi.lim")</f>
        <v>https://www.facebook.com/haidi.lim</v>
      </c>
      <c r="B1182" s="1" t="str">
        <f ca="1">IFERROR(__xludf.DUMMYFUNCTION("""COMPUTED_VALUE"""),"Haidi Lim")</f>
        <v>Haidi Lim</v>
      </c>
      <c r="C1182" s="1" t="str">
        <f ca="1">IFERROR(__xludf.DUMMYFUNCTION("""COMPUTED_VALUE"""),"Haidi")</f>
        <v>Haidi</v>
      </c>
      <c r="D1182" s="1" t="str">
        <f ca="1">IFERROR(__xludf.DUMMYFUNCTION("""COMPUTED_VALUE"""),"Lim")</f>
        <v>Lim</v>
      </c>
      <c r="E1182" s="1" t="str">
        <f ca="1">IFERROR(__xludf.DUMMYFUNCTION("""COMPUTED_VALUE"""),"Ang ganda naman nyan panalo na naman mga kakampink God bless all of you and more power and energy")</f>
        <v>Ang ganda naman nyan panalo na naman mga kakampink God bless all of you and more power and energy</v>
      </c>
      <c r="F1182" s="1">
        <f ca="1">IFERROR(__xludf.DUMMYFUNCTION("""COMPUTED_VALUE"""),2)</f>
        <v>2</v>
      </c>
      <c r="G1182" s="1" t="str">
        <f ca="1">IFERROR(__xludf.DUMMYFUNCTION("""COMPUTED_VALUE"""),"3 mos")</f>
        <v>3 mos</v>
      </c>
      <c r="H1182" s="1" t="str">
        <f ca="1">IFERROR(__xludf.DUMMYFUNCTION("""COMPUTED_VALUE"""),"comment")</f>
        <v>comment</v>
      </c>
      <c r="I1182"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82" s="1" t="str">
        <f ca="1">IFERROR(__xludf.DUMMYFUNCTION("""COMPUTED_VALUE"""),"2022-07-04T15:40:03.368Z")</f>
        <v>2022-07-04T15:40:03.368Z</v>
      </c>
    </row>
    <row r="1183" spans="1:10" x14ac:dyDescent="0.2">
      <c r="A1183" s="2" t="str">
        <f ca="1">IFERROR(__xludf.DUMMYFUNCTION("""COMPUTED_VALUE"""),"https://www.facebook.com/ligaya.acsay")</f>
        <v>https://www.facebook.com/ligaya.acsay</v>
      </c>
      <c r="B1183" s="1" t="str">
        <f ca="1">IFERROR(__xludf.DUMMYFUNCTION("""COMPUTED_VALUE"""),"Ligaya Acsay")</f>
        <v>Ligaya Acsay</v>
      </c>
      <c r="C1183" s="1" t="str">
        <f ca="1">IFERROR(__xludf.DUMMYFUNCTION("""COMPUTED_VALUE"""),"Ligaya")</f>
        <v>Ligaya</v>
      </c>
      <c r="D1183" s="1" t="str">
        <f ca="1">IFERROR(__xludf.DUMMYFUNCTION("""COMPUTED_VALUE"""),"Acsay")</f>
        <v>Acsay</v>
      </c>
      <c r="E1183" s="1" t="str">
        <f ca="1">IFERROR(__xludf.DUMMYFUNCTION("""COMPUTED_VALUE"""),"Thank you Lord!..🙏 #ThankyouCAMANAVA!!.🤗 #theSeaofLight!.. united with the Mother Earth!..🤗 #LetLeniKikoLead !.. #IpanaloNa10To !!!.. 🌸🌸🌸🌸🌸🌸🌸🌸🌸🌸 💗💗💗💗💗💗💗")</f>
        <v>Thank you Lord!..🙏 #ThankyouCAMANAVA!!.🤗 #theSeaofLight!.. united with the Mother Earth!..🤗 #LetLeniKikoLead !.. #IpanaloNa10To !!!.. 🌸🌸🌸🌸🌸🌸🌸🌸🌸🌸 💗💗💗💗💗💗💗</v>
      </c>
      <c r="F1183" s="1">
        <f ca="1">IFERROR(__xludf.DUMMYFUNCTION("""COMPUTED_VALUE"""),12)</f>
        <v>12</v>
      </c>
      <c r="G1183" s="1" t="str">
        <f ca="1">IFERROR(__xludf.DUMMYFUNCTION("""COMPUTED_VALUE"""),"3 mos")</f>
        <v>3 mos</v>
      </c>
      <c r="H1183" s="1" t="str">
        <f ca="1">IFERROR(__xludf.DUMMYFUNCTION("""COMPUTED_VALUE"""),"comment")</f>
        <v>comment</v>
      </c>
      <c r="I1183"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83" s="1" t="str">
        <f ca="1">IFERROR(__xludf.DUMMYFUNCTION("""COMPUTED_VALUE"""),"2022-07-04T15:40:03.368Z")</f>
        <v>2022-07-04T15:40:03.368Z</v>
      </c>
    </row>
    <row r="1184" spans="1:10" x14ac:dyDescent="0.2">
      <c r="A1184" s="2" t="str">
        <f ca="1">IFERROR(__xludf.DUMMYFUNCTION("""COMPUTED_VALUE"""),"https://www.facebook.com/sweetverni")</f>
        <v>https://www.facebook.com/sweetverni</v>
      </c>
      <c r="B1184" s="1" t="str">
        <f ca="1">IFERROR(__xludf.DUMMYFUNCTION("""COMPUTED_VALUE"""),"Sweetverni Aces")</f>
        <v>Sweetverni Aces</v>
      </c>
      <c r="C1184" s="1" t="str">
        <f ca="1">IFERROR(__xludf.DUMMYFUNCTION("""COMPUTED_VALUE"""),"Sweetverni")</f>
        <v>Sweetverni</v>
      </c>
      <c r="D1184" s="1" t="str">
        <f ca="1">IFERROR(__xludf.DUMMYFUNCTION("""COMPUTED_VALUE"""),"Aces")</f>
        <v>Aces</v>
      </c>
      <c r="E1184" s="1" t="str">
        <f ca="1">IFERROR(__xludf.DUMMYFUNCTION("""COMPUTED_VALUE"""),"Every Kakampink People's Rally is a celebration of our strength and values as Filipinos; and an invitation to be the movers of change that our country needs.  Salamat sa pagtindig para sa isang #GobyernongTapat ! 🌸🌸🌸🌸🍀🍀🍀🍀 #LeniKikoAllTheWay  HUSAY"&amp;", INTEGREDAD at KATAPATAN sa BAYAN 🇵🇭  #LeniKiko2022 #AngatBuhayLahat #LeniKikoAllTheWay  #10RobredoPresident #7KikoPangilinanVicePresident #4TeddyBaguilat #18LeilaDeLima #21ChelDiokno #34RisaHontiveros #38AlexLacson #45SonnyMatula #58SonnyTrillanes #16"&amp;"NeriColmenares lenirobredo.com")</f>
        <v>Every Kakampink People's Rally is a celebration of our strength and values as Filipinos; and an invitation to be the movers of change that our country needs.  Salamat sa pagtindig para sa isang #GobyernongTapat ! 🌸🌸🌸🌸🍀🍀🍀🍀 #LeniKikoAllTheWay  HUSAY, INTEGREDAD at KATAPATAN sa BAYAN 🇵🇭  #LeniKiko2022 #AngatBuhayLahat #LeniKikoAllTheWay  #10RobredoPresident #7KikoPangilinanVicePresident #4TeddyBaguilat #18LeilaDeLima #21ChelDiokno #34RisaHontiveros #38AlexLacson #45SonnyMatula #58SonnyTrillanes #16NeriColmenares lenirobredo.com</v>
      </c>
      <c r="F1184" s="1">
        <f ca="1">IFERROR(__xludf.DUMMYFUNCTION("""COMPUTED_VALUE"""),4)</f>
        <v>4</v>
      </c>
      <c r="G1184" s="1" t="str">
        <f ca="1">IFERROR(__xludf.DUMMYFUNCTION("""COMPUTED_VALUE"""),"3 mos")</f>
        <v>3 mos</v>
      </c>
      <c r="H1184" s="1" t="str">
        <f ca="1">IFERROR(__xludf.DUMMYFUNCTION("""COMPUTED_VALUE"""),"comment")</f>
        <v>comment</v>
      </c>
      <c r="I1184"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84" s="1" t="str">
        <f ca="1">IFERROR(__xludf.DUMMYFUNCTION("""COMPUTED_VALUE"""),"2022-07-04T15:40:03.368Z")</f>
        <v>2022-07-04T15:40:03.368Z</v>
      </c>
    </row>
    <row r="1185" spans="1:10" x14ac:dyDescent="0.2">
      <c r="A1185" s="2" t="str">
        <f ca="1">IFERROR(__xludf.DUMMYFUNCTION("""COMPUTED_VALUE"""),"https://www.facebook.com/hermiehernandez07")</f>
        <v>https://www.facebook.com/hermiehernandez07</v>
      </c>
      <c r="B1185" s="1" t="str">
        <f ca="1">IFERROR(__xludf.DUMMYFUNCTION("""COMPUTED_VALUE"""),"Hermie Liwanag Hernandez")</f>
        <v>Hermie Liwanag Hernandez</v>
      </c>
      <c r="C1185" s="1" t="str">
        <f ca="1">IFERROR(__xludf.DUMMYFUNCTION("""COMPUTED_VALUE"""),"Hermie")</f>
        <v>Hermie</v>
      </c>
      <c r="D1185" s="1" t="str">
        <f ca="1">IFERROR(__xludf.DUMMYFUNCTION("""COMPUTED_VALUE"""),"Liwanag Hernandez")</f>
        <v>Liwanag Hernandez</v>
      </c>
      <c r="E1185" s="1" t="str">
        <f ca="1">IFERROR(__xludf.DUMMYFUNCTION("""COMPUTED_VALUE"""),"Light over darkness  , LENIWANAG✨🌷✨🌷✨🌸")</f>
        <v>Light over darkness  , LENIWANAG✨🌷✨🌷✨🌸</v>
      </c>
      <c r="F1185" s="1">
        <f ca="1">IFERROR(__xludf.DUMMYFUNCTION("""COMPUTED_VALUE"""),2)</f>
        <v>2</v>
      </c>
      <c r="G1185" s="1" t="str">
        <f ca="1">IFERROR(__xludf.DUMMYFUNCTION("""COMPUTED_VALUE"""),"3 mos")</f>
        <v>3 mos</v>
      </c>
      <c r="H1185" s="1" t="str">
        <f ca="1">IFERROR(__xludf.DUMMYFUNCTION("""COMPUTED_VALUE"""),"comment")</f>
        <v>comment</v>
      </c>
      <c r="I1185"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85" s="1" t="str">
        <f ca="1">IFERROR(__xludf.DUMMYFUNCTION("""COMPUTED_VALUE"""),"2022-07-04T15:40:03.368Z")</f>
        <v>2022-07-04T15:40:03.368Z</v>
      </c>
    </row>
    <row r="1186" spans="1:10" x14ac:dyDescent="0.2">
      <c r="A1186" s="2" t="str">
        <f ca="1">IFERROR(__xludf.DUMMYFUNCTION("""COMPUTED_VALUE"""),"https://www.facebook.com/rey.ben.7758")</f>
        <v>https://www.facebook.com/rey.ben.7758</v>
      </c>
      <c r="B1186" s="1" t="str">
        <f ca="1">IFERROR(__xludf.DUMMYFUNCTION("""COMPUTED_VALUE"""),"Rey Ben")</f>
        <v>Rey Ben</v>
      </c>
      <c r="C1186" s="1" t="str">
        <f ca="1">IFERROR(__xludf.DUMMYFUNCTION("""COMPUTED_VALUE"""),"Rey")</f>
        <v>Rey</v>
      </c>
      <c r="D1186" s="1" t="str">
        <f ca="1">IFERROR(__xludf.DUMMYFUNCTION("""COMPUTED_VALUE"""),"Ben")</f>
        <v>Ben</v>
      </c>
      <c r="E1186" s="1" t="str">
        <f ca="1">IFERROR(__xludf.DUMMYFUNCTION("""COMPUTED_VALUE"""),"The lights of truth")</f>
        <v>The lights of truth</v>
      </c>
      <c r="F1186" s="1">
        <f ca="1">IFERROR(__xludf.DUMMYFUNCTION("""COMPUTED_VALUE"""),2)</f>
        <v>2</v>
      </c>
      <c r="G1186" s="1" t="str">
        <f ca="1">IFERROR(__xludf.DUMMYFUNCTION("""COMPUTED_VALUE"""),"3 mos")</f>
        <v>3 mos</v>
      </c>
      <c r="H1186" s="1" t="str">
        <f ca="1">IFERROR(__xludf.DUMMYFUNCTION("""COMPUTED_VALUE"""),"comment")</f>
        <v>comment</v>
      </c>
      <c r="I1186"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86" s="1" t="str">
        <f ca="1">IFERROR(__xludf.DUMMYFUNCTION("""COMPUTED_VALUE"""),"2022-07-04T15:40:03.368Z")</f>
        <v>2022-07-04T15:40:03.368Z</v>
      </c>
    </row>
    <row r="1187" spans="1:10" x14ac:dyDescent="0.2">
      <c r="A1187" s="2" t="str">
        <f ca="1">IFERROR(__xludf.DUMMYFUNCTION("""COMPUTED_VALUE"""),"https://www.facebook.com/marissa.bernabetecson")</f>
        <v>https://www.facebook.com/marissa.bernabetecson</v>
      </c>
      <c r="B1187" s="1" t="str">
        <f ca="1">IFERROR(__xludf.DUMMYFUNCTION("""COMPUTED_VALUE"""),"Marissa Bernabe Tecson")</f>
        <v>Marissa Bernabe Tecson</v>
      </c>
      <c r="C1187" s="1" t="str">
        <f ca="1">IFERROR(__xludf.DUMMYFUNCTION("""COMPUTED_VALUE"""),"Marissa")</f>
        <v>Marissa</v>
      </c>
      <c r="D1187" s="1" t="str">
        <f ca="1">IFERROR(__xludf.DUMMYFUNCTION("""COMPUTED_VALUE"""),"Bernabe Tecson")</f>
        <v>Bernabe Tecson</v>
      </c>
      <c r="E1187" s="1" t="str">
        <f ca="1">IFERROR(__xludf.DUMMYFUNCTION("""COMPUTED_VALUE"""),"Awesome! No one is leaving the area, even if Earth Hour started 15mins ago...💖")</f>
        <v>Awesome! No one is leaving the area, even if Earth Hour started 15mins ago...💖</v>
      </c>
      <c r="F1187" s="1">
        <f ca="1">IFERROR(__xludf.DUMMYFUNCTION("""COMPUTED_VALUE"""),44)</f>
        <v>44</v>
      </c>
      <c r="G1187" s="1" t="str">
        <f ca="1">IFERROR(__xludf.DUMMYFUNCTION("""COMPUTED_VALUE"""),"3 mos")</f>
        <v>3 mos</v>
      </c>
      <c r="H1187" s="1" t="str">
        <f ca="1">IFERROR(__xludf.DUMMYFUNCTION("""COMPUTED_VALUE"""),"comment")</f>
        <v>comment</v>
      </c>
      <c r="I1187"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87" s="1" t="str">
        <f ca="1">IFERROR(__xludf.DUMMYFUNCTION("""COMPUTED_VALUE"""),"2022-07-04T15:40:03.368Z")</f>
        <v>2022-07-04T15:40:03.368Z</v>
      </c>
    </row>
    <row r="1188" spans="1:10" x14ac:dyDescent="0.2">
      <c r="A1188" s="2" t="str">
        <f ca="1">IFERROR(__xludf.DUMMYFUNCTION("""COMPUTED_VALUE"""),"https://www.facebook.com/profile.php?id=100078461366052")</f>
        <v>https://www.facebook.com/profile.php?id=100078461366052</v>
      </c>
      <c r="B1188" s="1" t="str">
        <f ca="1">IFERROR(__xludf.DUMMYFUNCTION("""COMPUTED_VALUE"""),"Patrick Ramirez")</f>
        <v>Patrick Ramirez</v>
      </c>
      <c r="C1188" s="1" t="str">
        <f ca="1">IFERROR(__xludf.DUMMYFUNCTION("""COMPUTED_VALUE"""),"Patrick")</f>
        <v>Patrick</v>
      </c>
      <c r="D1188" s="1" t="str">
        <f ca="1">IFERROR(__xludf.DUMMYFUNCTION("""COMPUTED_VALUE"""),"Ramirez")</f>
        <v>Ramirez</v>
      </c>
      <c r="E1188" s="1" t="str">
        <f ca="1">IFERROR(__xludf.DUMMYFUNCTION("""COMPUTED_VALUE"""),"Marissa Bernabe Tecson")</f>
        <v>Marissa Bernabe Tecson</v>
      </c>
      <c r="F1188" s="1">
        <f ca="1">IFERROR(__xludf.DUMMYFUNCTION("""COMPUTED_VALUE"""),1)</f>
        <v>1</v>
      </c>
      <c r="G1188" s="1" t="str">
        <f ca="1">IFERROR(__xludf.DUMMYFUNCTION("""COMPUTED_VALUE"""),"3 mos")</f>
        <v>3 mos</v>
      </c>
      <c r="H1188" s="1" t="str">
        <f ca="1">IFERROR(__xludf.DUMMYFUNCTION("""COMPUTED_VALUE"""),"reply")</f>
        <v>reply</v>
      </c>
      <c r="I1188"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88" s="1" t="str">
        <f ca="1">IFERROR(__xludf.DUMMYFUNCTION("""COMPUTED_VALUE"""),"2022-07-04T15:40:03.369Z")</f>
        <v>2022-07-04T15:40:03.369Z</v>
      </c>
    </row>
    <row r="1189" spans="1:10" x14ac:dyDescent="0.2">
      <c r="A1189" s="2" t="str">
        <f ca="1">IFERROR(__xludf.DUMMYFUNCTION("""COMPUTED_VALUE"""),"https://www.facebook.com/juliette.faith")</f>
        <v>https://www.facebook.com/juliette.faith</v>
      </c>
      <c r="B1189" s="1" t="str">
        <f ca="1">IFERROR(__xludf.DUMMYFUNCTION("""COMPUTED_VALUE"""),"Juliette Faith")</f>
        <v>Juliette Faith</v>
      </c>
      <c r="C1189" s="1" t="str">
        <f ca="1">IFERROR(__xludf.DUMMYFUNCTION("""COMPUTED_VALUE"""),"Juliette")</f>
        <v>Juliette</v>
      </c>
      <c r="D1189" s="1" t="str">
        <f ca="1">IFERROR(__xludf.DUMMYFUNCTION("""COMPUTED_VALUE"""),"Faith")</f>
        <v>Faith</v>
      </c>
      <c r="E1189" s="1" t="str">
        <f ca="1">IFERROR(__xludf.DUMMYFUNCTION("""COMPUTED_VALUE"""),"LENIwanag sa dilim🌠🌟🌠🌟🌠🌟🌠🌟🌠🌟🌠 Most hardworking🥇🥇🥇, most loving🥇🥇🥇 most honest🥇🥇🥇and most prepared🥇🥇🥇 para sa🇵🇭🇵🇭🇵🇭🇵🇭🇵🇭 PAGKA PRESIDENTE💐🌸💐🌸💐🌸💐🌸💐🌸💐🌸💐🌸💐🌸💐🌸💐🌸💐🌷💐🌸 #LetLeniKikoLead2022 #PHVoteRobredo")</f>
        <v>LENIwanag sa dilim🌠🌟🌠🌟🌠🌟🌠🌟🌠🌟🌠 Most hardworking🥇🥇🥇, most loving🥇🥇🥇 most honest🥇🥇🥇and most prepared🥇🥇🥇 para sa🇵🇭🇵🇭🇵🇭🇵🇭🇵🇭 PAGKA PRESIDENTE💐🌸💐🌸💐🌸💐🌸💐🌸💐🌸💐🌸💐🌸💐🌸💐🌸💐🌷💐🌸 #LetLeniKikoLead2022 #PHVoteRobredo</v>
      </c>
      <c r="F1189" s="1">
        <f ca="1">IFERROR(__xludf.DUMMYFUNCTION("""COMPUTED_VALUE"""),3)</f>
        <v>3</v>
      </c>
      <c r="G1189" s="1" t="str">
        <f ca="1">IFERROR(__xludf.DUMMYFUNCTION("""COMPUTED_VALUE"""),"3 mos")</f>
        <v>3 mos</v>
      </c>
      <c r="H1189" s="1" t="str">
        <f ca="1">IFERROR(__xludf.DUMMYFUNCTION("""COMPUTED_VALUE"""),"comment")</f>
        <v>comment</v>
      </c>
      <c r="I1189"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89" s="1" t="str">
        <f ca="1">IFERROR(__xludf.DUMMYFUNCTION("""COMPUTED_VALUE"""),"2022-07-04T15:40:03.369Z")</f>
        <v>2022-07-04T15:40:03.369Z</v>
      </c>
    </row>
    <row r="1190" spans="1:10" x14ac:dyDescent="0.2">
      <c r="A1190" s="2" t="str">
        <f ca="1">IFERROR(__xludf.DUMMYFUNCTION("""COMPUTED_VALUE"""),"https://www.facebook.com/earl.liquigan")</f>
        <v>https://www.facebook.com/earl.liquigan</v>
      </c>
      <c r="B1190" s="1" t="str">
        <f ca="1">IFERROR(__xludf.DUMMYFUNCTION("""COMPUTED_VALUE"""),"Earl Liquigan")</f>
        <v>Earl Liquigan</v>
      </c>
      <c r="C1190" s="1" t="str">
        <f ca="1">IFERROR(__xludf.DUMMYFUNCTION("""COMPUTED_VALUE"""),"Earl")</f>
        <v>Earl</v>
      </c>
      <c r="D1190" s="1" t="str">
        <f ca="1">IFERROR(__xludf.DUMMYFUNCTION("""COMPUTED_VALUE"""),"Liquigan")</f>
        <v>Liquigan</v>
      </c>
      <c r="E1190" s="1" t="str">
        <f ca="1">IFERROR(__xludf.DUMMYFUNCTION("""COMPUTED_VALUE"""),"Most environment-friendly and sustainability advocating presidential tandem! #10RobredoPresident #7KikoPangilinanVicePresident #TropangAngat #4BaguilatSenador #KatutuboSaSenado #GobyernongTapatAngatBuhayLahat  🌷💗💚 #IpanaloNa10To")</f>
        <v>Most environment-friendly and sustainability advocating presidential tandem! #10RobredoPresident #7KikoPangilinanVicePresident #TropangAngat #4BaguilatSenador #KatutuboSaSenado #GobyernongTapatAngatBuhayLahat  🌷💗💚 #IpanaloNa10To</v>
      </c>
      <c r="F1190" s="1">
        <f ca="1">IFERROR(__xludf.DUMMYFUNCTION("""COMPUTED_VALUE"""),3)</f>
        <v>3</v>
      </c>
      <c r="G1190" s="1" t="str">
        <f ca="1">IFERROR(__xludf.DUMMYFUNCTION("""COMPUTED_VALUE"""),"3 mos")</f>
        <v>3 mos</v>
      </c>
      <c r="H1190" s="1" t="str">
        <f ca="1">IFERROR(__xludf.DUMMYFUNCTION("""COMPUTED_VALUE"""),"comment")</f>
        <v>comment</v>
      </c>
      <c r="I1190"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90" s="1" t="str">
        <f ca="1">IFERROR(__xludf.DUMMYFUNCTION("""COMPUTED_VALUE"""),"2022-07-04T15:40:03.369Z")</f>
        <v>2022-07-04T15:40:03.369Z</v>
      </c>
    </row>
    <row r="1191" spans="1:10" x14ac:dyDescent="0.2">
      <c r="A1191" s="2" t="str">
        <f ca="1">IFERROR(__xludf.DUMMYFUNCTION("""COMPUTED_VALUE"""),"https://www.facebook.com/profile.php?id=100064228440132")</f>
        <v>https://www.facebook.com/profile.php?id=100064228440132</v>
      </c>
      <c r="B1191" s="1" t="str">
        <f ca="1">IFERROR(__xludf.DUMMYFUNCTION("""COMPUTED_VALUE"""),"Mariana C. Molina")</f>
        <v>Mariana C. Molina</v>
      </c>
      <c r="C1191" s="1" t="str">
        <f ca="1">IFERROR(__xludf.DUMMYFUNCTION("""COMPUTED_VALUE"""),"Mariana")</f>
        <v>Mariana</v>
      </c>
      <c r="D1191" s="1" t="str">
        <f ca="1">IFERROR(__xludf.DUMMYFUNCTION("""COMPUTED_VALUE"""),"C. Molina")</f>
        <v>C. Molina</v>
      </c>
      <c r="E1191" s="1" t="str">
        <f ca="1">IFERROR(__xludf.DUMMYFUNCTION("""COMPUTED_VALUE"""),"MABUHAY KAKAMPINK")</f>
        <v>MABUHAY KAKAMPINK</v>
      </c>
      <c r="F1191" s="1">
        <f ca="1">IFERROR(__xludf.DUMMYFUNCTION("""COMPUTED_VALUE"""),6)</f>
        <v>6</v>
      </c>
      <c r="G1191" s="1" t="str">
        <f ca="1">IFERROR(__xludf.DUMMYFUNCTION("""COMPUTED_VALUE"""),"3 mos")</f>
        <v>3 mos</v>
      </c>
      <c r="H1191" s="1" t="str">
        <f ca="1">IFERROR(__xludf.DUMMYFUNCTION("""COMPUTED_VALUE"""),"comment")</f>
        <v>comment</v>
      </c>
      <c r="I1191"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91" s="1" t="str">
        <f ca="1">IFERROR(__xludf.DUMMYFUNCTION("""COMPUTED_VALUE"""),"2022-07-04T15:40:03.369Z")</f>
        <v>2022-07-04T15:40:03.369Z</v>
      </c>
    </row>
    <row r="1192" spans="1:10" x14ac:dyDescent="0.2">
      <c r="A1192" s="2" t="str">
        <f ca="1">IFERROR(__xludf.DUMMYFUNCTION("""COMPUTED_VALUE"""),"https://www.facebook.com/scott.wuming")</f>
        <v>https://www.facebook.com/scott.wuming</v>
      </c>
      <c r="B1192" s="1" t="str">
        <f ca="1">IFERROR(__xludf.DUMMYFUNCTION("""COMPUTED_VALUE"""),"Scott Wu Ming")</f>
        <v>Scott Wu Ming</v>
      </c>
      <c r="C1192" s="1" t="str">
        <f ca="1">IFERROR(__xludf.DUMMYFUNCTION("""COMPUTED_VALUE"""),"Scott")</f>
        <v>Scott</v>
      </c>
      <c r="D1192" s="1" t="str">
        <f ca="1">IFERROR(__xludf.DUMMYFUNCTION("""COMPUTED_VALUE"""),"Wu Ming")</f>
        <v>Wu Ming</v>
      </c>
      <c r="E1192" s="1" t="str">
        <f ca="1">IFERROR(__xludf.DUMMYFUNCTION("""COMPUTED_VALUE"""),"More hope for our SDG ranking to improve!")</f>
        <v>More hope for our SDG ranking to improve!</v>
      </c>
      <c r="F1192" s="1">
        <f ca="1">IFERROR(__xludf.DUMMYFUNCTION("""COMPUTED_VALUE"""),10)</f>
        <v>10</v>
      </c>
      <c r="G1192" s="1" t="str">
        <f ca="1">IFERROR(__xludf.DUMMYFUNCTION("""COMPUTED_VALUE"""),"3 mos")</f>
        <v>3 mos</v>
      </c>
      <c r="H1192" s="1" t="str">
        <f ca="1">IFERROR(__xludf.DUMMYFUNCTION("""COMPUTED_VALUE"""),"comment")</f>
        <v>comment</v>
      </c>
      <c r="I1192"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92" s="1" t="str">
        <f ca="1">IFERROR(__xludf.DUMMYFUNCTION("""COMPUTED_VALUE"""),"2022-07-04T15:40:03.369Z")</f>
        <v>2022-07-04T15:40:03.369Z</v>
      </c>
    </row>
    <row r="1193" spans="1:10" x14ac:dyDescent="0.2">
      <c r="A1193" s="2" t="str">
        <f ca="1">IFERROR(__xludf.DUMMYFUNCTION("""COMPUTED_VALUE"""),"https://www.facebook.com/nyx.deleon")</f>
        <v>https://www.facebook.com/nyx.deleon</v>
      </c>
      <c r="B1193" s="1" t="str">
        <f ca="1">IFERROR(__xludf.DUMMYFUNCTION("""COMPUTED_VALUE"""),"Nicole Pineda")</f>
        <v>Nicole Pineda</v>
      </c>
      <c r="C1193" s="1" t="str">
        <f ca="1">IFERROR(__xludf.DUMMYFUNCTION("""COMPUTED_VALUE"""),"Nicole")</f>
        <v>Nicole</v>
      </c>
      <c r="D1193" s="1" t="str">
        <f ca="1">IFERROR(__xludf.DUMMYFUNCTION("""COMPUTED_VALUE"""),"Pineda")</f>
        <v>Pineda</v>
      </c>
      <c r="E1193" s="1" t="str">
        <f ca="1">IFERROR(__xludf.DUMMYFUNCTION("""COMPUTED_VALUE"""),"Scott Wu Ming Meron for SGD 13: Clinate action ❤")</f>
        <v>Scott Wu Ming Meron for SGD 13: Clinate action ❤</v>
      </c>
      <c r="F1193" s="1">
        <f ca="1">IFERROR(__xludf.DUMMYFUNCTION("""COMPUTED_VALUE"""),3)</f>
        <v>3</v>
      </c>
      <c r="G1193" s="1" t="str">
        <f ca="1">IFERROR(__xludf.DUMMYFUNCTION("""COMPUTED_VALUE"""),"3 mos")</f>
        <v>3 mos</v>
      </c>
      <c r="H1193" s="1" t="str">
        <f ca="1">IFERROR(__xludf.DUMMYFUNCTION("""COMPUTED_VALUE"""),"reply")</f>
        <v>reply</v>
      </c>
      <c r="I1193"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93" s="1" t="str">
        <f ca="1">IFERROR(__xludf.DUMMYFUNCTION("""COMPUTED_VALUE"""),"2022-07-04T15:40:03.369Z")</f>
        <v>2022-07-04T15:40:03.369Z</v>
      </c>
    </row>
    <row r="1194" spans="1:10" x14ac:dyDescent="0.2">
      <c r="A1194" s="2" t="str">
        <f ca="1">IFERROR(__xludf.DUMMYFUNCTION("""COMPUTED_VALUE"""),"https://www.facebook.com/janlo")</f>
        <v>https://www.facebook.com/janlo</v>
      </c>
      <c r="B1194" s="1" t="str">
        <f ca="1">IFERROR(__xludf.DUMMYFUNCTION("""COMPUTED_VALUE"""),"Janlo Nunez Cui")</f>
        <v>Janlo Nunez Cui</v>
      </c>
      <c r="C1194" s="1" t="str">
        <f ca="1">IFERROR(__xludf.DUMMYFUNCTION("""COMPUTED_VALUE"""),"Janlo")</f>
        <v>Janlo</v>
      </c>
      <c r="D1194" s="1" t="str">
        <f ca="1">IFERROR(__xludf.DUMMYFUNCTION("""COMPUTED_VALUE"""),"Nunez Cui")</f>
        <v>Nunez Cui</v>
      </c>
      <c r="E1194" s="1" t="str">
        <f ca="1">IFERROR(__xludf.DUMMYFUNCTION("""COMPUTED_VALUE"""),"Scott Wu Ming imagine may road map siya for this. Isa sa mga strengths niya talaga ay yung being able to think ahead and create a plan for it diba?")</f>
        <v>Scott Wu Ming imagine may road map siya for this. Isa sa mga strengths niya talaga ay yung being able to think ahead and create a plan for it diba?</v>
      </c>
      <c r="F1194" s="1">
        <f ca="1">IFERROR(__xludf.DUMMYFUNCTION("""COMPUTED_VALUE"""),1)</f>
        <v>1</v>
      </c>
      <c r="G1194" s="1" t="str">
        <f ca="1">IFERROR(__xludf.DUMMYFUNCTION("""COMPUTED_VALUE"""),"3 mos")</f>
        <v>3 mos</v>
      </c>
      <c r="H1194" s="1" t="str">
        <f ca="1">IFERROR(__xludf.DUMMYFUNCTION("""COMPUTED_VALUE"""),"reply")</f>
        <v>reply</v>
      </c>
      <c r="I1194"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94" s="1" t="str">
        <f ca="1">IFERROR(__xludf.DUMMYFUNCTION("""COMPUTED_VALUE"""),"2022-07-04T15:40:03.369Z")</f>
        <v>2022-07-04T15:40:03.369Z</v>
      </c>
    </row>
    <row r="1195" spans="1:10" x14ac:dyDescent="0.2">
      <c r="A1195" s="2" t="str">
        <f ca="1">IFERROR(__xludf.DUMMYFUNCTION("""COMPUTED_VALUE"""),"https://www.facebook.com/scott.wuming")</f>
        <v>https://www.facebook.com/scott.wuming</v>
      </c>
      <c r="B1195" s="1" t="str">
        <f ca="1">IFERROR(__xludf.DUMMYFUNCTION("""COMPUTED_VALUE"""),"Scott Wu Ming")</f>
        <v>Scott Wu Ming</v>
      </c>
      <c r="C1195" s="1" t="str">
        <f ca="1">IFERROR(__xludf.DUMMYFUNCTION("""COMPUTED_VALUE"""),"Scott")</f>
        <v>Scott</v>
      </c>
      <c r="D1195" s="1" t="str">
        <f ca="1">IFERROR(__xludf.DUMMYFUNCTION("""COMPUTED_VALUE"""),"Wu Ming")</f>
        <v>Wu Ming</v>
      </c>
      <c r="E1195" s="1" t="str">
        <f ca="1">IFERROR(__xludf.DUMMYFUNCTION("""COMPUTED_VALUE"""),"Janlo Nunez Cui Yes! Her platforms and ongoing work are already going towards many, if not all, of the goals. We need these to happen. Next admin will end 2 years before 2030 so this coming presidency is the most crucial. ✨")</f>
        <v>Janlo Nunez Cui Yes! Her platforms and ongoing work are already going towards many, if not all, of the goals. We need these to happen. Next admin will end 2 years before 2030 so this coming presidency is the most crucial. ✨</v>
      </c>
      <c r="F1195" s="1"/>
      <c r="G1195" s="1" t="str">
        <f ca="1">IFERROR(__xludf.DUMMYFUNCTION("""COMPUTED_VALUE"""),"3 mos")</f>
        <v>3 mos</v>
      </c>
      <c r="H1195" s="1" t="str">
        <f ca="1">IFERROR(__xludf.DUMMYFUNCTION("""COMPUTED_VALUE"""),"reply")</f>
        <v>reply</v>
      </c>
      <c r="I1195"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95" s="1" t="str">
        <f ca="1">IFERROR(__xludf.DUMMYFUNCTION("""COMPUTED_VALUE"""),"2022-07-04T15:40:03.369Z")</f>
        <v>2022-07-04T15:40:03.369Z</v>
      </c>
    </row>
    <row r="1196" spans="1:10" x14ac:dyDescent="0.2">
      <c r="A1196" s="2" t="str">
        <f ca="1">IFERROR(__xludf.DUMMYFUNCTION("""COMPUTED_VALUE"""),"https://www.facebook.com/profile.php?id=100077324863738")</f>
        <v>https://www.facebook.com/profile.php?id=100077324863738</v>
      </c>
      <c r="B1196" s="1" t="str">
        <f ca="1">IFERROR(__xludf.DUMMYFUNCTION("""COMPUTED_VALUE"""),"Sarah T Ugsa")</f>
        <v>Sarah T Ugsa</v>
      </c>
      <c r="C1196" s="1" t="str">
        <f ca="1">IFERROR(__xludf.DUMMYFUNCTION("""COMPUTED_VALUE"""),"Sarah")</f>
        <v>Sarah</v>
      </c>
      <c r="D1196" s="1" t="str">
        <f ca="1">IFERROR(__xludf.DUMMYFUNCTION("""COMPUTED_VALUE"""),"T Ugsa")</f>
        <v>T Ugsa</v>
      </c>
      <c r="E1196" s="1" t="str">
        <f ca="1">IFERROR(__xludf.DUMMYFUNCTION("""COMPUTED_VALUE"""),"Scott Wu Ming 👏")</f>
        <v>Scott Wu Ming 👏</v>
      </c>
      <c r="F1196" s="1"/>
      <c r="G1196" s="1" t="str">
        <f ca="1">IFERROR(__xludf.DUMMYFUNCTION("""COMPUTED_VALUE"""),"3 mos")</f>
        <v>3 mos</v>
      </c>
      <c r="H1196" s="1" t="str">
        <f ca="1">IFERROR(__xludf.DUMMYFUNCTION("""COMPUTED_VALUE"""),"reply")</f>
        <v>reply</v>
      </c>
      <c r="I1196"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96" s="1" t="str">
        <f ca="1">IFERROR(__xludf.DUMMYFUNCTION("""COMPUTED_VALUE"""),"2022-07-04T15:40:03.369Z")</f>
        <v>2022-07-04T15:40:03.369Z</v>
      </c>
    </row>
    <row r="1197" spans="1:10" x14ac:dyDescent="0.2">
      <c r="A1197" s="2" t="str">
        <f ca="1">IFERROR(__xludf.DUMMYFUNCTION("""COMPUTED_VALUE"""),"https://www.facebook.com/maryrose.t.zamora")</f>
        <v>https://www.facebook.com/maryrose.t.zamora</v>
      </c>
      <c r="B1197" s="1" t="str">
        <f ca="1">IFERROR(__xludf.DUMMYFUNCTION("""COMPUTED_VALUE"""),"Rose TZ")</f>
        <v>Rose TZ</v>
      </c>
      <c r="C1197" s="1" t="str">
        <f ca="1">IFERROR(__xludf.DUMMYFUNCTION("""COMPUTED_VALUE"""),"Rose")</f>
        <v>Rose</v>
      </c>
      <c r="D1197" s="1" t="str">
        <f ca="1">IFERROR(__xludf.DUMMYFUNCTION("""COMPUTED_VALUE"""),"TZ")</f>
        <v>TZ</v>
      </c>
      <c r="E1197" s="1" t="str">
        <f ca="1">IFERROR(__xludf.DUMMYFUNCTION("""COMPUTED_VALUE"""),"Ang boto ng pamilya ko ay para sa isang #GobyernongTapat #LeniForPresident2022 #CamanavaIsPink")</f>
        <v>Ang boto ng pamilya ko ay para sa isang #GobyernongTapat #LeniForPresident2022 #CamanavaIsPink</v>
      </c>
      <c r="F1197" s="1">
        <f ca="1">IFERROR(__xludf.DUMMYFUNCTION("""COMPUTED_VALUE"""),1)</f>
        <v>1</v>
      </c>
      <c r="G1197" s="1" t="str">
        <f ca="1">IFERROR(__xludf.DUMMYFUNCTION("""COMPUTED_VALUE"""),"3 mos")</f>
        <v>3 mos</v>
      </c>
      <c r="H1197" s="1" t="str">
        <f ca="1">IFERROR(__xludf.DUMMYFUNCTION("""COMPUTED_VALUE"""),"comment")</f>
        <v>comment</v>
      </c>
      <c r="I1197"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97" s="1" t="str">
        <f ca="1">IFERROR(__xludf.DUMMYFUNCTION("""COMPUTED_VALUE"""),"2022-07-04T15:40:03.369Z")</f>
        <v>2022-07-04T15:40:03.369Z</v>
      </c>
    </row>
    <row r="1198" spans="1:10" x14ac:dyDescent="0.2">
      <c r="A1198" s="2" t="str">
        <f ca="1">IFERROR(__xludf.DUMMYFUNCTION("""COMPUTED_VALUE"""),"https://www.facebook.com/tonitz.pepito")</f>
        <v>https://www.facebook.com/tonitz.pepito</v>
      </c>
      <c r="B1198" s="1" t="str">
        <f ca="1">IFERROR(__xludf.DUMMYFUNCTION("""COMPUTED_VALUE"""),"Sagi Taryus")</f>
        <v>Sagi Taryus</v>
      </c>
      <c r="C1198" s="1" t="str">
        <f ca="1">IFERROR(__xludf.DUMMYFUNCTION("""COMPUTED_VALUE"""),"Sagi")</f>
        <v>Sagi</v>
      </c>
      <c r="D1198" s="1" t="str">
        <f ca="1">IFERROR(__xludf.DUMMYFUNCTION("""COMPUTED_VALUE"""),"Taryus")</f>
        <v>Taryus</v>
      </c>
      <c r="E1198" s="1" t="str">
        <f ca="1">IFERROR(__xludf.DUMMYFUNCTION("""COMPUTED_VALUE"""),"💗🌸")</f>
        <v>💗🌸</v>
      </c>
      <c r="F1198" s="1">
        <f ca="1">IFERROR(__xludf.DUMMYFUNCTION("""COMPUTED_VALUE"""),1)</f>
        <v>1</v>
      </c>
      <c r="G1198" s="1" t="str">
        <f ca="1">IFERROR(__xludf.DUMMYFUNCTION("""COMPUTED_VALUE"""),"3 mos")</f>
        <v>3 mos</v>
      </c>
      <c r="H1198" s="1" t="str">
        <f ca="1">IFERROR(__xludf.DUMMYFUNCTION("""COMPUTED_VALUE"""),"comment")</f>
        <v>comment</v>
      </c>
      <c r="I1198"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98" s="1" t="str">
        <f ca="1">IFERROR(__xludf.DUMMYFUNCTION("""COMPUTED_VALUE"""),"2022-07-04T15:40:03.369Z")</f>
        <v>2022-07-04T15:40:03.369Z</v>
      </c>
    </row>
    <row r="1199" spans="1:10" x14ac:dyDescent="0.2">
      <c r="A1199" s="2" t="str">
        <f ca="1">IFERROR(__xludf.DUMMYFUNCTION("""COMPUTED_VALUE"""),"https://www.facebook.com/mae.empal")</f>
        <v>https://www.facebook.com/mae.empal</v>
      </c>
      <c r="B1199" s="1" t="str">
        <f ca="1">IFERROR(__xludf.DUMMYFUNCTION("""COMPUTED_VALUE"""),"Mae Rhea Rios")</f>
        <v>Mae Rhea Rios</v>
      </c>
      <c r="C1199" s="1" t="str">
        <f ca="1">IFERROR(__xludf.DUMMYFUNCTION("""COMPUTED_VALUE"""),"Mae")</f>
        <v>Mae</v>
      </c>
      <c r="D1199" s="1" t="str">
        <f ca="1">IFERROR(__xludf.DUMMYFUNCTION("""COMPUTED_VALUE"""),"Rhea Rios")</f>
        <v>Rhea Rios</v>
      </c>
      <c r="E1199" s="1" t="str">
        <f ca="1">IFERROR(__xludf.DUMMYFUNCTION("""COMPUTED_VALUE"""),"💗💗💗")</f>
        <v>💗💗💗</v>
      </c>
      <c r="F1199" s="1">
        <f ca="1">IFERROR(__xludf.DUMMYFUNCTION("""COMPUTED_VALUE"""),2)</f>
        <v>2</v>
      </c>
      <c r="G1199" s="1" t="str">
        <f ca="1">IFERROR(__xludf.DUMMYFUNCTION("""COMPUTED_VALUE"""),"3 mos")</f>
        <v>3 mos</v>
      </c>
      <c r="H1199" s="1" t="str">
        <f ca="1">IFERROR(__xludf.DUMMYFUNCTION("""COMPUTED_VALUE"""),"comment")</f>
        <v>comment</v>
      </c>
      <c r="I1199"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199" s="1" t="str">
        <f ca="1">IFERROR(__xludf.DUMMYFUNCTION("""COMPUTED_VALUE"""),"2022-07-04T15:40:03.369Z")</f>
        <v>2022-07-04T15:40:03.369Z</v>
      </c>
    </row>
    <row r="1200" spans="1:10" x14ac:dyDescent="0.2">
      <c r="A1200" s="2" t="str">
        <f ca="1">IFERROR(__xludf.DUMMYFUNCTION("""COMPUTED_VALUE"""),"https://www.facebook.com/profile.php?id=100001497297306")</f>
        <v>https://www.facebook.com/profile.php?id=100001497297306</v>
      </c>
      <c r="B1200" s="1" t="str">
        <f ca="1">IFERROR(__xludf.DUMMYFUNCTION("""COMPUTED_VALUE"""),"Mylin Evangelista")</f>
        <v>Mylin Evangelista</v>
      </c>
      <c r="C1200" s="1" t="str">
        <f ca="1">IFERROR(__xludf.DUMMYFUNCTION("""COMPUTED_VALUE"""),"Mylin")</f>
        <v>Mylin</v>
      </c>
      <c r="D1200" s="1" t="str">
        <f ca="1">IFERROR(__xludf.DUMMYFUNCTION("""COMPUTED_VALUE"""),"Evangelista")</f>
        <v>Evangelista</v>
      </c>
      <c r="E1200" s="1" t="str">
        <f ca="1">IFERROR(__xludf.DUMMYFUNCTION("""COMPUTED_VALUE"""),"🌷🌷🌷🌷🌷")</f>
        <v>🌷🌷🌷🌷🌷</v>
      </c>
      <c r="F1200" s="1">
        <f ca="1">IFERROR(__xludf.DUMMYFUNCTION("""COMPUTED_VALUE"""),1)</f>
        <v>1</v>
      </c>
      <c r="G1200" s="1" t="str">
        <f ca="1">IFERROR(__xludf.DUMMYFUNCTION("""COMPUTED_VALUE"""),"3 mos")</f>
        <v>3 mos</v>
      </c>
      <c r="H1200" s="1" t="str">
        <f ca="1">IFERROR(__xludf.DUMMYFUNCTION("""COMPUTED_VALUE"""),"comment")</f>
        <v>comment</v>
      </c>
      <c r="I1200"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00" s="1" t="str">
        <f ca="1">IFERROR(__xludf.DUMMYFUNCTION("""COMPUTED_VALUE"""),"2022-07-04T15:40:03.369Z")</f>
        <v>2022-07-04T15:40:03.369Z</v>
      </c>
    </row>
    <row r="1201" spans="1:10" x14ac:dyDescent="0.2">
      <c r="A1201" s="2" t="str">
        <f ca="1">IFERROR(__xludf.DUMMYFUNCTION("""COMPUTED_VALUE"""),"https://www.facebook.com/profile.php?id=100004736566728")</f>
        <v>https://www.facebook.com/profile.php?id=100004736566728</v>
      </c>
      <c r="B1201" s="1" t="str">
        <f ca="1">IFERROR(__xludf.DUMMYFUNCTION("""COMPUTED_VALUE"""),"Manuel Pajo Vergara")</f>
        <v>Manuel Pajo Vergara</v>
      </c>
      <c r="C1201" s="1" t="str">
        <f ca="1">IFERROR(__xludf.DUMMYFUNCTION("""COMPUTED_VALUE"""),"Manuel")</f>
        <v>Manuel</v>
      </c>
      <c r="D1201" s="1" t="str">
        <f ca="1">IFERROR(__xludf.DUMMYFUNCTION("""COMPUTED_VALUE"""),"Pajo Vergara")</f>
        <v>Pajo Vergara</v>
      </c>
      <c r="E1201" s="1" t="str">
        <f ca="1">IFERROR(__xludf.DUMMYFUNCTION("""COMPUTED_VALUE"""),"❤️❤️💚💚🇵🇭✌️💪")</f>
        <v>❤️❤️💚💚🇵🇭✌️💪</v>
      </c>
      <c r="F1201" s="1">
        <f ca="1">IFERROR(__xludf.DUMMYFUNCTION("""COMPUTED_VALUE"""),1)</f>
        <v>1</v>
      </c>
      <c r="G1201" s="1" t="str">
        <f ca="1">IFERROR(__xludf.DUMMYFUNCTION("""COMPUTED_VALUE"""),"3 mos")</f>
        <v>3 mos</v>
      </c>
      <c r="H1201" s="1" t="str">
        <f ca="1">IFERROR(__xludf.DUMMYFUNCTION("""COMPUTED_VALUE"""),"comment")</f>
        <v>comment</v>
      </c>
      <c r="I1201"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01" s="1" t="str">
        <f ca="1">IFERROR(__xludf.DUMMYFUNCTION("""COMPUTED_VALUE"""),"2022-07-04T15:40:03.369Z")</f>
        <v>2022-07-04T15:40:03.369Z</v>
      </c>
    </row>
    <row r="1202" spans="1:10" x14ac:dyDescent="0.2">
      <c r="A1202" s="2" t="str">
        <f ca="1">IFERROR(__xludf.DUMMYFUNCTION("""COMPUTED_VALUE"""),"https://www.facebook.com/mitzinorona")</f>
        <v>https://www.facebook.com/mitzinorona</v>
      </c>
      <c r="B1202" s="1" t="str">
        <f ca="1">IFERROR(__xludf.DUMMYFUNCTION("""COMPUTED_VALUE"""),"Mitzi Norona")</f>
        <v>Mitzi Norona</v>
      </c>
      <c r="C1202" s="1" t="str">
        <f ca="1">IFERROR(__xludf.DUMMYFUNCTION("""COMPUTED_VALUE"""),"Mitzi")</f>
        <v>Mitzi</v>
      </c>
      <c r="D1202" s="1" t="str">
        <f ca="1">IFERROR(__xludf.DUMMYFUNCTION("""COMPUTED_VALUE"""),"Norona")</f>
        <v>Norona</v>
      </c>
      <c r="E1202" s="1" t="str">
        <f ca="1">IFERROR(__xludf.DUMMYFUNCTION("""COMPUTED_VALUE"""),"🌷🌷🌷")</f>
        <v>🌷🌷🌷</v>
      </c>
      <c r="F1202" s="1">
        <f ca="1">IFERROR(__xludf.DUMMYFUNCTION("""COMPUTED_VALUE"""),1)</f>
        <v>1</v>
      </c>
      <c r="G1202" s="1" t="str">
        <f ca="1">IFERROR(__xludf.DUMMYFUNCTION("""COMPUTED_VALUE"""),"3 mos")</f>
        <v>3 mos</v>
      </c>
      <c r="H1202" s="1" t="str">
        <f ca="1">IFERROR(__xludf.DUMMYFUNCTION("""COMPUTED_VALUE"""),"comment")</f>
        <v>comment</v>
      </c>
      <c r="I1202"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02" s="1" t="str">
        <f ca="1">IFERROR(__xludf.DUMMYFUNCTION("""COMPUTED_VALUE"""),"2022-07-04T15:40:03.369Z")</f>
        <v>2022-07-04T15:40:03.369Z</v>
      </c>
    </row>
    <row r="1203" spans="1:10" x14ac:dyDescent="0.2">
      <c r="A1203" s="2" t="str">
        <f ca="1">IFERROR(__xludf.DUMMYFUNCTION("""COMPUTED_VALUE"""),"https://www.facebook.com/alexa.glodo.75")</f>
        <v>https://www.facebook.com/alexa.glodo.75</v>
      </c>
      <c r="B1203" s="1" t="str">
        <f ca="1">IFERROR(__xludf.DUMMYFUNCTION("""COMPUTED_VALUE"""),"Yuri Chan")</f>
        <v>Yuri Chan</v>
      </c>
      <c r="C1203" s="1" t="str">
        <f ca="1">IFERROR(__xludf.DUMMYFUNCTION("""COMPUTED_VALUE"""),"Yuri")</f>
        <v>Yuri</v>
      </c>
      <c r="D1203" s="1" t="str">
        <f ca="1">IFERROR(__xludf.DUMMYFUNCTION("""COMPUTED_VALUE"""),"Chan")</f>
        <v>Chan</v>
      </c>
      <c r="E1203" s="1" t="str">
        <f ca="1">IFERROR(__xludf.DUMMYFUNCTION("""COMPUTED_VALUE"""),"💗💗💗")</f>
        <v>💗💗💗</v>
      </c>
      <c r="F1203" s="1"/>
      <c r="G1203" s="1" t="str">
        <f ca="1">IFERROR(__xludf.DUMMYFUNCTION("""COMPUTED_VALUE"""),"3 mos")</f>
        <v>3 mos</v>
      </c>
      <c r="H1203" s="1" t="str">
        <f ca="1">IFERROR(__xludf.DUMMYFUNCTION("""COMPUTED_VALUE"""),"comment")</f>
        <v>comment</v>
      </c>
      <c r="I1203"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03" s="1" t="str">
        <f ca="1">IFERROR(__xludf.DUMMYFUNCTION("""COMPUTED_VALUE"""),"2022-07-04T15:40:03.369Z")</f>
        <v>2022-07-04T15:40:03.369Z</v>
      </c>
    </row>
    <row r="1204" spans="1:10" x14ac:dyDescent="0.2">
      <c r="A1204" s="2" t="str">
        <f ca="1">IFERROR(__xludf.DUMMYFUNCTION("""COMPUTED_VALUE"""),"https://www.facebook.com/pau.ruds")</f>
        <v>https://www.facebook.com/pau.ruds</v>
      </c>
      <c r="B1204" s="1" t="str">
        <f ca="1">IFERROR(__xludf.DUMMYFUNCTION("""COMPUTED_VALUE"""),"Pauline Kristelle Ruidera")</f>
        <v>Pauline Kristelle Ruidera</v>
      </c>
      <c r="C1204" s="1" t="str">
        <f ca="1">IFERROR(__xludf.DUMMYFUNCTION("""COMPUTED_VALUE"""),"Pauline")</f>
        <v>Pauline</v>
      </c>
      <c r="D1204" s="1" t="str">
        <f ca="1">IFERROR(__xludf.DUMMYFUNCTION("""COMPUTED_VALUE"""),"Kristelle Ruidera")</f>
        <v>Kristelle Ruidera</v>
      </c>
      <c r="E1204" s="1" t="str">
        <f ca="1">IFERROR(__xludf.DUMMYFUNCTION("""COMPUTED_VALUE"""),"🌸🌸🌸")</f>
        <v>🌸🌸🌸</v>
      </c>
      <c r="F1204" s="1">
        <f ca="1">IFERROR(__xludf.DUMMYFUNCTION("""COMPUTED_VALUE"""),1)</f>
        <v>1</v>
      </c>
      <c r="G1204" s="1" t="str">
        <f ca="1">IFERROR(__xludf.DUMMYFUNCTION("""COMPUTED_VALUE"""),"3 mos")</f>
        <v>3 mos</v>
      </c>
      <c r="H1204" s="1" t="str">
        <f ca="1">IFERROR(__xludf.DUMMYFUNCTION("""COMPUTED_VALUE"""),"comment")</f>
        <v>comment</v>
      </c>
      <c r="I1204"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04" s="1" t="str">
        <f ca="1">IFERROR(__xludf.DUMMYFUNCTION("""COMPUTED_VALUE"""),"2022-07-04T15:40:03.369Z")</f>
        <v>2022-07-04T15:40:03.369Z</v>
      </c>
    </row>
    <row r="1205" spans="1:10" x14ac:dyDescent="0.2">
      <c r="A1205" s="2" t="str">
        <f ca="1">IFERROR(__xludf.DUMMYFUNCTION("""COMPUTED_VALUE"""),"https://www.facebook.com/ignacio.degocena")</f>
        <v>https://www.facebook.com/ignacio.degocena</v>
      </c>
      <c r="B1205" s="1" t="str">
        <f ca="1">IFERROR(__xludf.DUMMYFUNCTION("""COMPUTED_VALUE"""),"Ignacio Degocena")</f>
        <v>Ignacio Degocena</v>
      </c>
      <c r="C1205" s="1" t="str">
        <f ca="1">IFERROR(__xludf.DUMMYFUNCTION("""COMPUTED_VALUE"""),"Ignacio")</f>
        <v>Ignacio</v>
      </c>
      <c r="D1205" s="1" t="str">
        <f ca="1">IFERROR(__xludf.DUMMYFUNCTION("""COMPUTED_VALUE"""),"Degocena")</f>
        <v>Degocena</v>
      </c>
      <c r="E1205" s="1" t="str">
        <f ca="1">IFERROR(__xludf.DUMMYFUNCTION("""COMPUTED_VALUE"""),"💞💞💞")</f>
        <v>💞💞💞</v>
      </c>
      <c r="F1205" s="1">
        <f ca="1">IFERROR(__xludf.DUMMYFUNCTION("""COMPUTED_VALUE"""),2)</f>
        <v>2</v>
      </c>
      <c r="G1205" s="1" t="str">
        <f ca="1">IFERROR(__xludf.DUMMYFUNCTION("""COMPUTED_VALUE"""),"3 mos")</f>
        <v>3 mos</v>
      </c>
      <c r="H1205" s="1" t="str">
        <f ca="1">IFERROR(__xludf.DUMMYFUNCTION("""COMPUTED_VALUE"""),"comment")</f>
        <v>comment</v>
      </c>
      <c r="I1205"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05" s="1" t="str">
        <f ca="1">IFERROR(__xludf.DUMMYFUNCTION("""COMPUTED_VALUE"""),"2022-07-04T15:40:03.369Z")</f>
        <v>2022-07-04T15:40:03.369Z</v>
      </c>
    </row>
    <row r="1206" spans="1:10" x14ac:dyDescent="0.2">
      <c r="A1206" s="2" t="str">
        <f ca="1">IFERROR(__xludf.DUMMYFUNCTION("""COMPUTED_VALUE"""),"https://www.facebook.com/triplovers143")</f>
        <v>https://www.facebook.com/triplovers143</v>
      </c>
      <c r="B1206" s="1" t="str">
        <f ca="1">IFERROR(__xludf.DUMMYFUNCTION("""COMPUTED_VALUE"""),"Reclamante A ChezMae")</f>
        <v>Reclamante A ChezMae</v>
      </c>
      <c r="C1206" s="1" t="str">
        <f ca="1">IFERROR(__xludf.DUMMYFUNCTION("""COMPUTED_VALUE"""),"Reclamante")</f>
        <v>Reclamante</v>
      </c>
      <c r="D1206" s="1" t="str">
        <f ca="1">IFERROR(__xludf.DUMMYFUNCTION("""COMPUTED_VALUE"""),"A ChezMae")</f>
        <v>A ChezMae</v>
      </c>
      <c r="E1206" s="1" t="str">
        <f ca="1">IFERROR(__xludf.DUMMYFUNCTION("""COMPUTED_VALUE"""),"💚❤️")</f>
        <v>💚❤️</v>
      </c>
      <c r="F1206" s="1">
        <f ca="1">IFERROR(__xludf.DUMMYFUNCTION("""COMPUTED_VALUE"""),1)</f>
        <v>1</v>
      </c>
      <c r="G1206" s="1" t="str">
        <f ca="1">IFERROR(__xludf.DUMMYFUNCTION("""COMPUTED_VALUE"""),"3 mos")</f>
        <v>3 mos</v>
      </c>
      <c r="H1206" s="1" t="str">
        <f ca="1">IFERROR(__xludf.DUMMYFUNCTION("""COMPUTED_VALUE"""),"comment")</f>
        <v>comment</v>
      </c>
      <c r="I1206"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06" s="1" t="str">
        <f ca="1">IFERROR(__xludf.DUMMYFUNCTION("""COMPUTED_VALUE"""),"2022-07-04T15:40:03.369Z")</f>
        <v>2022-07-04T15:40:03.369Z</v>
      </c>
    </row>
    <row r="1207" spans="1:10" x14ac:dyDescent="0.2">
      <c r="A1207" s="2" t="str">
        <f ca="1">IFERROR(__xludf.DUMMYFUNCTION("""COMPUTED_VALUE"""),"https://www.facebook.com/michelle.m.casal")</f>
        <v>https://www.facebook.com/michelle.m.casal</v>
      </c>
      <c r="B1207" s="1" t="str">
        <f ca="1">IFERROR(__xludf.DUMMYFUNCTION("""COMPUTED_VALUE"""),"Mitch Casal")</f>
        <v>Mitch Casal</v>
      </c>
      <c r="C1207" s="1" t="str">
        <f ca="1">IFERROR(__xludf.DUMMYFUNCTION("""COMPUTED_VALUE"""),"Mitch")</f>
        <v>Mitch</v>
      </c>
      <c r="D1207" s="1" t="str">
        <f ca="1">IFERROR(__xludf.DUMMYFUNCTION("""COMPUTED_VALUE"""),"Casal")</f>
        <v>Casal</v>
      </c>
      <c r="E1207" s="1" t="str">
        <f ca="1">IFERROR(__xludf.DUMMYFUNCTION("""COMPUTED_VALUE"""),"💗🎀🌷🌸🇵🇭🙏")</f>
        <v>💗🎀🌷🌸🇵🇭🙏</v>
      </c>
      <c r="F1207" s="1"/>
      <c r="G1207" s="1" t="str">
        <f ca="1">IFERROR(__xludf.DUMMYFUNCTION("""COMPUTED_VALUE"""),"3 mos")</f>
        <v>3 mos</v>
      </c>
      <c r="H1207" s="1" t="str">
        <f ca="1">IFERROR(__xludf.DUMMYFUNCTION("""COMPUTED_VALUE"""),"comment")</f>
        <v>comment</v>
      </c>
      <c r="I1207"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07" s="1" t="str">
        <f ca="1">IFERROR(__xludf.DUMMYFUNCTION("""COMPUTED_VALUE"""),"2022-07-04T15:40:03.369Z")</f>
        <v>2022-07-04T15:40:03.369Z</v>
      </c>
    </row>
    <row r="1208" spans="1:10" x14ac:dyDescent="0.2">
      <c r="A1208" s="2" t="str">
        <f ca="1">IFERROR(__xludf.DUMMYFUNCTION("""COMPUTED_VALUE"""),"https://www.facebook.com/AmyCoyocaMeracap")</f>
        <v>https://www.facebook.com/AmyCoyocaMeracap</v>
      </c>
      <c r="B1208" s="1" t="str">
        <f ca="1">IFERROR(__xludf.DUMMYFUNCTION("""COMPUTED_VALUE"""),"Amy Coyoca Meracap")</f>
        <v>Amy Coyoca Meracap</v>
      </c>
      <c r="C1208" s="1" t="str">
        <f ca="1">IFERROR(__xludf.DUMMYFUNCTION("""COMPUTED_VALUE"""),"Amy")</f>
        <v>Amy</v>
      </c>
      <c r="D1208" s="1" t="str">
        <f ca="1">IFERROR(__xludf.DUMMYFUNCTION("""COMPUTED_VALUE"""),"Coyoca Meracap")</f>
        <v>Coyoca Meracap</v>
      </c>
      <c r="E1208" s="1" t="str">
        <f ca="1">IFERROR(__xludf.DUMMYFUNCTION("""COMPUTED_VALUE"""),"💖💖💖")</f>
        <v>💖💖💖</v>
      </c>
      <c r="F1208" s="1"/>
      <c r="G1208" s="1" t="str">
        <f ca="1">IFERROR(__xludf.DUMMYFUNCTION("""COMPUTED_VALUE"""),"3 mos")</f>
        <v>3 mos</v>
      </c>
      <c r="H1208" s="1" t="str">
        <f ca="1">IFERROR(__xludf.DUMMYFUNCTION("""COMPUTED_VALUE"""),"comment")</f>
        <v>comment</v>
      </c>
      <c r="I1208"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08" s="1" t="str">
        <f ca="1">IFERROR(__xludf.DUMMYFUNCTION("""COMPUTED_VALUE"""),"2022-07-04T15:40:03.369Z")</f>
        <v>2022-07-04T15:40:03.369Z</v>
      </c>
    </row>
    <row r="1209" spans="1:10" x14ac:dyDescent="0.2">
      <c r="A1209" s="2" t="str">
        <f ca="1">IFERROR(__xludf.DUMMYFUNCTION("""COMPUTED_VALUE"""),"https://www.facebook.com/michael.denzo")</f>
        <v>https://www.facebook.com/michael.denzo</v>
      </c>
      <c r="B1209" s="1" t="str">
        <f ca="1">IFERROR(__xludf.DUMMYFUNCTION("""COMPUTED_VALUE"""),"Michael Requillo FujiDenzo")</f>
        <v>Michael Requillo FujiDenzo</v>
      </c>
      <c r="C1209" s="1" t="str">
        <f ca="1">IFERROR(__xludf.DUMMYFUNCTION("""COMPUTED_VALUE"""),"Michael")</f>
        <v>Michael</v>
      </c>
      <c r="D1209" s="1" t="str">
        <f ca="1">IFERROR(__xludf.DUMMYFUNCTION("""COMPUTED_VALUE"""),"Requillo FujiDenzo")</f>
        <v>Requillo FujiDenzo</v>
      </c>
      <c r="E1209" s="1" t="str">
        <f ca="1">IFERROR(__xludf.DUMMYFUNCTION("""COMPUTED_VALUE"""),"💕💕💕💕🌷🌷🌷🌷")</f>
        <v>💕💕💕💕🌷🌷🌷🌷</v>
      </c>
      <c r="F1209" s="1">
        <f ca="1">IFERROR(__xludf.DUMMYFUNCTION("""COMPUTED_VALUE"""),1)</f>
        <v>1</v>
      </c>
      <c r="G1209" s="1" t="str">
        <f ca="1">IFERROR(__xludf.DUMMYFUNCTION("""COMPUTED_VALUE"""),"3 mos")</f>
        <v>3 mos</v>
      </c>
      <c r="H1209" s="1" t="str">
        <f ca="1">IFERROR(__xludf.DUMMYFUNCTION("""COMPUTED_VALUE"""),"comment")</f>
        <v>comment</v>
      </c>
      <c r="I1209"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09" s="1" t="str">
        <f ca="1">IFERROR(__xludf.DUMMYFUNCTION("""COMPUTED_VALUE"""),"2022-07-04T15:40:03.369Z")</f>
        <v>2022-07-04T15:40:03.369Z</v>
      </c>
    </row>
    <row r="1210" spans="1:10" x14ac:dyDescent="0.2">
      <c r="A1210" s="2" t="str">
        <f ca="1">IFERROR(__xludf.DUMMYFUNCTION("""COMPUTED_VALUE"""),"https://www.facebook.com/profile.php?id=100067476167968")</f>
        <v>https://www.facebook.com/profile.php?id=100067476167968</v>
      </c>
      <c r="B1210" s="1" t="str">
        <f ca="1">IFERROR(__xludf.DUMMYFUNCTION("""COMPUTED_VALUE"""),"Cholo Arevalo")</f>
        <v>Cholo Arevalo</v>
      </c>
      <c r="C1210" s="1" t="str">
        <f ca="1">IFERROR(__xludf.DUMMYFUNCTION("""COMPUTED_VALUE"""),"Cholo")</f>
        <v>Cholo</v>
      </c>
      <c r="D1210" s="1" t="str">
        <f ca="1">IFERROR(__xludf.DUMMYFUNCTION("""COMPUTED_VALUE"""),"Arevalo")</f>
        <v>Arevalo</v>
      </c>
      <c r="E1210" s="1" t="str">
        <f ca="1">IFERROR(__xludf.DUMMYFUNCTION("""COMPUTED_VALUE"""),"#GobyernongTapat #AngatBuhayLahat")</f>
        <v>#GobyernongTapat #AngatBuhayLahat</v>
      </c>
      <c r="F1210" s="1"/>
      <c r="G1210" s="1" t="str">
        <f ca="1">IFERROR(__xludf.DUMMYFUNCTION("""COMPUTED_VALUE"""),"3 mos")</f>
        <v>3 mos</v>
      </c>
      <c r="H1210" s="1" t="str">
        <f ca="1">IFERROR(__xludf.DUMMYFUNCTION("""COMPUTED_VALUE"""),"comment")</f>
        <v>comment</v>
      </c>
      <c r="I1210"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10" s="1" t="str">
        <f ca="1">IFERROR(__xludf.DUMMYFUNCTION("""COMPUTED_VALUE"""),"2022-07-04T15:40:03.370Z")</f>
        <v>2022-07-04T15:40:03.370Z</v>
      </c>
    </row>
    <row r="1211" spans="1:10" x14ac:dyDescent="0.2">
      <c r="A1211" s="2" t="str">
        <f ca="1">IFERROR(__xludf.DUMMYFUNCTION("""COMPUTED_VALUE"""),"https://www.facebook.com/trisha.gellangarin")</f>
        <v>https://www.facebook.com/trisha.gellangarin</v>
      </c>
      <c r="B1211" s="1" t="str">
        <f ca="1">IFERROR(__xludf.DUMMYFUNCTION("""COMPUTED_VALUE"""),"Lovely Trisha T. Gellangarin")</f>
        <v>Lovely Trisha T. Gellangarin</v>
      </c>
      <c r="C1211" s="1" t="str">
        <f ca="1">IFERROR(__xludf.DUMMYFUNCTION("""COMPUTED_VALUE"""),"Lovely")</f>
        <v>Lovely</v>
      </c>
      <c r="D1211" s="1" t="str">
        <f ca="1">IFERROR(__xludf.DUMMYFUNCTION("""COMPUTED_VALUE"""),"Trisha T. Gellangarin")</f>
        <v>Trisha T. Gellangarin</v>
      </c>
      <c r="E1211" s="1" t="str">
        <f ca="1">IFERROR(__xludf.DUMMYFUNCTION("""COMPUTED_VALUE"""),".")</f>
        <v>.</v>
      </c>
      <c r="F1211" s="1"/>
      <c r="G1211" s="1" t="str">
        <f ca="1">IFERROR(__xludf.DUMMYFUNCTION("""COMPUTED_VALUE"""),"3 mos")</f>
        <v>3 mos</v>
      </c>
      <c r="H1211" s="1" t="str">
        <f ca="1">IFERROR(__xludf.DUMMYFUNCTION("""COMPUTED_VALUE"""),"comment")</f>
        <v>comment</v>
      </c>
      <c r="I1211"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11" s="1" t="str">
        <f ca="1">IFERROR(__xludf.DUMMYFUNCTION("""COMPUTED_VALUE"""),"2022-07-04T15:40:03.370Z")</f>
        <v>2022-07-04T15:40:03.370Z</v>
      </c>
    </row>
    <row r="1212" spans="1:10" x14ac:dyDescent="0.2">
      <c r="A1212" s="2" t="str">
        <f ca="1">IFERROR(__xludf.DUMMYFUNCTION("""COMPUTED_VALUE"""),"https://www.facebook.com/WordsArchitect")</f>
        <v>https://www.facebook.com/WordsArchitect</v>
      </c>
      <c r="B1212" s="1" t="str">
        <f ca="1">IFERROR(__xludf.DUMMYFUNCTION("""COMPUTED_VALUE"""),"Aljen del Mar")</f>
        <v>Aljen del Mar</v>
      </c>
      <c r="C1212" s="1" t="str">
        <f ca="1">IFERROR(__xludf.DUMMYFUNCTION("""COMPUTED_VALUE"""),"Aljen")</f>
        <v>Aljen</v>
      </c>
      <c r="D1212" s="1" t="str">
        <f ca="1">IFERROR(__xludf.DUMMYFUNCTION("""COMPUTED_VALUE"""),"del Mar")</f>
        <v>del Mar</v>
      </c>
      <c r="E1212" s="1" t="str">
        <f ca="1">IFERROR(__xludf.DUMMYFUNCTION("""COMPUTED_VALUE"""),"🤍🤍🤍🤍🤍")</f>
        <v>🤍🤍🤍🤍🤍</v>
      </c>
      <c r="F1212" s="1"/>
      <c r="G1212" s="1" t="str">
        <f ca="1">IFERROR(__xludf.DUMMYFUNCTION("""COMPUTED_VALUE"""),"3 mos")</f>
        <v>3 mos</v>
      </c>
      <c r="H1212" s="1" t="str">
        <f ca="1">IFERROR(__xludf.DUMMYFUNCTION("""COMPUTED_VALUE"""),"comment")</f>
        <v>comment</v>
      </c>
      <c r="I1212"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12" s="1" t="str">
        <f ca="1">IFERROR(__xludf.DUMMYFUNCTION("""COMPUTED_VALUE"""),"2022-07-04T15:40:03.370Z")</f>
        <v>2022-07-04T15:40:03.370Z</v>
      </c>
    </row>
    <row r="1213" spans="1:10" x14ac:dyDescent="0.2">
      <c r="A1213" s="2" t="str">
        <f ca="1">IFERROR(__xludf.DUMMYFUNCTION("""COMPUTED_VALUE"""),"https://www.facebook.com/joseline.nepomuceno2")</f>
        <v>https://www.facebook.com/joseline.nepomuceno2</v>
      </c>
      <c r="B1213" s="1" t="str">
        <f ca="1">IFERROR(__xludf.DUMMYFUNCTION("""COMPUTED_VALUE"""),"Joseline Nepomuceno")</f>
        <v>Joseline Nepomuceno</v>
      </c>
      <c r="C1213" s="1" t="str">
        <f ca="1">IFERROR(__xludf.DUMMYFUNCTION("""COMPUTED_VALUE"""),"Joseline")</f>
        <v>Joseline</v>
      </c>
      <c r="D1213" s="1" t="str">
        <f ca="1">IFERROR(__xludf.DUMMYFUNCTION("""COMPUTED_VALUE"""),"Nepomuceno")</f>
        <v>Nepomuceno</v>
      </c>
      <c r="E1213" s="1" t="str">
        <f ca="1">IFERROR(__xludf.DUMMYFUNCTION("""COMPUTED_VALUE"""),"🌷🌷🌷")</f>
        <v>🌷🌷🌷</v>
      </c>
      <c r="F1213" s="1">
        <f ca="1">IFERROR(__xludf.DUMMYFUNCTION("""COMPUTED_VALUE"""),2)</f>
        <v>2</v>
      </c>
      <c r="G1213" s="1" t="str">
        <f ca="1">IFERROR(__xludf.DUMMYFUNCTION("""COMPUTED_VALUE"""),"3 mos")</f>
        <v>3 mos</v>
      </c>
      <c r="H1213" s="1" t="str">
        <f ca="1">IFERROR(__xludf.DUMMYFUNCTION("""COMPUTED_VALUE"""),"comment")</f>
        <v>comment</v>
      </c>
      <c r="I1213"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13" s="1" t="str">
        <f ca="1">IFERROR(__xludf.DUMMYFUNCTION("""COMPUTED_VALUE"""),"2022-07-04T15:40:03.370Z")</f>
        <v>2022-07-04T15:40:03.370Z</v>
      </c>
    </row>
    <row r="1214" spans="1:10" x14ac:dyDescent="0.2">
      <c r="A1214" s="2" t="str">
        <f ca="1">IFERROR(__xludf.DUMMYFUNCTION("""COMPUTED_VALUE"""),"https://www.facebook.com/joan.lastrilla2")</f>
        <v>https://www.facebook.com/joan.lastrilla2</v>
      </c>
      <c r="B1214" s="1" t="str">
        <f ca="1">IFERROR(__xludf.DUMMYFUNCTION("""COMPUTED_VALUE"""),"Joan Lastrilla")</f>
        <v>Joan Lastrilla</v>
      </c>
      <c r="C1214" s="1" t="str">
        <f ca="1">IFERROR(__xludf.DUMMYFUNCTION("""COMPUTED_VALUE"""),"Joan")</f>
        <v>Joan</v>
      </c>
      <c r="D1214" s="1" t="str">
        <f ca="1">IFERROR(__xludf.DUMMYFUNCTION("""COMPUTED_VALUE"""),"Lastrilla")</f>
        <v>Lastrilla</v>
      </c>
      <c r="E1214" s="1" t="str">
        <f ca="1">IFERROR(__xludf.DUMMYFUNCTION("""COMPUTED_VALUE"""),"🌸🌸🌸🌸💗💗💗")</f>
        <v>🌸🌸🌸🌸💗💗💗</v>
      </c>
      <c r="F1214" s="1">
        <f ca="1">IFERROR(__xludf.DUMMYFUNCTION("""COMPUTED_VALUE"""),1)</f>
        <v>1</v>
      </c>
      <c r="G1214" s="1" t="str">
        <f ca="1">IFERROR(__xludf.DUMMYFUNCTION("""COMPUTED_VALUE"""),"3 mos")</f>
        <v>3 mos</v>
      </c>
      <c r="H1214" s="1" t="str">
        <f ca="1">IFERROR(__xludf.DUMMYFUNCTION("""COMPUTED_VALUE"""),"comment")</f>
        <v>comment</v>
      </c>
      <c r="I1214"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14" s="1" t="str">
        <f ca="1">IFERROR(__xludf.DUMMYFUNCTION("""COMPUTED_VALUE"""),"2022-07-04T15:40:03.370Z")</f>
        <v>2022-07-04T15:40:03.370Z</v>
      </c>
    </row>
    <row r="1215" spans="1:10" x14ac:dyDescent="0.2">
      <c r="A1215" s="2" t="str">
        <f ca="1">IFERROR(__xludf.DUMMYFUNCTION("""COMPUTED_VALUE"""),"https://www.facebook.com/gina.deleon.5070")</f>
        <v>https://www.facebook.com/gina.deleon.5070</v>
      </c>
      <c r="B1215" s="1" t="str">
        <f ca="1">IFERROR(__xludf.DUMMYFUNCTION("""COMPUTED_VALUE"""),"Gina de Leon")</f>
        <v>Gina de Leon</v>
      </c>
      <c r="C1215" s="1" t="str">
        <f ca="1">IFERROR(__xludf.DUMMYFUNCTION("""COMPUTED_VALUE"""),"Gina")</f>
        <v>Gina</v>
      </c>
      <c r="D1215" s="1" t="str">
        <f ca="1">IFERROR(__xludf.DUMMYFUNCTION("""COMPUTED_VALUE"""),"de Leon")</f>
        <v>de Leon</v>
      </c>
      <c r="E1215" s="1" t="str">
        <f ca="1">IFERROR(__xludf.DUMMYFUNCTION("""COMPUTED_VALUE"""),"💕🥰")</f>
        <v>💕🥰</v>
      </c>
      <c r="F1215" s="1"/>
      <c r="G1215" s="1" t="str">
        <f ca="1">IFERROR(__xludf.DUMMYFUNCTION("""COMPUTED_VALUE"""),"3 mos")</f>
        <v>3 mos</v>
      </c>
      <c r="H1215" s="1" t="str">
        <f ca="1">IFERROR(__xludf.DUMMYFUNCTION("""COMPUTED_VALUE"""),"comment")</f>
        <v>comment</v>
      </c>
      <c r="I1215"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15" s="1" t="str">
        <f ca="1">IFERROR(__xludf.DUMMYFUNCTION("""COMPUTED_VALUE"""),"2022-07-04T15:40:03.370Z")</f>
        <v>2022-07-04T15:40:03.370Z</v>
      </c>
    </row>
    <row r="1216" spans="1:10" x14ac:dyDescent="0.2">
      <c r="A1216" s="2" t="str">
        <f ca="1">IFERROR(__xludf.DUMMYFUNCTION("""COMPUTED_VALUE"""),"https://www.facebook.com/jennbenneth")</f>
        <v>https://www.facebook.com/jennbenneth</v>
      </c>
      <c r="B1216" s="1" t="str">
        <f ca="1">IFERROR(__xludf.DUMMYFUNCTION("""COMPUTED_VALUE"""),"Villadulid Jenn Benneth")</f>
        <v>Villadulid Jenn Benneth</v>
      </c>
      <c r="C1216" s="1" t="str">
        <f ca="1">IFERROR(__xludf.DUMMYFUNCTION("""COMPUTED_VALUE"""),"Villadulid")</f>
        <v>Villadulid</v>
      </c>
      <c r="D1216" s="1" t="str">
        <f ca="1">IFERROR(__xludf.DUMMYFUNCTION("""COMPUTED_VALUE"""),"Jenn Benneth")</f>
        <v>Jenn Benneth</v>
      </c>
      <c r="E1216" s="1" t="str">
        <f ca="1">IFERROR(__xludf.DUMMYFUNCTION("""COMPUTED_VALUE"""),"❤💚")</f>
        <v>❤💚</v>
      </c>
      <c r="F1216" s="1"/>
      <c r="G1216" s="1" t="str">
        <f ca="1">IFERROR(__xludf.DUMMYFUNCTION("""COMPUTED_VALUE"""),"3 mos")</f>
        <v>3 mos</v>
      </c>
      <c r="H1216" s="1" t="str">
        <f ca="1">IFERROR(__xludf.DUMMYFUNCTION("""COMPUTED_VALUE"""),"comment")</f>
        <v>comment</v>
      </c>
      <c r="I1216"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16" s="1" t="str">
        <f ca="1">IFERROR(__xludf.DUMMYFUNCTION("""COMPUTED_VALUE"""),"2022-07-04T15:40:03.370Z")</f>
        <v>2022-07-04T15:40:03.370Z</v>
      </c>
    </row>
    <row r="1217" spans="1:10" x14ac:dyDescent="0.2">
      <c r="A1217" s="2" t="str">
        <f ca="1">IFERROR(__xludf.DUMMYFUNCTION("""COMPUTED_VALUE"""),"https://www.facebook.com/Krislenakate")</f>
        <v>https://www.facebook.com/Krislenakate</v>
      </c>
      <c r="B1217" s="1" t="str">
        <f ca="1">IFERROR(__xludf.DUMMYFUNCTION("""COMPUTED_VALUE"""),"Kris Y Elena Ty")</f>
        <v>Kris Y Elena Ty</v>
      </c>
      <c r="C1217" s="1" t="str">
        <f ca="1">IFERROR(__xludf.DUMMYFUNCTION("""COMPUTED_VALUE"""),"Kris")</f>
        <v>Kris</v>
      </c>
      <c r="D1217" s="1" t="str">
        <f ca="1">IFERROR(__xludf.DUMMYFUNCTION("""COMPUTED_VALUE"""),"Y Elena Ty")</f>
        <v>Y Elena Ty</v>
      </c>
      <c r="E1217" s="1" t="str">
        <f ca="1">IFERROR(__xludf.DUMMYFUNCTION("""COMPUTED_VALUE"""),"🌷🌷🌷🌷🌷🌷🌷💗💗💗💗💗💗💗")</f>
        <v>🌷🌷🌷🌷🌷🌷🌷💗💗💗💗💗💗💗</v>
      </c>
      <c r="F1217" s="1"/>
      <c r="G1217" s="1" t="str">
        <f ca="1">IFERROR(__xludf.DUMMYFUNCTION("""COMPUTED_VALUE"""),"3 mos")</f>
        <v>3 mos</v>
      </c>
      <c r="H1217" s="1" t="str">
        <f ca="1">IFERROR(__xludf.DUMMYFUNCTION("""COMPUTED_VALUE"""),"comment")</f>
        <v>comment</v>
      </c>
      <c r="I1217"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17" s="1" t="str">
        <f ca="1">IFERROR(__xludf.DUMMYFUNCTION("""COMPUTED_VALUE"""),"2022-07-04T15:40:03.370Z")</f>
        <v>2022-07-04T15:40:03.370Z</v>
      </c>
    </row>
    <row r="1218" spans="1:10" x14ac:dyDescent="0.2">
      <c r="A1218" s="2" t="str">
        <f ca="1">IFERROR(__xludf.DUMMYFUNCTION("""COMPUTED_VALUE"""),"https://www.facebook.com/iamdenaquino")</f>
        <v>https://www.facebook.com/iamdenaquino</v>
      </c>
      <c r="B1218" s="1" t="str">
        <f ca="1">IFERROR(__xludf.DUMMYFUNCTION("""COMPUTED_VALUE"""),"Dennis Anthony Aquino")</f>
        <v>Dennis Anthony Aquino</v>
      </c>
      <c r="C1218" s="1" t="str">
        <f ca="1">IFERROR(__xludf.DUMMYFUNCTION("""COMPUTED_VALUE"""),"Dennis")</f>
        <v>Dennis</v>
      </c>
      <c r="D1218" s="1" t="str">
        <f ca="1">IFERROR(__xludf.DUMMYFUNCTION("""COMPUTED_VALUE"""),"Anthony Aquino")</f>
        <v>Anthony Aquino</v>
      </c>
      <c r="E1218" s="1" t="str">
        <f ca="1">IFERROR(__xludf.DUMMYFUNCTION("""COMPUTED_VALUE"""),"🌸🌸🌸")</f>
        <v>🌸🌸🌸</v>
      </c>
      <c r="F1218" s="1"/>
      <c r="G1218" s="1" t="str">
        <f ca="1">IFERROR(__xludf.DUMMYFUNCTION("""COMPUTED_VALUE"""),"3 mos")</f>
        <v>3 mos</v>
      </c>
      <c r="H1218" s="1" t="str">
        <f ca="1">IFERROR(__xludf.DUMMYFUNCTION("""COMPUTED_VALUE"""),"comment")</f>
        <v>comment</v>
      </c>
      <c r="I1218"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18" s="1" t="str">
        <f ca="1">IFERROR(__xludf.DUMMYFUNCTION("""COMPUTED_VALUE"""),"2022-07-04T15:40:03.370Z")</f>
        <v>2022-07-04T15:40:03.370Z</v>
      </c>
    </row>
    <row r="1219" spans="1:10" x14ac:dyDescent="0.2">
      <c r="A1219" s="2" t="str">
        <f ca="1">IFERROR(__xludf.DUMMYFUNCTION("""COMPUTED_VALUE"""),"https://www.facebook.com/irma.lacorte")</f>
        <v>https://www.facebook.com/irma.lacorte</v>
      </c>
      <c r="B1219" s="1" t="str">
        <f ca="1">IFERROR(__xludf.DUMMYFUNCTION("""COMPUTED_VALUE"""),"Irma Lacorte")</f>
        <v>Irma Lacorte</v>
      </c>
      <c r="C1219" s="1" t="str">
        <f ca="1">IFERROR(__xludf.DUMMYFUNCTION("""COMPUTED_VALUE"""),"Irma")</f>
        <v>Irma</v>
      </c>
      <c r="D1219" s="1" t="str">
        <f ca="1">IFERROR(__xludf.DUMMYFUNCTION("""COMPUTED_VALUE"""),"Lacorte")</f>
        <v>Lacorte</v>
      </c>
      <c r="E1219" s="1" t="str">
        <f ca="1">IFERROR(__xludf.DUMMYFUNCTION("""COMPUTED_VALUE"""),"❤❤❤❤❤❤❤❤")</f>
        <v>❤❤❤❤❤❤❤❤</v>
      </c>
      <c r="F1219" s="1"/>
      <c r="G1219" s="1" t="str">
        <f ca="1">IFERROR(__xludf.DUMMYFUNCTION("""COMPUTED_VALUE"""),"3 mos")</f>
        <v>3 mos</v>
      </c>
      <c r="H1219" s="1" t="str">
        <f ca="1">IFERROR(__xludf.DUMMYFUNCTION("""COMPUTED_VALUE"""),"comment")</f>
        <v>comment</v>
      </c>
      <c r="I1219"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19" s="1" t="str">
        <f ca="1">IFERROR(__xludf.DUMMYFUNCTION("""COMPUTED_VALUE"""),"2022-07-04T15:40:03.370Z")</f>
        <v>2022-07-04T15:40:03.370Z</v>
      </c>
    </row>
    <row r="1220" spans="1:10" x14ac:dyDescent="0.2">
      <c r="A1220" s="2" t="str">
        <f ca="1">IFERROR(__xludf.DUMMYFUNCTION("""COMPUTED_VALUE"""),"https://www.facebook.com/eternal.swordsman")</f>
        <v>https://www.facebook.com/eternal.swordsman</v>
      </c>
      <c r="B1220" s="1" t="str">
        <f ca="1">IFERROR(__xludf.DUMMYFUNCTION("""COMPUTED_VALUE"""),"Vincent Esguerra")</f>
        <v>Vincent Esguerra</v>
      </c>
      <c r="C1220" s="1" t="str">
        <f ca="1">IFERROR(__xludf.DUMMYFUNCTION("""COMPUTED_VALUE"""),"Vincent")</f>
        <v>Vincent</v>
      </c>
      <c r="D1220" s="1" t="str">
        <f ca="1">IFERROR(__xludf.DUMMYFUNCTION("""COMPUTED_VALUE"""),"Esguerra")</f>
        <v>Esguerra</v>
      </c>
      <c r="E1220" s="1" t="str">
        <f ca="1">IFERROR(__xludf.DUMMYFUNCTION("""COMPUTED_VALUE"""),"Jhyn")</f>
        <v>Jhyn</v>
      </c>
      <c r="F1220" s="1">
        <f ca="1">IFERROR(__xludf.DUMMYFUNCTION("""COMPUTED_VALUE"""),1)</f>
        <v>1</v>
      </c>
      <c r="G1220" s="1" t="str">
        <f ca="1">IFERROR(__xludf.DUMMYFUNCTION("""COMPUTED_VALUE"""),"3 mos")</f>
        <v>3 mos</v>
      </c>
      <c r="H1220" s="1" t="str">
        <f ca="1">IFERROR(__xludf.DUMMYFUNCTION("""COMPUTED_VALUE"""),"comment")</f>
        <v>comment</v>
      </c>
      <c r="I1220"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20" s="1" t="str">
        <f ca="1">IFERROR(__xludf.DUMMYFUNCTION("""COMPUTED_VALUE"""),"2022-07-04T15:40:03.370Z")</f>
        <v>2022-07-04T15:40:03.370Z</v>
      </c>
    </row>
    <row r="1221" spans="1:10" x14ac:dyDescent="0.2">
      <c r="A1221" s="2" t="str">
        <f ca="1">IFERROR(__xludf.DUMMYFUNCTION("""COMPUTED_VALUE"""),"https://www.facebook.com/aprillyn.factor")</f>
        <v>https://www.facebook.com/aprillyn.factor</v>
      </c>
      <c r="B1221" s="1" t="str">
        <f ca="1">IFERROR(__xludf.DUMMYFUNCTION("""COMPUTED_VALUE"""),"April Lyn Factor")</f>
        <v>April Lyn Factor</v>
      </c>
      <c r="C1221" s="1" t="str">
        <f ca="1">IFERROR(__xludf.DUMMYFUNCTION("""COMPUTED_VALUE"""),"April")</f>
        <v>April</v>
      </c>
      <c r="D1221" s="1" t="str">
        <f ca="1">IFERROR(__xludf.DUMMYFUNCTION("""COMPUTED_VALUE"""),"Lyn Factor")</f>
        <v>Lyn Factor</v>
      </c>
      <c r="E1221" s="1" t="str">
        <f ca="1">IFERROR(__xludf.DUMMYFUNCTION("""COMPUTED_VALUE"""),"💖💖💖")</f>
        <v>💖💖💖</v>
      </c>
      <c r="F1221" s="1"/>
      <c r="G1221" s="1" t="str">
        <f ca="1">IFERROR(__xludf.DUMMYFUNCTION("""COMPUTED_VALUE"""),"3 mos")</f>
        <v>3 mos</v>
      </c>
      <c r="H1221" s="1" t="str">
        <f ca="1">IFERROR(__xludf.DUMMYFUNCTION("""COMPUTED_VALUE"""),"comment")</f>
        <v>comment</v>
      </c>
      <c r="I1221"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21" s="1" t="str">
        <f ca="1">IFERROR(__xludf.DUMMYFUNCTION("""COMPUTED_VALUE"""),"2022-07-04T15:40:03.370Z")</f>
        <v>2022-07-04T15:40:03.370Z</v>
      </c>
    </row>
    <row r="1222" spans="1:10" x14ac:dyDescent="0.2">
      <c r="A1222" s="2" t="str">
        <f ca="1">IFERROR(__xludf.DUMMYFUNCTION("""COMPUTED_VALUE"""),"https://www.facebook.com/maryjo.aragon.5")</f>
        <v>https://www.facebook.com/maryjo.aragon.5</v>
      </c>
      <c r="B1222" s="1" t="str">
        <f ca="1">IFERROR(__xludf.DUMMYFUNCTION("""COMPUTED_VALUE"""),"Mary Jo Bernardo Aragon")</f>
        <v>Mary Jo Bernardo Aragon</v>
      </c>
      <c r="C1222" s="1" t="str">
        <f ca="1">IFERROR(__xludf.DUMMYFUNCTION("""COMPUTED_VALUE"""),"Mary")</f>
        <v>Mary</v>
      </c>
      <c r="D1222" s="1" t="str">
        <f ca="1">IFERROR(__xludf.DUMMYFUNCTION("""COMPUTED_VALUE"""),"Jo Bernardo Aragon")</f>
        <v>Jo Bernardo Aragon</v>
      </c>
      <c r="E1222" s="1" t="str">
        <f ca="1">IFERROR(__xludf.DUMMYFUNCTION("""COMPUTED_VALUE"""),"💕💕💕")</f>
        <v>💕💕💕</v>
      </c>
      <c r="F1222" s="1"/>
      <c r="G1222" s="1" t="str">
        <f ca="1">IFERROR(__xludf.DUMMYFUNCTION("""COMPUTED_VALUE"""),"3 mos")</f>
        <v>3 mos</v>
      </c>
      <c r="H1222" s="1" t="str">
        <f ca="1">IFERROR(__xludf.DUMMYFUNCTION("""COMPUTED_VALUE"""),"comment")</f>
        <v>comment</v>
      </c>
      <c r="I1222"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22" s="1" t="str">
        <f ca="1">IFERROR(__xludf.DUMMYFUNCTION("""COMPUTED_VALUE"""),"2022-07-04T15:40:03.370Z")</f>
        <v>2022-07-04T15:40:03.370Z</v>
      </c>
    </row>
    <row r="1223" spans="1:10" x14ac:dyDescent="0.2">
      <c r="A1223" s="2" t="str">
        <f ca="1">IFERROR(__xludf.DUMMYFUNCTION("""COMPUTED_VALUE"""),"https://www.facebook.com/arisayokoya4")</f>
        <v>https://www.facebook.com/arisayokoya4</v>
      </c>
      <c r="B1223" s="1" t="str">
        <f ca="1">IFERROR(__xludf.DUMMYFUNCTION("""COMPUTED_VALUE"""),"Arisa Yokoya")</f>
        <v>Arisa Yokoya</v>
      </c>
      <c r="C1223" s="1" t="str">
        <f ca="1">IFERROR(__xludf.DUMMYFUNCTION("""COMPUTED_VALUE"""),"Arisa")</f>
        <v>Arisa</v>
      </c>
      <c r="D1223" s="1" t="str">
        <f ca="1">IFERROR(__xludf.DUMMYFUNCTION("""COMPUTED_VALUE"""),"Yokoya")</f>
        <v>Yokoya</v>
      </c>
      <c r="E1223" s="1" t="str">
        <f ca="1">IFERROR(__xludf.DUMMYFUNCTION("""COMPUTED_VALUE"""),"💗💗💗")</f>
        <v>💗💗💗</v>
      </c>
      <c r="F1223" s="1"/>
      <c r="G1223" s="1" t="str">
        <f ca="1">IFERROR(__xludf.DUMMYFUNCTION("""COMPUTED_VALUE"""),"3 mos")</f>
        <v>3 mos</v>
      </c>
      <c r="H1223" s="1" t="str">
        <f ca="1">IFERROR(__xludf.DUMMYFUNCTION("""COMPUTED_VALUE"""),"comment")</f>
        <v>comment</v>
      </c>
      <c r="I1223"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23" s="1" t="str">
        <f ca="1">IFERROR(__xludf.DUMMYFUNCTION("""COMPUTED_VALUE"""),"2022-07-04T15:40:03.370Z")</f>
        <v>2022-07-04T15:40:03.370Z</v>
      </c>
    </row>
    <row r="1224" spans="1:10" x14ac:dyDescent="0.2">
      <c r="A1224" s="2" t="str">
        <f ca="1">IFERROR(__xludf.DUMMYFUNCTION("""COMPUTED_VALUE"""),"https://www.facebook.com/zeke.santos.581")</f>
        <v>https://www.facebook.com/zeke.santos.581</v>
      </c>
      <c r="B1224" s="1" t="str">
        <f ca="1">IFERROR(__xludf.DUMMYFUNCTION("""COMPUTED_VALUE"""),"Zeke Santos")</f>
        <v>Zeke Santos</v>
      </c>
      <c r="C1224" s="1" t="str">
        <f ca="1">IFERROR(__xludf.DUMMYFUNCTION("""COMPUTED_VALUE"""),"Zeke")</f>
        <v>Zeke</v>
      </c>
      <c r="D1224" s="1" t="str">
        <f ca="1">IFERROR(__xludf.DUMMYFUNCTION("""COMPUTED_VALUE"""),"Santos")</f>
        <v>Santos</v>
      </c>
      <c r="E1224" s="1" t="str">
        <f ca="1">IFERROR(__xludf.DUMMYFUNCTION("""COMPUTED_VALUE"""),"❤❤❤")</f>
        <v>❤❤❤</v>
      </c>
      <c r="F1224" s="1"/>
      <c r="G1224" s="1" t="str">
        <f ca="1">IFERROR(__xludf.DUMMYFUNCTION("""COMPUTED_VALUE"""),"3 mos")</f>
        <v>3 mos</v>
      </c>
      <c r="H1224" s="1" t="str">
        <f ca="1">IFERROR(__xludf.DUMMYFUNCTION("""COMPUTED_VALUE"""),"comment")</f>
        <v>comment</v>
      </c>
      <c r="I1224"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24" s="1" t="str">
        <f ca="1">IFERROR(__xludf.DUMMYFUNCTION("""COMPUTED_VALUE"""),"2022-07-04T15:40:03.370Z")</f>
        <v>2022-07-04T15:40:03.370Z</v>
      </c>
    </row>
    <row r="1225" spans="1:10" x14ac:dyDescent="0.2">
      <c r="A1225" s="2" t="str">
        <f ca="1">IFERROR(__xludf.DUMMYFUNCTION("""COMPUTED_VALUE"""),"https://www.facebook.com/reby.figueroa")</f>
        <v>https://www.facebook.com/reby.figueroa</v>
      </c>
      <c r="B1225" s="1" t="str">
        <f ca="1">IFERROR(__xludf.DUMMYFUNCTION("""COMPUTED_VALUE"""),"Reby M. Figueroa")</f>
        <v>Reby M. Figueroa</v>
      </c>
      <c r="C1225" s="1" t="str">
        <f ca="1">IFERROR(__xludf.DUMMYFUNCTION("""COMPUTED_VALUE"""),"Reby")</f>
        <v>Reby</v>
      </c>
      <c r="D1225" s="1" t="str">
        <f ca="1">IFERROR(__xludf.DUMMYFUNCTION("""COMPUTED_VALUE"""),"M. Figueroa")</f>
        <v>M. Figueroa</v>
      </c>
      <c r="E1225" s="1" t="str">
        <f ca="1">IFERROR(__xludf.DUMMYFUNCTION("""COMPUTED_VALUE"""),"💗💗💗")</f>
        <v>💗💗💗</v>
      </c>
      <c r="F1225" s="1"/>
      <c r="G1225" s="1" t="str">
        <f ca="1">IFERROR(__xludf.DUMMYFUNCTION("""COMPUTED_VALUE"""),"3 mos")</f>
        <v>3 mos</v>
      </c>
      <c r="H1225" s="1" t="str">
        <f ca="1">IFERROR(__xludf.DUMMYFUNCTION("""COMPUTED_VALUE"""),"comment")</f>
        <v>comment</v>
      </c>
      <c r="I1225"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25" s="1" t="str">
        <f ca="1">IFERROR(__xludf.DUMMYFUNCTION("""COMPUTED_VALUE"""),"2022-07-04T15:40:03.370Z")</f>
        <v>2022-07-04T15:40:03.370Z</v>
      </c>
    </row>
    <row r="1226" spans="1:10" x14ac:dyDescent="0.2">
      <c r="A1226" s="2" t="str">
        <f ca="1">IFERROR(__xludf.DUMMYFUNCTION("""COMPUTED_VALUE"""),"https://www.facebook.com/mbungabong1")</f>
        <v>https://www.facebook.com/mbungabong1</v>
      </c>
      <c r="B1226" s="1" t="str">
        <f ca="1">IFERROR(__xludf.DUMMYFUNCTION("""COMPUTED_VALUE"""),"Mia Panis")</f>
        <v>Mia Panis</v>
      </c>
      <c r="C1226" s="1" t="str">
        <f ca="1">IFERROR(__xludf.DUMMYFUNCTION("""COMPUTED_VALUE"""),"Mia")</f>
        <v>Mia</v>
      </c>
      <c r="D1226" s="1" t="str">
        <f ca="1">IFERROR(__xludf.DUMMYFUNCTION("""COMPUTED_VALUE"""),"Panis")</f>
        <v>Panis</v>
      </c>
      <c r="E1226" s="1" t="str">
        <f ca="1">IFERROR(__xludf.DUMMYFUNCTION("""COMPUTED_VALUE"""),"🌸🌸🌸💕💕💕")</f>
        <v>🌸🌸🌸💕💕💕</v>
      </c>
      <c r="F1226" s="1"/>
      <c r="G1226" s="1" t="str">
        <f ca="1">IFERROR(__xludf.DUMMYFUNCTION("""COMPUTED_VALUE"""),"3 mos")</f>
        <v>3 mos</v>
      </c>
      <c r="H1226" s="1" t="str">
        <f ca="1">IFERROR(__xludf.DUMMYFUNCTION("""COMPUTED_VALUE"""),"comment")</f>
        <v>comment</v>
      </c>
      <c r="I1226"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26" s="1" t="str">
        <f ca="1">IFERROR(__xludf.DUMMYFUNCTION("""COMPUTED_VALUE"""),"2022-07-04T15:40:03.370Z")</f>
        <v>2022-07-04T15:40:03.370Z</v>
      </c>
    </row>
    <row r="1227" spans="1:10" x14ac:dyDescent="0.2">
      <c r="A1227" s="2" t="str">
        <f ca="1">IFERROR(__xludf.DUMMYFUNCTION("""COMPUTED_VALUE"""),"https://www.facebook.com/babeleth.inigo")</f>
        <v>https://www.facebook.com/babeleth.inigo</v>
      </c>
      <c r="B1227" s="1" t="str">
        <f ca="1">IFERROR(__xludf.DUMMYFUNCTION("""COMPUTED_VALUE"""),"Babeleth Inigo")</f>
        <v>Babeleth Inigo</v>
      </c>
      <c r="C1227" s="1" t="str">
        <f ca="1">IFERROR(__xludf.DUMMYFUNCTION("""COMPUTED_VALUE"""),"Babeleth")</f>
        <v>Babeleth</v>
      </c>
      <c r="D1227" s="1" t="str">
        <f ca="1">IFERROR(__xludf.DUMMYFUNCTION("""COMPUTED_VALUE"""),"Inigo")</f>
        <v>Inigo</v>
      </c>
      <c r="E1227" s="1" t="str">
        <f ca="1">IFERROR(__xludf.DUMMYFUNCTION("""COMPUTED_VALUE"""),"💖💖💖")</f>
        <v>💖💖💖</v>
      </c>
      <c r="F1227" s="1"/>
      <c r="G1227" s="1" t="str">
        <f ca="1">IFERROR(__xludf.DUMMYFUNCTION("""COMPUTED_VALUE"""),"3 mos")</f>
        <v>3 mos</v>
      </c>
      <c r="H1227" s="1" t="str">
        <f ca="1">IFERROR(__xludf.DUMMYFUNCTION("""COMPUTED_VALUE"""),"comment")</f>
        <v>comment</v>
      </c>
      <c r="I1227"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27" s="1" t="str">
        <f ca="1">IFERROR(__xludf.DUMMYFUNCTION("""COMPUTED_VALUE"""),"2022-07-04T15:40:03.370Z")</f>
        <v>2022-07-04T15:40:03.370Z</v>
      </c>
    </row>
    <row r="1228" spans="1:10" x14ac:dyDescent="0.2">
      <c r="A1228" s="2" t="str">
        <f ca="1">IFERROR(__xludf.DUMMYFUNCTION("""COMPUTED_VALUE"""),"https://www.facebook.com/profile.php?id=100021390940755")</f>
        <v>https://www.facebook.com/profile.php?id=100021390940755</v>
      </c>
      <c r="B1228" s="1" t="str">
        <f ca="1">IFERROR(__xludf.DUMMYFUNCTION("""COMPUTED_VALUE"""),"Enrico Carlos")</f>
        <v>Enrico Carlos</v>
      </c>
      <c r="C1228" s="1" t="str">
        <f ca="1">IFERROR(__xludf.DUMMYFUNCTION("""COMPUTED_VALUE"""),"Enrico")</f>
        <v>Enrico</v>
      </c>
      <c r="D1228" s="1" t="str">
        <f ca="1">IFERROR(__xludf.DUMMYFUNCTION("""COMPUTED_VALUE"""),"Carlos")</f>
        <v>Carlos</v>
      </c>
      <c r="E1228" s="1" t="str">
        <f ca="1">IFERROR(__xludf.DUMMYFUNCTION("""COMPUTED_VALUE"""),"Grece Roxas 💗")</f>
        <v>Grece Roxas 💗</v>
      </c>
      <c r="F1228" s="1">
        <f ca="1">IFERROR(__xludf.DUMMYFUNCTION("""COMPUTED_VALUE"""),1)</f>
        <v>1</v>
      </c>
      <c r="G1228" s="1" t="str">
        <f ca="1">IFERROR(__xludf.DUMMYFUNCTION("""COMPUTED_VALUE"""),"3 mos")</f>
        <v>3 mos</v>
      </c>
      <c r="H1228" s="1" t="str">
        <f ca="1">IFERROR(__xludf.DUMMYFUNCTION("""COMPUTED_VALUE"""),"comment")</f>
        <v>comment</v>
      </c>
      <c r="I1228"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28" s="1" t="str">
        <f ca="1">IFERROR(__xludf.DUMMYFUNCTION("""COMPUTED_VALUE"""),"2022-07-04T15:40:03.370Z")</f>
        <v>2022-07-04T15:40:03.370Z</v>
      </c>
    </row>
    <row r="1229" spans="1:10" x14ac:dyDescent="0.2">
      <c r="A1229" s="2" t="str">
        <f ca="1">IFERROR(__xludf.DUMMYFUNCTION("""COMPUTED_VALUE"""),"https://www.facebook.com/alistairjason.tamayou")</f>
        <v>https://www.facebook.com/alistairjason.tamayou</v>
      </c>
      <c r="B1229" s="1" t="str">
        <f ca="1">IFERROR(__xludf.DUMMYFUNCTION("""COMPUTED_VALUE"""),"Alistair Jason Rafols")</f>
        <v>Alistair Jason Rafols</v>
      </c>
      <c r="C1229" s="1" t="str">
        <f ca="1">IFERROR(__xludf.DUMMYFUNCTION("""COMPUTED_VALUE"""),"Alistair")</f>
        <v>Alistair</v>
      </c>
      <c r="D1229" s="1" t="str">
        <f ca="1">IFERROR(__xludf.DUMMYFUNCTION("""COMPUTED_VALUE"""),"Jason Rafols")</f>
        <v>Jason Rafols</v>
      </c>
      <c r="E1229" s="1" t="str">
        <f ca="1">IFERROR(__xludf.DUMMYFUNCTION("""COMPUTED_VALUE"""),"❤️❤️❤️")</f>
        <v>❤️❤️❤️</v>
      </c>
      <c r="F1229" s="1">
        <f ca="1">IFERROR(__xludf.DUMMYFUNCTION("""COMPUTED_VALUE"""),2)</f>
        <v>2</v>
      </c>
      <c r="G1229" s="1" t="str">
        <f ca="1">IFERROR(__xludf.DUMMYFUNCTION("""COMPUTED_VALUE"""),"3 mos")</f>
        <v>3 mos</v>
      </c>
      <c r="H1229" s="1" t="str">
        <f ca="1">IFERROR(__xludf.DUMMYFUNCTION("""COMPUTED_VALUE"""),"comment")</f>
        <v>comment</v>
      </c>
      <c r="I1229"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29" s="1" t="str">
        <f ca="1">IFERROR(__xludf.DUMMYFUNCTION("""COMPUTED_VALUE"""),"2022-07-04T15:40:03.370Z")</f>
        <v>2022-07-04T15:40:03.370Z</v>
      </c>
    </row>
    <row r="1230" spans="1:10" x14ac:dyDescent="0.2">
      <c r="A1230" s="2" t="str">
        <f ca="1">IFERROR(__xludf.DUMMYFUNCTION("""COMPUTED_VALUE"""),"https://www.facebook.com/asela.calamlam")</f>
        <v>https://www.facebook.com/asela.calamlam</v>
      </c>
      <c r="B1230" s="1" t="str">
        <f ca="1">IFERROR(__xludf.DUMMYFUNCTION("""COMPUTED_VALUE"""),"Asela M. Calamlam")</f>
        <v>Asela M. Calamlam</v>
      </c>
      <c r="C1230" s="1" t="str">
        <f ca="1">IFERROR(__xludf.DUMMYFUNCTION("""COMPUTED_VALUE"""),"Asela")</f>
        <v>Asela</v>
      </c>
      <c r="D1230" s="1" t="str">
        <f ca="1">IFERROR(__xludf.DUMMYFUNCTION("""COMPUTED_VALUE"""),"M. Calamlam")</f>
        <v>M. Calamlam</v>
      </c>
      <c r="E1230" s="1" t="str">
        <f ca="1">IFERROR(__xludf.DUMMYFUNCTION("""COMPUTED_VALUE"""),"💗💗💗💗💗💗💗💗💗")</f>
        <v>💗💗💗💗💗💗💗💗💗</v>
      </c>
      <c r="F1230" s="1"/>
      <c r="G1230" s="1" t="str">
        <f ca="1">IFERROR(__xludf.DUMMYFUNCTION("""COMPUTED_VALUE"""),"3 mos")</f>
        <v>3 mos</v>
      </c>
      <c r="H1230" s="1" t="str">
        <f ca="1">IFERROR(__xludf.DUMMYFUNCTION("""COMPUTED_VALUE"""),"comment")</f>
        <v>comment</v>
      </c>
      <c r="I1230"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30" s="1" t="str">
        <f ca="1">IFERROR(__xludf.DUMMYFUNCTION("""COMPUTED_VALUE"""),"2022-07-04T15:40:03.370Z")</f>
        <v>2022-07-04T15:40:03.370Z</v>
      </c>
    </row>
    <row r="1231" spans="1:10" x14ac:dyDescent="0.2">
      <c r="A1231" s="2" t="str">
        <f ca="1">IFERROR(__xludf.DUMMYFUNCTION("""COMPUTED_VALUE"""),"https://www.facebook.com/jauny.marifecdoguinon")</f>
        <v>https://www.facebook.com/jauny.marifecdoguinon</v>
      </c>
      <c r="B1231" s="1" t="str">
        <f ca="1">IFERROR(__xludf.DUMMYFUNCTION("""COMPUTED_VALUE"""),"Marife C Deguiñon")</f>
        <v>Marife C Deguiñon</v>
      </c>
      <c r="C1231" s="1" t="str">
        <f ca="1">IFERROR(__xludf.DUMMYFUNCTION("""COMPUTED_VALUE"""),"Marife")</f>
        <v>Marife</v>
      </c>
      <c r="D1231" s="1" t="str">
        <f ca="1">IFERROR(__xludf.DUMMYFUNCTION("""COMPUTED_VALUE"""),"C Deguiñon")</f>
        <v>C Deguiñon</v>
      </c>
      <c r="E1231" s="1" t="str">
        <f ca="1">IFERROR(__xludf.DUMMYFUNCTION("""COMPUTED_VALUE"""),"🇵🇭🇵🇭♥️💚")</f>
        <v>🇵🇭🇵🇭♥️💚</v>
      </c>
      <c r="F1231" s="1"/>
      <c r="G1231" s="1" t="str">
        <f ca="1">IFERROR(__xludf.DUMMYFUNCTION("""COMPUTED_VALUE"""),"3 mos")</f>
        <v>3 mos</v>
      </c>
      <c r="H1231" s="1" t="str">
        <f ca="1">IFERROR(__xludf.DUMMYFUNCTION("""COMPUTED_VALUE"""),"comment")</f>
        <v>comment</v>
      </c>
      <c r="I1231"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31" s="1" t="str">
        <f ca="1">IFERROR(__xludf.DUMMYFUNCTION("""COMPUTED_VALUE"""),"2022-07-04T15:40:03.370Z")</f>
        <v>2022-07-04T15:40:03.370Z</v>
      </c>
    </row>
    <row r="1232" spans="1:10" x14ac:dyDescent="0.2">
      <c r="A1232" s="2" t="str">
        <f ca="1">IFERROR(__xludf.DUMMYFUNCTION("""COMPUTED_VALUE"""),"https://www.facebook.com/cherrylynyapchapco.diaz")</f>
        <v>https://www.facebook.com/cherrylynyapchapco.diaz</v>
      </c>
      <c r="B1232" s="1" t="str">
        <f ca="1">IFERROR(__xludf.DUMMYFUNCTION("""COMPUTED_VALUE"""),"Che Diaz")</f>
        <v>Che Diaz</v>
      </c>
      <c r="C1232" s="1" t="str">
        <f ca="1">IFERROR(__xludf.DUMMYFUNCTION("""COMPUTED_VALUE"""),"Che")</f>
        <v>Che</v>
      </c>
      <c r="D1232" s="1" t="str">
        <f ca="1">IFERROR(__xludf.DUMMYFUNCTION("""COMPUTED_VALUE"""),"Diaz")</f>
        <v>Diaz</v>
      </c>
      <c r="E1232" s="1" t="str">
        <f ca="1">IFERROR(__xludf.DUMMYFUNCTION("""COMPUTED_VALUE"""),"💗💗💗")</f>
        <v>💗💗💗</v>
      </c>
      <c r="F1232" s="1"/>
      <c r="G1232" s="1" t="str">
        <f ca="1">IFERROR(__xludf.DUMMYFUNCTION("""COMPUTED_VALUE"""),"3 mos")</f>
        <v>3 mos</v>
      </c>
      <c r="H1232" s="1" t="str">
        <f ca="1">IFERROR(__xludf.DUMMYFUNCTION("""COMPUTED_VALUE"""),"comment")</f>
        <v>comment</v>
      </c>
      <c r="I1232"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32" s="1" t="str">
        <f ca="1">IFERROR(__xludf.DUMMYFUNCTION("""COMPUTED_VALUE"""),"2022-07-04T15:40:03.370Z")</f>
        <v>2022-07-04T15:40:03.370Z</v>
      </c>
    </row>
    <row r="1233" spans="1:10" x14ac:dyDescent="0.2">
      <c r="A1233" s="2" t="str">
        <f ca="1">IFERROR(__xludf.DUMMYFUNCTION("""COMPUTED_VALUE"""),"https://www.facebook.com/jury.vibar")</f>
        <v>https://www.facebook.com/jury.vibar</v>
      </c>
      <c r="B1233" s="1" t="str">
        <f ca="1">IFERROR(__xludf.DUMMYFUNCTION("""COMPUTED_VALUE"""),"Jury Vbr")</f>
        <v>Jury Vbr</v>
      </c>
      <c r="C1233" s="1" t="str">
        <f ca="1">IFERROR(__xludf.DUMMYFUNCTION("""COMPUTED_VALUE"""),"Jury")</f>
        <v>Jury</v>
      </c>
      <c r="D1233" s="1" t="str">
        <f ca="1">IFERROR(__xludf.DUMMYFUNCTION("""COMPUTED_VALUE"""),"Vbr")</f>
        <v>Vbr</v>
      </c>
      <c r="E1233" s="1" t="str">
        <f ca="1">IFERROR(__xludf.DUMMYFUNCTION("""COMPUTED_VALUE"""),"💗💗💗")</f>
        <v>💗💗💗</v>
      </c>
      <c r="F1233" s="1"/>
      <c r="G1233" s="1" t="str">
        <f ca="1">IFERROR(__xludf.DUMMYFUNCTION("""COMPUTED_VALUE"""),"3 mos")</f>
        <v>3 mos</v>
      </c>
      <c r="H1233" s="1" t="str">
        <f ca="1">IFERROR(__xludf.DUMMYFUNCTION("""COMPUTED_VALUE"""),"comment")</f>
        <v>comment</v>
      </c>
      <c r="I1233"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33" s="1" t="str">
        <f ca="1">IFERROR(__xludf.DUMMYFUNCTION("""COMPUTED_VALUE"""),"2022-07-04T15:40:03.370Z")</f>
        <v>2022-07-04T15:40:03.370Z</v>
      </c>
    </row>
    <row r="1234" spans="1:10" x14ac:dyDescent="0.2">
      <c r="A1234" s="2" t="str">
        <f ca="1">IFERROR(__xludf.DUMMYFUNCTION("""COMPUTED_VALUE"""),"https://www.facebook.com/cherry.samson.7374")</f>
        <v>https://www.facebook.com/cherry.samson.7374</v>
      </c>
      <c r="B1234" s="1" t="str">
        <f ca="1">IFERROR(__xludf.DUMMYFUNCTION("""COMPUTED_VALUE"""),"Che Samson")</f>
        <v>Che Samson</v>
      </c>
      <c r="C1234" s="1" t="str">
        <f ca="1">IFERROR(__xludf.DUMMYFUNCTION("""COMPUTED_VALUE"""),"Che")</f>
        <v>Che</v>
      </c>
      <c r="D1234" s="1" t="str">
        <f ca="1">IFERROR(__xludf.DUMMYFUNCTION("""COMPUTED_VALUE"""),"Samson")</f>
        <v>Samson</v>
      </c>
      <c r="E1234" s="1" t="str">
        <f ca="1">IFERROR(__xludf.DUMMYFUNCTION("""COMPUTED_VALUE"""),"🌸🌸🌸🌸🌸🌸🌸🌸🌸🌸🌸🌸🌸🌸🌸🌸🌸🌸🌸🌸🌸🌸🌸🌸🌸🌸🌸🌸🌸🌸🌸🌸🌸🌸🌸🌸🌸🌸🌸🌸🌸🌸🌸🌸🌸🌸🌸🌸🌸🌸🌸🌸🌸🌸🌸🌸🌸🌸🌸🌸")</f>
        <v>🌸🌸🌸🌸🌸🌸🌸🌸🌸🌸🌸🌸🌸🌸🌸🌸🌸🌸🌸🌸🌸🌸🌸🌸🌸🌸🌸🌸🌸🌸🌸🌸🌸🌸🌸🌸🌸🌸🌸🌸🌸🌸🌸🌸🌸🌸🌸🌸🌸🌸🌸🌸🌸🌸🌸🌸🌸🌸🌸🌸</v>
      </c>
      <c r="F1234" s="1">
        <f ca="1">IFERROR(__xludf.DUMMYFUNCTION("""COMPUTED_VALUE"""),1)</f>
        <v>1</v>
      </c>
      <c r="G1234" s="1" t="str">
        <f ca="1">IFERROR(__xludf.DUMMYFUNCTION("""COMPUTED_VALUE"""),"3 mos")</f>
        <v>3 mos</v>
      </c>
      <c r="H1234" s="1" t="str">
        <f ca="1">IFERROR(__xludf.DUMMYFUNCTION("""COMPUTED_VALUE"""),"comment")</f>
        <v>comment</v>
      </c>
      <c r="I1234"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34" s="1" t="str">
        <f ca="1">IFERROR(__xludf.DUMMYFUNCTION("""COMPUTED_VALUE"""),"2022-07-04T15:40:03.370Z")</f>
        <v>2022-07-04T15:40:03.370Z</v>
      </c>
    </row>
    <row r="1235" spans="1:10" x14ac:dyDescent="0.2">
      <c r="A1235" s="2" t="str">
        <f ca="1">IFERROR(__xludf.DUMMYFUNCTION("""COMPUTED_VALUE"""),"https://www.facebook.com/profile.php?id=100009085638334")</f>
        <v>https://www.facebook.com/profile.php?id=100009085638334</v>
      </c>
      <c r="B1235" s="1" t="str">
        <f ca="1">IFERROR(__xludf.DUMMYFUNCTION("""COMPUTED_VALUE"""),"Arlene Mallare Tantay")</f>
        <v>Arlene Mallare Tantay</v>
      </c>
      <c r="C1235" s="1" t="str">
        <f ca="1">IFERROR(__xludf.DUMMYFUNCTION("""COMPUTED_VALUE"""),"Arlene")</f>
        <v>Arlene</v>
      </c>
      <c r="D1235" s="1" t="str">
        <f ca="1">IFERROR(__xludf.DUMMYFUNCTION("""COMPUTED_VALUE"""),"Mallare Tantay")</f>
        <v>Mallare Tantay</v>
      </c>
      <c r="E1235" s="1" t="str">
        <f ca="1">IFERROR(__xludf.DUMMYFUNCTION("""COMPUTED_VALUE"""),"🌸🌸🌸🌸💓💓💓")</f>
        <v>🌸🌸🌸🌸💓💓💓</v>
      </c>
      <c r="F1235" s="1"/>
      <c r="G1235" s="1" t="str">
        <f ca="1">IFERROR(__xludf.DUMMYFUNCTION("""COMPUTED_VALUE"""),"3 mos")</f>
        <v>3 mos</v>
      </c>
      <c r="H1235" s="1" t="str">
        <f ca="1">IFERROR(__xludf.DUMMYFUNCTION("""COMPUTED_VALUE"""),"comment")</f>
        <v>comment</v>
      </c>
      <c r="I1235"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35" s="1" t="str">
        <f ca="1">IFERROR(__xludf.DUMMYFUNCTION("""COMPUTED_VALUE"""),"2022-07-04T15:40:03.370Z")</f>
        <v>2022-07-04T15:40:03.370Z</v>
      </c>
    </row>
    <row r="1236" spans="1:10" x14ac:dyDescent="0.2">
      <c r="A1236" s="2" t="str">
        <f ca="1">IFERROR(__xludf.DUMMYFUNCTION("""COMPUTED_VALUE"""),"https://www.facebook.com/ej.munieza1027")</f>
        <v>https://www.facebook.com/ej.munieza1027</v>
      </c>
      <c r="B1236" s="1" t="str">
        <f ca="1">IFERROR(__xludf.DUMMYFUNCTION("""COMPUTED_VALUE"""),"Ijay Munieza")</f>
        <v>Ijay Munieza</v>
      </c>
      <c r="C1236" s="1" t="str">
        <f ca="1">IFERROR(__xludf.DUMMYFUNCTION("""COMPUTED_VALUE"""),"Ijay")</f>
        <v>Ijay</v>
      </c>
      <c r="D1236" s="1" t="str">
        <f ca="1">IFERROR(__xludf.DUMMYFUNCTION("""COMPUTED_VALUE"""),"Munieza")</f>
        <v>Munieza</v>
      </c>
      <c r="E1236" s="1" t="str">
        <f ca="1">IFERROR(__xludf.DUMMYFUNCTION("""COMPUTED_VALUE"""),"💗💗💗💗")</f>
        <v>💗💗💗💗</v>
      </c>
      <c r="F1236" s="1"/>
      <c r="G1236" s="1" t="str">
        <f ca="1">IFERROR(__xludf.DUMMYFUNCTION("""COMPUTED_VALUE"""),"3 mos")</f>
        <v>3 mos</v>
      </c>
      <c r="H1236" s="1" t="str">
        <f ca="1">IFERROR(__xludf.DUMMYFUNCTION("""COMPUTED_VALUE"""),"comment")</f>
        <v>comment</v>
      </c>
      <c r="I1236"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36" s="1" t="str">
        <f ca="1">IFERROR(__xludf.DUMMYFUNCTION("""COMPUTED_VALUE"""),"2022-07-04T15:40:03.370Z")</f>
        <v>2022-07-04T15:40:03.370Z</v>
      </c>
    </row>
    <row r="1237" spans="1:10" x14ac:dyDescent="0.2">
      <c r="A1237" s="2" t="str">
        <f ca="1">IFERROR(__xludf.DUMMYFUNCTION("""COMPUTED_VALUE"""),"https://www.facebook.com/hayzexxi.14")</f>
        <v>https://www.facebook.com/hayzexxi.14</v>
      </c>
      <c r="B1237" s="1" t="str">
        <f ca="1">IFERROR(__xludf.DUMMYFUNCTION("""COMPUTED_VALUE"""),"Heize")</f>
        <v>Heize</v>
      </c>
      <c r="C1237" s="1" t="str">
        <f ca="1">IFERROR(__xludf.DUMMYFUNCTION("""COMPUTED_VALUE"""),"Heize")</f>
        <v>Heize</v>
      </c>
      <c r="D1237" s="1"/>
      <c r="E1237" s="1" t="str">
        <f ca="1">IFERROR(__xludf.DUMMYFUNCTION("""COMPUTED_VALUE"""),"💖💖💖💖")</f>
        <v>💖💖💖💖</v>
      </c>
      <c r="F1237" s="1"/>
      <c r="G1237" s="1" t="str">
        <f ca="1">IFERROR(__xludf.DUMMYFUNCTION("""COMPUTED_VALUE"""),"3 mos")</f>
        <v>3 mos</v>
      </c>
      <c r="H1237" s="1" t="str">
        <f ca="1">IFERROR(__xludf.DUMMYFUNCTION("""COMPUTED_VALUE"""),"comment")</f>
        <v>comment</v>
      </c>
      <c r="I1237"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37" s="1" t="str">
        <f ca="1">IFERROR(__xludf.DUMMYFUNCTION("""COMPUTED_VALUE"""),"2022-07-04T15:40:03.370Z")</f>
        <v>2022-07-04T15:40:03.370Z</v>
      </c>
    </row>
    <row r="1238" spans="1:10" x14ac:dyDescent="0.2">
      <c r="A1238" s="2" t="str">
        <f ca="1">IFERROR(__xludf.DUMMYFUNCTION("""COMPUTED_VALUE"""),"https://www.facebook.com/stalkpamoredzai")</f>
        <v>https://www.facebook.com/stalkpamoredzai</v>
      </c>
      <c r="B1238" s="1" t="str">
        <f ca="1">IFERROR(__xludf.DUMMYFUNCTION("""COMPUTED_VALUE"""),"Dn Junior")</f>
        <v>Dn Junior</v>
      </c>
      <c r="C1238" s="1" t="str">
        <f ca="1">IFERROR(__xludf.DUMMYFUNCTION("""COMPUTED_VALUE"""),"Dn")</f>
        <v>Dn</v>
      </c>
      <c r="D1238" s="1" t="str">
        <f ca="1">IFERROR(__xludf.DUMMYFUNCTION("""COMPUTED_VALUE"""),"Junior")</f>
        <v>Junior</v>
      </c>
      <c r="E1238" s="1" t="str">
        <f ca="1">IFERROR(__xludf.DUMMYFUNCTION("""COMPUTED_VALUE"""),"#LeniKiko2022 🌷🌺🌸")</f>
        <v>#LeniKiko2022 🌷🌺🌸</v>
      </c>
      <c r="F1238" s="1">
        <f ca="1">IFERROR(__xludf.DUMMYFUNCTION("""COMPUTED_VALUE"""),3)</f>
        <v>3</v>
      </c>
      <c r="G1238" s="1" t="str">
        <f ca="1">IFERROR(__xludf.DUMMYFUNCTION("""COMPUTED_VALUE"""),"3 mos")</f>
        <v>3 mos</v>
      </c>
      <c r="H1238" s="1" t="str">
        <f ca="1">IFERROR(__xludf.DUMMYFUNCTION("""COMPUTED_VALUE"""),"comment")</f>
        <v>comment</v>
      </c>
      <c r="I1238"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38" s="1" t="str">
        <f ca="1">IFERROR(__xludf.DUMMYFUNCTION("""COMPUTED_VALUE"""),"2022-07-04T15:40:03.370Z")</f>
        <v>2022-07-04T15:40:03.370Z</v>
      </c>
    </row>
    <row r="1239" spans="1:10" x14ac:dyDescent="0.2">
      <c r="A1239" s="2" t="str">
        <f ca="1">IFERROR(__xludf.DUMMYFUNCTION("""COMPUTED_VALUE"""),"https://www.facebook.com/earl.liquigan")</f>
        <v>https://www.facebook.com/earl.liquigan</v>
      </c>
      <c r="B1239" s="1" t="str">
        <f ca="1">IFERROR(__xludf.DUMMYFUNCTION("""COMPUTED_VALUE"""),"Earl Liquigan")</f>
        <v>Earl Liquigan</v>
      </c>
      <c r="C1239" s="1" t="str">
        <f ca="1">IFERROR(__xludf.DUMMYFUNCTION("""COMPUTED_VALUE"""),"Earl")</f>
        <v>Earl</v>
      </c>
      <c r="D1239" s="1" t="str">
        <f ca="1">IFERROR(__xludf.DUMMYFUNCTION("""COMPUTED_VALUE"""),"Liquigan")</f>
        <v>Liquigan</v>
      </c>
      <c r="E1239" s="1" t="str">
        <f ca="1">IFERROR(__xludf.DUMMYFUNCTION("""COMPUTED_VALUE"""),"🌷💗")</f>
        <v>🌷💗</v>
      </c>
      <c r="F1239" s="1"/>
      <c r="G1239" s="1" t="str">
        <f ca="1">IFERROR(__xludf.DUMMYFUNCTION("""COMPUTED_VALUE"""),"3 mos")</f>
        <v>3 mos</v>
      </c>
      <c r="H1239" s="1" t="str">
        <f ca="1">IFERROR(__xludf.DUMMYFUNCTION("""COMPUTED_VALUE"""),"comment")</f>
        <v>comment</v>
      </c>
      <c r="I1239"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39" s="1" t="str">
        <f ca="1">IFERROR(__xludf.DUMMYFUNCTION("""COMPUTED_VALUE"""),"2022-07-04T15:40:03.370Z")</f>
        <v>2022-07-04T15:40:03.370Z</v>
      </c>
    </row>
    <row r="1240" spans="1:10" x14ac:dyDescent="0.2">
      <c r="A1240" s="2" t="str">
        <f ca="1">IFERROR(__xludf.DUMMYFUNCTION("""COMPUTED_VALUE"""),"https://www.facebook.com/Paola.Tan.23")</f>
        <v>https://www.facebook.com/Paola.Tan.23</v>
      </c>
      <c r="B1240" s="1" t="str">
        <f ca="1">IFERROR(__xludf.DUMMYFUNCTION("""COMPUTED_VALUE"""),"Paola Tan")</f>
        <v>Paola Tan</v>
      </c>
      <c r="C1240" s="1" t="str">
        <f ca="1">IFERROR(__xludf.DUMMYFUNCTION("""COMPUTED_VALUE"""),"Paola")</f>
        <v>Paola</v>
      </c>
      <c r="D1240" s="1" t="str">
        <f ca="1">IFERROR(__xludf.DUMMYFUNCTION("""COMPUTED_VALUE"""),"Tan")</f>
        <v>Tan</v>
      </c>
      <c r="E1240" s="1" t="str">
        <f ca="1">IFERROR(__xludf.DUMMYFUNCTION("""COMPUTED_VALUE"""),"Kristine De Guzman")</f>
        <v>Kristine De Guzman</v>
      </c>
      <c r="F1240" s="1">
        <f ca="1">IFERROR(__xludf.DUMMYFUNCTION("""COMPUTED_VALUE"""),1)</f>
        <v>1</v>
      </c>
      <c r="G1240" s="1" t="str">
        <f ca="1">IFERROR(__xludf.DUMMYFUNCTION("""COMPUTED_VALUE"""),"3 mos")</f>
        <v>3 mos</v>
      </c>
      <c r="H1240" s="1" t="str">
        <f ca="1">IFERROR(__xludf.DUMMYFUNCTION("""COMPUTED_VALUE"""),"comment")</f>
        <v>comment</v>
      </c>
      <c r="I1240"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40" s="1" t="str">
        <f ca="1">IFERROR(__xludf.DUMMYFUNCTION("""COMPUTED_VALUE"""),"2022-07-04T15:40:03.370Z")</f>
        <v>2022-07-04T15:40:03.370Z</v>
      </c>
    </row>
    <row r="1241" spans="1:10" x14ac:dyDescent="0.2">
      <c r="A1241" s="2" t="str">
        <f ca="1">IFERROR(__xludf.DUMMYFUNCTION("""COMPUTED_VALUE"""),"https://www.facebook.com/jheiykun.tolentino")</f>
        <v>https://www.facebook.com/jheiykun.tolentino</v>
      </c>
      <c r="B1241" s="1" t="str">
        <f ca="1">IFERROR(__xludf.DUMMYFUNCTION("""COMPUTED_VALUE"""),"Jheiy Tolentino Mancenon")</f>
        <v>Jheiy Tolentino Mancenon</v>
      </c>
      <c r="C1241" s="1" t="str">
        <f ca="1">IFERROR(__xludf.DUMMYFUNCTION("""COMPUTED_VALUE"""),"Jheiy")</f>
        <v>Jheiy</v>
      </c>
      <c r="D1241" s="1" t="str">
        <f ca="1">IFERROR(__xludf.DUMMYFUNCTION("""COMPUTED_VALUE"""),"Tolentino Mancenon")</f>
        <v>Tolentino Mancenon</v>
      </c>
      <c r="E1241" s="1" t="str">
        <f ca="1">IFERROR(__xludf.DUMMYFUNCTION("""COMPUTED_VALUE"""),"✌️💚❤️🙏")</f>
        <v>✌️💚❤️🙏</v>
      </c>
      <c r="F1241" s="1"/>
      <c r="G1241" s="1" t="str">
        <f ca="1">IFERROR(__xludf.DUMMYFUNCTION("""COMPUTED_VALUE"""),"3 mos")</f>
        <v>3 mos</v>
      </c>
      <c r="H1241" s="1" t="str">
        <f ca="1">IFERROR(__xludf.DUMMYFUNCTION("""COMPUTED_VALUE"""),"comment")</f>
        <v>comment</v>
      </c>
      <c r="I1241"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41" s="1" t="str">
        <f ca="1">IFERROR(__xludf.DUMMYFUNCTION("""COMPUTED_VALUE"""),"2022-07-04T15:40:03.370Z")</f>
        <v>2022-07-04T15:40:03.370Z</v>
      </c>
    </row>
    <row r="1242" spans="1:10" x14ac:dyDescent="0.2">
      <c r="A1242" s="2" t="str">
        <f ca="1">IFERROR(__xludf.DUMMYFUNCTION("""COMPUTED_VALUE"""),"https://www.facebook.com/jnardcurvy")</f>
        <v>https://www.facebook.com/jnardcurvy</v>
      </c>
      <c r="B1242" s="1" t="str">
        <f ca="1">IFERROR(__xludf.DUMMYFUNCTION("""COMPUTED_VALUE"""),"JeinardCurvy Libunao")</f>
        <v>JeinardCurvy Libunao</v>
      </c>
      <c r="C1242" s="1" t="str">
        <f ca="1">IFERROR(__xludf.DUMMYFUNCTION("""COMPUTED_VALUE"""),"JeinardCurvy")</f>
        <v>JeinardCurvy</v>
      </c>
      <c r="D1242" s="1" t="str">
        <f ca="1">IFERROR(__xludf.DUMMYFUNCTION("""COMPUTED_VALUE"""),"Libunao")</f>
        <v>Libunao</v>
      </c>
      <c r="E1242" s="1" t="str">
        <f ca="1">IFERROR(__xludf.DUMMYFUNCTION("""COMPUTED_VALUE"""),"🌸🌸🌸")</f>
        <v>🌸🌸🌸</v>
      </c>
      <c r="F1242" s="1">
        <f ca="1">IFERROR(__xludf.DUMMYFUNCTION("""COMPUTED_VALUE"""),3)</f>
        <v>3</v>
      </c>
      <c r="G1242" s="1" t="str">
        <f ca="1">IFERROR(__xludf.DUMMYFUNCTION("""COMPUTED_VALUE"""),"3 mos")</f>
        <v>3 mos</v>
      </c>
      <c r="H1242" s="1" t="str">
        <f ca="1">IFERROR(__xludf.DUMMYFUNCTION("""COMPUTED_VALUE"""),"comment")</f>
        <v>comment</v>
      </c>
      <c r="I1242"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42" s="1" t="str">
        <f ca="1">IFERROR(__xludf.DUMMYFUNCTION("""COMPUTED_VALUE"""),"2022-07-04T15:40:03.370Z")</f>
        <v>2022-07-04T15:40:03.370Z</v>
      </c>
    </row>
    <row r="1243" spans="1:10" x14ac:dyDescent="0.2">
      <c r="A1243" s="2" t="str">
        <f ca="1">IFERROR(__xludf.DUMMYFUNCTION("""COMPUTED_VALUE"""),"https://www.facebook.com/romer.carredo")</f>
        <v>https://www.facebook.com/romer.carredo</v>
      </c>
      <c r="B1243" s="1" t="str">
        <f ca="1">IFERROR(__xludf.DUMMYFUNCTION("""COMPUTED_VALUE"""),"Reg Leceña Chua")</f>
        <v>Reg Leceña Chua</v>
      </c>
      <c r="C1243" s="1" t="str">
        <f ca="1">IFERROR(__xludf.DUMMYFUNCTION("""COMPUTED_VALUE"""),"Reg")</f>
        <v>Reg</v>
      </c>
      <c r="D1243" s="1" t="str">
        <f ca="1">IFERROR(__xludf.DUMMYFUNCTION("""COMPUTED_VALUE"""),"Leceña Chua")</f>
        <v>Leceña Chua</v>
      </c>
      <c r="E1243" s="1" t="str">
        <f ca="1">IFERROR(__xludf.DUMMYFUNCTION("""COMPUTED_VALUE"""),"JeinardCurvy Libunao 🙏💕")</f>
        <v>JeinardCurvy Libunao 🙏💕</v>
      </c>
      <c r="F1243" s="1"/>
      <c r="G1243" s="1" t="str">
        <f ca="1">IFERROR(__xludf.DUMMYFUNCTION("""COMPUTED_VALUE"""),"3 mos")</f>
        <v>3 mos</v>
      </c>
      <c r="H1243" s="1" t="str">
        <f ca="1">IFERROR(__xludf.DUMMYFUNCTION("""COMPUTED_VALUE"""),"reply")</f>
        <v>reply</v>
      </c>
      <c r="I1243"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43" s="1" t="str">
        <f ca="1">IFERROR(__xludf.DUMMYFUNCTION("""COMPUTED_VALUE"""),"2022-07-04T15:40:03.370Z")</f>
        <v>2022-07-04T15:40:03.370Z</v>
      </c>
    </row>
    <row r="1244" spans="1:10" x14ac:dyDescent="0.2">
      <c r="A1244" s="2" t="str">
        <f ca="1">IFERROR(__xludf.DUMMYFUNCTION("""COMPUTED_VALUE"""),"https://www.facebook.com/deepblue69")</f>
        <v>https://www.facebook.com/deepblue69</v>
      </c>
      <c r="B1244" s="1" t="str">
        <f ca="1">IFERROR(__xludf.DUMMYFUNCTION("""COMPUTED_VALUE"""),"Ulysses Loresto")</f>
        <v>Ulysses Loresto</v>
      </c>
      <c r="C1244" s="1" t="str">
        <f ca="1">IFERROR(__xludf.DUMMYFUNCTION("""COMPUTED_VALUE"""),"Ulysses")</f>
        <v>Ulysses</v>
      </c>
      <c r="D1244" s="1" t="str">
        <f ca="1">IFERROR(__xludf.DUMMYFUNCTION("""COMPUTED_VALUE"""),"Loresto")</f>
        <v>Loresto</v>
      </c>
      <c r="E1244" s="1" t="str">
        <f ca="1">IFERROR(__xludf.DUMMYFUNCTION("""COMPUTED_VALUE"""),"👍🏽👍🏼👍🏻")</f>
        <v>👍🏽👍🏼👍🏻</v>
      </c>
      <c r="F1244" s="1"/>
      <c r="G1244" s="1" t="str">
        <f ca="1">IFERROR(__xludf.DUMMYFUNCTION("""COMPUTED_VALUE"""),"3 mos")</f>
        <v>3 mos</v>
      </c>
      <c r="H1244" s="1" t="str">
        <f ca="1">IFERROR(__xludf.DUMMYFUNCTION("""COMPUTED_VALUE"""),"comment")</f>
        <v>comment</v>
      </c>
      <c r="I1244"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44" s="1" t="str">
        <f ca="1">IFERROR(__xludf.DUMMYFUNCTION("""COMPUTED_VALUE"""),"2022-07-04T15:40:03.370Z")</f>
        <v>2022-07-04T15:40:03.370Z</v>
      </c>
    </row>
    <row r="1245" spans="1:10" x14ac:dyDescent="0.2">
      <c r="A1245" s="2" t="str">
        <f ca="1">IFERROR(__xludf.DUMMYFUNCTION("""COMPUTED_VALUE"""),"https://www.facebook.com/hanzhabon")</f>
        <v>https://www.facebook.com/hanzhabon</v>
      </c>
      <c r="B1245" s="1" t="str">
        <f ca="1">IFERROR(__xludf.DUMMYFUNCTION("""COMPUTED_VALUE"""),"Hanz Habon")</f>
        <v>Hanz Habon</v>
      </c>
      <c r="C1245" s="1" t="str">
        <f ca="1">IFERROR(__xludf.DUMMYFUNCTION("""COMPUTED_VALUE"""),"Hanz")</f>
        <v>Hanz</v>
      </c>
      <c r="D1245" s="1" t="str">
        <f ca="1">IFERROR(__xludf.DUMMYFUNCTION("""COMPUTED_VALUE"""),"Habon")</f>
        <v>Habon</v>
      </c>
      <c r="E1245" s="1" t="str">
        <f ca="1">IFERROR(__xludf.DUMMYFUNCTION("""COMPUTED_VALUE"""),"💗✨✨✨✨")</f>
        <v>💗✨✨✨✨</v>
      </c>
      <c r="F1245" s="1"/>
      <c r="G1245" s="1" t="str">
        <f ca="1">IFERROR(__xludf.DUMMYFUNCTION("""COMPUTED_VALUE"""),"3 mos")</f>
        <v>3 mos</v>
      </c>
      <c r="H1245" s="1" t="str">
        <f ca="1">IFERROR(__xludf.DUMMYFUNCTION("""COMPUTED_VALUE"""),"comment")</f>
        <v>comment</v>
      </c>
      <c r="I1245"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45" s="1" t="str">
        <f ca="1">IFERROR(__xludf.DUMMYFUNCTION("""COMPUTED_VALUE"""),"2022-07-04T15:40:03.370Z")</f>
        <v>2022-07-04T15:40:03.370Z</v>
      </c>
    </row>
    <row r="1246" spans="1:10" x14ac:dyDescent="0.2">
      <c r="A1246" s="2" t="str">
        <f ca="1">IFERROR(__xludf.DUMMYFUNCTION("""COMPUTED_VALUE"""),"https://www.facebook.com/profile.php?id=1669143901")</f>
        <v>https://www.facebook.com/profile.php?id=1669143901</v>
      </c>
      <c r="B1246" s="1" t="str">
        <f ca="1">IFERROR(__xludf.DUMMYFUNCTION("""COMPUTED_VALUE"""),"Vince Tse Koi")</f>
        <v>Vince Tse Koi</v>
      </c>
      <c r="C1246" s="1" t="str">
        <f ca="1">IFERROR(__xludf.DUMMYFUNCTION("""COMPUTED_VALUE"""),"Vince")</f>
        <v>Vince</v>
      </c>
      <c r="D1246" s="1" t="str">
        <f ca="1">IFERROR(__xludf.DUMMYFUNCTION("""COMPUTED_VALUE"""),"Tse Koi")</f>
        <v>Tse Koi</v>
      </c>
      <c r="E1246" s="1" t="str">
        <f ca="1">IFERROR(__xludf.DUMMYFUNCTION("""COMPUTED_VALUE"""),"❤❤❤❤❤❤❤🇵🇭🇵🇭🇵🇭🇵🇭")</f>
        <v>❤❤❤❤❤❤❤🇵🇭🇵🇭🇵🇭🇵🇭</v>
      </c>
      <c r="F1246" s="1"/>
      <c r="G1246" s="1" t="str">
        <f ca="1">IFERROR(__xludf.DUMMYFUNCTION("""COMPUTED_VALUE"""),"3 mos")</f>
        <v>3 mos</v>
      </c>
      <c r="H1246" s="1" t="str">
        <f ca="1">IFERROR(__xludf.DUMMYFUNCTION("""COMPUTED_VALUE"""),"comment")</f>
        <v>comment</v>
      </c>
      <c r="I1246"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46" s="1" t="str">
        <f ca="1">IFERROR(__xludf.DUMMYFUNCTION("""COMPUTED_VALUE"""),"2022-07-04T15:40:03.370Z")</f>
        <v>2022-07-04T15:40:03.370Z</v>
      </c>
    </row>
    <row r="1247" spans="1:10" x14ac:dyDescent="0.2">
      <c r="A1247" s="2" t="str">
        <f ca="1">IFERROR(__xludf.DUMMYFUNCTION("""COMPUTED_VALUE"""),"https://www.facebook.com/EdithaSeva")</f>
        <v>https://www.facebook.com/EdithaSeva</v>
      </c>
      <c r="B1247" s="1" t="str">
        <f ca="1">IFERROR(__xludf.DUMMYFUNCTION("""COMPUTED_VALUE"""),"Olie SSmith")</f>
        <v>Olie SSmith</v>
      </c>
      <c r="C1247" s="1" t="str">
        <f ca="1">IFERROR(__xludf.DUMMYFUNCTION("""COMPUTED_VALUE"""),"Olie")</f>
        <v>Olie</v>
      </c>
      <c r="D1247" s="1" t="str">
        <f ca="1">IFERROR(__xludf.DUMMYFUNCTION("""COMPUTED_VALUE"""),"SSmith")</f>
        <v>SSmith</v>
      </c>
      <c r="E1247" s="1" t="str">
        <f ca="1">IFERROR(__xludf.DUMMYFUNCTION("""COMPUTED_VALUE"""),"🌸🌸🌸")</f>
        <v>🌸🌸🌸</v>
      </c>
      <c r="F1247" s="1"/>
      <c r="G1247" s="1" t="str">
        <f ca="1">IFERROR(__xludf.DUMMYFUNCTION("""COMPUTED_VALUE"""),"3 mos")</f>
        <v>3 mos</v>
      </c>
      <c r="H1247" s="1" t="str">
        <f ca="1">IFERROR(__xludf.DUMMYFUNCTION("""COMPUTED_VALUE"""),"comment")</f>
        <v>comment</v>
      </c>
      <c r="I1247"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47" s="1" t="str">
        <f ca="1">IFERROR(__xludf.DUMMYFUNCTION("""COMPUTED_VALUE"""),"2022-07-04T15:40:03.370Z")</f>
        <v>2022-07-04T15:40:03.370Z</v>
      </c>
    </row>
    <row r="1248" spans="1:10" x14ac:dyDescent="0.2">
      <c r="A1248" s="2" t="str">
        <f ca="1">IFERROR(__xludf.DUMMYFUNCTION("""COMPUTED_VALUE"""),"https://www.facebook.com/danilos.deleon.54")</f>
        <v>https://www.facebook.com/danilos.deleon.54</v>
      </c>
      <c r="B1248" s="1" t="str">
        <f ca="1">IFERROR(__xludf.DUMMYFUNCTION("""COMPUTED_VALUE"""),"Danilo S De Leon")</f>
        <v>Danilo S De Leon</v>
      </c>
      <c r="C1248" s="1" t="str">
        <f ca="1">IFERROR(__xludf.DUMMYFUNCTION("""COMPUTED_VALUE"""),"Danilo")</f>
        <v>Danilo</v>
      </c>
      <c r="D1248" s="1" t="str">
        <f ca="1">IFERROR(__xludf.DUMMYFUNCTION("""COMPUTED_VALUE"""),"S De Leon")</f>
        <v>S De Leon</v>
      </c>
      <c r="E1248" s="1" t="str">
        <f ca="1">IFERROR(__xludf.DUMMYFUNCTION("""COMPUTED_VALUE"""),"💕💕💕💗💕💕💕")</f>
        <v>💕💕💕💗💕💕💕</v>
      </c>
      <c r="F1248" s="1"/>
      <c r="G1248" s="1" t="str">
        <f ca="1">IFERROR(__xludf.DUMMYFUNCTION("""COMPUTED_VALUE"""),"3 mos")</f>
        <v>3 mos</v>
      </c>
      <c r="H1248" s="1" t="str">
        <f ca="1">IFERROR(__xludf.DUMMYFUNCTION("""COMPUTED_VALUE"""),"comment")</f>
        <v>comment</v>
      </c>
      <c r="I1248"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48" s="1" t="str">
        <f ca="1">IFERROR(__xludf.DUMMYFUNCTION("""COMPUTED_VALUE"""),"2022-07-04T15:40:03.370Z")</f>
        <v>2022-07-04T15:40:03.370Z</v>
      </c>
    </row>
    <row r="1249" spans="1:10" x14ac:dyDescent="0.2">
      <c r="A1249" s="2" t="str">
        <f ca="1">IFERROR(__xludf.DUMMYFUNCTION("""COMPUTED_VALUE"""),"https://www.facebook.com/midsayap.vines.9")</f>
        <v>https://www.facebook.com/midsayap.vines.9</v>
      </c>
      <c r="B1249" s="1" t="str">
        <f ca="1">IFERROR(__xludf.DUMMYFUNCTION("""COMPUTED_VALUE"""),"Jack Amado")</f>
        <v>Jack Amado</v>
      </c>
      <c r="C1249" s="1" t="str">
        <f ca="1">IFERROR(__xludf.DUMMYFUNCTION("""COMPUTED_VALUE"""),"Jack")</f>
        <v>Jack</v>
      </c>
      <c r="D1249" s="1" t="str">
        <f ca="1">IFERROR(__xludf.DUMMYFUNCTION("""COMPUTED_VALUE"""),"Amado")</f>
        <v>Amado</v>
      </c>
      <c r="E1249" s="1" t="str">
        <f ca="1">IFERROR(__xludf.DUMMYFUNCTION("""COMPUTED_VALUE"""),"Justine Amado")</f>
        <v>Justine Amado</v>
      </c>
      <c r="F1249" s="1">
        <f ca="1">IFERROR(__xludf.DUMMYFUNCTION("""COMPUTED_VALUE"""),1)</f>
        <v>1</v>
      </c>
      <c r="G1249" s="1" t="str">
        <f ca="1">IFERROR(__xludf.DUMMYFUNCTION("""COMPUTED_VALUE"""),"3 mos")</f>
        <v>3 mos</v>
      </c>
      <c r="H1249" s="1" t="str">
        <f ca="1">IFERROR(__xludf.DUMMYFUNCTION("""COMPUTED_VALUE"""),"comment")</f>
        <v>comment</v>
      </c>
      <c r="I1249"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49" s="1" t="str">
        <f ca="1">IFERROR(__xludf.DUMMYFUNCTION("""COMPUTED_VALUE"""),"2022-07-04T15:40:03.370Z")</f>
        <v>2022-07-04T15:40:03.370Z</v>
      </c>
    </row>
    <row r="1250" spans="1:10" x14ac:dyDescent="0.2">
      <c r="A1250" s="2" t="str">
        <f ca="1">IFERROR(__xludf.DUMMYFUNCTION("""COMPUTED_VALUE"""),"https://www.facebook.com/rheajoycehernandez")</f>
        <v>https://www.facebook.com/rheajoycehernandez</v>
      </c>
      <c r="B1250" s="1" t="str">
        <f ca="1">IFERROR(__xludf.DUMMYFUNCTION("""COMPUTED_VALUE"""),"Rhea Joyce Hernandez")</f>
        <v>Rhea Joyce Hernandez</v>
      </c>
      <c r="C1250" s="1" t="str">
        <f ca="1">IFERROR(__xludf.DUMMYFUNCTION("""COMPUTED_VALUE"""),"Rhea")</f>
        <v>Rhea</v>
      </c>
      <c r="D1250" s="1" t="str">
        <f ca="1">IFERROR(__xludf.DUMMYFUNCTION("""COMPUTED_VALUE"""),"Joyce Hernandez")</f>
        <v>Joyce Hernandez</v>
      </c>
      <c r="E1250" s="1" t="str">
        <f ca="1">IFERROR(__xludf.DUMMYFUNCTION("""COMPUTED_VALUE"""),"😅")</f>
        <v>😅</v>
      </c>
      <c r="F1250" s="1"/>
      <c r="G1250" s="1" t="str">
        <f ca="1">IFERROR(__xludf.DUMMYFUNCTION("""COMPUTED_VALUE"""),"3 mos")</f>
        <v>3 mos</v>
      </c>
      <c r="H1250" s="1" t="str">
        <f ca="1">IFERROR(__xludf.DUMMYFUNCTION("""COMPUTED_VALUE"""),"comment")</f>
        <v>comment</v>
      </c>
      <c r="I1250"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50" s="1" t="str">
        <f ca="1">IFERROR(__xludf.DUMMYFUNCTION("""COMPUTED_VALUE"""),"2022-07-04T15:40:03.370Z")</f>
        <v>2022-07-04T15:40:03.370Z</v>
      </c>
    </row>
    <row r="1251" spans="1:10" x14ac:dyDescent="0.2">
      <c r="A1251" s="2" t="str">
        <f ca="1">IFERROR(__xludf.DUMMYFUNCTION("""COMPUTED_VALUE"""),"https://www.facebook.com/rachel.zamora.5680")</f>
        <v>https://www.facebook.com/rachel.zamora.5680</v>
      </c>
      <c r="B1251" s="1" t="str">
        <f ca="1">IFERROR(__xludf.DUMMYFUNCTION("""COMPUTED_VALUE"""),"Rachel Zamora")</f>
        <v>Rachel Zamora</v>
      </c>
      <c r="C1251" s="1" t="str">
        <f ca="1">IFERROR(__xludf.DUMMYFUNCTION("""COMPUTED_VALUE"""),"Rachel")</f>
        <v>Rachel</v>
      </c>
      <c r="D1251" s="1" t="str">
        <f ca="1">IFERROR(__xludf.DUMMYFUNCTION("""COMPUTED_VALUE"""),"Zamora")</f>
        <v>Zamora</v>
      </c>
      <c r="E1251" s="1" t="str">
        <f ca="1">IFERROR(__xludf.DUMMYFUNCTION("""COMPUTED_VALUE"""),"❤️")</f>
        <v>❤️</v>
      </c>
      <c r="F1251" s="1"/>
      <c r="G1251" s="1" t="str">
        <f ca="1">IFERROR(__xludf.DUMMYFUNCTION("""COMPUTED_VALUE"""),"3 mos")</f>
        <v>3 mos</v>
      </c>
      <c r="H1251" s="1" t="str">
        <f ca="1">IFERROR(__xludf.DUMMYFUNCTION("""COMPUTED_VALUE"""),"comment")</f>
        <v>comment</v>
      </c>
      <c r="I1251"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51" s="1" t="str">
        <f ca="1">IFERROR(__xludf.DUMMYFUNCTION("""COMPUTED_VALUE"""),"2022-07-04T15:40:03.370Z")</f>
        <v>2022-07-04T15:40:03.370Z</v>
      </c>
    </row>
    <row r="1252" spans="1:10" x14ac:dyDescent="0.2">
      <c r="A1252" s="2" t="str">
        <f ca="1">IFERROR(__xludf.DUMMYFUNCTION("""COMPUTED_VALUE"""),"https://www.facebook.com/arni.reyes.5")</f>
        <v>https://www.facebook.com/arni.reyes.5</v>
      </c>
      <c r="B1252" s="1" t="str">
        <f ca="1">IFERROR(__xludf.DUMMYFUNCTION("""COMPUTED_VALUE"""),"Tax Reyes")</f>
        <v>Tax Reyes</v>
      </c>
      <c r="C1252" s="1" t="str">
        <f ca="1">IFERROR(__xludf.DUMMYFUNCTION("""COMPUTED_VALUE"""),"Tax")</f>
        <v>Tax</v>
      </c>
      <c r="D1252" s="1" t="str">
        <f ca="1">IFERROR(__xludf.DUMMYFUNCTION("""COMPUTED_VALUE"""),"Reyes")</f>
        <v>Reyes</v>
      </c>
      <c r="E1252" s="1" t="str">
        <f ca="1">IFERROR(__xludf.DUMMYFUNCTION("""COMPUTED_VALUE"""),"Tax Reyes")</f>
        <v>Tax Reyes</v>
      </c>
      <c r="F1252" s="1"/>
      <c r="G1252" s="1" t="str">
        <f ca="1">IFERROR(__xludf.DUMMYFUNCTION("""COMPUTED_VALUE"""),"3 mos")</f>
        <v>3 mos</v>
      </c>
      <c r="H1252" s="1" t="str">
        <f ca="1">IFERROR(__xludf.DUMMYFUNCTION("""COMPUTED_VALUE"""),"comment")</f>
        <v>comment</v>
      </c>
      <c r="I1252"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52" s="1" t="str">
        <f ca="1">IFERROR(__xludf.DUMMYFUNCTION("""COMPUTED_VALUE"""),"2022-07-04T15:40:03.370Z")</f>
        <v>2022-07-04T15:40:03.370Z</v>
      </c>
    </row>
    <row r="1253" spans="1:10" x14ac:dyDescent="0.2">
      <c r="A1253" s="2" t="str">
        <f ca="1">IFERROR(__xludf.DUMMYFUNCTION("""COMPUTED_VALUE"""),"https://www.facebook.com/profile.php?id=100078937432698")</f>
        <v>https://www.facebook.com/profile.php?id=100078937432698</v>
      </c>
      <c r="B1253" s="1" t="str">
        <f ca="1">IFERROR(__xludf.DUMMYFUNCTION("""COMPUTED_VALUE"""),"Rose Busa")</f>
        <v>Rose Busa</v>
      </c>
      <c r="C1253" s="1" t="str">
        <f ca="1">IFERROR(__xludf.DUMMYFUNCTION("""COMPUTED_VALUE"""),"Rose")</f>
        <v>Rose</v>
      </c>
      <c r="D1253" s="1" t="str">
        <f ca="1">IFERROR(__xludf.DUMMYFUNCTION("""COMPUTED_VALUE"""),"Busa")</f>
        <v>Busa</v>
      </c>
      <c r="E1253" s="1" t="str">
        <f ca="1">IFERROR(__xludf.DUMMYFUNCTION("""COMPUTED_VALUE"""),"👍❤💚👊✌")</f>
        <v>👍❤💚👊✌</v>
      </c>
      <c r="F1253" s="1"/>
      <c r="G1253" s="1" t="str">
        <f ca="1">IFERROR(__xludf.DUMMYFUNCTION("""COMPUTED_VALUE"""),"3 mos")</f>
        <v>3 mos</v>
      </c>
      <c r="H1253" s="1" t="str">
        <f ca="1">IFERROR(__xludf.DUMMYFUNCTION("""COMPUTED_VALUE"""),"comment")</f>
        <v>comment</v>
      </c>
      <c r="I1253"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53" s="1" t="str">
        <f ca="1">IFERROR(__xludf.DUMMYFUNCTION("""COMPUTED_VALUE"""),"2022-07-04T15:40:03.371Z")</f>
        <v>2022-07-04T15:40:03.371Z</v>
      </c>
    </row>
    <row r="1254" spans="1:10" x14ac:dyDescent="0.2">
      <c r="A1254" s="2" t="str">
        <f ca="1">IFERROR(__xludf.DUMMYFUNCTION("""COMPUTED_VALUE"""),"https://www.facebook.com/profile.php?id=100079992361922")</f>
        <v>https://www.facebook.com/profile.php?id=100079992361922</v>
      </c>
      <c r="B1254" s="1" t="str">
        <f ca="1">IFERROR(__xludf.DUMMYFUNCTION("""COMPUTED_VALUE"""),"Lene Villa")</f>
        <v>Lene Villa</v>
      </c>
      <c r="C1254" s="1" t="str">
        <f ca="1">IFERROR(__xludf.DUMMYFUNCTION("""COMPUTED_VALUE"""),"Lene")</f>
        <v>Lene</v>
      </c>
      <c r="D1254" s="1" t="str">
        <f ca="1">IFERROR(__xludf.DUMMYFUNCTION("""COMPUTED_VALUE"""),"Villa")</f>
        <v>Villa</v>
      </c>
      <c r="E1254" s="1" t="str">
        <f ca="1">IFERROR(__xludf.DUMMYFUNCTION("""COMPUTED_VALUE"""),"#GobyernongTapatAngatBuhayLahat💕💕💕")</f>
        <v>#GobyernongTapatAngatBuhayLahat💕💕💕</v>
      </c>
      <c r="F1254" s="1">
        <f ca="1">IFERROR(__xludf.DUMMYFUNCTION("""COMPUTED_VALUE"""),1)</f>
        <v>1</v>
      </c>
      <c r="G1254" s="1" t="str">
        <f ca="1">IFERROR(__xludf.DUMMYFUNCTION("""COMPUTED_VALUE"""),"3 mos")</f>
        <v>3 mos</v>
      </c>
      <c r="H1254" s="1" t="str">
        <f ca="1">IFERROR(__xludf.DUMMYFUNCTION("""COMPUTED_VALUE"""),"comment")</f>
        <v>comment</v>
      </c>
      <c r="I1254"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54" s="1" t="str">
        <f ca="1">IFERROR(__xludf.DUMMYFUNCTION("""COMPUTED_VALUE"""),"2022-07-04T15:40:03.371Z")</f>
        <v>2022-07-04T15:40:03.371Z</v>
      </c>
    </row>
    <row r="1255" spans="1:10" x14ac:dyDescent="0.2">
      <c r="A1255" s="2" t="str">
        <f ca="1">IFERROR(__xludf.DUMMYFUNCTION("""COMPUTED_VALUE"""),"https://www.facebook.com/iamALArreza")</f>
        <v>https://www.facebook.com/iamALArreza</v>
      </c>
      <c r="B1255" s="1" t="str">
        <f ca="1">IFERROR(__xludf.DUMMYFUNCTION("""COMPUTED_VALUE"""),"AL Arreza")</f>
        <v>AL Arreza</v>
      </c>
      <c r="C1255" s="1" t="str">
        <f ca="1">IFERROR(__xludf.DUMMYFUNCTION("""COMPUTED_VALUE"""),"AL")</f>
        <v>AL</v>
      </c>
      <c r="D1255" s="1" t="str">
        <f ca="1">IFERROR(__xludf.DUMMYFUNCTION("""COMPUTED_VALUE"""),"Arreza")</f>
        <v>Arreza</v>
      </c>
      <c r="E1255" s="1" t="str">
        <f ca="1">IFERROR(__xludf.DUMMYFUNCTION("""COMPUTED_VALUE"""),"💕💕💕💕💕")</f>
        <v>💕💕💕💕💕</v>
      </c>
      <c r="F1255" s="1"/>
      <c r="G1255" s="1" t="str">
        <f ca="1">IFERROR(__xludf.DUMMYFUNCTION("""COMPUTED_VALUE"""),"3 mos")</f>
        <v>3 mos</v>
      </c>
      <c r="H1255" s="1" t="str">
        <f ca="1">IFERROR(__xludf.DUMMYFUNCTION("""COMPUTED_VALUE"""),"comment")</f>
        <v>comment</v>
      </c>
      <c r="I1255"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55" s="1" t="str">
        <f ca="1">IFERROR(__xludf.DUMMYFUNCTION("""COMPUTED_VALUE"""),"2022-07-04T15:40:03.371Z")</f>
        <v>2022-07-04T15:40:03.371Z</v>
      </c>
    </row>
    <row r="1256" spans="1:10" x14ac:dyDescent="0.2">
      <c r="A1256" s="2" t="str">
        <f ca="1">IFERROR(__xludf.DUMMYFUNCTION("""COMPUTED_VALUE"""),"https://www.facebook.com/iamALArreza")</f>
        <v>https://www.facebook.com/iamALArreza</v>
      </c>
      <c r="B1256" s="1" t="str">
        <f ca="1">IFERROR(__xludf.DUMMYFUNCTION("""COMPUTED_VALUE"""),"AL Arreza")</f>
        <v>AL Arreza</v>
      </c>
      <c r="C1256" s="1" t="str">
        <f ca="1">IFERROR(__xludf.DUMMYFUNCTION("""COMPUTED_VALUE"""),"AL")</f>
        <v>AL</v>
      </c>
      <c r="D1256" s="1" t="str">
        <f ca="1">IFERROR(__xludf.DUMMYFUNCTION("""COMPUTED_VALUE"""),"Arreza")</f>
        <v>Arreza</v>
      </c>
      <c r="E1256" s="1" t="str">
        <f ca="1">IFERROR(__xludf.DUMMYFUNCTION("""COMPUTED_VALUE"""),"🌷🌷🌷🌷")</f>
        <v>🌷🌷🌷🌷</v>
      </c>
      <c r="F1256" s="1"/>
      <c r="G1256" s="1" t="str">
        <f ca="1">IFERROR(__xludf.DUMMYFUNCTION("""COMPUTED_VALUE"""),"3 mos")</f>
        <v>3 mos</v>
      </c>
      <c r="H1256" s="1" t="str">
        <f ca="1">IFERROR(__xludf.DUMMYFUNCTION("""COMPUTED_VALUE"""),"comment")</f>
        <v>comment</v>
      </c>
      <c r="I1256"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56" s="1" t="str">
        <f ca="1">IFERROR(__xludf.DUMMYFUNCTION("""COMPUTED_VALUE"""),"2022-07-04T15:40:03.371Z")</f>
        <v>2022-07-04T15:40:03.371Z</v>
      </c>
    </row>
    <row r="1257" spans="1:10" x14ac:dyDescent="0.2">
      <c r="A1257" s="2" t="str">
        <f ca="1">IFERROR(__xludf.DUMMYFUNCTION("""COMPUTED_VALUE"""),"https://www.facebook.com/iamALArreza")</f>
        <v>https://www.facebook.com/iamALArreza</v>
      </c>
      <c r="B1257" s="1" t="str">
        <f ca="1">IFERROR(__xludf.DUMMYFUNCTION("""COMPUTED_VALUE"""),"AL Arreza")</f>
        <v>AL Arreza</v>
      </c>
      <c r="C1257" s="1" t="str">
        <f ca="1">IFERROR(__xludf.DUMMYFUNCTION("""COMPUTED_VALUE"""),"AL")</f>
        <v>AL</v>
      </c>
      <c r="D1257" s="1" t="str">
        <f ca="1">IFERROR(__xludf.DUMMYFUNCTION("""COMPUTED_VALUE"""),"Arreza")</f>
        <v>Arreza</v>
      </c>
      <c r="E1257" s="1" t="str">
        <f ca="1">IFERROR(__xludf.DUMMYFUNCTION("""COMPUTED_VALUE"""),"🌸🌸🌸🌸")</f>
        <v>🌸🌸🌸🌸</v>
      </c>
      <c r="F1257" s="1"/>
      <c r="G1257" s="1" t="str">
        <f ca="1">IFERROR(__xludf.DUMMYFUNCTION("""COMPUTED_VALUE"""),"3 mos")</f>
        <v>3 mos</v>
      </c>
      <c r="H1257" s="1" t="str">
        <f ca="1">IFERROR(__xludf.DUMMYFUNCTION("""COMPUTED_VALUE"""),"comment")</f>
        <v>comment</v>
      </c>
      <c r="I1257"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57" s="1" t="str">
        <f ca="1">IFERROR(__xludf.DUMMYFUNCTION("""COMPUTED_VALUE"""),"2022-07-04T15:40:03.371Z")</f>
        <v>2022-07-04T15:40:03.371Z</v>
      </c>
    </row>
    <row r="1258" spans="1:10" x14ac:dyDescent="0.2">
      <c r="A1258" s="2" t="str">
        <f ca="1">IFERROR(__xludf.DUMMYFUNCTION("""COMPUTED_VALUE"""),"https://www.facebook.com/profile.php?id=100077966070661")</f>
        <v>https://www.facebook.com/profile.php?id=100077966070661</v>
      </c>
      <c r="B1258" s="1" t="str">
        <f ca="1">IFERROR(__xludf.DUMMYFUNCTION("""COMPUTED_VALUE"""),"Ayessa Boleyn")</f>
        <v>Ayessa Boleyn</v>
      </c>
      <c r="C1258" s="1" t="str">
        <f ca="1">IFERROR(__xludf.DUMMYFUNCTION("""COMPUTED_VALUE"""),"Ayessa")</f>
        <v>Ayessa</v>
      </c>
      <c r="D1258" s="1" t="str">
        <f ca="1">IFERROR(__xludf.DUMMYFUNCTION("""COMPUTED_VALUE"""),"Boleyn")</f>
        <v>Boleyn</v>
      </c>
      <c r="E1258" s="1" t="str">
        <f ca="1">IFERROR(__xludf.DUMMYFUNCTION("""COMPUTED_VALUE"""),"Ayessa Boleyn")</f>
        <v>Ayessa Boleyn</v>
      </c>
      <c r="F1258" s="1"/>
      <c r="G1258" s="1" t="str">
        <f ca="1">IFERROR(__xludf.DUMMYFUNCTION("""COMPUTED_VALUE"""),"3 mos")</f>
        <v>3 mos</v>
      </c>
      <c r="H1258" s="1" t="str">
        <f ca="1">IFERROR(__xludf.DUMMYFUNCTION("""COMPUTED_VALUE"""),"comment")</f>
        <v>comment</v>
      </c>
      <c r="I1258"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58" s="1" t="str">
        <f ca="1">IFERROR(__xludf.DUMMYFUNCTION("""COMPUTED_VALUE"""),"2022-07-04T15:40:03.371Z")</f>
        <v>2022-07-04T15:40:03.371Z</v>
      </c>
    </row>
    <row r="1259" spans="1:10" x14ac:dyDescent="0.2">
      <c r="A1259" s="2" t="str">
        <f ca="1">IFERROR(__xludf.DUMMYFUNCTION("""COMPUTED_VALUE"""),"https://www.facebook.com/michaeljenard.ligan")</f>
        <v>https://www.facebook.com/michaeljenard.ligan</v>
      </c>
      <c r="B1259" s="1" t="str">
        <f ca="1">IFERROR(__xludf.DUMMYFUNCTION("""COMPUTED_VALUE"""),"Michael Jenard Ligan")</f>
        <v>Michael Jenard Ligan</v>
      </c>
      <c r="C1259" s="1" t="str">
        <f ca="1">IFERROR(__xludf.DUMMYFUNCTION("""COMPUTED_VALUE"""),"Michael")</f>
        <v>Michael</v>
      </c>
      <c r="D1259" s="1" t="str">
        <f ca="1">IFERROR(__xludf.DUMMYFUNCTION("""COMPUTED_VALUE"""),"Jenard Ligan")</f>
        <v>Jenard Ligan</v>
      </c>
      <c r="E1259" s="1" t="str">
        <f ca="1">IFERROR(__xludf.DUMMYFUNCTION("""COMPUTED_VALUE"""),"#IpanaloNa10To💕 #KulayRosasAngBukas💕 #OurVoteOurFuture💕 #LeniForPresident2022💕 #kikopangilinanforvicepresident2022💕")</f>
        <v>#IpanaloNa10To💕 #KulayRosasAngBukas💕 #OurVoteOurFuture💕 #LeniForPresident2022💕 #kikopangilinanforvicepresident2022💕</v>
      </c>
      <c r="F1259" s="1">
        <f ca="1">IFERROR(__xludf.DUMMYFUNCTION("""COMPUTED_VALUE"""),3)</f>
        <v>3</v>
      </c>
      <c r="G1259" s="1" t="str">
        <f ca="1">IFERROR(__xludf.DUMMYFUNCTION("""COMPUTED_VALUE"""),"3 mos")</f>
        <v>3 mos</v>
      </c>
      <c r="H1259" s="1" t="str">
        <f ca="1">IFERROR(__xludf.DUMMYFUNCTION("""COMPUTED_VALUE"""),"comment")</f>
        <v>comment</v>
      </c>
      <c r="I1259"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59" s="1" t="str">
        <f ca="1">IFERROR(__xludf.DUMMYFUNCTION("""COMPUTED_VALUE"""),"2022-07-04T15:40:03.371Z")</f>
        <v>2022-07-04T15:40:03.371Z</v>
      </c>
    </row>
    <row r="1260" spans="1:10" x14ac:dyDescent="0.2">
      <c r="A1260" s="2" t="str">
        <f ca="1">IFERROR(__xludf.DUMMYFUNCTION("""COMPUTED_VALUE"""),"https://www.facebook.com/cookshop168")</f>
        <v>https://www.facebook.com/cookshop168</v>
      </c>
      <c r="B1260" s="1" t="str">
        <f ca="1">IFERROR(__xludf.DUMMYFUNCTION("""COMPUTED_VALUE"""),"Gem Abquina")</f>
        <v>Gem Abquina</v>
      </c>
      <c r="C1260" s="1" t="str">
        <f ca="1">IFERROR(__xludf.DUMMYFUNCTION("""COMPUTED_VALUE"""),"Gem")</f>
        <v>Gem</v>
      </c>
      <c r="D1260" s="1" t="str">
        <f ca="1">IFERROR(__xludf.DUMMYFUNCTION("""COMPUTED_VALUE"""),"Abquina")</f>
        <v>Abquina</v>
      </c>
      <c r="E1260" s="1" t="str">
        <f ca="1">IFERROR(__xludf.DUMMYFUNCTION("""COMPUTED_VALUE"""),"#CaMaNaVaIsPink")</f>
        <v>#CaMaNaVaIsPink</v>
      </c>
      <c r="F1260" s="1"/>
      <c r="G1260" s="1" t="str">
        <f ca="1">IFERROR(__xludf.DUMMYFUNCTION("""COMPUTED_VALUE"""),"3 mos")</f>
        <v>3 mos</v>
      </c>
      <c r="H1260" s="1" t="str">
        <f ca="1">IFERROR(__xludf.DUMMYFUNCTION("""COMPUTED_VALUE"""),"comment")</f>
        <v>comment</v>
      </c>
      <c r="I1260"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60" s="1" t="str">
        <f ca="1">IFERROR(__xludf.DUMMYFUNCTION("""COMPUTED_VALUE"""),"2022-07-04T15:40:03.371Z")</f>
        <v>2022-07-04T15:40:03.371Z</v>
      </c>
    </row>
    <row r="1261" spans="1:10" x14ac:dyDescent="0.2">
      <c r="A1261" s="2" t="str">
        <f ca="1">IFERROR(__xludf.DUMMYFUNCTION("""COMPUTED_VALUE"""),"https://www.facebook.com/tommy.o.chua")</f>
        <v>https://www.facebook.com/tommy.o.chua</v>
      </c>
      <c r="B1261" s="1" t="str">
        <f ca="1">IFERROR(__xludf.DUMMYFUNCTION("""COMPUTED_VALUE"""),"Tommy Chua")</f>
        <v>Tommy Chua</v>
      </c>
      <c r="C1261" s="1" t="str">
        <f ca="1">IFERROR(__xludf.DUMMYFUNCTION("""COMPUTED_VALUE"""),"Tommy")</f>
        <v>Tommy</v>
      </c>
      <c r="D1261" s="1" t="str">
        <f ca="1">IFERROR(__xludf.DUMMYFUNCTION("""COMPUTED_VALUE"""),"Chua")</f>
        <v>Chua</v>
      </c>
      <c r="E1261" s="1" t="str">
        <f ca="1">IFERROR(__xludf.DUMMYFUNCTION("""COMPUTED_VALUE"""),"Tommy Chua")</f>
        <v>Tommy Chua</v>
      </c>
      <c r="F1261" s="1"/>
      <c r="G1261" s="1" t="str">
        <f ca="1">IFERROR(__xludf.DUMMYFUNCTION("""COMPUTED_VALUE"""),"3 mos")</f>
        <v>3 mos</v>
      </c>
      <c r="H1261" s="1" t="str">
        <f ca="1">IFERROR(__xludf.DUMMYFUNCTION("""COMPUTED_VALUE"""),"comment")</f>
        <v>comment</v>
      </c>
      <c r="I1261"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61" s="1" t="str">
        <f ca="1">IFERROR(__xludf.DUMMYFUNCTION("""COMPUTED_VALUE"""),"2022-07-04T15:40:03.371Z")</f>
        <v>2022-07-04T15:40:03.371Z</v>
      </c>
    </row>
    <row r="1262" spans="1:10" x14ac:dyDescent="0.2">
      <c r="A1262" s="2" t="str">
        <f ca="1">IFERROR(__xludf.DUMMYFUNCTION("""COMPUTED_VALUE"""),"https://www.facebook.com/tommy.o.chua")</f>
        <v>https://www.facebook.com/tommy.o.chua</v>
      </c>
      <c r="B1262" s="1" t="str">
        <f ca="1">IFERROR(__xludf.DUMMYFUNCTION("""COMPUTED_VALUE"""),"Tommy Chua")</f>
        <v>Tommy Chua</v>
      </c>
      <c r="C1262" s="1" t="str">
        <f ca="1">IFERROR(__xludf.DUMMYFUNCTION("""COMPUTED_VALUE"""),"Tommy")</f>
        <v>Tommy</v>
      </c>
      <c r="D1262" s="1" t="str">
        <f ca="1">IFERROR(__xludf.DUMMYFUNCTION("""COMPUTED_VALUE"""),"Chua")</f>
        <v>Chua</v>
      </c>
      <c r="E1262" s="1" t="str">
        <f ca="1">IFERROR(__xludf.DUMMYFUNCTION("""COMPUTED_VALUE"""),"Tommy Chua")</f>
        <v>Tommy Chua</v>
      </c>
      <c r="F1262" s="1"/>
      <c r="G1262" s="1" t="str">
        <f ca="1">IFERROR(__xludf.DUMMYFUNCTION("""COMPUTED_VALUE"""),"3 mos")</f>
        <v>3 mos</v>
      </c>
      <c r="H1262" s="1" t="str">
        <f ca="1">IFERROR(__xludf.DUMMYFUNCTION("""COMPUTED_VALUE"""),"comment")</f>
        <v>comment</v>
      </c>
      <c r="I1262"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62" s="1" t="str">
        <f ca="1">IFERROR(__xludf.DUMMYFUNCTION("""COMPUTED_VALUE"""),"2022-07-04T15:40:03.371Z")</f>
        <v>2022-07-04T15:40:03.371Z</v>
      </c>
    </row>
    <row r="1263" spans="1:10" x14ac:dyDescent="0.2">
      <c r="A1263" s="2" t="str">
        <f ca="1">IFERROR(__xludf.DUMMYFUNCTION("""COMPUTED_VALUE"""),"https://www.facebook.com/tommy.o.chua")</f>
        <v>https://www.facebook.com/tommy.o.chua</v>
      </c>
      <c r="B1263" s="1" t="str">
        <f ca="1">IFERROR(__xludf.DUMMYFUNCTION("""COMPUTED_VALUE"""),"Tommy Chua")</f>
        <v>Tommy Chua</v>
      </c>
      <c r="C1263" s="1" t="str">
        <f ca="1">IFERROR(__xludf.DUMMYFUNCTION("""COMPUTED_VALUE"""),"Tommy")</f>
        <v>Tommy</v>
      </c>
      <c r="D1263" s="1" t="str">
        <f ca="1">IFERROR(__xludf.DUMMYFUNCTION("""COMPUTED_VALUE"""),"Chua")</f>
        <v>Chua</v>
      </c>
      <c r="E1263" s="1" t="str">
        <f ca="1">IFERROR(__xludf.DUMMYFUNCTION("""COMPUTED_VALUE"""),"Tommy Chua")</f>
        <v>Tommy Chua</v>
      </c>
      <c r="F1263" s="1"/>
      <c r="G1263" s="1" t="str">
        <f ca="1">IFERROR(__xludf.DUMMYFUNCTION("""COMPUTED_VALUE"""),"3 mos")</f>
        <v>3 mos</v>
      </c>
      <c r="H1263" s="1" t="str">
        <f ca="1">IFERROR(__xludf.DUMMYFUNCTION("""COMPUTED_VALUE"""),"comment")</f>
        <v>comment</v>
      </c>
      <c r="I1263"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63" s="1" t="str">
        <f ca="1">IFERROR(__xludf.DUMMYFUNCTION("""COMPUTED_VALUE"""),"2022-07-04T15:40:03.371Z")</f>
        <v>2022-07-04T15:40:03.371Z</v>
      </c>
    </row>
    <row r="1264" spans="1:10" x14ac:dyDescent="0.2">
      <c r="A1264" s="2" t="str">
        <f ca="1">IFERROR(__xludf.DUMMYFUNCTION("""COMPUTED_VALUE"""),"https://www.facebook.com/william.pajarillo.1")</f>
        <v>https://www.facebook.com/william.pajarillo.1</v>
      </c>
      <c r="B1264" s="1" t="str">
        <f ca="1">IFERROR(__xludf.DUMMYFUNCTION("""COMPUTED_VALUE"""),"William Pajarillo")</f>
        <v>William Pajarillo</v>
      </c>
      <c r="C1264" s="1" t="str">
        <f ca="1">IFERROR(__xludf.DUMMYFUNCTION("""COMPUTED_VALUE"""),"William")</f>
        <v>William</v>
      </c>
      <c r="D1264" s="1" t="str">
        <f ca="1">IFERROR(__xludf.DUMMYFUNCTION("""COMPUTED_VALUE"""),"Pajarillo")</f>
        <v>Pajarillo</v>
      </c>
      <c r="E1264" s="1" t="str">
        <f ca="1">IFERROR(__xludf.DUMMYFUNCTION("""COMPUTED_VALUE"""),"William Pajarillo")</f>
        <v>William Pajarillo</v>
      </c>
      <c r="F1264" s="1"/>
      <c r="G1264" s="1" t="str">
        <f ca="1">IFERROR(__xludf.DUMMYFUNCTION("""COMPUTED_VALUE"""),"3 mos")</f>
        <v>3 mos</v>
      </c>
      <c r="H1264" s="1" t="str">
        <f ca="1">IFERROR(__xludf.DUMMYFUNCTION("""COMPUTED_VALUE"""),"comment")</f>
        <v>comment</v>
      </c>
      <c r="I1264"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64" s="1" t="str">
        <f ca="1">IFERROR(__xludf.DUMMYFUNCTION("""COMPUTED_VALUE"""),"2022-07-04T15:40:03.371Z")</f>
        <v>2022-07-04T15:40:03.371Z</v>
      </c>
    </row>
    <row r="1265" spans="1:10" x14ac:dyDescent="0.2">
      <c r="A1265" s="2" t="str">
        <f ca="1">IFERROR(__xludf.DUMMYFUNCTION("""COMPUTED_VALUE"""),"https://www.facebook.com/mariaashley.rigos.3")</f>
        <v>https://www.facebook.com/mariaashley.rigos.3</v>
      </c>
      <c r="B1265" s="1" t="str">
        <f ca="1">IFERROR(__xludf.DUMMYFUNCTION("""COMPUTED_VALUE"""),"Maria Ashley B. Rigos")</f>
        <v>Maria Ashley B. Rigos</v>
      </c>
      <c r="C1265" s="1" t="str">
        <f ca="1">IFERROR(__xludf.DUMMYFUNCTION("""COMPUTED_VALUE"""),"Maria")</f>
        <v>Maria</v>
      </c>
      <c r="D1265" s="1" t="str">
        <f ca="1">IFERROR(__xludf.DUMMYFUNCTION("""COMPUTED_VALUE"""),"Ashley B. Rigos")</f>
        <v>Ashley B. Rigos</v>
      </c>
      <c r="E1265" s="1" t="str">
        <f ca="1">IFERROR(__xludf.DUMMYFUNCTION("""COMPUTED_VALUE"""),"💗💗💗")</f>
        <v>💗💗💗</v>
      </c>
      <c r="F1265" s="1"/>
      <c r="G1265" s="1" t="str">
        <f ca="1">IFERROR(__xludf.DUMMYFUNCTION("""COMPUTED_VALUE"""),"3 mos")</f>
        <v>3 mos</v>
      </c>
      <c r="H1265" s="1" t="str">
        <f ca="1">IFERROR(__xludf.DUMMYFUNCTION("""COMPUTED_VALUE"""),"comment")</f>
        <v>comment</v>
      </c>
      <c r="I1265"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65" s="1" t="str">
        <f ca="1">IFERROR(__xludf.DUMMYFUNCTION("""COMPUTED_VALUE"""),"2022-07-04T15:40:03.371Z")</f>
        <v>2022-07-04T15:40:03.371Z</v>
      </c>
    </row>
    <row r="1266" spans="1:10" x14ac:dyDescent="0.2">
      <c r="A1266" s="2" t="str">
        <f ca="1">IFERROR(__xludf.DUMMYFUNCTION("""COMPUTED_VALUE"""),"https://www.facebook.com/lucille.r.villanueva")</f>
        <v>https://www.facebook.com/lucille.r.villanueva</v>
      </c>
      <c r="B1266" s="1" t="str">
        <f ca="1">IFERROR(__xludf.DUMMYFUNCTION("""COMPUTED_VALUE"""),"Lucille Raymond Villanueva")</f>
        <v>Lucille Raymond Villanueva</v>
      </c>
      <c r="C1266" s="1" t="str">
        <f ca="1">IFERROR(__xludf.DUMMYFUNCTION("""COMPUTED_VALUE"""),"Lucille")</f>
        <v>Lucille</v>
      </c>
      <c r="D1266" s="1" t="str">
        <f ca="1">IFERROR(__xludf.DUMMYFUNCTION("""COMPUTED_VALUE"""),"Raymond Villanueva")</f>
        <v>Raymond Villanueva</v>
      </c>
      <c r="E1266" s="1" t="str">
        <f ca="1">IFERROR(__xludf.DUMMYFUNCTION("""COMPUTED_VALUE"""),"❤️")</f>
        <v>❤️</v>
      </c>
      <c r="F1266" s="1"/>
      <c r="G1266" s="1" t="str">
        <f ca="1">IFERROR(__xludf.DUMMYFUNCTION("""COMPUTED_VALUE"""),"3 mos")</f>
        <v>3 mos</v>
      </c>
      <c r="H1266" s="1" t="str">
        <f ca="1">IFERROR(__xludf.DUMMYFUNCTION("""COMPUTED_VALUE"""),"comment")</f>
        <v>comment</v>
      </c>
      <c r="I1266"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66" s="1" t="str">
        <f ca="1">IFERROR(__xludf.DUMMYFUNCTION("""COMPUTED_VALUE"""),"2022-07-04T15:40:03.371Z")</f>
        <v>2022-07-04T15:40:03.371Z</v>
      </c>
    </row>
    <row r="1267" spans="1:10" x14ac:dyDescent="0.2">
      <c r="A1267" s="2" t="str">
        <f ca="1">IFERROR(__xludf.DUMMYFUNCTION("""COMPUTED_VALUE"""),"https://www.facebook.com/shootafar")</f>
        <v>https://www.facebook.com/shootafar</v>
      </c>
      <c r="B1267" s="1" t="str">
        <f ca="1">IFERROR(__xludf.DUMMYFUNCTION("""COMPUTED_VALUE"""),"Imän Flörës")</f>
        <v>Imän Flörës</v>
      </c>
      <c r="C1267" s="1" t="str">
        <f ca="1">IFERROR(__xludf.DUMMYFUNCTION("""COMPUTED_VALUE"""),"Imän")</f>
        <v>Imän</v>
      </c>
      <c r="D1267" s="1" t="str">
        <f ca="1">IFERROR(__xludf.DUMMYFUNCTION("""COMPUTED_VALUE"""),"Flörës")</f>
        <v>Flörës</v>
      </c>
      <c r="E1267" s="1" t="str">
        <f ca="1">IFERROR(__xludf.DUMMYFUNCTION("""COMPUTED_VALUE"""),"wow, galing naman! 🌍👍 #LeniKikoAllTheWay!")</f>
        <v>wow, galing naman! 🌍👍 #LeniKikoAllTheWay!</v>
      </c>
      <c r="F1267" s="1"/>
      <c r="G1267" s="1" t="str">
        <f ca="1">IFERROR(__xludf.DUMMYFUNCTION("""COMPUTED_VALUE"""),"3 mos")</f>
        <v>3 mos</v>
      </c>
      <c r="H1267" s="1" t="str">
        <f ca="1">IFERROR(__xludf.DUMMYFUNCTION("""COMPUTED_VALUE"""),"comment")</f>
        <v>comment</v>
      </c>
      <c r="I1267"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67" s="1" t="str">
        <f ca="1">IFERROR(__xludf.DUMMYFUNCTION("""COMPUTED_VALUE"""),"2022-07-04T15:40:03.371Z")</f>
        <v>2022-07-04T15:40:03.371Z</v>
      </c>
    </row>
    <row r="1268" spans="1:10" x14ac:dyDescent="0.2">
      <c r="A1268" s="2" t="str">
        <f ca="1">IFERROR(__xludf.DUMMYFUNCTION("""COMPUTED_VALUE"""),"https://www.facebook.com/Gheniirose")</f>
        <v>https://www.facebook.com/Gheniirose</v>
      </c>
      <c r="B1268" s="1" t="str">
        <f ca="1">IFERROR(__xludf.DUMMYFUNCTION("""COMPUTED_VALUE"""),"Nehg Nii Rose Asorlade")</f>
        <v>Nehg Nii Rose Asorlade</v>
      </c>
      <c r="C1268" s="1" t="str">
        <f ca="1">IFERROR(__xludf.DUMMYFUNCTION("""COMPUTED_VALUE"""),"Nehg")</f>
        <v>Nehg</v>
      </c>
      <c r="D1268" s="1" t="str">
        <f ca="1">IFERROR(__xludf.DUMMYFUNCTION("""COMPUTED_VALUE"""),"Nii Rose Asorlade")</f>
        <v>Nii Rose Asorlade</v>
      </c>
      <c r="E1268" s="1" t="str">
        <f ca="1">IFERROR(__xludf.DUMMYFUNCTION("""COMPUTED_VALUE"""),"We are #Kakampink because we want good governance!! Someone who doens’t back out when the going gets tough!  #Ipanalona10to #LENIwanagSaDilim #LeniKiko2022")</f>
        <v>We are #Kakampink because we want good governance!! Someone who doens’t back out when the going gets tough!  #Ipanalona10to #LENIwanagSaDilim #LeniKiko2022</v>
      </c>
      <c r="F1268" s="1">
        <f ca="1">IFERROR(__xludf.DUMMYFUNCTION("""COMPUTED_VALUE"""),1)</f>
        <v>1</v>
      </c>
      <c r="G1268" s="1" t="str">
        <f ca="1">IFERROR(__xludf.DUMMYFUNCTION("""COMPUTED_VALUE"""),"3 mos")</f>
        <v>3 mos</v>
      </c>
      <c r="H1268" s="1" t="str">
        <f ca="1">IFERROR(__xludf.DUMMYFUNCTION("""COMPUTED_VALUE"""),"comment")</f>
        <v>comment</v>
      </c>
      <c r="I1268" s="2" t="str">
        <f ca="1">IFERROR(__xludf.DUMMYFUNCTION("""COMPUTED_VALUE"""),"https://www.facebook.com/rapplerdotcom/posts/pfbid0TYP6syjYwznxJKdhWv9YMaXK9NvsSEhQ2cyyCQCPMvGapWXrQBHehywgT156wqNPl")</f>
        <v>https://www.facebook.com/rapplerdotcom/posts/pfbid0TYP6syjYwznxJKdhWv9YMaXK9NvsSEhQ2cyyCQCPMvGapWXrQBHehywgT156wqNPl</v>
      </c>
      <c r="J1268" s="1" t="str">
        <f ca="1">IFERROR(__xludf.DUMMYFUNCTION("""COMPUTED_VALUE"""),"2022-07-04T15:40:03.371Z")</f>
        <v>2022-07-04T15:40:03.371Z</v>
      </c>
    </row>
    <row r="1269" spans="1:10" x14ac:dyDescent="0.2">
      <c r="A1269" s="2" t="str">
        <f ca="1">IFERROR(__xludf.DUMMYFUNCTION("""COMPUTED_VALUE"""),"https://www.facebook.com/emman.montenegro.1")</f>
        <v>https://www.facebook.com/emman.montenegro.1</v>
      </c>
      <c r="B1269" s="1" t="str">
        <f ca="1">IFERROR(__xludf.DUMMYFUNCTION("""COMPUTED_VALUE"""),"Emman Montenegro")</f>
        <v>Emman Montenegro</v>
      </c>
      <c r="C1269" s="1" t="str">
        <f ca="1">IFERROR(__xludf.DUMMYFUNCTION("""COMPUTED_VALUE"""),"Emman")</f>
        <v>Emman</v>
      </c>
      <c r="D1269" s="1" t="str">
        <f ca="1">IFERROR(__xludf.DUMMYFUNCTION("""COMPUTED_VALUE"""),"Montenegro")</f>
        <v>Montenegro</v>
      </c>
      <c r="E1269" s="1" t="str">
        <f ca="1">IFERROR(__xludf.DUMMYFUNCTION("""COMPUTED_VALUE"""),"Ang tunay na pagbabago at pagkakaisa ay manggagaling sa maayos, matapat, mahusay at matinong lider... #KayLeniTayo hindi ka iiwan at hindi ka pababayaan. IPAGLALABAN KA. 💖💪🇵🇭 #LeniRobredoForPresident2022 #GobyernongTapatAngatBuhayLahat #kulayrosasangk"&amp;"ulayngbukas #IpanaloNa10To")</f>
        <v>Ang tunay na pagbabago at pagkakaisa ay manggagaling sa maayos, matapat, mahusay at matinong lider... #KayLeniTayo hindi ka iiwan at hindi ka pababayaan. IPAGLALABAN KA. 💖💪🇵🇭 #LeniRobredoForPresident2022 #GobyernongTapatAngatBuhayLahat #kulayrosasangkulayngbukas #IpanaloNa10To</v>
      </c>
      <c r="F1269" s="1">
        <f ca="1">IFERROR(__xludf.DUMMYFUNCTION("""COMPUTED_VALUE"""),12)</f>
        <v>12</v>
      </c>
      <c r="G1269" s="1" t="str">
        <f ca="1">IFERROR(__xludf.DUMMYFUNCTION("""COMPUTED_VALUE"""),"3 mos")</f>
        <v>3 mos</v>
      </c>
      <c r="H1269" s="1" t="str">
        <f ca="1">IFERROR(__xludf.DUMMYFUNCTION("""COMPUTED_VALUE"""),"comment")</f>
        <v>comment</v>
      </c>
      <c r="I1269" s="2" t="str">
        <f ca="1">IFERROR(__xludf.DUMMYFUNCTION("""COMPUTED_VALUE"""),"https://www.facebook.com/rapplerdotcom/photos/a.317154781638645/5595733810447356/")</f>
        <v>https://www.facebook.com/rapplerdotcom/photos/a.317154781638645/5595733810447356/</v>
      </c>
      <c r="J1269" s="1" t="str">
        <f ca="1">IFERROR(__xludf.DUMMYFUNCTION("""COMPUTED_VALUE"""),"2022-07-04T15:41:10.240Z")</f>
        <v>2022-07-04T15:41:10.240Z</v>
      </c>
    </row>
    <row r="1270" spans="1:10" x14ac:dyDescent="0.2">
      <c r="A1270" s="2" t="str">
        <f ca="1">IFERROR(__xludf.DUMMYFUNCTION("""COMPUTED_VALUE"""),"https://www.facebook.com/johndiazcortez")</f>
        <v>https://www.facebook.com/johndiazcortez</v>
      </c>
      <c r="B1270" s="1" t="str">
        <f ca="1">IFERROR(__xludf.DUMMYFUNCTION("""COMPUTED_VALUE"""),"John Diaz Cortez")</f>
        <v>John Diaz Cortez</v>
      </c>
      <c r="C1270" s="1" t="str">
        <f ca="1">IFERROR(__xludf.DUMMYFUNCTION("""COMPUTED_VALUE"""),"John")</f>
        <v>John</v>
      </c>
      <c r="D1270" s="1" t="str">
        <f ca="1">IFERROR(__xludf.DUMMYFUNCTION("""COMPUTED_VALUE"""),"Diaz Cortez")</f>
        <v>Diaz Cortez</v>
      </c>
      <c r="E1270" s="1" t="str">
        <f ca="1">IFERROR(__xludf.DUMMYFUNCTION("""COMPUTED_VALUE"""),"#PinkRevolution  #KakamPINK #LetLeniLead #LeniKiko2022 #AngatBuhayLahat #KulayRosasAngBukas")</f>
        <v>#PinkRevolution  #KakamPINK #LetLeniLead #LeniKiko2022 #AngatBuhayLahat #KulayRosasAngBukas</v>
      </c>
      <c r="F1270" s="1">
        <f ca="1">IFERROR(__xludf.DUMMYFUNCTION("""COMPUTED_VALUE"""),6)</f>
        <v>6</v>
      </c>
      <c r="G1270" s="1" t="str">
        <f ca="1">IFERROR(__xludf.DUMMYFUNCTION("""COMPUTED_VALUE"""),"3 mos")</f>
        <v>3 mos</v>
      </c>
      <c r="H1270" s="1" t="str">
        <f ca="1">IFERROR(__xludf.DUMMYFUNCTION("""COMPUTED_VALUE"""),"comment")</f>
        <v>comment</v>
      </c>
      <c r="I1270" s="2" t="str">
        <f ca="1">IFERROR(__xludf.DUMMYFUNCTION("""COMPUTED_VALUE"""),"https://www.facebook.com/rapplerdotcom/photos/a.317154781638645/5595733810447356/")</f>
        <v>https://www.facebook.com/rapplerdotcom/photos/a.317154781638645/5595733810447356/</v>
      </c>
      <c r="J1270" s="1" t="str">
        <f ca="1">IFERROR(__xludf.DUMMYFUNCTION("""COMPUTED_VALUE"""),"2022-07-04T15:41:10.240Z")</f>
        <v>2022-07-04T15:41:10.240Z</v>
      </c>
    </row>
    <row r="1271" spans="1:10" x14ac:dyDescent="0.2">
      <c r="A1271" s="2" t="str">
        <f ca="1">IFERROR(__xludf.DUMMYFUNCTION("""COMPUTED_VALUE"""),"https://www.facebook.com/pepe.ledesma.7140")</f>
        <v>https://www.facebook.com/pepe.ledesma.7140</v>
      </c>
      <c r="B1271" s="1" t="str">
        <f ca="1">IFERROR(__xludf.DUMMYFUNCTION("""COMPUTED_VALUE"""),"Pepe Ledesma")</f>
        <v>Pepe Ledesma</v>
      </c>
      <c r="C1271" s="1" t="str">
        <f ca="1">IFERROR(__xludf.DUMMYFUNCTION("""COMPUTED_VALUE"""),"Pepe")</f>
        <v>Pepe</v>
      </c>
      <c r="D1271" s="1" t="str">
        <f ca="1">IFERROR(__xludf.DUMMYFUNCTION("""COMPUTED_VALUE"""),"Ledesma")</f>
        <v>Ledesma</v>
      </c>
      <c r="E1271" s="1" t="str">
        <f ca="1">IFERROR(__xludf.DUMMYFUNCTION("""COMPUTED_VALUE"""),"#RosasAngKulayNgBukas #GobyernongTapatAngatBuhayLahat #KayLeniKikoPanaloAngPilipino #HusayAtTibay #BangonPilipinas #TaraIpanalNaNa10To")</f>
        <v>#RosasAngKulayNgBukas #GobyernongTapatAngatBuhayLahat #KayLeniKikoPanaloAngPilipino #HusayAtTibay #BangonPilipinas #TaraIpanalNaNa10To</v>
      </c>
      <c r="F1271" s="1"/>
      <c r="G1271" s="1" t="str">
        <f ca="1">IFERROR(__xludf.DUMMYFUNCTION("""COMPUTED_VALUE"""),"3 mos")</f>
        <v>3 mos</v>
      </c>
      <c r="H1271" s="1" t="str">
        <f ca="1">IFERROR(__xludf.DUMMYFUNCTION("""COMPUTED_VALUE"""),"comment")</f>
        <v>comment</v>
      </c>
      <c r="I1271" s="2" t="str">
        <f ca="1">IFERROR(__xludf.DUMMYFUNCTION("""COMPUTED_VALUE"""),"https://www.facebook.com/rapplerdotcom/photos/a.317154781638645/5595733810447356/")</f>
        <v>https://www.facebook.com/rapplerdotcom/photos/a.317154781638645/5595733810447356/</v>
      </c>
      <c r="J1271" s="1" t="str">
        <f ca="1">IFERROR(__xludf.DUMMYFUNCTION("""COMPUTED_VALUE"""),"2022-07-04T15:41:10.240Z")</f>
        <v>2022-07-04T15:41:10.240Z</v>
      </c>
    </row>
    <row r="1272" spans="1:10" x14ac:dyDescent="0.2">
      <c r="A1272" s="2" t="str">
        <f ca="1">IFERROR(__xludf.DUMMYFUNCTION("""COMPUTED_VALUE"""),"https://www.facebook.com/dr.julius.uy")</f>
        <v>https://www.facebook.com/dr.julius.uy</v>
      </c>
      <c r="B1272" s="1" t="str">
        <f ca="1">IFERROR(__xludf.DUMMYFUNCTION("""COMPUTED_VALUE"""),"Julius Uy")</f>
        <v>Julius Uy</v>
      </c>
      <c r="C1272" s="1" t="str">
        <f ca="1">IFERROR(__xludf.DUMMYFUNCTION("""COMPUTED_VALUE"""),"Julius")</f>
        <v>Julius</v>
      </c>
      <c r="D1272" s="1" t="str">
        <f ca="1">IFERROR(__xludf.DUMMYFUNCTION("""COMPUTED_VALUE"""),"Uy")</f>
        <v>Uy</v>
      </c>
      <c r="E1272" s="1" t="str">
        <f ca="1">IFERROR(__xludf.DUMMYFUNCTION("""COMPUTED_VALUE"""),"#RosasAngKulayNgBukas #GobyernongTapatAngatBuhayLahat #KayLeniKikoPanaloAngPilipino #HusayAtTibay #BangonPilipinas #TaraIpanalNaNa10To")</f>
        <v>#RosasAngKulayNgBukas #GobyernongTapatAngatBuhayLahat #KayLeniKikoPanaloAngPilipino #HusayAtTibay #BangonPilipinas #TaraIpanalNaNa10To</v>
      </c>
      <c r="F1272" s="1">
        <f ca="1">IFERROR(__xludf.DUMMYFUNCTION("""COMPUTED_VALUE"""),1)</f>
        <v>1</v>
      </c>
      <c r="G1272" s="1" t="str">
        <f ca="1">IFERROR(__xludf.DUMMYFUNCTION("""COMPUTED_VALUE"""),"3 mos")</f>
        <v>3 mos</v>
      </c>
      <c r="H1272" s="1" t="str">
        <f ca="1">IFERROR(__xludf.DUMMYFUNCTION("""COMPUTED_VALUE"""),"comment")</f>
        <v>comment</v>
      </c>
      <c r="I1272" s="2" t="str">
        <f ca="1">IFERROR(__xludf.DUMMYFUNCTION("""COMPUTED_VALUE"""),"https://www.facebook.com/rapplerdotcom/photos/a.317154781638645/5595733810447356/")</f>
        <v>https://www.facebook.com/rapplerdotcom/photos/a.317154781638645/5595733810447356/</v>
      </c>
      <c r="J1272" s="1" t="str">
        <f ca="1">IFERROR(__xludf.DUMMYFUNCTION("""COMPUTED_VALUE"""),"2022-07-04T15:41:10.240Z")</f>
        <v>2022-07-04T15:41:10.240Z</v>
      </c>
    </row>
    <row r="1273" spans="1:10" x14ac:dyDescent="0.2">
      <c r="A1273" s="2" t="str">
        <f ca="1">IFERROR(__xludf.DUMMYFUNCTION("""COMPUTED_VALUE"""),"https://www.facebook.com/poli.lidi")</f>
        <v>https://www.facebook.com/poli.lidi</v>
      </c>
      <c r="B1273" s="1" t="str">
        <f ca="1">IFERROR(__xludf.DUMMYFUNCTION("""COMPUTED_VALUE"""),"Po Li")</f>
        <v>Po Li</v>
      </c>
      <c r="C1273" s="1" t="str">
        <f ca="1">IFERROR(__xludf.DUMMYFUNCTION("""COMPUTED_VALUE"""),"Po")</f>
        <v>Po</v>
      </c>
      <c r="D1273" s="1" t="str">
        <f ca="1">IFERROR(__xludf.DUMMYFUNCTION("""COMPUTED_VALUE"""),"Li")</f>
        <v>Li</v>
      </c>
      <c r="E1273" s="1" t="str">
        <f ca="1">IFERROR(__xludf.DUMMYFUNCTION("""COMPUTED_VALUE"""),"Thank you po tatay God bless and stay safe🥰😍")</f>
        <v>Thank you po tatay God bless and stay safe🥰😍</v>
      </c>
      <c r="F1273" s="1">
        <f ca="1">IFERROR(__xludf.DUMMYFUNCTION("""COMPUTED_VALUE"""),6)</f>
        <v>6</v>
      </c>
      <c r="G1273" s="1" t="str">
        <f ca="1">IFERROR(__xludf.DUMMYFUNCTION("""COMPUTED_VALUE"""),"3 mos")</f>
        <v>3 mos</v>
      </c>
      <c r="H1273" s="1" t="str">
        <f ca="1">IFERROR(__xludf.DUMMYFUNCTION("""COMPUTED_VALUE"""),"comment")</f>
        <v>comment</v>
      </c>
      <c r="I1273" s="2" t="str">
        <f ca="1">IFERROR(__xludf.DUMMYFUNCTION("""COMPUTED_VALUE"""),"https://www.facebook.com/rapplerdotcom/photos/a.317154781638645/5595733810447356/")</f>
        <v>https://www.facebook.com/rapplerdotcom/photos/a.317154781638645/5595733810447356/</v>
      </c>
      <c r="J1273" s="1" t="str">
        <f ca="1">IFERROR(__xludf.DUMMYFUNCTION("""COMPUTED_VALUE"""),"2022-07-04T15:41:10.240Z")</f>
        <v>2022-07-04T15:41:10.240Z</v>
      </c>
    </row>
    <row r="1274" spans="1:10" x14ac:dyDescent="0.2">
      <c r="A1274" s="2" t="str">
        <f ca="1">IFERROR(__xludf.DUMMYFUNCTION("""COMPUTED_VALUE"""),"https://www.facebook.com/bong.nicdao.3")</f>
        <v>https://www.facebook.com/bong.nicdao.3</v>
      </c>
      <c r="B1274" s="1" t="str">
        <f ca="1">IFERROR(__xludf.DUMMYFUNCTION("""COMPUTED_VALUE"""),"Bong Nicdao")</f>
        <v>Bong Nicdao</v>
      </c>
      <c r="C1274" s="1" t="str">
        <f ca="1">IFERROR(__xludf.DUMMYFUNCTION("""COMPUTED_VALUE"""),"Bong")</f>
        <v>Bong</v>
      </c>
      <c r="D1274" s="1" t="str">
        <f ca="1">IFERROR(__xludf.DUMMYFUNCTION("""COMPUTED_VALUE"""),"Nicdao")</f>
        <v>Nicdao</v>
      </c>
      <c r="E1274" s="1" t="str">
        <f ca="1">IFERROR(__xludf.DUMMYFUNCTION("""COMPUTED_VALUE"""),"they the PUJ have suffered most during the pandemya , the gov t ignored them and even broke up their protest , they have to beg in the streets just for the daily family meal , now its their turn to shine w the Pink Lady !")</f>
        <v>they the PUJ have suffered most during the pandemya , the gov t ignored them and even broke up their protest , they have to beg in the streets just for the daily family meal , now its their turn to shine w the Pink Lady !</v>
      </c>
      <c r="F1274" s="1">
        <f ca="1">IFERROR(__xludf.DUMMYFUNCTION("""COMPUTED_VALUE"""),25)</f>
        <v>25</v>
      </c>
      <c r="G1274" s="1" t="str">
        <f ca="1">IFERROR(__xludf.DUMMYFUNCTION("""COMPUTED_VALUE"""),"3 mos")</f>
        <v>3 mos</v>
      </c>
      <c r="H1274" s="1" t="str">
        <f ca="1">IFERROR(__xludf.DUMMYFUNCTION("""COMPUTED_VALUE"""),"comment")</f>
        <v>comment</v>
      </c>
      <c r="I1274" s="2" t="str">
        <f ca="1">IFERROR(__xludf.DUMMYFUNCTION("""COMPUTED_VALUE"""),"https://www.facebook.com/rapplerdotcom/photos/a.317154781638645/5595733810447356/")</f>
        <v>https://www.facebook.com/rapplerdotcom/photos/a.317154781638645/5595733810447356/</v>
      </c>
      <c r="J1274" s="1" t="str">
        <f ca="1">IFERROR(__xludf.DUMMYFUNCTION("""COMPUTED_VALUE"""),"2022-07-04T15:41:10.240Z")</f>
        <v>2022-07-04T15:41:10.240Z</v>
      </c>
    </row>
    <row r="1275" spans="1:10" x14ac:dyDescent="0.2">
      <c r="A1275" s="2" t="str">
        <f ca="1">IFERROR(__xludf.DUMMYFUNCTION("""COMPUTED_VALUE"""),"https://www.facebook.com/chelle.alvarez.581")</f>
        <v>https://www.facebook.com/chelle.alvarez.581</v>
      </c>
      <c r="B1275" s="1" t="str">
        <f ca="1">IFERROR(__xludf.DUMMYFUNCTION("""COMPUTED_VALUE"""),"Mitchel Alvarez")</f>
        <v>Mitchel Alvarez</v>
      </c>
      <c r="C1275" s="1" t="str">
        <f ca="1">IFERROR(__xludf.DUMMYFUNCTION("""COMPUTED_VALUE"""),"Mitchel")</f>
        <v>Mitchel</v>
      </c>
      <c r="D1275" s="1" t="str">
        <f ca="1">IFERROR(__xludf.DUMMYFUNCTION("""COMPUTED_VALUE"""),"Alvarez")</f>
        <v>Alvarez</v>
      </c>
      <c r="E1275" s="1" t="str">
        <f ca="1">IFERROR(__xludf.DUMMYFUNCTION("""COMPUTED_VALUE"""),"para sa mga anak, apo at susunod na henerasyon...")</f>
        <v>para sa mga anak, apo at susunod na henerasyon...</v>
      </c>
      <c r="F1275" s="1">
        <f ca="1">IFERROR(__xludf.DUMMYFUNCTION("""COMPUTED_VALUE"""),1)</f>
        <v>1</v>
      </c>
      <c r="G1275" s="1" t="str">
        <f ca="1">IFERROR(__xludf.DUMMYFUNCTION("""COMPUTED_VALUE"""),"3 mos")</f>
        <v>3 mos</v>
      </c>
      <c r="H1275" s="1" t="str">
        <f ca="1">IFERROR(__xludf.DUMMYFUNCTION("""COMPUTED_VALUE"""),"comment")</f>
        <v>comment</v>
      </c>
      <c r="I1275" s="2" t="str">
        <f ca="1">IFERROR(__xludf.DUMMYFUNCTION("""COMPUTED_VALUE"""),"https://www.facebook.com/rapplerdotcom/photos/a.317154781638645/5595733810447356/")</f>
        <v>https://www.facebook.com/rapplerdotcom/photos/a.317154781638645/5595733810447356/</v>
      </c>
      <c r="J1275" s="1" t="str">
        <f ca="1">IFERROR(__xludf.DUMMYFUNCTION("""COMPUTED_VALUE"""),"2022-07-04T15:41:10.240Z")</f>
        <v>2022-07-04T15:41:10.240Z</v>
      </c>
    </row>
    <row r="1276" spans="1:10" x14ac:dyDescent="0.2">
      <c r="A1276" s="2" t="str">
        <f ca="1">IFERROR(__xludf.DUMMYFUNCTION("""COMPUTED_VALUE"""),"https://www.facebook.com/almher.manalo")</f>
        <v>https://www.facebook.com/almher.manalo</v>
      </c>
      <c r="B1276" s="1" t="str">
        <f ca="1">IFERROR(__xludf.DUMMYFUNCTION("""COMPUTED_VALUE"""),"Almher Macosme Manalo")</f>
        <v>Almher Macosme Manalo</v>
      </c>
      <c r="C1276" s="1" t="str">
        <f ca="1">IFERROR(__xludf.DUMMYFUNCTION("""COMPUTED_VALUE"""),"Almher")</f>
        <v>Almher</v>
      </c>
      <c r="D1276" s="1" t="str">
        <f ca="1">IFERROR(__xludf.DUMMYFUNCTION("""COMPUTED_VALUE"""),"Macosme Manalo")</f>
        <v>Macosme Manalo</v>
      </c>
      <c r="E1276" s="1" t="str">
        <f ca="1">IFERROR(__xludf.DUMMYFUNCTION("""COMPUTED_VALUE"""),"CaMaNaVa Rock n Rosas!  Welcome dito ang lahat!   #CaMaNaVabeybeh  #CaMaNaVaIsPink  #CaMaNaVaForLeniKiko  #CaMaNaVaRockNRosas")</f>
        <v>CaMaNaVa Rock n Rosas!  Welcome dito ang lahat!   #CaMaNaVabeybeh  #CaMaNaVaIsPink  #CaMaNaVaForLeniKiko  #CaMaNaVaRockNRosas</v>
      </c>
      <c r="F1276" s="1">
        <f ca="1">IFERROR(__xludf.DUMMYFUNCTION("""COMPUTED_VALUE"""),6)</f>
        <v>6</v>
      </c>
      <c r="G1276" s="1" t="str">
        <f ca="1">IFERROR(__xludf.DUMMYFUNCTION("""COMPUTED_VALUE"""),"3 mos")</f>
        <v>3 mos</v>
      </c>
      <c r="H1276" s="1" t="str">
        <f ca="1">IFERROR(__xludf.DUMMYFUNCTION("""COMPUTED_VALUE"""),"comment")</f>
        <v>comment</v>
      </c>
      <c r="I1276" s="2" t="str">
        <f ca="1">IFERROR(__xludf.DUMMYFUNCTION("""COMPUTED_VALUE"""),"https://www.facebook.com/rapplerdotcom/photos/a.317154781638645/5595733810447356/")</f>
        <v>https://www.facebook.com/rapplerdotcom/photos/a.317154781638645/5595733810447356/</v>
      </c>
      <c r="J1276" s="1" t="str">
        <f ca="1">IFERROR(__xludf.DUMMYFUNCTION("""COMPUTED_VALUE"""),"2022-07-04T15:41:10.240Z")</f>
        <v>2022-07-04T15:41:10.240Z</v>
      </c>
    </row>
    <row r="1277" spans="1:10" x14ac:dyDescent="0.2">
      <c r="A1277" s="2" t="str">
        <f ca="1">IFERROR(__xludf.DUMMYFUNCTION("""COMPUTED_VALUE"""),"https://www.facebook.com/arturo.rondolos.3")</f>
        <v>https://www.facebook.com/arturo.rondolos.3</v>
      </c>
      <c r="B1277" s="1" t="str">
        <f ca="1">IFERROR(__xludf.DUMMYFUNCTION("""COMPUTED_VALUE"""),"Arturo Rondolos")</f>
        <v>Arturo Rondolos</v>
      </c>
      <c r="C1277" s="1" t="str">
        <f ca="1">IFERROR(__xludf.DUMMYFUNCTION("""COMPUTED_VALUE"""),"Arturo")</f>
        <v>Arturo</v>
      </c>
      <c r="D1277" s="1" t="str">
        <f ca="1">IFERROR(__xludf.DUMMYFUNCTION("""COMPUTED_VALUE"""),"Rondolos")</f>
        <v>Rondolos</v>
      </c>
      <c r="E1277" s="1" t="str">
        <f ca="1">IFERROR(__xludf.DUMMYFUNCTION("""COMPUTED_VALUE"""),"Akala kocrusth mo siline syporta pala Sigue Ang tanda mona may be crusth kapa")</f>
        <v>Akala kocrusth mo siline syporta pala Sigue Ang tanda mona may be crusth kapa</v>
      </c>
      <c r="F1277" s="1">
        <f ca="1">IFERROR(__xludf.DUMMYFUNCTION("""COMPUTED_VALUE"""),8)</f>
        <v>8</v>
      </c>
      <c r="G1277" s="1" t="str">
        <f ca="1">IFERROR(__xludf.DUMMYFUNCTION("""COMPUTED_VALUE"""),"3 mos")</f>
        <v>3 mos</v>
      </c>
      <c r="H1277" s="1" t="str">
        <f ca="1">IFERROR(__xludf.DUMMYFUNCTION("""COMPUTED_VALUE"""),"comment")</f>
        <v>comment</v>
      </c>
      <c r="I1277" s="2" t="str">
        <f ca="1">IFERROR(__xludf.DUMMYFUNCTION("""COMPUTED_VALUE"""),"https://www.facebook.com/rapplerdotcom/photos/a.317154781638645/5595733810447356/")</f>
        <v>https://www.facebook.com/rapplerdotcom/photos/a.317154781638645/5595733810447356/</v>
      </c>
      <c r="J1277" s="1" t="str">
        <f ca="1">IFERROR(__xludf.DUMMYFUNCTION("""COMPUTED_VALUE"""),"2022-07-04T15:41:10.240Z")</f>
        <v>2022-07-04T15:41:10.240Z</v>
      </c>
    </row>
    <row r="1278" spans="1:10" x14ac:dyDescent="0.2">
      <c r="A1278" s="2" t="str">
        <f ca="1">IFERROR(__xludf.DUMMYFUNCTION("""COMPUTED_VALUE"""),"https://www.facebook.com/marilou.palomata")</f>
        <v>https://www.facebook.com/marilou.palomata</v>
      </c>
      <c r="B1278" s="1" t="str">
        <f ca="1">IFERROR(__xludf.DUMMYFUNCTION("""COMPUTED_VALUE"""),"Marilou Palomata")</f>
        <v>Marilou Palomata</v>
      </c>
      <c r="C1278" s="1" t="str">
        <f ca="1">IFERROR(__xludf.DUMMYFUNCTION("""COMPUTED_VALUE"""),"Marilou")</f>
        <v>Marilou</v>
      </c>
      <c r="D1278" s="1" t="str">
        <f ca="1">IFERROR(__xludf.DUMMYFUNCTION("""COMPUTED_VALUE"""),"Palomata")</f>
        <v>Palomata</v>
      </c>
      <c r="E1278" s="1" t="str">
        <f ca="1">IFERROR(__xludf.DUMMYFUNCTION("""COMPUTED_VALUE"""),"Arturo Rondolos Ano comment mo.paki rewrite mo nga para maintindihan ❓")</f>
        <v>Arturo Rondolos Ano comment mo.paki rewrite mo nga para maintindihan ❓</v>
      </c>
      <c r="F1278" s="1">
        <f ca="1">IFERROR(__xludf.DUMMYFUNCTION("""COMPUTED_VALUE"""),8)</f>
        <v>8</v>
      </c>
      <c r="G1278" s="1" t="str">
        <f ca="1">IFERROR(__xludf.DUMMYFUNCTION("""COMPUTED_VALUE"""),"3 mos")</f>
        <v>3 mos</v>
      </c>
      <c r="H1278" s="1" t="str">
        <f ca="1">IFERROR(__xludf.DUMMYFUNCTION("""COMPUTED_VALUE"""),"reply")</f>
        <v>reply</v>
      </c>
      <c r="I1278" s="2" t="str">
        <f ca="1">IFERROR(__xludf.DUMMYFUNCTION("""COMPUTED_VALUE"""),"https://www.facebook.com/rapplerdotcom/photos/a.317154781638645/5595733810447356/")</f>
        <v>https://www.facebook.com/rapplerdotcom/photos/a.317154781638645/5595733810447356/</v>
      </c>
      <c r="J1278" s="1" t="str">
        <f ca="1">IFERROR(__xludf.DUMMYFUNCTION("""COMPUTED_VALUE"""),"2022-07-04T15:41:10.240Z")</f>
        <v>2022-07-04T15:41:10.240Z</v>
      </c>
    </row>
    <row r="1279" spans="1:10" x14ac:dyDescent="0.2">
      <c r="A1279" s="2" t="str">
        <f ca="1">IFERROR(__xludf.DUMMYFUNCTION("""COMPUTED_VALUE"""),"https://www.facebook.com/gejan")</f>
        <v>https://www.facebook.com/gejan</v>
      </c>
      <c r="B1279" s="1" t="str">
        <f ca="1">IFERROR(__xludf.DUMMYFUNCTION("""COMPUTED_VALUE"""),"Gef Gejan")</f>
        <v>Gef Gejan</v>
      </c>
      <c r="C1279" s="1" t="str">
        <f ca="1">IFERROR(__xludf.DUMMYFUNCTION("""COMPUTED_VALUE"""),"Gef")</f>
        <v>Gef</v>
      </c>
      <c r="D1279" s="1" t="str">
        <f ca="1">IFERROR(__xludf.DUMMYFUNCTION("""COMPUTED_VALUE"""),"Gejan")</f>
        <v>Gejan</v>
      </c>
      <c r="E1279" s="1" t="str">
        <f ca="1">IFERROR(__xludf.DUMMYFUNCTION("""COMPUTED_VALUE"""),"Arturo Rondolos raulo mo😡😡😡")</f>
        <v>Arturo Rondolos raulo mo😡😡😡</v>
      </c>
      <c r="F1279" s="1">
        <f ca="1">IFERROR(__xludf.DUMMYFUNCTION("""COMPUTED_VALUE"""),2)</f>
        <v>2</v>
      </c>
      <c r="G1279" s="1" t="str">
        <f ca="1">IFERROR(__xludf.DUMMYFUNCTION("""COMPUTED_VALUE"""),"3 mos")</f>
        <v>3 mos</v>
      </c>
      <c r="H1279" s="1" t="str">
        <f ca="1">IFERROR(__xludf.DUMMYFUNCTION("""COMPUTED_VALUE"""),"reply")</f>
        <v>reply</v>
      </c>
      <c r="I1279" s="2" t="str">
        <f ca="1">IFERROR(__xludf.DUMMYFUNCTION("""COMPUTED_VALUE"""),"https://www.facebook.com/rapplerdotcom/photos/a.317154781638645/5595733810447356/")</f>
        <v>https://www.facebook.com/rapplerdotcom/photos/a.317154781638645/5595733810447356/</v>
      </c>
      <c r="J1279" s="1" t="str">
        <f ca="1">IFERROR(__xludf.DUMMYFUNCTION("""COMPUTED_VALUE"""),"2022-07-04T15:41:10.240Z")</f>
        <v>2022-07-04T15:41:10.240Z</v>
      </c>
    </row>
    <row r="1280" spans="1:10" x14ac:dyDescent="0.2">
      <c r="A1280" s="2" t="str">
        <f ca="1">IFERROR(__xludf.DUMMYFUNCTION("""COMPUTED_VALUE"""),"https://www.facebook.com/kay.flameno")</f>
        <v>https://www.facebook.com/kay.flameno</v>
      </c>
      <c r="B1280" s="1" t="str">
        <f ca="1">IFERROR(__xludf.DUMMYFUNCTION("""COMPUTED_VALUE"""),"Kay Faustino - Flameño")</f>
        <v>Kay Faustino - Flameño</v>
      </c>
      <c r="C1280" s="1" t="str">
        <f ca="1">IFERROR(__xludf.DUMMYFUNCTION("""COMPUTED_VALUE"""),"Kay")</f>
        <v>Kay</v>
      </c>
      <c r="D1280" s="1" t="str">
        <f ca="1">IFERROR(__xludf.DUMMYFUNCTION("""COMPUTED_VALUE"""),"Faustino - Flameño")</f>
        <v>Faustino - Flameño</v>
      </c>
      <c r="E1280" s="1" t="str">
        <f ca="1">IFERROR(__xludf.DUMMYFUNCTION("""COMPUTED_VALUE"""),"#GobyernongTapatAngatBuhayLahat #LeniKiko2022 #LeniKikoAllTheWay 💕💕💕")</f>
        <v>#GobyernongTapatAngatBuhayLahat #LeniKiko2022 #LeniKikoAllTheWay 💕💕💕</v>
      </c>
      <c r="F1280" s="1">
        <f ca="1">IFERROR(__xludf.DUMMYFUNCTION("""COMPUTED_VALUE"""),4)</f>
        <v>4</v>
      </c>
      <c r="G1280" s="1" t="str">
        <f ca="1">IFERROR(__xludf.DUMMYFUNCTION("""COMPUTED_VALUE"""),"3 mos")</f>
        <v>3 mos</v>
      </c>
      <c r="H1280" s="1" t="str">
        <f ca="1">IFERROR(__xludf.DUMMYFUNCTION("""COMPUTED_VALUE"""),"comment")</f>
        <v>comment</v>
      </c>
      <c r="I1280" s="2" t="str">
        <f ca="1">IFERROR(__xludf.DUMMYFUNCTION("""COMPUTED_VALUE"""),"https://www.facebook.com/rapplerdotcom/photos/a.317154781638645/5595733810447356/")</f>
        <v>https://www.facebook.com/rapplerdotcom/photos/a.317154781638645/5595733810447356/</v>
      </c>
      <c r="J1280" s="1" t="str">
        <f ca="1">IFERROR(__xludf.DUMMYFUNCTION("""COMPUTED_VALUE"""),"2022-07-04T15:41:10.240Z")</f>
        <v>2022-07-04T15:41:10.240Z</v>
      </c>
    </row>
    <row r="1281" spans="1:10" x14ac:dyDescent="0.2">
      <c r="A1281" s="2" t="str">
        <f ca="1">IFERROR(__xludf.DUMMYFUNCTION("""COMPUTED_VALUE"""),"https://www.facebook.com/marissa.bernabetecson")</f>
        <v>https://www.facebook.com/marissa.bernabetecson</v>
      </c>
      <c r="B1281" s="1" t="str">
        <f ca="1">IFERROR(__xludf.DUMMYFUNCTION("""COMPUTED_VALUE"""),"Marissa Bernabe Tecson")</f>
        <v>Marissa Bernabe Tecson</v>
      </c>
      <c r="C1281" s="1" t="str">
        <f ca="1">IFERROR(__xludf.DUMMYFUNCTION("""COMPUTED_VALUE"""),"Marissa")</f>
        <v>Marissa</v>
      </c>
      <c r="D1281" s="1" t="str">
        <f ca="1">IFERROR(__xludf.DUMMYFUNCTION("""COMPUTED_VALUE"""),"Bernabe Tecson")</f>
        <v>Bernabe Tecson</v>
      </c>
      <c r="E1281" s="1" t="str">
        <f ca="1">IFERROR(__xludf.DUMMYFUNCTION("""COMPUTED_VALUE"""),"Nakita ko si Tatay Elmer kanina🥰 #LeniKikoAllTheWay")</f>
        <v>Nakita ko si Tatay Elmer kanina🥰 #LeniKikoAllTheWay</v>
      </c>
      <c r="F1281" s="1">
        <f ca="1">IFERROR(__xludf.DUMMYFUNCTION("""COMPUTED_VALUE"""),9)</f>
        <v>9</v>
      </c>
      <c r="G1281" s="1" t="str">
        <f ca="1">IFERROR(__xludf.DUMMYFUNCTION("""COMPUTED_VALUE"""),"3 mos")</f>
        <v>3 mos</v>
      </c>
      <c r="H1281" s="1" t="str">
        <f ca="1">IFERROR(__xludf.DUMMYFUNCTION("""COMPUTED_VALUE"""),"comment")</f>
        <v>comment</v>
      </c>
      <c r="I1281" s="2" t="str">
        <f ca="1">IFERROR(__xludf.DUMMYFUNCTION("""COMPUTED_VALUE"""),"https://www.facebook.com/rapplerdotcom/photos/a.317154781638645/5595733810447356/")</f>
        <v>https://www.facebook.com/rapplerdotcom/photos/a.317154781638645/5595733810447356/</v>
      </c>
      <c r="J1281" s="1" t="str">
        <f ca="1">IFERROR(__xludf.DUMMYFUNCTION("""COMPUTED_VALUE"""),"2022-07-04T15:41:10.240Z")</f>
        <v>2022-07-04T15:41:10.240Z</v>
      </c>
    </row>
    <row r="1282" spans="1:10" x14ac:dyDescent="0.2">
      <c r="A1282" s="2" t="str">
        <f ca="1">IFERROR(__xludf.DUMMYFUNCTION("""COMPUTED_VALUE"""),"https://www.facebook.com/profile.php?id=100075703493857")</f>
        <v>https://www.facebook.com/profile.php?id=100075703493857</v>
      </c>
      <c r="B1282" s="1" t="str">
        <f ca="1">IFERROR(__xludf.DUMMYFUNCTION("""COMPUTED_VALUE"""),"Ruhtra Oicerapa")</f>
        <v>Ruhtra Oicerapa</v>
      </c>
      <c r="C1282" s="1" t="str">
        <f ca="1">IFERROR(__xludf.DUMMYFUNCTION("""COMPUTED_VALUE"""),"Ruhtra")</f>
        <v>Ruhtra</v>
      </c>
      <c r="D1282" s="1" t="str">
        <f ca="1">IFERROR(__xludf.DUMMYFUNCTION("""COMPUTED_VALUE"""),"Oicerapa")</f>
        <v>Oicerapa</v>
      </c>
      <c r="E1282" s="1" t="str">
        <f ca="1">IFERROR(__xludf.DUMMYFUNCTION("""COMPUTED_VALUE"""),"Yung mga puj, driver na Yan sasabihin Yan naghihirap ,hnde karamihan sa mga iyan babaero ,isipin Natin kapag dun Ka sumakay katabi sa driver Ng jeep tas may edad kana sasabihin sa iyo ;bay duon kayo sa likod   hahayaan na bakante sa kanyang tabi; pero PAG"&amp;" babae seksi at bata pa lot maganda bilis huminto ,itatapat sa unahan upuan talaga para walang kawala  .hehehe")</f>
        <v>Yung mga puj, driver na Yan sasabihin Yan naghihirap ,hnde karamihan sa mga iyan babaero ,isipin Natin kapag dun Ka sumakay katabi sa driver Ng jeep tas may edad kana sasabihin sa iyo ;bay duon kayo sa likod   hahayaan na bakante sa kanyang tabi; pero PAG babae seksi at bata pa lot maganda bilis huminto ,itatapat sa unahan upuan talaga para walang kawala  .hehehe</v>
      </c>
      <c r="F1282" s="1"/>
      <c r="G1282" s="1" t="str">
        <f ca="1">IFERROR(__xludf.DUMMYFUNCTION("""COMPUTED_VALUE"""),"3 mos")</f>
        <v>3 mos</v>
      </c>
      <c r="H1282" s="1" t="str">
        <f ca="1">IFERROR(__xludf.DUMMYFUNCTION("""COMPUTED_VALUE"""),"comment")</f>
        <v>comment</v>
      </c>
      <c r="I1282" s="2" t="str">
        <f ca="1">IFERROR(__xludf.DUMMYFUNCTION("""COMPUTED_VALUE"""),"https://www.facebook.com/rapplerdotcom/photos/a.317154781638645/5595733810447356/")</f>
        <v>https://www.facebook.com/rapplerdotcom/photos/a.317154781638645/5595733810447356/</v>
      </c>
      <c r="J1282" s="1" t="str">
        <f ca="1">IFERROR(__xludf.DUMMYFUNCTION("""COMPUTED_VALUE"""),"2022-07-04T15:41:10.240Z")</f>
        <v>2022-07-04T15:41:10.240Z</v>
      </c>
    </row>
    <row r="1283" spans="1:10" x14ac:dyDescent="0.2">
      <c r="A1283" s="2" t="str">
        <f ca="1">IFERROR(__xludf.DUMMYFUNCTION("""COMPUTED_VALUE"""),"https://www.facebook.com/pilar.alejo.9")</f>
        <v>https://www.facebook.com/pilar.alejo.9</v>
      </c>
      <c r="B1283" s="1" t="str">
        <f ca="1">IFERROR(__xludf.DUMMYFUNCTION("""COMPUTED_VALUE"""),"Pilar Alejo")</f>
        <v>Pilar Alejo</v>
      </c>
      <c r="C1283" s="1" t="str">
        <f ca="1">IFERROR(__xludf.DUMMYFUNCTION("""COMPUTED_VALUE"""),"Pilar")</f>
        <v>Pilar</v>
      </c>
      <c r="D1283" s="1" t="str">
        <f ca="1">IFERROR(__xludf.DUMMYFUNCTION("""COMPUTED_VALUE"""),"Alejo")</f>
        <v>Alejo</v>
      </c>
      <c r="E1283" s="1" t="str">
        <f ca="1">IFERROR(__xludf.DUMMYFUNCTION("""COMPUTED_VALUE"""),"#IpanaloNaNa10To  🌷🌷🌷")</f>
        <v>#IpanaloNaNa10To  🌷🌷🌷</v>
      </c>
      <c r="F1283" s="1"/>
      <c r="G1283" s="1" t="str">
        <f ca="1">IFERROR(__xludf.DUMMYFUNCTION("""COMPUTED_VALUE"""),"3 mos")</f>
        <v>3 mos</v>
      </c>
      <c r="H1283" s="1" t="str">
        <f ca="1">IFERROR(__xludf.DUMMYFUNCTION("""COMPUTED_VALUE"""),"comment")</f>
        <v>comment</v>
      </c>
      <c r="I1283" s="2" t="str">
        <f ca="1">IFERROR(__xludf.DUMMYFUNCTION("""COMPUTED_VALUE"""),"https://www.facebook.com/rapplerdotcom/photos/a.317154781638645/5595733810447356/")</f>
        <v>https://www.facebook.com/rapplerdotcom/photos/a.317154781638645/5595733810447356/</v>
      </c>
      <c r="J1283" s="1" t="str">
        <f ca="1">IFERROR(__xludf.DUMMYFUNCTION("""COMPUTED_VALUE"""),"2022-07-04T15:41:10.240Z")</f>
        <v>2022-07-04T15:41:10.240Z</v>
      </c>
    </row>
    <row r="1284" spans="1:10" x14ac:dyDescent="0.2">
      <c r="A1284" s="2" t="str">
        <f ca="1">IFERROR(__xludf.DUMMYFUNCTION("""COMPUTED_VALUE"""),"https://www.facebook.com/francis.bartolome.52")</f>
        <v>https://www.facebook.com/francis.bartolome.52</v>
      </c>
      <c r="B1284" s="1" t="str">
        <f ca="1">IFERROR(__xludf.DUMMYFUNCTION("""COMPUTED_VALUE"""),"Francis Foster Bartolome")</f>
        <v>Francis Foster Bartolome</v>
      </c>
      <c r="C1284" s="1" t="str">
        <f ca="1">IFERROR(__xludf.DUMMYFUNCTION("""COMPUTED_VALUE"""),"Francis")</f>
        <v>Francis</v>
      </c>
      <c r="D1284" s="1" t="str">
        <f ca="1">IFERROR(__xludf.DUMMYFUNCTION("""COMPUTED_VALUE"""),"Foster Bartolome")</f>
        <v>Foster Bartolome</v>
      </c>
      <c r="E1284" s="1" t="str">
        <f ca="1">IFERROR(__xludf.DUMMYFUNCTION("""COMPUTED_VALUE"""),"Lalaban po tayo Tay! 🥺💕🌸")</f>
        <v>Lalaban po tayo Tay! 🥺💕🌸</v>
      </c>
      <c r="F1284" s="1">
        <f ca="1">IFERROR(__xludf.DUMMYFUNCTION("""COMPUTED_VALUE"""),5)</f>
        <v>5</v>
      </c>
      <c r="G1284" s="1" t="str">
        <f ca="1">IFERROR(__xludf.DUMMYFUNCTION("""COMPUTED_VALUE"""),"3 mos")</f>
        <v>3 mos</v>
      </c>
      <c r="H1284" s="1" t="str">
        <f ca="1">IFERROR(__xludf.DUMMYFUNCTION("""COMPUTED_VALUE"""),"comment")</f>
        <v>comment</v>
      </c>
      <c r="I1284" s="2" t="str">
        <f ca="1">IFERROR(__xludf.DUMMYFUNCTION("""COMPUTED_VALUE"""),"https://www.facebook.com/rapplerdotcom/photos/a.317154781638645/5595733810447356/")</f>
        <v>https://www.facebook.com/rapplerdotcom/photos/a.317154781638645/5595733810447356/</v>
      </c>
      <c r="J1284" s="1" t="str">
        <f ca="1">IFERROR(__xludf.DUMMYFUNCTION("""COMPUTED_VALUE"""),"2022-07-04T15:41:10.240Z")</f>
        <v>2022-07-04T15:41:10.240Z</v>
      </c>
    </row>
    <row r="1285" spans="1:10" x14ac:dyDescent="0.2">
      <c r="A1285" s="2" t="str">
        <f ca="1">IFERROR(__xludf.DUMMYFUNCTION("""COMPUTED_VALUE"""),"https://www.facebook.com/harveychato")</f>
        <v>https://www.facebook.com/harveychato</v>
      </c>
      <c r="B1285" s="1" t="str">
        <f ca="1">IFERROR(__xludf.DUMMYFUNCTION("""COMPUTED_VALUE"""),"Har Vhey")</f>
        <v>Har Vhey</v>
      </c>
      <c r="C1285" s="1" t="str">
        <f ca="1">IFERROR(__xludf.DUMMYFUNCTION("""COMPUTED_VALUE"""),"Har")</f>
        <v>Har</v>
      </c>
      <c r="D1285" s="1" t="str">
        <f ca="1">IFERROR(__xludf.DUMMYFUNCTION("""COMPUTED_VALUE"""),"Vhey")</f>
        <v>Vhey</v>
      </c>
      <c r="E1285" s="1" t="str">
        <f ca="1">IFERROR(__xludf.DUMMYFUNCTION("""COMPUTED_VALUE"""),"Alam na FULL TANK nyan 😂")</f>
        <v>Alam na FULL TANK nyan 😂</v>
      </c>
      <c r="F1285" s="1">
        <f ca="1">IFERROR(__xludf.DUMMYFUNCTION("""COMPUTED_VALUE"""),8)</f>
        <v>8</v>
      </c>
      <c r="G1285" s="1" t="str">
        <f ca="1">IFERROR(__xludf.DUMMYFUNCTION("""COMPUTED_VALUE"""),"3 mos")</f>
        <v>3 mos</v>
      </c>
      <c r="H1285" s="1" t="str">
        <f ca="1">IFERROR(__xludf.DUMMYFUNCTION("""COMPUTED_VALUE"""),"comment")</f>
        <v>comment</v>
      </c>
      <c r="I1285" s="2" t="str">
        <f ca="1">IFERROR(__xludf.DUMMYFUNCTION("""COMPUTED_VALUE"""),"https://www.facebook.com/rapplerdotcom/photos/a.317154781638645/5595733810447356/")</f>
        <v>https://www.facebook.com/rapplerdotcom/photos/a.317154781638645/5595733810447356/</v>
      </c>
      <c r="J1285" s="1" t="str">
        <f ca="1">IFERROR(__xludf.DUMMYFUNCTION("""COMPUTED_VALUE"""),"2022-07-04T15:41:10.240Z")</f>
        <v>2022-07-04T15:41:10.240Z</v>
      </c>
    </row>
    <row r="1286" spans="1:10" x14ac:dyDescent="0.2">
      <c r="A1286" s="2" t="str">
        <f ca="1">IFERROR(__xludf.DUMMYFUNCTION("""COMPUTED_VALUE"""),"https://www.facebook.com/maryjane.martizano")</f>
        <v>https://www.facebook.com/maryjane.martizano</v>
      </c>
      <c r="B1286" s="1" t="str">
        <f ca="1">IFERROR(__xludf.DUMMYFUNCTION("""COMPUTED_VALUE"""),"Mj Martizano")</f>
        <v>Mj Martizano</v>
      </c>
      <c r="C1286" s="1" t="str">
        <f ca="1">IFERROR(__xludf.DUMMYFUNCTION("""COMPUTED_VALUE"""),"Mj")</f>
        <v>Mj</v>
      </c>
      <c r="D1286" s="1" t="str">
        <f ca="1">IFERROR(__xludf.DUMMYFUNCTION("""COMPUTED_VALUE"""),"Martizano")</f>
        <v>Martizano</v>
      </c>
      <c r="E1286" s="1" t="str">
        <f ca="1">IFERROR(__xludf.DUMMYFUNCTION("""COMPUTED_VALUE"""),"Har Vhey ikaw po ba nagpa gasolina sa kanya?")</f>
        <v>Har Vhey ikaw po ba nagpa gasolina sa kanya?</v>
      </c>
      <c r="F1286" s="1">
        <f ca="1">IFERROR(__xludf.DUMMYFUNCTION("""COMPUTED_VALUE"""),3)</f>
        <v>3</v>
      </c>
      <c r="G1286" s="1" t="str">
        <f ca="1">IFERROR(__xludf.DUMMYFUNCTION("""COMPUTED_VALUE"""),"3 mos")</f>
        <v>3 mos</v>
      </c>
      <c r="H1286" s="1" t="str">
        <f ca="1">IFERROR(__xludf.DUMMYFUNCTION("""COMPUTED_VALUE"""),"reply")</f>
        <v>reply</v>
      </c>
      <c r="I1286" s="2" t="str">
        <f ca="1">IFERROR(__xludf.DUMMYFUNCTION("""COMPUTED_VALUE"""),"https://www.facebook.com/rapplerdotcom/photos/a.317154781638645/5595733810447356/")</f>
        <v>https://www.facebook.com/rapplerdotcom/photos/a.317154781638645/5595733810447356/</v>
      </c>
      <c r="J1286" s="1" t="str">
        <f ca="1">IFERROR(__xludf.DUMMYFUNCTION("""COMPUTED_VALUE"""),"2022-07-04T15:41:10.240Z")</f>
        <v>2022-07-04T15:41:10.240Z</v>
      </c>
    </row>
    <row r="1287" spans="1:10" x14ac:dyDescent="0.2">
      <c r="A1287" s="2" t="str">
        <f ca="1">IFERROR(__xludf.DUMMYFUNCTION("""COMPUTED_VALUE"""),"https://www.facebook.com/pulubeng.kabute")</f>
        <v>https://www.facebook.com/pulubeng.kabute</v>
      </c>
      <c r="B1287" s="1" t="str">
        <f ca="1">IFERROR(__xludf.DUMMYFUNCTION("""COMPUTED_VALUE"""),"Gazelle Paulino")</f>
        <v>Gazelle Paulino</v>
      </c>
      <c r="C1287" s="1" t="str">
        <f ca="1">IFERROR(__xludf.DUMMYFUNCTION("""COMPUTED_VALUE"""),"Gazelle")</f>
        <v>Gazelle</v>
      </c>
      <c r="D1287" s="1" t="str">
        <f ca="1">IFERROR(__xludf.DUMMYFUNCTION("""COMPUTED_VALUE"""),"Paulino")</f>
        <v>Paulino</v>
      </c>
      <c r="E1287" s="1" t="str">
        <f ca="1">IFERROR(__xludf.DUMMYFUNCTION("""COMPUTED_VALUE"""),"Har Vhey ganyan din ba sa kabila? 🙃")</f>
        <v>Har Vhey ganyan din ba sa kabila? 🙃</v>
      </c>
      <c r="F1287" s="1">
        <f ca="1">IFERROR(__xludf.DUMMYFUNCTION("""COMPUTED_VALUE"""),2)</f>
        <v>2</v>
      </c>
      <c r="G1287" s="1" t="str">
        <f ca="1">IFERROR(__xludf.DUMMYFUNCTION("""COMPUTED_VALUE"""),"3 mos")</f>
        <v>3 mos</v>
      </c>
      <c r="H1287" s="1" t="str">
        <f ca="1">IFERROR(__xludf.DUMMYFUNCTION("""COMPUTED_VALUE"""),"reply")</f>
        <v>reply</v>
      </c>
      <c r="I1287" s="2" t="str">
        <f ca="1">IFERROR(__xludf.DUMMYFUNCTION("""COMPUTED_VALUE"""),"https://www.facebook.com/rapplerdotcom/photos/a.317154781638645/5595733810447356/")</f>
        <v>https://www.facebook.com/rapplerdotcom/photos/a.317154781638645/5595733810447356/</v>
      </c>
      <c r="J1287" s="1" t="str">
        <f ca="1">IFERROR(__xludf.DUMMYFUNCTION("""COMPUTED_VALUE"""),"2022-07-04T15:41:10.240Z")</f>
        <v>2022-07-04T15:41:10.240Z</v>
      </c>
    </row>
    <row r="1288" spans="1:10" x14ac:dyDescent="0.2">
      <c r="A1288" s="2" t="str">
        <f ca="1">IFERROR(__xludf.DUMMYFUNCTION("""COMPUTED_VALUE"""),"https://www.facebook.com/profile.php?id=100009637215034")</f>
        <v>https://www.facebook.com/profile.php?id=100009637215034</v>
      </c>
      <c r="B1288" s="1" t="str">
        <f ca="1">IFERROR(__xludf.DUMMYFUNCTION("""COMPUTED_VALUE"""),"Mari Cas")</f>
        <v>Mari Cas</v>
      </c>
      <c r="C1288" s="1" t="str">
        <f ca="1">IFERROR(__xludf.DUMMYFUNCTION("""COMPUTED_VALUE"""),"Mari")</f>
        <v>Mari</v>
      </c>
      <c r="D1288" s="1" t="str">
        <f ca="1">IFERROR(__xludf.DUMMYFUNCTION("""COMPUTED_VALUE"""),"Cas")</f>
        <v>Cas</v>
      </c>
      <c r="E1288" s="1" t="str">
        <f ca="1">IFERROR(__xludf.DUMMYFUNCTION("""COMPUTED_VALUE"""),"Har Vhey Gawain eh kaya alam")</f>
        <v>Har Vhey Gawain eh kaya alam</v>
      </c>
      <c r="F1288" s="1"/>
      <c r="G1288" s="1" t="str">
        <f ca="1">IFERROR(__xludf.DUMMYFUNCTION("""COMPUTED_VALUE"""),"3 mos")</f>
        <v>3 mos</v>
      </c>
      <c r="H1288" s="1" t="str">
        <f ca="1">IFERROR(__xludf.DUMMYFUNCTION("""COMPUTED_VALUE"""),"reply")</f>
        <v>reply</v>
      </c>
      <c r="I1288" s="2" t="str">
        <f ca="1">IFERROR(__xludf.DUMMYFUNCTION("""COMPUTED_VALUE"""),"https://www.facebook.com/rapplerdotcom/photos/a.317154781638645/5595733810447356/")</f>
        <v>https://www.facebook.com/rapplerdotcom/photos/a.317154781638645/5595733810447356/</v>
      </c>
      <c r="J1288" s="1" t="str">
        <f ca="1">IFERROR(__xludf.DUMMYFUNCTION("""COMPUTED_VALUE"""),"2022-07-04T15:41:10.240Z")</f>
        <v>2022-07-04T15:41:10.240Z</v>
      </c>
    </row>
    <row r="1289" spans="1:10" x14ac:dyDescent="0.2">
      <c r="A1289" s="2" t="str">
        <f ca="1">IFERROR(__xludf.DUMMYFUNCTION("""COMPUTED_VALUE"""),"https://www.facebook.com/mariano.josh99")</f>
        <v>https://www.facebook.com/mariano.josh99</v>
      </c>
      <c r="B1289" s="1" t="str">
        <f ca="1">IFERROR(__xludf.DUMMYFUNCTION("""COMPUTED_VALUE"""),"Josh Mariano")</f>
        <v>Josh Mariano</v>
      </c>
      <c r="C1289" s="1" t="str">
        <f ca="1">IFERROR(__xludf.DUMMYFUNCTION("""COMPUTED_VALUE"""),"Josh")</f>
        <v>Josh</v>
      </c>
      <c r="D1289" s="1" t="str">
        <f ca="1">IFERROR(__xludf.DUMMYFUNCTION("""COMPUTED_VALUE"""),"Mariano")</f>
        <v>Mariano</v>
      </c>
      <c r="E1289" s="1" t="str">
        <f ca="1">IFERROR(__xludf.DUMMYFUNCTION("""COMPUTED_VALUE"""),"Har Vhey atlis siya nafull tank ikaw inde kaya pag inggit pikit 🤣")</f>
        <v>Har Vhey atlis siya nafull tank ikaw inde kaya pag inggit pikit 🤣</v>
      </c>
      <c r="F1289" s="1">
        <f ca="1">IFERROR(__xludf.DUMMYFUNCTION("""COMPUTED_VALUE"""),1)</f>
        <v>1</v>
      </c>
      <c r="G1289" s="1" t="str">
        <f ca="1">IFERROR(__xludf.DUMMYFUNCTION("""COMPUTED_VALUE"""),"3 mos")</f>
        <v>3 mos</v>
      </c>
      <c r="H1289" s="1" t="str">
        <f ca="1">IFERROR(__xludf.DUMMYFUNCTION("""COMPUTED_VALUE"""),"reply")</f>
        <v>reply</v>
      </c>
      <c r="I1289" s="2" t="str">
        <f ca="1">IFERROR(__xludf.DUMMYFUNCTION("""COMPUTED_VALUE"""),"https://www.facebook.com/rapplerdotcom/photos/a.317154781638645/5595733810447356/")</f>
        <v>https://www.facebook.com/rapplerdotcom/photos/a.317154781638645/5595733810447356/</v>
      </c>
      <c r="J1289" s="1" t="str">
        <f ca="1">IFERROR(__xludf.DUMMYFUNCTION("""COMPUTED_VALUE"""),"2022-07-04T15:41:10.240Z")</f>
        <v>2022-07-04T15:41:10.240Z</v>
      </c>
    </row>
    <row r="1290" spans="1:10" x14ac:dyDescent="0.2">
      <c r="A1290" s="2" t="str">
        <f ca="1">IFERROR(__xludf.DUMMYFUNCTION("""COMPUTED_VALUE"""),"https://www.facebook.com/lorenztumamao1980")</f>
        <v>https://www.facebook.com/lorenztumamao1980</v>
      </c>
      <c r="B1290" s="1" t="str">
        <f ca="1">IFERROR(__xludf.DUMMYFUNCTION("""COMPUTED_VALUE"""),"Lorenz Acio Tumamao")</f>
        <v>Lorenz Acio Tumamao</v>
      </c>
      <c r="C1290" s="1" t="str">
        <f ca="1">IFERROR(__xludf.DUMMYFUNCTION("""COMPUTED_VALUE"""),"Lorenz")</f>
        <v>Lorenz</v>
      </c>
      <c r="D1290" s="1" t="str">
        <f ca="1">IFERROR(__xludf.DUMMYFUNCTION("""COMPUTED_VALUE"""),"Acio Tumamao")</f>
        <v>Acio Tumamao</v>
      </c>
      <c r="E1290" s="1" t="str">
        <f ca="1">IFERROR(__xludf.DUMMYFUNCTION("""COMPUTED_VALUE"""),"in the most difficult time hindi ako nagpapakita-🌸 #KulayRosasAngKipay")</f>
        <v>in the most difficult time hindi ako nagpapakita-🌸 #KulayRosasAngKipay</v>
      </c>
      <c r="F1290" s="1"/>
      <c r="G1290" s="1" t="str">
        <f ca="1">IFERROR(__xludf.DUMMYFUNCTION("""COMPUTED_VALUE"""),"3 mos")</f>
        <v>3 mos</v>
      </c>
      <c r="H1290" s="1" t="str">
        <f ca="1">IFERROR(__xludf.DUMMYFUNCTION("""COMPUTED_VALUE"""),"comment")</f>
        <v>comment</v>
      </c>
      <c r="I1290" s="2" t="str">
        <f ca="1">IFERROR(__xludf.DUMMYFUNCTION("""COMPUTED_VALUE"""),"https://www.facebook.com/rapplerdotcom/photos/a.317154781638645/5595733810447356/")</f>
        <v>https://www.facebook.com/rapplerdotcom/photos/a.317154781638645/5595733810447356/</v>
      </c>
      <c r="J1290" s="1" t="str">
        <f ca="1">IFERROR(__xludf.DUMMYFUNCTION("""COMPUTED_VALUE"""),"2022-07-04T15:41:10.240Z")</f>
        <v>2022-07-04T15:41:10.240Z</v>
      </c>
    </row>
    <row r="1291" spans="1:10" x14ac:dyDescent="0.2">
      <c r="A1291" s="2" t="str">
        <f ca="1">IFERROR(__xludf.DUMMYFUNCTION("""COMPUTED_VALUE"""),"https://www.facebook.com/profile.php?id=100011150311111")</f>
        <v>https://www.facebook.com/profile.php?id=100011150311111</v>
      </c>
      <c r="B1291" s="1" t="str">
        <f ca="1">IFERROR(__xludf.DUMMYFUNCTION("""COMPUTED_VALUE"""),"Kristoff O. Emit")</f>
        <v>Kristoff O. Emit</v>
      </c>
      <c r="C1291" s="1" t="str">
        <f ca="1">IFERROR(__xludf.DUMMYFUNCTION("""COMPUTED_VALUE"""),"Kristoff")</f>
        <v>Kristoff</v>
      </c>
      <c r="D1291" s="1" t="str">
        <f ca="1">IFERROR(__xludf.DUMMYFUNCTION("""COMPUTED_VALUE"""),"O. Emit")</f>
        <v>O. Emit</v>
      </c>
      <c r="E1291" s="1" t="str">
        <f ca="1">IFERROR(__xludf.DUMMYFUNCTION("""COMPUTED_VALUE"""),"thank you tatay Elmer,support ma'am lenie laban natin ito tatay,,love you💓 from sarangani Provence....")</f>
        <v>thank you tatay Elmer,support ma'am lenie laban natin ito tatay,,love you💓 from sarangani Provence....</v>
      </c>
      <c r="F1291" s="1">
        <f ca="1">IFERROR(__xludf.DUMMYFUNCTION("""COMPUTED_VALUE"""),3)</f>
        <v>3</v>
      </c>
      <c r="G1291" s="1" t="str">
        <f ca="1">IFERROR(__xludf.DUMMYFUNCTION("""COMPUTED_VALUE"""),"3 mos")</f>
        <v>3 mos</v>
      </c>
      <c r="H1291" s="1" t="str">
        <f ca="1">IFERROR(__xludf.DUMMYFUNCTION("""COMPUTED_VALUE"""),"comment")</f>
        <v>comment</v>
      </c>
      <c r="I1291" s="2" t="str">
        <f ca="1">IFERROR(__xludf.DUMMYFUNCTION("""COMPUTED_VALUE"""),"https://www.facebook.com/rapplerdotcom/photos/a.317154781638645/5595733810447356/")</f>
        <v>https://www.facebook.com/rapplerdotcom/photos/a.317154781638645/5595733810447356/</v>
      </c>
      <c r="J1291" s="1" t="str">
        <f ca="1">IFERROR(__xludf.DUMMYFUNCTION("""COMPUTED_VALUE"""),"2022-07-04T15:41:10.240Z")</f>
        <v>2022-07-04T15:41:10.240Z</v>
      </c>
    </row>
    <row r="1292" spans="1:10" x14ac:dyDescent="0.2">
      <c r="A1292" s="2" t="str">
        <f ca="1">IFERROR(__xludf.DUMMYFUNCTION("""COMPUTED_VALUE"""),"https://www.facebook.com/xernes.martinez")</f>
        <v>https://www.facebook.com/xernes.martinez</v>
      </c>
      <c r="B1292" s="1" t="str">
        <f ca="1">IFERROR(__xludf.DUMMYFUNCTION("""COMPUTED_VALUE"""),"Xernes Martinez")</f>
        <v>Xernes Martinez</v>
      </c>
      <c r="C1292" s="1" t="str">
        <f ca="1">IFERROR(__xludf.DUMMYFUNCTION("""COMPUTED_VALUE"""),"Xernes")</f>
        <v>Xernes</v>
      </c>
      <c r="D1292" s="1" t="str">
        <f ca="1">IFERROR(__xludf.DUMMYFUNCTION("""COMPUTED_VALUE"""),"Martinez")</f>
        <v>Martinez</v>
      </c>
      <c r="E1292" s="1" t="str">
        <f ca="1">IFERROR(__xludf.DUMMYFUNCTION("""COMPUTED_VALUE"""),"#GobyernongTapatAngatBuhayLahat #IpanaloNa10To #LeniKiko2022 🇵🇭💗💚")</f>
        <v>#GobyernongTapatAngatBuhayLahat #IpanaloNa10To #LeniKiko2022 🇵🇭💗💚</v>
      </c>
      <c r="F1292" s="1"/>
      <c r="G1292" s="1" t="str">
        <f ca="1">IFERROR(__xludf.DUMMYFUNCTION("""COMPUTED_VALUE"""),"3 mos")</f>
        <v>3 mos</v>
      </c>
      <c r="H1292" s="1" t="str">
        <f ca="1">IFERROR(__xludf.DUMMYFUNCTION("""COMPUTED_VALUE"""),"comment")</f>
        <v>comment</v>
      </c>
      <c r="I1292" s="2" t="str">
        <f ca="1">IFERROR(__xludf.DUMMYFUNCTION("""COMPUTED_VALUE"""),"https://www.facebook.com/rapplerdotcom/photos/a.317154781638645/5595733810447356/")</f>
        <v>https://www.facebook.com/rapplerdotcom/photos/a.317154781638645/5595733810447356/</v>
      </c>
      <c r="J1292" s="1" t="str">
        <f ca="1">IFERROR(__xludf.DUMMYFUNCTION("""COMPUTED_VALUE"""),"2022-07-04T15:41:10.240Z")</f>
        <v>2022-07-04T15:41:10.240Z</v>
      </c>
    </row>
    <row r="1293" spans="1:10" x14ac:dyDescent="0.2">
      <c r="A1293" s="2" t="str">
        <f ca="1">IFERROR(__xludf.DUMMYFUNCTION("""COMPUTED_VALUE"""),"https://www.facebook.com/mirandilla.alexract")</f>
        <v>https://www.facebook.com/mirandilla.alexract</v>
      </c>
      <c r="B1293" s="1" t="str">
        <f ca="1">IFERROR(__xludf.DUMMYFUNCTION("""COMPUTED_VALUE"""),"Mirandilla Alex R Act")</f>
        <v>Mirandilla Alex R Act</v>
      </c>
      <c r="C1293" s="1" t="str">
        <f ca="1">IFERROR(__xludf.DUMMYFUNCTION("""COMPUTED_VALUE"""),"Mirandilla")</f>
        <v>Mirandilla</v>
      </c>
      <c r="D1293" s="1" t="str">
        <f ca="1">IFERROR(__xludf.DUMMYFUNCTION("""COMPUTED_VALUE"""),"Alex R Act")</f>
        <v>Alex R Act</v>
      </c>
      <c r="E1293" s="1" t="str">
        <f ca="1">IFERROR(__xludf.DUMMYFUNCTION("""COMPUTED_VALUE"""),"makano bayad😅")</f>
        <v>makano bayad😅</v>
      </c>
      <c r="F1293" s="1">
        <f ca="1">IFERROR(__xludf.DUMMYFUNCTION("""COMPUTED_VALUE"""),5)</f>
        <v>5</v>
      </c>
      <c r="G1293" s="1" t="str">
        <f ca="1">IFERROR(__xludf.DUMMYFUNCTION("""COMPUTED_VALUE"""),"3 mos")</f>
        <v>3 mos</v>
      </c>
      <c r="H1293" s="1" t="str">
        <f ca="1">IFERROR(__xludf.DUMMYFUNCTION("""COMPUTED_VALUE"""),"comment")</f>
        <v>comment</v>
      </c>
      <c r="I1293" s="2" t="str">
        <f ca="1">IFERROR(__xludf.DUMMYFUNCTION("""COMPUTED_VALUE"""),"https://www.facebook.com/rapplerdotcom/photos/a.317154781638645/5595733810447356/")</f>
        <v>https://www.facebook.com/rapplerdotcom/photos/a.317154781638645/5595733810447356/</v>
      </c>
      <c r="J1293" s="1" t="str">
        <f ca="1">IFERROR(__xludf.DUMMYFUNCTION("""COMPUTED_VALUE"""),"2022-07-04T15:41:10.240Z")</f>
        <v>2022-07-04T15:41:10.240Z</v>
      </c>
    </row>
    <row r="1294" spans="1:10" x14ac:dyDescent="0.2">
      <c r="A1294" s="2" t="str">
        <f ca="1">IFERROR(__xludf.DUMMYFUNCTION("""COMPUTED_VALUE"""),"https://www.facebook.com/IamRoselleBaltazar")</f>
        <v>https://www.facebook.com/IamRoselleBaltazar</v>
      </c>
      <c r="B1294" s="1" t="str">
        <f ca="1">IFERROR(__xludf.DUMMYFUNCTION("""COMPUTED_VALUE"""),"Roselle Baltazar")</f>
        <v>Roselle Baltazar</v>
      </c>
      <c r="C1294" s="1" t="str">
        <f ca="1">IFERROR(__xludf.DUMMYFUNCTION("""COMPUTED_VALUE"""),"Roselle")</f>
        <v>Roselle</v>
      </c>
      <c r="D1294" s="1" t="str">
        <f ca="1">IFERROR(__xludf.DUMMYFUNCTION("""COMPUTED_VALUE"""),"Baltazar")</f>
        <v>Baltazar</v>
      </c>
      <c r="E1294" s="1" t="str">
        <f ca="1">IFERROR(__xludf.DUMMYFUNCTION("""COMPUTED_VALUE"""),"Mirandilla Alex R Act gawain mo?")</f>
        <v>Mirandilla Alex R Act gawain mo?</v>
      </c>
      <c r="F1294" s="1"/>
      <c r="G1294" s="1" t="str">
        <f ca="1">IFERROR(__xludf.DUMMYFUNCTION("""COMPUTED_VALUE"""),"3 mos")</f>
        <v>3 mos</v>
      </c>
      <c r="H1294" s="1" t="str">
        <f ca="1">IFERROR(__xludf.DUMMYFUNCTION("""COMPUTED_VALUE"""),"reply")</f>
        <v>reply</v>
      </c>
      <c r="I1294" s="2" t="str">
        <f ca="1">IFERROR(__xludf.DUMMYFUNCTION("""COMPUTED_VALUE"""),"https://www.facebook.com/rapplerdotcom/photos/a.317154781638645/5595733810447356/")</f>
        <v>https://www.facebook.com/rapplerdotcom/photos/a.317154781638645/5595733810447356/</v>
      </c>
      <c r="J1294" s="1" t="str">
        <f ca="1">IFERROR(__xludf.DUMMYFUNCTION("""COMPUTED_VALUE"""),"2022-07-04T15:41:10.240Z")</f>
        <v>2022-07-04T15:41:10.240Z</v>
      </c>
    </row>
    <row r="1295" spans="1:10" x14ac:dyDescent="0.2">
      <c r="A1295" s="2" t="str">
        <f ca="1">IFERROR(__xludf.DUMMYFUNCTION("""COMPUTED_VALUE"""),"https://www.facebook.com/profile.php?id=100009637215034")</f>
        <v>https://www.facebook.com/profile.php?id=100009637215034</v>
      </c>
      <c r="B1295" s="1" t="str">
        <f ca="1">IFERROR(__xludf.DUMMYFUNCTION("""COMPUTED_VALUE"""),"Mari Cas")</f>
        <v>Mari Cas</v>
      </c>
      <c r="C1295" s="1" t="str">
        <f ca="1">IFERROR(__xludf.DUMMYFUNCTION("""COMPUTED_VALUE"""),"Mari")</f>
        <v>Mari</v>
      </c>
      <c r="D1295" s="1" t="str">
        <f ca="1">IFERROR(__xludf.DUMMYFUNCTION("""COMPUTED_VALUE"""),"Cas")</f>
        <v>Cas</v>
      </c>
      <c r="E1295" s="1" t="str">
        <f ca="1">IFERROR(__xludf.DUMMYFUNCTION("""COMPUTED_VALUE"""),"Mirandilla Alex R Act Galingan mo naman sa script, magagalet TL mo nyan.")</f>
        <v>Mirandilla Alex R Act Galingan mo naman sa script, magagalet TL mo nyan.</v>
      </c>
      <c r="F1295" s="1">
        <f ca="1">IFERROR(__xludf.DUMMYFUNCTION("""COMPUTED_VALUE"""),2)</f>
        <v>2</v>
      </c>
      <c r="G1295" s="1" t="str">
        <f ca="1">IFERROR(__xludf.DUMMYFUNCTION("""COMPUTED_VALUE"""),"3 mos")</f>
        <v>3 mos</v>
      </c>
      <c r="H1295" s="1" t="str">
        <f ca="1">IFERROR(__xludf.DUMMYFUNCTION("""COMPUTED_VALUE"""),"reply")</f>
        <v>reply</v>
      </c>
      <c r="I1295" s="2" t="str">
        <f ca="1">IFERROR(__xludf.DUMMYFUNCTION("""COMPUTED_VALUE"""),"https://www.facebook.com/rapplerdotcom/photos/a.317154781638645/5595733810447356/")</f>
        <v>https://www.facebook.com/rapplerdotcom/photos/a.317154781638645/5595733810447356/</v>
      </c>
      <c r="J1295" s="1" t="str">
        <f ca="1">IFERROR(__xludf.DUMMYFUNCTION("""COMPUTED_VALUE"""),"2022-07-04T15:41:10.240Z")</f>
        <v>2022-07-04T15:41:10.240Z</v>
      </c>
    </row>
    <row r="1296" spans="1:10" x14ac:dyDescent="0.2">
      <c r="A1296" s="2" t="str">
        <f ca="1">IFERROR(__xludf.DUMMYFUNCTION("""COMPUTED_VALUE"""),"https://www.facebook.com/mariano.josh99")</f>
        <v>https://www.facebook.com/mariano.josh99</v>
      </c>
      <c r="B1296" s="1" t="str">
        <f ca="1">IFERROR(__xludf.DUMMYFUNCTION("""COMPUTED_VALUE"""),"Josh Mariano")</f>
        <v>Josh Mariano</v>
      </c>
      <c r="C1296" s="1" t="str">
        <f ca="1">IFERROR(__xludf.DUMMYFUNCTION("""COMPUTED_VALUE"""),"Josh")</f>
        <v>Josh</v>
      </c>
      <c r="D1296" s="1" t="str">
        <f ca="1">IFERROR(__xludf.DUMMYFUNCTION("""COMPUTED_VALUE"""),"Mariano")</f>
        <v>Mariano</v>
      </c>
      <c r="E1296" s="1" t="str">
        <f ca="1">IFERROR(__xludf.DUMMYFUNCTION("""COMPUTED_VALUE"""),"Mirandilla Alex R Act linyahan mo pang bpo hopper walang plano sa buhay 🤣")</f>
        <v>Mirandilla Alex R Act linyahan mo pang bpo hopper walang plano sa buhay 🤣</v>
      </c>
      <c r="F1296" s="1">
        <f ca="1">IFERROR(__xludf.DUMMYFUNCTION("""COMPUTED_VALUE"""),1)</f>
        <v>1</v>
      </c>
      <c r="G1296" s="1" t="str">
        <f ca="1">IFERROR(__xludf.DUMMYFUNCTION("""COMPUTED_VALUE"""),"3 mos")</f>
        <v>3 mos</v>
      </c>
      <c r="H1296" s="1" t="str">
        <f ca="1">IFERROR(__xludf.DUMMYFUNCTION("""COMPUTED_VALUE"""),"reply")</f>
        <v>reply</v>
      </c>
      <c r="I1296" s="2" t="str">
        <f ca="1">IFERROR(__xludf.DUMMYFUNCTION("""COMPUTED_VALUE"""),"https://www.facebook.com/rapplerdotcom/photos/a.317154781638645/5595733810447356/")</f>
        <v>https://www.facebook.com/rapplerdotcom/photos/a.317154781638645/5595733810447356/</v>
      </c>
      <c r="J1296" s="1" t="str">
        <f ca="1">IFERROR(__xludf.DUMMYFUNCTION("""COMPUTED_VALUE"""),"2022-07-04T15:41:10.240Z")</f>
        <v>2022-07-04T15:41:10.240Z</v>
      </c>
    </row>
    <row r="1297" spans="1:10" x14ac:dyDescent="0.2">
      <c r="A1297" s="2" t="str">
        <f ca="1">IFERROR(__xludf.DUMMYFUNCTION("""COMPUTED_VALUE"""),"https://www.facebook.com/gia.mitchell.9655")</f>
        <v>https://www.facebook.com/gia.mitchell.9655</v>
      </c>
      <c r="B1297" s="1" t="str">
        <f ca="1">IFERROR(__xludf.DUMMYFUNCTION("""COMPUTED_VALUE"""),"Gia Mitchell")</f>
        <v>Gia Mitchell</v>
      </c>
      <c r="C1297" s="1" t="str">
        <f ca="1">IFERROR(__xludf.DUMMYFUNCTION("""COMPUTED_VALUE"""),"Gia")</f>
        <v>Gia</v>
      </c>
      <c r="D1297" s="1" t="str">
        <f ca="1">IFERROR(__xludf.DUMMYFUNCTION("""COMPUTED_VALUE"""),"Mitchell")</f>
        <v>Mitchell</v>
      </c>
      <c r="E1297" s="1" t="str">
        <f ca="1">IFERROR(__xludf.DUMMYFUNCTION("""COMPUTED_VALUE"""),"Mirandilla Alex R Act idk tanong mo sa kapwa BBMs mo na binabayaran ng 50php lang")</f>
        <v>Mirandilla Alex R Act idk tanong mo sa kapwa BBMs mo na binabayaran ng 50php lang</v>
      </c>
      <c r="F1297" s="1"/>
      <c r="G1297" s="1" t="str">
        <f ca="1">IFERROR(__xludf.DUMMYFUNCTION("""COMPUTED_VALUE"""),"3 mos")</f>
        <v>3 mos</v>
      </c>
      <c r="H1297" s="1" t="str">
        <f ca="1">IFERROR(__xludf.DUMMYFUNCTION("""COMPUTED_VALUE"""),"reply")</f>
        <v>reply</v>
      </c>
      <c r="I1297" s="2" t="str">
        <f ca="1">IFERROR(__xludf.DUMMYFUNCTION("""COMPUTED_VALUE"""),"https://www.facebook.com/rapplerdotcom/photos/a.317154781638645/5595733810447356/")</f>
        <v>https://www.facebook.com/rapplerdotcom/photos/a.317154781638645/5595733810447356/</v>
      </c>
      <c r="J1297" s="1" t="str">
        <f ca="1">IFERROR(__xludf.DUMMYFUNCTION("""COMPUTED_VALUE"""),"2022-07-04T15:41:10.240Z")</f>
        <v>2022-07-04T15:41:10.240Z</v>
      </c>
    </row>
    <row r="1298" spans="1:10" x14ac:dyDescent="0.2">
      <c r="A1298" s="2" t="str">
        <f ca="1">IFERROR(__xludf.DUMMYFUNCTION("""COMPUTED_VALUE"""),"https://www.facebook.com/marlon.argonza")</f>
        <v>https://www.facebook.com/marlon.argonza</v>
      </c>
      <c r="B1298" s="1" t="str">
        <f ca="1">IFERROR(__xludf.DUMMYFUNCTION("""COMPUTED_VALUE"""),"Marlon Dela Rosa Argonza")</f>
        <v>Marlon Dela Rosa Argonza</v>
      </c>
      <c r="C1298" s="1" t="str">
        <f ca="1">IFERROR(__xludf.DUMMYFUNCTION("""COMPUTED_VALUE"""),"Marlon")</f>
        <v>Marlon</v>
      </c>
      <c r="D1298" s="1" t="str">
        <f ca="1">IFERROR(__xludf.DUMMYFUNCTION("""COMPUTED_VALUE"""),"Dela Rosa Argonza")</f>
        <v>Dela Rosa Argonza</v>
      </c>
      <c r="E1298" s="1" t="str">
        <f ca="1">IFERROR(__xludf.DUMMYFUNCTION("""COMPUTED_VALUE"""),"D lahat ng driver tatay kayo lng siguro...")</f>
        <v>D lahat ng driver tatay kayo lng siguro...</v>
      </c>
      <c r="F1298" s="1">
        <f ca="1">IFERROR(__xludf.DUMMYFUNCTION("""COMPUTED_VALUE"""),1)</f>
        <v>1</v>
      </c>
      <c r="G1298" s="1" t="str">
        <f ca="1">IFERROR(__xludf.DUMMYFUNCTION("""COMPUTED_VALUE"""),"3 mos")</f>
        <v>3 mos</v>
      </c>
      <c r="H1298" s="1" t="str">
        <f ca="1">IFERROR(__xludf.DUMMYFUNCTION("""COMPUTED_VALUE"""),"comment")</f>
        <v>comment</v>
      </c>
      <c r="I1298" s="2" t="str">
        <f ca="1">IFERROR(__xludf.DUMMYFUNCTION("""COMPUTED_VALUE"""),"https://www.facebook.com/rapplerdotcom/photos/a.317154781638645/5595733810447356/")</f>
        <v>https://www.facebook.com/rapplerdotcom/photos/a.317154781638645/5595733810447356/</v>
      </c>
      <c r="J1298" s="1" t="str">
        <f ca="1">IFERROR(__xludf.DUMMYFUNCTION("""COMPUTED_VALUE"""),"2022-07-04T15:41:10.240Z")</f>
        <v>2022-07-04T15:41:10.240Z</v>
      </c>
    </row>
    <row r="1299" spans="1:10" x14ac:dyDescent="0.2">
      <c r="A1299" s="2" t="str">
        <f ca="1">IFERROR(__xludf.DUMMYFUNCTION("""COMPUTED_VALUE"""),"https://www.facebook.com/vinz.jasareno")</f>
        <v>https://www.facebook.com/vinz.jasareno</v>
      </c>
      <c r="B1299" s="1" t="str">
        <f ca="1">IFERROR(__xludf.DUMMYFUNCTION("""COMPUTED_VALUE"""),"Vinz Jasareno")</f>
        <v>Vinz Jasareno</v>
      </c>
      <c r="C1299" s="1" t="str">
        <f ca="1">IFERROR(__xludf.DUMMYFUNCTION("""COMPUTED_VALUE"""),"Vinz")</f>
        <v>Vinz</v>
      </c>
      <c r="D1299" s="1" t="str">
        <f ca="1">IFERROR(__xludf.DUMMYFUNCTION("""COMPUTED_VALUE"""),"Jasareno")</f>
        <v>Jasareno</v>
      </c>
      <c r="E1299" s="1" t="str">
        <f ca="1">IFERROR(__xludf.DUMMYFUNCTION("""COMPUTED_VALUE"""),"Marlon Dela Rosa Argonza guilty")</f>
        <v>Marlon Dela Rosa Argonza guilty</v>
      </c>
      <c r="F1299" s="1"/>
      <c r="G1299" s="1" t="str">
        <f ca="1">IFERROR(__xludf.DUMMYFUNCTION("""COMPUTED_VALUE"""),"3 mos")</f>
        <v>3 mos</v>
      </c>
      <c r="H1299" s="1" t="str">
        <f ca="1">IFERROR(__xludf.DUMMYFUNCTION("""COMPUTED_VALUE"""),"reply")</f>
        <v>reply</v>
      </c>
      <c r="I1299" s="2" t="str">
        <f ca="1">IFERROR(__xludf.DUMMYFUNCTION("""COMPUTED_VALUE"""),"https://www.facebook.com/rapplerdotcom/photos/a.317154781638645/5595733810447356/")</f>
        <v>https://www.facebook.com/rapplerdotcom/photos/a.317154781638645/5595733810447356/</v>
      </c>
      <c r="J1299" s="1" t="str">
        <f ca="1">IFERROR(__xludf.DUMMYFUNCTION("""COMPUTED_VALUE"""),"2022-07-04T15:41:10.240Z")</f>
        <v>2022-07-04T15:41:10.240Z</v>
      </c>
    </row>
    <row r="1300" spans="1:10" x14ac:dyDescent="0.2">
      <c r="A1300" s="2" t="str">
        <f ca="1">IFERROR(__xludf.DUMMYFUNCTION("""COMPUTED_VALUE"""),"https://www.facebook.com/Mrs.prias.3")</f>
        <v>https://www.facebook.com/Mrs.prias.3</v>
      </c>
      <c r="B1300" s="1" t="str">
        <f ca="1">IFERROR(__xludf.DUMMYFUNCTION("""COMPUTED_VALUE"""),"Lioney Prias")</f>
        <v>Lioney Prias</v>
      </c>
      <c r="C1300" s="1" t="str">
        <f ca="1">IFERROR(__xludf.DUMMYFUNCTION("""COMPUTED_VALUE"""),"Lioney")</f>
        <v>Lioney</v>
      </c>
      <c r="D1300" s="1" t="str">
        <f ca="1">IFERROR(__xludf.DUMMYFUNCTION("""COMPUTED_VALUE"""),"Prias")</f>
        <v>Prias</v>
      </c>
      <c r="E1300" s="1" t="str">
        <f ca="1">IFERROR(__xludf.DUMMYFUNCTION("""COMPUTED_VALUE"""),"Pang full tank lng At pangkain")</f>
        <v>Pang full tank lng At pangkain</v>
      </c>
      <c r="F1300" s="1">
        <f ca="1">IFERROR(__xludf.DUMMYFUNCTION("""COMPUTED_VALUE"""),10)</f>
        <v>10</v>
      </c>
      <c r="G1300" s="1" t="str">
        <f ca="1">IFERROR(__xludf.DUMMYFUNCTION("""COMPUTED_VALUE"""),"3 mos")</f>
        <v>3 mos</v>
      </c>
      <c r="H1300" s="1" t="str">
        <f ca="1">IFERROR(__xludf.DUMMYFUNCTION("""COMPUTED_VALUE"""),"comment")</f>
        <v>comment</v>
      </c>
      <c r="I1300" s="2" t="str">
        <f ca="1">IFERROR(__xludf.DUMMYFUNCTION("""COMPUTED_VALUE"""),"https://www.facebook.com/rapplerdotcom/photos/a.317154781638645/5595733810447356/")</f>
        <v>https://www.facebook.com/rapplerdotcom/photos/a.317154781638645/5595733810447356/</v>
      </c>
      <c r="J1300" s="1" t="str">
        <f ca="1">IFERROR(__xludf.DUMMYFUNCTION("""COMPUTED_VALUE"""),"2022-07-04T15:41:10.240Z")</f>
        <v>2022-07-04T15:41:10.240Z</v>
      </c>
    </row>
    <row r="1301" spans="1:10" x14ac:dyDescent="0.2">
      <c r="A1301" s="2" t="str">
        <f ca="1">IFERROR(__xludf.DUMMYFUNCTION("""COMPUTED_VALUE"""),"https://www.facebook.com/maryjane.martizano")</f>
        <v>https://www.facebook.com/maryjane.martizano</v>
      </c>
      <c r="B1301" s="1" t="str">
        <f ca="1">IFERROR(__xludf.DUMMYFUNCTION("""COMPUTED_VALUE"""),"Mj Martizano")</f>
        <v>Mj Martizano</v>
      </c>
      <c r="C1301" s="1" t="str">
        <f ca="1">IFERROR(__xludf.DUMMYFUNCTION("""COMPUTED_VALUE"""),"Mj")</f>
        <v>Mj</v>
      </c>
      <c r="D1301" s="1" t="str">
        <f ca="1">IFERROR(__xludf.DUMMYFUNCTION("""COMPUTED_VALUE"""),"Martizano")</f>
        <v>Martizano</v>
      </c>
      <c r="E1301" s="1" t="str">
        <f ca="1">IFERROR(__xludf.DUMMYFUNCTION("""COMPUTED_VALUE"""),"Lioney Prias ikaw po ba nag abot ng pang pagkain at pang full tank ni tatay?")</f>
        <v>Lioney Prias ikaw po ba nag abot ng pang pagkain at pang full tank ni tatay?</v>
      </c>
      <c r="F1301" s="1">
        <f ca="1">IFERROR(__xludf.DUMMYFUNCTION("""COMPUTED_VALUE"""),3)</f>
        <v>3</v>
      </c>
      <c r="G1301" s="1" t="str">
        <f ca="1">IFERROR(__xludf.DUMMYFUNCTION("""COMPUTED_VALUE"""),"3 mos")</f>
        <v>3 mos</v>
      </c>
      <c r="H1301" s="1" t="str">
        <f ca="1">IFERROR(__xludf.DUMMYFUNCTION("""COMPUTED_VALUE"""),"reply")</f>
        <v>reply</v>
      </c>
      <c r="I1301" s="2" t="str">
        <f ca="1">IFERROR(__xludf.DUMMYFUNCTION("""COMPUTED_VALUE"""),"https://www.facebook.com/rapplerdotcom/photos/a.317154781638645/5595733810447356/")</f>
        <v>https://www.facebook.com/rapplerdotcom/photos/a.317154781638645/5595733810447356/</v>
      </c>
      <c r="J1301" s="1" t="str">
        <f ca="1">IFERROR(__xludf.DUMMYFUNCTION("""COMPUTED_VALUE"""),"2022-07-04T15:41:10.240Z")</f>
        <v>2022-07-04T15:41:10.240Z</v>
      </c>
    </row>
    <row r="1302" spans="1:10" x14ac:dyDescent="0.2">
      <c r="A1302" s="2" t="str">
        <f ca="1">IFERROR(__xludf.DUMMYFUNCTION("""COMPUTED_VALUE"""),"https://www.facebook.com/IamRoselleBaltazar")</f>
        <v>https://www.facebook.com/IamRoselleBaltazar</v>
      </c>
      <c r="B1302" s="1" t="str">
        <f ca="1">IFERROR(__xludf.DUMMYFUNCTION("""COMPUTED_VALUE"""),"Roselle Baltazar")</f>
        <v>Roselle Baltazar</v>
      </c>
      <c r="C1302" s="1" t="str">
        <f ca="1">IFERROR(__xludf.DUMMYFUNCTION("""COMPUTED_VALUE"""),"Roselle")</f>
        <v>Roselle</v>
      </c>
      <c r="D1302" s="1" t="str">
        <f ca="1">IFERROR(__xludf.DUMMYFUNCTION("""COMPUTED_VALUE"""),"Baltazar")</f>
        <v>Baltazar</v>
      </c>
      <c r="E1302" s="1" t="str">
        <f ca="1">IFERROR(__xludf.DUMMYFUNCTION("""COMPUTED_VALUE"""),"Lioney Prias yung gawain mo wag mo ibintang sa iba. 🤬")</f>
        <v>Lioney Prias yung gawain mo wag mo ibintang sa iba. 🤬</v>
      </c>
      <c r="F1302" s="1">
        <f ca="1">IFERROR(__xludf.DUMMYFUNCTION("""COMPUTED_VALUE"""),4)</f>
        <v>4</v>
      </c>
      <c r="G1302" s="1" t="str">
        <f ca="1">IFERROR(__xludf.DUMMYFUNCTION("""COMPUTED_VALUE"""),"3 mos")</f>
        <v>3 mos</v>
      </c>
      <c r="H1302" s="1" t="str">
        <f ca="1">IFERROR(__xludf.DUMMYFUNCTION("""COMPUTED_VALUE"""),"reply")</f>
        <v>reply</v>
      </c>
      <c r="I1302" s="2" t="str">
        <f ca="1">IFERROR(__xludf.DUMMYFUNCTION("""COMPUTED_VALUE"""),"https://www.facebook.com/rapplerdotcom/photos/a.317154781638645/5595733810447356/")</f>
        <v>https://www.facebook.com/rapplerdotcom/photos/a.317154781638645/5595733810447356/</v>
      </c>
      <c r="J1302" s="1" t="str">
        <f ca="1">IFERROR(__xludf.DUMMYFUNCTION("""COMPUTED_VALUE"""),"2022-07-04T15:41:10.241Z")</f>
        <v>2022-07-04T15:41:10.241Z</v>
      </c>
    </row>
    <row r="1303" spans="1:10" x14ac:dyDescent="0.2">
      <c r="A1303" s="2" t="str">
        <f ca="1">IFERROR(__xludf.DUMMYFUNCTION("""COMPUTED_VALUE"""),"https://www.facebook.com/migsaquino")</f>
        <v>https://www.facebook.com/migsaquino</v>
      </c>
      <c r="B1303" s="1" t="str">
        <f ca="1">IFERROR(__xludf.DUMMYFUNCTION("""COMPUTED_VALUE"""),"Miguel Aquino")</f>
        <v>Miguel Aquino</v>
      </c>
      <c r="C1303" s="1" t="str">
        <f ca="1">IFERROR(__xludf.DUMMYFUNCTION("""COMPUTED_VALUE"""),"Miguel")</f>
        <v>Miguel</v>
      </c>
      <c r="D1303" s="1" t="str">
        <f ca="1">IFERROR(__xludf.DUMMYFUNCTION("""COMPUTED_VALUE"""),"Aquino")</f>
        <v>Aquino</v>
      </c>
      <c r="E1303" s="1" t="str">
        <f ca="1">IFERROR(__xludf.DUMMYFUNCTION("""COMPUTED_VALUE"""),"Lioney Prias Liit naman. 😅 Sa kabila siguro 203 Billion. 👀")</f>
        <v>Lioney Prias Liit naman. 😅 Sa kabila siguro 203 Billion. 👀</v>
      </c>
      <c r="F1303" s="1">
        <f ca="1">IFERROR(__xludf.DUMMYFUNCTION("""COMPUTED_VALUE"""),3)</f>
        <v>3</v>
      </c>
      <c r="G1303" s="1" t="str">
        <f ca="1">IFERROR(__xludf.DUMMYFUNCTION("""COMPUTED_VALUE"""),"3 mos")</f>
        <v>3 mos</v>
      </c>
      <c r="H1303" s="1" t="str">
        <f ca="1">IFERROR(__xludf.DUMMYFUNCTION("""COMPUTED_VALUE"""),"reply")</f>
        <v>reply</v>
      </c>
      <c r="I1303" s="2" t="str">
        <f ca="1">IFERROR(__xludf.DUMMYFUNCTION("""COMPUTED_VALUE"""),"https://www.facebook.com/rapplerdotcom/photos/a.317154781638645/5595733810447356/")</f>
        <v>https://www.facebook.com/rapplerdotcom/photos/a.317154781638645/5595733810447356/</v>
      </c>
      <c r="J1303" s="1" t="str">
        <f ca="1">IFERROR(__xludf.DUMMYFUNCTION("""COMPUTED_VALUE"""),"2022-07-04T15:41:10.241Z")</f>
        <v>2022-07-04T15:41:10.241Z</v>
      </c>
    </row>
    <row r="1304" spans="1:10" x14ac:dyDescent="0.2">
      <c r="A1304" s="2" t="str">
        <f ca="1">IFERROR(__xludf.DUMMYFUNCTION("""COMPUTED_VALUE"""),"https://www.facebook.com/IamRoselleBaltazar")</f>
        <v>https://www.facebook.com/IamRoselleBaltazar</v>
      </c>
      <c r="B1304" s="1" t="str">
        <f ca="1">IFERROR(__xludf.DUMMYFUNCTION("""COMPUTED_VALUE"""),"Roselle Baltazar")</f>
        <v>Roselle Baltazar</v>
      </c>
      <c r="C1304" s="1" t="str">
        <f ca="1">IFERROR(__xludf.DUMMYFUNCTION("""COMPUTED_VALUE"""),"Roselle")</f>
        <v>Roselle</v>
      </c>
      <c r="D1304" s="1" t="str">
        <f ca="1">IFERROR(__xludf.DUMMYFUNCTION("""COMPUTED_VALUE"""),"Baltazar")</f>
        <v>Baltazar</v>
      </c>
      <c r="E1304" s="1" t="str">
        <f ca="1">IFERROR(__xludf.DUMMYFUNCTION("""COMPUTED_VALUE"""),"Lioney Prias  yung konsensya mo ba sinanla mo na talaga kay satanas? 72 y/o patuloy na nagbabanat ng buto para may mapakain sa pamilya tapos i-accuse mo sya ng ganyan? Nakakasukang pag-uugali.")</f>
        <v>Lioney Prias  yung konsensya mo ba sinanla mo na talaga kay satanas? 72 y/o patuloy na nagbabanat ng buto para may mapakain sa pamilya tapos i-accuse mo sya ng ganyan? Nakakasukang pag-uugali.</v>
      </c>
      <c r="F1304" s="1">
        <f ca="1">IFERROR(__xludf.DUMMYFUNCTION("""COMPUTED_VALUE"""),3)</f>
        <v>3</v>
      </c>
      <c r="G1304" s="1" t="str">
        <f ca="1">IFERROR(__xludf.DUMMYFUNCTION("""COMPUTED_VALUE"""),"3 mos")</f>
        <v>3 mos</v>
      </c>
      <c r="H1304" s="1" t="str">
        <f ca="1">IFERROR(__xludf.DUMMYFUNCTION("""COMPUTED_VALUE"""),"reply")</f>
        <v>reply</v>
      </c>
      <c r="I1304" s="2" t="str">
        <f ca="1">IFERROR(__xludf.DUMMYFUNCTION("""COMPUTED_VALUE"""),"https://www.facebook.com/rapplerdotcom/photos/a.317154781638645/5595733810447356/")</f>
        <v>https://www.facebook.com/rapplerdotcom/photos/a.317154781638645/5595733810447356/</v>
      </c>
      <c r="J1304" s="1" t="str">
        <f ca="1">IFERROR(__xludf.DUMMYFUNCTION("""COMPUTED_VALUE"""),"2022-07-04T15:41:10.241Z")</f>
        <v>2022-07-04T15:41:10.241Z</v>
      </c>
    </row>
    <row r="1305" spans="1:10" x14ac:dyDescent="0.2">
      <c r="A1305" s="2" t="str">
        <f ca="1">IFERROR(__xludf.DUMMYFUNCTION("""COMPUTED_VALUE"""),"https://www.facebook.com/richard.delacruz.75033")</f>
        <v>https://www.facebook.com/richard.delacruz.75033</v>
      </c>
      <c r="B1305" s="1" t="str">
        <f ca="1">IFERROR(__xludf.DUMMYFUNCTION("""COMPUTED_VALUE"""),"Richard de la Cruz")</f>
        <v>Richard de la Cruz</v>
      </c>
      <c r="C1305" s="1" t="str">
        <f ca="1">IFERROR(__xludf.DUMMYFUNCTION("""COMPUTED_VALUE"""),"Richard")</f>
        <v>Richard</v>
      </c>
      <c r="D1305" s="1" t="str">
        <f ca="1">IFERROR(__xludf.DUMMYFUNCTION("""COMPUTED_VALUE"""),"de la Cruz")</f>
        <v>de la Cruz</v>
      </c>
      <c r="E1305" s="1" t="str">
        <f ca="1">IFERROR(__xludf.DUMMYFUNCTION("""COMPUTED_VALUE"""),"Lioney Prias Sana maranasan mo yung dinadanas ng matanda hindi ka kasi maka-intindi...")</f>
        <v>Lioney Prias Sana maranasan mo yung dinadanas ng matanda hindi ka kasi maka-intindi...</v>
      </c>
      <c r="F1305" s="1">
        <f ca="1">IFERROR(__xludf.DUMMYFUNCTION("""COMPUTED_VALUE"""),2)</f>
        <v>2</v>
      </c>
      <c r="G1305" s="1" t="str">
        <f ca="1">IFERROR(__xludf.DUMMYFUNCTION("""COMPUTED_VALUE"""),"3 mos")</f>
        <v>3 mos</v>
      </c>
      <c r="H1305" s="1" t="str">
        <f ca="1">IFERROR(__xludf.DUMMYFUNCTION("""COMPUTED_VALUE"""),"reply")</f>
        <v>reply</v>
      </c>
      <c r="I1305" s="2" t="str">
        <f ca="1">IFERROR(__xludf.DUMMYFUNCTION("""COMPUTED_VALUE"""),"https://www.facebook.com/rapplerdotcom/photos/a.317154781638645/5595733810447356/")</f>
        <v>https://www.facebook.com/rapplerdotcom/photos/a.317154781638645/5595733810447356/</v>
      </c>
      <c r="J1305" s="1" t="str">
        <f ca="1">IFERROR(__xludf.DUMMYFUNCTION("""COMPUTED_VALUE"""),"2022-07-04T15:41:10.241Z")</f>
        <v>2022-07-04T15:41:10.241Z</v>
      </c>
    </row>
    <row r="1306" spans="1:10" x14ac:dyDescent="0.2">
      <c r="A1306" s="2" t="str">
        <f ca="1">IFERROR(__xludf.DUMMYFUNCTION("""COMPUTED_VALUE"""),"https://www.facebook.com/profile.php?id=100009637215034")</f>
        <v>https://www.facebook.com/profile.php?id=100009637215034</v>
      </c>
      <c r="B1306" s="1" t="str">
        <f ca="1">IFERROR(__xludf.DUMMYFUNCTION("""COMPUTED_VALUE"""),"Mari Cas")</f>
        <v>Mari Cas</v>
      </c>
      <c r="C1306" s="1" t="str">
        <f ca="1">IFERROR(__xludf.DUMMYFUNCTION("""COMPUTED_VALUE"""),"Mari")</f>
        <v>Mari</v>
      </c>
      <c r="D1306" s="1" t="str">
        <f ca="1">IFERROR(__xludf.DUMMYFUNCTION("""COMPUTED_VALUE"""),"Cas")</f>
        <v>Cas</v>
      </c>
      <c r="E1306" s="1" t="str">
        <f ca="1">IFERROR(__xludf.DUMMYFUNCTION("""COMPUTED_VALUE"""),"Lioney Prias Gawain mo yan eh,wag ka na mandamay")</f>
        <v>Lioney Prias Gawain mo yan eh,wag ka na mandamay</v>
      </c>
      <c r="F1306" s="1">
        <f ca="1">IFERROR(__xludf.DUMMYFUNCTION("""COMPUTED_VALUE"""),2)</f>
        <v>2</v>
      </c>
      <c r="G1306" s="1" t="str">
        <f ca="1">IFERROR(__xludf.DUMMYFUNCTION("""COMPUTED_VALUE"""),"3 mos")</f>
        <v>3 mos</v>
      </c>
      <c r="H1306" s="1" t="str">
        <f ca="1">IFERROR(__xludf.DUMMYFUNCTION("""COMPUTED_VALUE"""),"reply")</f>
        <v>reply</v>
      </c>
      <c r="I1306" s="2" t="str">
        <f ca="1">IFERROR(__xludf.DUMMYFUNCTION("""COMPUTED_VALUE"""),"https://www.facebook.com/rapplerdotcom/photos/a.317154781638645/5595733810447356/")</f>
        <v>https://www.facebook.com/rapplerdotcom/photos/a.317154781638645/5595733810447356/</v>
      </c>
      <c r="J1306" s="1" t="str">
        <f ca="1">IFERROR(__xludf.DUMMYFUNCTION("""COMPUTED_VALUE"""),"2022-07-04T15:41:10.241Z")</f>
        <v>2022-07-04T15:41:10.241Z</v>
      </c>
    </row>
    <row r="1307" spans="1:10" x14ac:dyDescent="0.2">
      <c r="A1307" s="2" t="str">
        <f ca="1">IFERROR(__xludf.DUMMYFUNCTION("""COMPUTED_VALUE"""),"https://www.facebook.com/cat.carrot.50")</f>
        <v>https://www.facebook.com/cat.carrot.50</v>
      </c>
      <c r="B1307" s="1" t="str">
        <f ca="1">IFERROR(__xludf.DUMMYFUNCTION("""COMPUTED_VALUE"""),"Cat Carrot")</f>
        <v>Cat Carrot</v>
      </c>
      <c r="C1307" s="1" t="str">
        <f ca="1">IFERROR(__xludf.DUMMYFUNCTION("""COMPUTED_VALUE"""),"Cat")</f>
        <v>Cat</v>
      </c>
      <c r="D1307" s="1" t="str">
        <f ca="1">IFERROR(__xludf.DUMMYFUNCTION("""COMPUTED_VALUE"""),"Carrot")</f>
        <v>Carrot</v>
      </c>
      <c r="E1307" s="1" t="str">
        <f ca="1">IFERROR(__xludf.DUMMYFUNCTION("""COMPUTED_VALUE"""),"Lioney Prias diba kayo yung nabigyan 50 pesos?")</f>
        <v>Lioney Prias diba kayo yung nabigyan 50 pesos?</v>
      </c>
      <c r="F1307" s="1">
        <f ca="1">IFERROR(__xludf.DUMMYFUNCTION("""COMPUTED_VALUE"""),1)</f>
        <v>1</v>
      </c>
      <c r="G1307" s="1" t="str">
        <f ca="1">IFERROR(__xludf.DUMMYFUNCTION("""COMPUTED_VALUE"""),"3 mos")</f>
        <v>3 mos</v>
      </c>
      <c r="H1307" s="1" t="str">
        <f ca="1">IFERROR(__xludf.DUMMYFUNCTION("""COMPUTED_VALUE"""),"reply")</f>
        <v>reply</v>
      </c>
      <c r="I1307" s="2" t="str">
        <f ca="1">IFERROR(__xludf.DUMMYFUNCTION("""COMPUTED_VALUE"""),"https://www.facebook.com/rapplerdotcom/photos/a.317154781638645/5595733810447356/")</f>
        <v>https://www.facebook.com/rapplerdotcom/photos/a.317154781638645/5595733810447356/</v>
      </c>
      <c r="J1307" s="1" t="str">
        <f ca="1">IFERROR(__xludf.DUMMYFUNCTION("""COMPUTED_VALUE"""),"2022-07-04T15:41:10.241Z")</f>
        <v>2022-07-04T15:41:10.241Z</v>
      </c>
    </row>
    <row r="1308" spans="1:10" x14ac:dyDescent="0.2">
      <c r="A1308" s="2" t="str">
        <f ca="1">IFERROR(__xludf.DUMMYFUNCTION("""COMPUTED_VALUE"""),"https://www.facebook.com/sunday.dugong")</f>
        <v>https://www.facebook.com/sunday.dugong</v>
      </c>
      <c r="B1308" s="1" t="str">
        <f ca="1">IFERROR(__xludf.DUMMYFUNCTION("""COMPUTED_VALUE"""),"Sunday Dugong")</f>
        <v>Sunday Dugong</v>
      </c>
      <c r="C1308" s="1" t="str">
        <f ca="1">IFERROR(__xludf.DUMMYFUNCTION("""COMPUTED_VALUE"""),"Sunday")</f>
        <v>Sunday</v>
      </c>
      <c r="D1308" s="1" t="str">
        <f ca="1">IFERROR(__xludf.DUMMYFUNCTION("""COMPUTED_VALUE"""),"Dugong")</f>
        <v>Dugong</v>
      </c>
      <c r="E1308" s="1" t="str">
        <f ca="1">IFERROR(__xludf.DUMMYFUNCTION("""COMPUTED_VALUE"""),"isoli ko na bukas driver license ko kayo na lng")</f>
        <v>isoli ko na bukas driver license ko kayo na lng</v>
      </c>
      <c r="F1308" s="1">
        <f ca="1">IFERROR(__xludf.DUMMYFUNCTION("""COMPUTED_VALUE"""),2)</f>
        <v>2</v>
      </c>
      <c r="G1308" s="1" t="str">
        <f ca="1">IFERROR(__xludf.DUMMYFUNCTION("""COMPUTED_VALUE"""),"3 mos")</f>
        <v>3 mos</v>
      </c>
      <c r="H1308" s="1" t="str">
        <f ca="1">IFERROR(__xludf.DUMMYFUNCTION("""COMPUTED_VALUE"""),"comment")</f>
        <v>comment</v>
      </c>
      <c r="I1308" s="2" t="str">
        <f ca="1">IFERROR(__xludf.DUMMYFUNCTION("""COMPUTED_VALUE"""),"https://www.facebook.com/rapplerdotcom/photos/a.317154781638645/5595733810447356/")</f>
        <v>https://www.facebook.com/rapplerdotcom/photos/a.317154781638645/5595733810447356/</v>
      </c>
      <c r="J1308" s="1" t="str">
        <f ca="1">IFERROR(__xludf.DUMMYFUNCTION("""COMPUTED_VALUE"""),"2022-07-04T15:41:10.241Z")</f>
        <v>2022-07-04T15:41:10.241Z</v>
      </c>
    </row>
    <row r="1309" spans="1:10" x14ac:dyDescent="0.2">
      <c r="A1309" s="2" t="str">
        <f ca="1">IFERROR(__xludf.DUMMYFUNCTION("""COMPUTED_VALUE"""),"https://www.facebook.com/pulubeng.kabute")</f>
        <v>https://www.facebook.com/pulubeng.kabute</v>
      </c>
      <c r="B1309" s="1" t="str">
        <f ca="1">IFERROR(__xludf.DUMMYFUNCTION("""COMPUTED_VALUE"""),"Gazelle Paulino")</f>
        <v>Gazelle Paulino</v>
      </c>
      <c r="C1309" s="1" t="str">
        <f ca="1">IFERROR(__xludf.DUMMYFUNCTION("""COMPUTED_VALUE"""),"Gazelle")</f>
        <v>Gazelle</v>
      </c>
      <c r="D1309" s="1" t="str">
        <f ca="1">IFERROR(__xludf.DUMMYFUNCTION("""COMPUTED_VALUE"""),"Paulino")</f>
        <v>Paulino</v>
      </c>
      <c r="E1309" s="1" t="str">
        <f ca="1">IFERROR(__xludf.DUMMYFUNCTION("""COMPUTED_VALUE"""),"Sunday Dugong sige nga.")</f>
        <v>Sunday Dugong sige nga.</v>
      </c>
      <c r="F1309" s="1"/>
      <c r="G1309" s="1" t="str">
        <f ca="1">IFERROR(__xludf.DUMMYFUNCTION("""COMPUTED_VALUE"""),"3 mos")</f>
        <v>3 mos</v>
      </c>
      <c r="H1309" s="1" t="str">
        <f ca="1">IFERROR(__xludf.DUMMYFUNCTION("""COMPUTED_VALUE"""),"reply")</f>
        <v>reply</v>
      </c>
      <c r="I1309" s="2" t="str">
        <f ca="1">IFERROR(__xludf.DUMMYFUNCTION("""COMPUTED_VALUE"""),"https://www.facebook.com/rapplerdotcom/photos/a.317154781638645/5595733810447356/")</f>
        <v>https://www.facebook.com/rapplerdotcom/photos/a.317154781638645/5595733810447356/</v>
      </c>
      <c r="J1309" s="1" t="str">
        <f ca="1">IFERROR(__xludf.DUMMYFUNCTION("""COMPUTED_VALUE"""),"2022-07-04T15:41:10.241Z")</f>
        <v>2022-07-04T15:41:10.241Z</v>
      </c>
    </row>
    <row r="1310" spans="1:10" x14ac:dyDescent="0.2">
      <c r="A1310" s="2" t="str">
        <f ca="1">IFERROR(__xludf.DUMMYFUNCTION("""COMPUTED_VALUE"""),"https://www.facebook.com/sunday.dugong")</f>
        <v>https://www.facebook.com/sunday.dugong</v>
      </c>
      <c r="B1310" s="1" t="str">
        <f ca="1">IFERROR(__xludf.DUMMYFUNCTION("""COMPUTED_VALUE"""),"Sunday Dugong")</f>
        <v>Sunday Dugong</v>
      </c>
      <c r="C1310" s="1" t="str">
        <f ca="1">IFERROR(__xludf.DUMMYFUNCTION("""COMPUTED_VALUE"""),"Sunday")</f>
        <v>Sunday</v>
      </c>
      <c r="D1310" s="1" t="str">
        <f ca="1">IFERROR(__xludf.DUMMYFUNCTION("""COMPUTED_VALUE"""),"Dugong")</f>
        <v>Dugong</v>
      </c>
      <c r="E1310" s="1" t="str">
        <f ca="1">IFERROR(__xludf.DUMMYFUNCTION("""COMPUTED_VALUE"""),"Bukas nga")</f>
        <v>Bukas nga</v>
      </c>
      <c r="F1310" s="1"/>
      <c r="G1310" s="1" t="str">
        <f ca="1">IFERROR(__xludf.DUMMYFUNCTION("""COMPUTED_VALUE"""),"3 mos")</f>
        <v>3 mos</v>
      </c>
      <c r="H1310" s="1" t="str">
        <f ca="1">IFERROR(__xludf.DUMMYFUNCTION("""COMPUTED_VALUE"""),"reply")</f>
        <v>reply</v>
      </c>
      <c r="I1310" s="2" t="str">
        <f ca="1">IFERROR(__xludf.DUMMYFUNCTION("""COMPUTED_VALUE"""),"https://www.facebook.com/rapplerdotcom/photos/a.317154781638645/5595733810447356/")</f>
        <v>https://www.facebook.com/rapplerdotcom/photos/a.317154781638645/5595733810447356/</v>
      </c>
      <c r="J1310" s="1" t="str">
        <f ca="1">IFERROR(__xludf.DUMMYFUNCTION("""COMPUTED_VALUE"""),"2022-07-04T15:41:10.241Z")</f>
        <v>2022-07-04T15:41:10.241Z</v>
      </c>
    </row>
    <row r="1311" spans="1:10" x14ac:dyDescent="0.2">
      <c r="A1311" s="2" t="str">
        <f ca="1">IFERROR(__xludf.DUMMYFUNCTION("""COMPUTED_VALUE"""),"https://www.facebook.com/gina.parin.7")</f>
        <v>https://www.facebook.com/gina.parin.7</v>
      </c>
      <c r="B1311" s="1" t="str">
        <f ca="1">IFERROR(__xludf.DUMMYFUNCTION("""COMPUTED_VALUE"""),"Gina Parin")</f>
        <v>Gina Parin</v>
      </c>
      <c r="C1311" s="1" t="str">
        <f ca="1">IFERROR(__xludf.DUMMYFUNCTION("""COMPUTED_VALUE"""),"Gina")</f>
        <v>Gina</v>
      </c>
      <c r="D1311" s="1" t="str">
        <f ca="1">IFERROR(__xludf.DUMMYFUNCTION("""COMPUTED_VALUE"""),"Parin")</f>
        <v>Parin</v>
      </c>
      <c r="E1311" s="1" t="str">
        <f ca="1">IFERROR(__xludf.DUMMYFUNCTION("""COMPUTED_VALUE"""),"Sunday Dugong 🤣🤣🤣🤣🤣")</f>
        <v>Sunday Dugong 🤣🤣🤣🤣🤣</v>
      </c>
      <c r="F1311" s="1"/>
      <c r="G1311" s="1" t="str">
        <f ca="1">IFERROR(__xludf.DUMMYFUNCTION("""COMPUTED_VALUE"""),"3 mos")</f>
        <v>3 mos</v>
      </c>
      <c r="H1311" s="1" t="str">
        <f ca="1">IFERROR(__xludf.DUMMYFUNCTION("""COMPUTED_VALUE"""),"reply")</f>
        <v>reply</v>
      </c>
      <c r="I1311" s="2" t="str">
        <f ca="1">IFERROR(__xludf.DUMMYFUNCTION("""COMPUTED_VALUE"""),"https://www.facebook.com/rapplerdotcom/photos/a.317154781638645/5595733810447356/")</f>
        <v>https://www.facebook.com/rapplerdotcom/photos/a.317154781638645/5595733810447356/</v>
      </c>
      <c r="J1311" s="1" t="str">
        <f ca="1">IFERROR(__xludf.DUMMYFUNCTION("""COMPUTED_VALUE"""),"2022-07-04T15:41:10.241Z")</f>
        <v>2022-07-04T15:41:10.241Z</v>
      </c>
    </row>
    <row r="1312" spans="1:10" x14ac:dyDescent="0.2">
      <c r="A1312" s="2" t="str">
        <f ca="1">IFERROR(__xludf.DUMMYFUNCTION("""COMPUTED_VALUE"""),"https://www.facebook.com/gia.mitchell.9655")</f>
        <v>https://www.facebook.com/gia.mitchell.9655</v>
      </c>
      <c r="B1312" s="1" t="str">
        <f ca="1">IFERROR(__xludf.DUMMYFUNCTION("""COMPUTED_VALUE"""),"Gia Mitchell")</f>
        <v>Gia Mitchell</v>
      </c>
      <c r="C1312" s="1" t="str">
        <f ca="1">IFERROR(__xludf.DUMMYFUNCTION("""COMPUTED_VALUE"""),"Gia")</f>
        <v>Gia</v>
      </c>
      <c r="D1312" s="1" t="str">
        <f ca="1">IFERROR(__xludf.DUMMYFUNCTION("""COMPUTED_VALUE"""),"Mitchell")</f>
        <v>Mitchell</v>
      </c>
      <c r="E1312" s="1" t="str">
        <f ca="1">IFERROR(__xludf.DUMMYFUNCTION("""COMPUTED_VALUE"""),"Sunday Dugong Isoli mo na ngayon")</f>
        <v>Sunday Dugong Isoli mo na ngayon</v>
      </c>
      <c r="F1312" s="1"/>
      <c r="G1312" s="1" t="str">
        <f ca="1">IFERROR(__xludf.DUMMYFUNCTION("""COMPUTED_VALUE"""),"3 mos")</f>
        <v>3 mos</v>
      </c>
      <c r="H1312" s="1" t="str">
        <f ca="1">IFERROR(__xludf.DUMMYFUNCTION("""COMPUTED_VALUE"""),"reply")</f>
        <v>reply</v>
      </c>
      <c r="I1312" s="2" t="str">
        <f ca="1">IFERROR(__xludf.DUMMYFUNCTION("""COMPUTED_VALUE"""),"https://www.facebook.com/rapplerdotcom/photos/a.317154781638645/5595733810447356/")</f>
        <v>https://www.facebook.com/rapplerdotcom/photos/a.317154781638645/5595733810447356/</v>
      </c>
      <c r="J1312" s="1" t="str">
        <f ca="1">IFERROR(__xludf.DUMMYFUNCTION("""COMPUTED_VALUE"""),"2022-07-04T15:41:10.241Z")</f>
        <v>2022-07-04T15:41:10.241Z</v>
      </c>
    </row>
    <row r="1313" spans="1:10" x14ac:dyDescent="0.2">
      <c r="A1313" s="2" t="str">
        <f ca="1">IFERROR(__xludf.DUMMYFUNCTION("""COMPUTED_VALUE"""),"https://www.facebook.com/sunday.dugong")</f>
        <v>https://www.facebook.com/sunday.dugong</v>
      </c>
      <c r="B1313" s="1" t="str">
        <f ca="1">IFERROR(__xludf.DUMMYFUNCTION("""COMPUTED_VALUE"""),"Sunday Dugong")</f>
        <v>Sunday Dugong</v>
      </c>
      <c r="C1313" s="1" t="str">
        <f ca="1">IFERROR(__xludf.DUMMYFUNCTION("""COMPUTED_VALUE"""),"Sunday")</f>
        <v>Sunday</v>
      </c>
      <c r="D1313" s="1" t="str">
        <f ca="1">IFERROR(__xludf.DUMMYFUNCTION("""COMPUTED_VALUE"""),"Dugong")</f>
        <v>Dugong</v>
      </c>
      <c r="E1313" s="1" t="str">
        <f ca="1">IFERROR(__xludf.DUMMYFUNCTION("""COMPUTED_VALUE"""),"Gia Mitchell linggo ngayon bukas ulit ha")</f>
        <v>Gia Mitchell linggo ngayon bukas ulit ha</v>
      </c>
      <c r="F1313" s="1"/>
      <c r="G1313" s="1" t="str">
        <f ca="1">IFERROR(__xludf.DUMMYFUNCTION("""COMPUTED_VALUE"""),"3 mos")</f>
        <v>3 mos</v>
      </c>
      <c r="H1313" s="1" t="str">
        <f ca="1">IFERROR(__xludf.DUMMYFUNCTION("""COMPUTED_VALUE"""),"reply")</f>
        <v>reply</v>
      </c>
      <c r="I1313" s="2" t="str">
        <f ca="1">IFERROR(__xludf.DUMMYFUNCTION("""COMPUTED_VALUE"""),"https://www.facebook.com/rapplerdotcom/photos/a.317154781638645/5595733810447356/")</f>
        <v>https://www.facebook.com/rapplerdotcom/photos/a.317154781638645/5595733810447356/</v>
      </c>
      <c r="J1313" s="1" t="str">
        <f ca="1">IFERROR(__xludf.DUMMYFUNCTION("""COMPUTED_VALUE"""),"2022-07-04T15:41:10.241Z")</f>
        <v>2022-07-04T15:41:10.241Z</v>
      </c>
    </row>
    <row r="1314" spans="1:10" x14ac:dyDescent="0.2">
      <c r="A1314" s="2" t="str">
        <f ca="1">IFERROR(__xludf.DUMMYFUNCTION("""COMPUTED_VALUE"""),"https://www.facebook.com/edison.lagota.1")</f>
        <v>https://www.facebook.com/edison.lagota.1</v>
      </c>
      <c r="B1314" s="1" t="str">
        <f ca="1">IFERROR(__xludf.DUMMYFUNCTION("""COMPUTED_VALUE"""),"Edison Soldao Lagota")</f>
        <v>Edison Soldao Lagota</v>
      </c>
      <c r="C1314" s="1" t="str">
        <f ca="1">IFERROR(__xludf.DUMMYFUNCTION("""COMPUTED_VALUE"""),"Edison")</f>
        <v>Edison</v>
      </c>
      <c r="D1314" s="1" t="str">
        <f ca="1">IFERROR(__xludf.DUMMYFUNCTION("""COMPUTED_VALUE"""),"Soldao Lagota")</f>
        <v>Soldao Lagota</v>
      </c>
      <c r="E1314" s="1" t="str">
        <f ca="1">IFERROR(__xludf.DUMMYFUNCTION("""COMPUTED_VALUE"""),"titigil na ako sa pamamasada")</f>
        <v>titigil na ako sa pamamasada</v>
      </c>
      <c r="F1314" s="1">
        <f ca="1">IFERROR(__xludf.DUMMYFUNCTION("""COMPUTED_VALUE"""),12)</f>
        <v>12</v>
      </c>
      <c r="G1314" s="1" t="str">
        <f ca="1">IFERROR(__xludf.DUMMYFUNCTION("""COMPUTED_VALUE"""),"3 mos")</f>
        <v>3 mos</v>
      </c>
      <c r="H1314" s="1" t="str">
        <f ca="1">IFERROR(__xludf.DUMMYFUNCTION("""COMPUTED_VALUE"""),"comment")</f>
        <v>comment</v>
      </c>
      <c r="I1314" s="2" t="str">
        <f ca="1">IFERROR(__xludf.DUMMYFUNCTION("""COMPUTED_VALUE"""),"https://www.facebook.com/rapplerdotcom/photos/a.317154781638645/5595733810447356/")</f>
        <v>https://www.facebook.com/rapplerdotcom/photos/a.317154781638645/5595733810447356/</v>
      </c>
      <c r="J1314" s="1" t="str">
        <f ca="1">IFERROR(__xludf.DUMMYFUNCTION("""COMPUTED_VALUE"""),"2022-07-04T15:41:10.241Z")</f>
        <v>2022-07-04T15:41:10.241Z</v>
      </c>
    </row>
    <row r="1315" spans="1:10" x14ac:dyDescent="0.2">
      <c r="A1315" s="2" t="str">
        <f ca="1">IFERROR(__xludf.DUMMYFUNCTION("""COMPUTED_VALUE"""),"https://www.facebook.com/aila0726")</f>
        <v>https://www.facebook.com/aila0726</v>
      </c>
      <c r="B1315" s="1" t="str">
        <f ca="1">IFERROR(__xludf.DUMMYFUNCTION("""COMPUTED_VALUE"""),"Rafaela Dy Pecante")</f>
        <v>Rafaela Dy Pecante</v>
      </c>
      <c r="C1315" s="1" t="str">
        <f ca="1">IFERROR(__xludf.DUMMYFUNCTION("""COMPUTED_VALUE"""),"Rafaela")</f>
        <v>Rafaela</v>
      </c>
      <c r="D1315" s="1" t="str">
        <f ca="1">IFERROR(__xludf.DUMMYFUNCTION("""COMPUTED_VALUE"""),"Dy Pecante")</f>
        <v>Dy Pecante</v>
      </c>
      <c r="E1315" s="1" t="str">
        <f ca="1">IFERROR(__xludf.DUMMYFUNCTION("""COMPUTED_VALUE"""),"Edison Soldao Lagota  Go ahead po. 👍")</f>
        <v>Edison Soldao Lagota  Go ahead po. 👍</v>
      </c>
      <c r="F1315" s="1">
        <f ca="1">IFERROR(__xludf.DUMMYFUNCTION("""COMPUTED_VALUE"""),13)</f>
        <v>13</v>
      </c>
      <c r="G1315" s="1" t="str">
        <f ca="1">IFERROR(__xludf.DUMMYFUNCTION("""COMPUTED_VALUE"""),"3 mos")</f>
        <v>3 mos</v>
      </c>
      <c r="H1315" s="1" t="str">
        <f ca="1">IFERROR(__xludf.DUMMYFUNCTION("""COMPUTED_VALUE"""),"reply")</f>
        <v>reply</v>
      </c>
      <c r="I1315" s="2" t="str">
        <f ca="1">IFERROR(__xludf.DUMMYFUNCTION("""COMPUTED_VALUE"""),"https://www.facebook.com/rapplerdotcom/photos/a.317154781638645/5595733810447356/")</f>
        <v>https://www.facebook.com/rapplerdotcom/photos/a.317154781638645/5595733810447356/</v>
      </c>
      <c r="J1315" s="1" t="str">
        <f ca="1">IFERROR(__xludf.DUMMYFUNCTION("""COMPUTED_VALUE"""),"2022-07-04T15:41:10.241Z")</f>
        <v>2022-07-04T15:41:10.241Z</v>
      </c>
    </row>
    <row r="1316" spans="1:10" x14ac:dyDescent="0.2">
      <c r="A1316" s="2" t="str">
        <f ca="1">IFERROR(__xludf.DUMMYFUNCTION("""COMPUTED_VALUE"""),"https://www.facebook.com/melay.rosales")</f>
        <v>https://www.facebook.com/melay.rosales</v>
      </c>
      <c r="B1316" s="1" t="str">
        <f ca="1">IFERROR(__xludf.DUMMYFUNCTION("""COMPUTED_VALUE"""),"Lee R. Rosales")</f>
        <v>Lee R. Rosales</v>
      </c>
      <c r="C1316" s="1" t="str">
        <f ca="1">IFERROR(__xludf.DUMMYFUNCTION("""COMPUTED_VALUE"""),"Lee")</f>
        <v>Lee</v>
      </c>
      <c r="D1316" s="1" t="str">
        <f ca="1">IFERROR(__xludf.DUMMYFUNCTION("""COMPUTED_VALUE"""),"R. Rosales")</f>
        <v>R. Rosales</v>
      </c>
      <c r="E1316" s="1" t="str">
        <f ca="1">IFERROR(__xludf.DUMMYFUNCTION("""COMPUTED_VALUE"""),"Edison Soldao Lagota  now na po🙏")</f>
        <v>Edison Soldao Lagota  now na po🙏</v>
      </c>
      <c r="F1316" s="1">
        <f ca="1">IFERROR(__xludf.DUMMYFUNCTION("""COMPUTED_VALUE"""),4)</f>
        <v>4</v>
      </c>
      <c r="G1316" s="1" t="str">
        <f ca="1">IFERROR(__xludf.DUMMYFUNCTION("""COMPUTED_VALUE"""),"3 mos")</f>
        <v>3 mos</v>
      </c>
      <c r="H1316" s="1" t="str">
        <f ca="1">IFERROR(__xludf.DUMMYFUNCTION("""COMPUTED_VALUE"""),"reply")</f>
        <v>reply</v>
      </c>
      <c r="I1316" s="2" t="str">
        <f ca="1">IFERROR(__xludf.DUMMYFUNCTION("""COMPUTED_VALUE"""),"https://www.facebook.com/rapplerdotcom/photos/a.317154781638645/5595733810447356/")</f>
        <v>https://www.facebook.com/rapplerdotcom/photos/a.317154781638645/5595733810447356/</v>
      </c>
      <c r="J1316" s="1" t="str">
        <f ca="1">IFERROR(__xludf.DUMMYFUNCTION("""COMPUTED_VALUE"""),"2022-07-04T15:41:10.241Z")</f>
        <v>2022-07-04T15:41:10.241Z</v>
      </c>
    </row>
    <row r="1317" spans="1:10" x14ac:dyDescent="0.2">
      <c r="A1317" s="2" t="str">
        <f ca="1">IFERROR(__xludf.DUMMYFUNCTION("""COMPUTED_VALUE"""),"https://www.facebook.com/rdoroon1")</f>
        <v>https://www.facebook.com/rdoroon1</v>
      </c>
      <c r="B1317" s="1" t="str">
        <f ca="1">IFERROR(__xludf.DUMMYFUNCTION("""COMPUTED_VALUE"""),"Marrose Doro-on Agustin")</f>
        <v>Marrose Doro-on Agustin</v>
      </c>
      <c r="C1317" s="1" t="str">
        <f ca="1">IFERROR(__xludf.DUMMYFUNCTION("""COMPUTED_VALUE"""),"Marrose")</f>
        <v>Marrose</v>
      </c>
      <c r="D1317" s="1" t="str">
        <f ca="1">IFERROR(__xludf.DUMMYFUNCTION("""COMPUTED_VALUE"""),"Doro-on Agustin")</f>
        <v>Doro-on Agustin</v>
      </c>
      <c r="E1317" s="1" t="str">
        <f ca="1">IFERROR(__xludf.DUMMYFUNCTION("""COMPUTED_VALUE"""),"Edison Soldao Lagota tama yan 😁😆")</f>
        <v>Edison Soldao Lagota tama yan 😁😆</v>
      </c>
      <c r="F1317" s="1">
        <f ca="1">IFERROR(__xludf.DUMMYFUNCTION("""COMPUTED_VALUE"""),1)</f>
        <v>1</v>
      </c>
      <c r="G1317" s="1" t="str">
        <f ca="1">IFERROR(__xludf.DUMMYFUNCTION("""COMPUTED_VALUE"""),"3 mos")</f>
        <v>3 mos</v>
      </c>
      <c r="H1317" s="1" t="str">
        <f ca="1">IFERROR(__xludf.DUMMYFUNCTION("""COMPUTED_VALUE"""),"reply")</f>
        <v>reply</v>
      </c>
      <c r="I1317" s="2" t="str">
        <f ca="1">IFERROR(__xludf.DUMMYFUNCTION("""COMPUTED_VALUE"""),"https://www.facebook.com/rapplerdotcom/photos/a.317154781638645/5595733810447356/")</f>
        <v>https://www.facebook.com/rapplerdotcom/photos/a.317154781638645/5595733810447356/</v>
      </c>
      <c r="J1317" s="1" t="str">
        <f ca="1">IFERROR(__xludf.DUMMYFUNCTION("""COMPUTED_VALUE"""),"2022-07-04T15:41:10.241Z")</f>
        <v>2022-07-04T15:41:10.241Z</v>
      </c>
    </row>
    <row r="1318" spans="1:10" x14ac:dyDescent="0.2">
      <c r="A1318" s="2" t="str">
        <f ca="1">IFERROR(__xludf.DUMMYFUNCTION("""COMPUTED_VALUE"""),"https://www.facebook.com/profile.php?id=100003506242168")</f>
        <v>https://www.facebook.com/profile.php?id=100003506242168</v>
      </c>
      <c r="B1318" s="1" t="str">
        <f ca="1">IFERROR(__xludf.DUMMYFUNCTION("""COMPUTED_VALUE"""),"Roberto Roxas Lopez")</f>
        <v>Roberto Roxas Lopez</v>
      </c>
      <c r="C1318" s="1" t="str">
        <f ca="1">IFERROR(__xludf.DUMMYFUNCTION("""COMPUTED_VALUE"""),"Roberto")</f>
        <v>Roberto</v>
      </c>
      <c r="D1318" s="1" t="str">
        <f ca="1">IFERROR(__xludf.DUMMYFUNCTION("""COMPUTED_VALUE"""),"Roxas Lopez")</f>
        <v>Roxas Lopez</v>
      </c>
      <c r="E1318" s="1" t="str">
        <f ca="1">IFERROR(__xludf.DUMMYFUNCTION("""COMPUTED_VALUE"""),"Edison Soldao Lagota tagal naman.....")</f>
        <v>Edison Soldao Lagota tagal naman.....</v>
      </c>
      <c r="F1318" s="1">
        <f ca="1">IFERROR(__xludf.DUMMYFUNCTION("""COMPUTED_VALUE"""),1)</f>
        <v>1</v>
      </c>
      <c r="G1318" s="1" t="str">
        <f ca="1">IFERROR(__xludf.DUMMYFUNCTION("""COMPUTED_VALUE"""),"3 mos")</f>
        <v>3 mos</v>
      </c>
      <c r="H1318" s="1" t="str">
        <f ca="1">IFERROR(__xludf.DUMMYFUNCTION("""COMPUTED_VALUE"""),"reply")</f>
        <v>reply</v>
      </c>
      <c r="I1318" s="2" t="str">
        <f ca="1">IFERROR(__xludf.DUMMYFUNCTION("""COMPUTED_VALUE"""),"https://www.facebook.com/rapplerdotcom/photos/a.317154781638645/5595733810447356/")</f>
        <v>https://www.facebook.com/rapplerdotcom/photos/a.317154781638645/5595733810447356/</v>
      </c>
      <c r="J1318" s="1" t="str">
        <f ca="1">IFERROR(__xludf.DUMMYFUNCTION("""COMPUTED_VALUE"""),"2022-07-04T15:41:10.241Z")</f>
        <v>2022-07-04T15:41:10.241Z</v>
      </c>
    </row>
    <row r="1319" spans="1:10" x14ac:dyDescent="0.2">
      <c r="A1319" s="2" t="str">
        <f ca="1">IFERROR(__xludf.DUMMYFUNCTION("""COMPUTED_VALUE"""),"https://www.facebook.com/alexasophiaaa")</f>
        <v>https://www.facebook.com/alexasophiaaa</v>
      </c>
      <c r="B1319" s="1" t="str">
        <f ca="1">IFERROR(__xludf.DUMMYFUNCTION("""COMPUTED_VALUE"""),"Alexa Sophia Orbeta")</f>
        <v>Alexa Sophia Orbeta</v>
      </c>
      <c r="C1319" s="1" t="str">
        <f ca="1">IFERROR(__xludf.DUMMYFUNCTION("""COMPUTED_VALUE"""),"Alexa")</f>
        <v>Alexa</v>
      </c>
      <c r="D1319" s="1" t="str">
        <f ca="1">IFERROR(__xludf.DUMMYFUNCTION("""COMPUTED_VALUE"""),"Sophia Orbeta")</f>
        <v>Sophia Orbeta</v>
      </c>
      <c r="E1319" s="1" t="str">
        <f ca="1">IFERROR(__xludf.DUMMYFUNCTION("""COMPUTED_VALUE"""),"Edison Soldao Lagota sure po wala pipigil sayo 😊")</f>
        <v>Edison Soldao Lagota sure po wala pipigil sayo 😊</v>
      </c>
      <c r="F1319" s="1">
        <f ca="1">IFERROR(__xludf.DUMMYFUNCTION("""COMPUTED_VALUE"""),2)</f>
        <v>2</v>
      </c>
      <c r="G1319" s="1" t="str">
        <f ca="1">IFERROR(__xludf.DUMMYFUNCTION("""COMPUTED_VALUE"""),"3 mos")</f>
        <v>3 mos</v>
      </c>
      <c r="H1319" s="1" t="str">
        <f ca="1">IFERROR(__xludf.DUMMYFUNCTION("""COMPUTED_VALUE"""),"reply")</f>
        <v>reply</v>
      </c>
      <c r="I1319" s="2" t="str">
        <f ca="1">IFERROR(__xludf.DUMMYFUNCTION("""COMPUTED_VALUE"""),"https://www.facebook.com/rapplerdotcom/photos/a.317154781638645/5595733810447356/")</f>
        <v>https://www.facebook.com/rapplerdotcom/photos/a.317154781638645/5595733810447356/</v>
      </c>
      <c r="J1319" s="1" t="str">
        <f ca="1">IFERROR(__xludf.DUMMYFUNCTION("""COMPUTED_VALUE"""),"2022-07-04T15:41:10.241Z")</f>
        <v>2022-07-04T15:41:10.241Z</v>
      </c>
    </row>
    <row r="1320" spans="1:10" x14ac:dyDescent="0.2">
      <c r="A1320" s="2" t="str">
        <f ca="1">IFERROR(__xludf.DUMMYFUNCTION("""COMPUTED_VALUE"""),"https://www.facebook.com/ivansalanguit21")</f>
        <v>https://www.facebook.com/ivansalanguit21</v>
      </c>
      <c r="B1320" s="1" t="str">
        <f ca="1">IFERROR(__xludf.DUMMYFUNCTION("""COMPUTED_VALUE"""),"Pau Salanguit")</f>
        <v>Pau Salanguit</v>
      </c>
      <c r="C1320" s="1" t="str">
        <f ca="1">IFERROR(__xludf.DUMMYFUNCTION("""COMPUTED_VALUE"""),"Pau")</f>
        <v>Pau</v>
      </c>
      <c r="D1320" s="1" t="str">
        <f ca="1">IFERROR(__xludf.DUMMYFUNCTION("""COMPUTED_VALUE"""),"Salanguit")</f>
        <v>Salanguit</v>
      </c>
      <c r="E1320" s="1" t="str">
        <f ca="1">IFERROR(__xludf.DUMMYFUNCTION("""COMPUTED_VALUE"""),"Edison Soldao Lagota This page is not an airport, you don’t need to announce your departure.")</f>
        <v>Edison Soldao Lagota This page is not an airport, you don’t need to announce your departure.</v>
      </c>
      <c r="F1320" s="1"/>
      <c r="G1320" s="1" t="str">
        <f ca="1">IFERROR(__xludf.DUMMYFUNCTION("""COMPUTED_VALUE"""),"3 mos")</f>
        <v>3 mos</v>
      </c>
      <c r="H1320" s="1" t="str">
        <f ca="1">IFERROR(__xludf.DUMMYFUNCTION("""COMPUTED_VALUE"""),"reply")</f>
        <v>reply</v>
      </c>
      <c r="I1320" s="2" t="str">
        <f ca="1">IFERROR(__xludf.DUMMYFUNCTION("""COMPUTED_VALUE"""),"https://www.facebook.com/rapplerdotcom/photos/a.317154781638645/5595733810447356/")</f>
        <v>https://www.facebook.com/rapplerdotcom/photos/a.317154781638645/5595733810447356/</v>
      </c>
      <c r="J1320" s="1" t="str">
        <f ca="1">IFERROR(__xludf.DUMMYFUNCTION("""COMPUTED_VALUE"""),"2022-07-04T15:41:10.241Z")</f>
        <v>2022-07-04T15:41:10.241Z</v>
      </c>
    </row>
    <row r="1321" spans="1:10" x14ac:dyDescent="0.2">
      <c r="A1321" s="2" t="str">
        <f ca="1">IFERROR(__xludf.DUMMYFUNCTION("""COMPUTED_VALUE"""),"https://www.facebook.com/profile.php?id=100069842376386")</f>
        <v>https://www.facebook.com/profile.php?id=100069842376386</v>
      </c>
      <c r="B1321" s="1" t="str">
        <f ca="1">IFERROR(__xludf.DUMMYFUNCTION("""COMPUTED_VALUE"""),"Aaron Balasta")</f>
        <v>Aaron Balasta</v>
      </c>
      <c r="C1321" s="1" t="str">
        <f ca="1">IFERROR(__xludf.DUMMYFUNCTION("""COMPUTED_VALUE"""),"Aaron")</f>
        <v>Aaron</v>
      </c>
      <c r="D1321" s="1" t="str">
        <f ca="1">IFERROR(__xludf.DUMMYFUNCTION("""COMPUTED_VALUE"""),"Balasta")</f>
        <v>Balasta</v>
      </c>
      <c r="E1321" s="1" t="str">
        <f ca="1">IFERROR(__xludf.DUMMYFUNCTION("""COMPUTED_VALUE"""),"Edison Soldao Lagota dami mong haters paps hahahah")</f>
        <v>Edison Soldao Lagota dami mong haters paps hahahah</v>
      </c>
      <c r="F1321" s="1"/>
      <c r="G1321" s="1" t="str">
        <f ca="1">IFERROR(__xludf.DUMMYFUNCTION("""COMPUTED_VALUE"""),"3 mos")</f>
        <v>3 mos</v>
      </c>
      <c r="H1321" s="1" t="str">
        <f ca="1">IFERROR(__xludf.DUMMYFUNCTION("""COMPUTED_VALUE"""),"reply")</f>
        <v>reply</v>
      </c>
      <c r="I1321" s="2" t="str">
        <f ca="1">IFERROR(__xludf.DUMMYFUNCTION("""COMPUTED_VALUE"""),"https://www.facebook.com/rapplerdotcom/photos/a.317154781638645/5595733810447356/")</f>
        <v>https://www.facebook.com/rapplerdotcom/photos/a.317154781638645/5595733810447356/</v>
      </c>
      <c r="J1321" s="1" t="str">
        <f ca="1">IFERROR(__xludf.DUMMYFUNCTION("""COMPUTED_VALUE"""),"2022-07-04T15:41:10.241Z")</f>
        <v>2022-07-04T15:41:10.241Z</v>
      </c>
    </row>
    <row r="1322" spans="1:10" x14ac:dyDescent="0.2">
      <c r="A1322" s="2" t="str">
        <f ca="1">IFERROR(__xludf.DUMMYFUNCTION("""COMPUTED_VALUE"""),"https://www.facebook.com/ancelcurativo")</f>
        <v>https://www.facebook.com/ancelcurativo</v>
      </c>
      <c r="B1322" s="1" t="str">
        <f ca="1">IFERROR(__xludf.DUMMYFUNCTION("""COMPUTED_VALUE"""),"Ancel Jay Curativo")</f>
        <v>Ancel Jay Curativo</v>
      </c>
      <c r="C1322" s="1" t="str">
        <f ca="1">IFERROR(__xludf.DUMMYFUNCTION("""COMPUTED_VALUE"""),"Ancel")</f>
        <v>Ancel</v>
      </c>
      <c r="D1322" s="1" t="str">
        <f ca="1">IFERROR(__xludf.DUMMYFUNCTION("""COMPUTED_VALUE"""),"Jay Curativo")</f>
        <v>Jay Curativo</v>
      </c>
      <c r="E1322" s="1" t="str">
        <f ca="1">IFERROR(__xludf.DUMMYFUNCTION("""COMPUTED_VALUE"""),"Di ka kawalan edison.")</f>
        <v>Di ka kawalan edison.</v>
      </c>
      <c r="F1322" s="1"/>
      <c r="G1322" s="1" t="str">
        <f ca="1">IFERROR(__xludf.DUMMYFUNCTION("""COMPUTED_VALUE"""),"3 mos")</f>
        <v>3 mos</v>
      </c>
      <c r="H1322" s="1" t="str">
        <f ca="1">IFERROR(__xludf.DUMMYFUNCTION("""COMPUTED_VALUE"""),"reply")</f>
        <v>reply</v>
      </c>
      <c r="I1322" s="2" t="str">
        <f ca="1">IFERROR(__xludf.DUMMYFUNCTION("""COMPUTED_VALUE"""),"https://www.facebook.com/rapplerdotcom/photos/a.317154781638645/5595733810447356/")</f>
        <v>https://www.facebook.com/rapplerdotcom/photos/a.317154781638645/5595733810447356/</v>
      </c>
      <c r="J1322" s="1" t="str">
        <f ca="1">IFERROR(__xludf.DUMMYFUNCTION("""COMPUTED_VALUE"""),"2022-07-04T15:41:10.241Z")</f>
        <v>2022-07-04T15:41:10.241Z</v>
      </c>
    </row>
    <row r="1323" spans="1:10" x14ac:dyDescent="0.2">
      <c r="A1323" s="2" t="str">
        <f ca="1">IFERROR(__xludf.DUMMYFUNCTION("""COMPUTED_VALUE"""),"https://www.facebook.com/mariano.josh99")</f>
        <v>https://www.facebook.com/mariano.josh99</v>
      </c>
      <c r="B1323" s="1" t="str">
        <f ca="1">IFERROR(__xludf.DUMMYFUNCTION("""COMPUTED_VALUE"""),"Josh Mariano")</f>
        <v>Josh Mariano</v>
      </c>
      <c r="C1323" s="1" t="str">
        <f ca="1">IFERROR(__xludf.DUMMYFUNCTION("""COMPUTED_VALUE"""),"Josh")</f>
        <v>Josh</v>
      </c>
      <c r="D1323" s="1" t="str">
        <f ca="1">IFERROR(__xludf.DUMMYFUNCTION("""COMPUTED_VALUE"""),"Mariano")</f>
        <v>Mariano</v>
      </c>
      <c r="E1323" s="1" t="str">
        <f ca="1">IFERROR(__xludf.DUMMYFUNCTION("""COMPUTED_VALUE"""),"Edison Soldao Lagota kala mo naman ang ganda ng motor mo kamote riders ka lang naman 🤣🤣🤣")</f>
        <v>Edison Soldao Lagota kala mo naman ang ganda ng motor mo kamote riders ka lang naman 🤣🤣🤣</v>
      </c>
      <c r="F1323" s="1"/>
      <c r="G1323" s="1" t="str">
        <f ca="1">IFERROR(__xludf.DUMMYFUNCTION("""COMPUTED_VALUE"""),"3 mos")</f>
        <v>3 mos</v>
      </c>
      <c r="H1323" s="1" t="str">
        <f ca="1">IFERROR(__xludf.DUMMYFUNCTION("""COMPUTED_VALUE"""),"reply")</f>
        <v>reply</v>
      </c>
      <c r="I1323" s="2" t="str">
        <f ca="1">IFERROR(__xludf.DUMMYFUNCTION("""COMPUTED_VALUE"""),"https://www.facebook.com/rapplerdotcom/photos/a.317154781638645/5595733810447356/")</f>
        <v>https://www.facebook.com/rapplerdotcom/photos/a.317154781638645/5595733810447356/</v>
      </c>
      <c r="J1323" s="1" t="str">
        <f ca="1">IFERROR(__xludf.DUMMYFUNCTION("""COMPUTED_VALUE"""),"2022-07-04T15:41:10.241Z")</f>
        <v>2022-07-04T15:41:10.241Z</v>
      </c>
    </row>
    <row r="1324" spans="1:10" x14ac:dyDescent="0.2">
      <c r="A1324" s="2" t="str">
        <f ca="1">IFERROR(__xludf.DUMMYFUNCTION("""COMPUTED_VALUE"""),"https://www.facebook.com/cat.carrot.50")</f>
        <v>https://www.facebook.com/cat.carrot.50</v>
      </c>
      <c r="B1324" s="1" t="str">
        <f ca="1">IFERROR(__xludf.DUMMYFUNCTION("""COMPUTED_VALUE"""),"Cat Carrot")</f>
        <v>Cat Carrot</v>
      </c>
      <c r="C1324" s="1" t="str">
        <f ca="1">IFERROR(__xludf.DUMMYFUNCTION("""COMPUTED_VALUE"""),"Cat")</f>
        <v>Cat</v>
      </c>
      <c r="D1324" s="1" t="str">
        <f ca="1">IFERROR(__xludf.DUMMYFUNCTION("""COMPUTED_VALUE"""),"Carrot")</f>
        <v>Carrot</v>
      </c>
      <c r="E1324" s="1" t="str">
        <f ca="1">IFERROR(__xludf.DUMMYFUNCTION("""COMPUTED_VALUE"""),"Edison Soldao Lagota san ka namamasada sa planet mars or sa wuhan?")</f>
        <v>Edison Soldao Lagota san ka namamasada sa planet mars or sa wuhan?</v>
      </c>
      <c r="F1324" s="1"/>
      <c r="G1324" s="1" t="str">
        <f ca="1">IFERROR(__xludf.DUMMYFUNCTION("""COMPUTED_VALUE"""),"3 mos")</f>
        <v>3 mos</v>
      </c>
      <c r="H1324" s="1" t="str">
        <f ca="1">IFERROR(__xludf.DUMMYFUNCTION("""COMPUTED_VALUE"""),"reply")</f>
        <v>reply</v>
      </c>
      <c r="I1324" s="2" t="str">
        <f ca="1">IFERROR(__xludf.DUMMYFUNCTION("""COMPUTED_VALUE"""),"https://www.facebook.com/rapplerdotcom/photos/a.317154781638645/5595733810447356/")</f>
        <v>https://www.facebook.com/rapplerdotcom/photos/a.317154781638645/5595733810447356/</v>
      </c>
      <c r="J1324" s="1" t="str">
        <f ca="1">IFERROR(__xludf.DUMMYFUNCTION("""COMPUTED_VALUE"""),"2022-07-04T15:41:10.241Z")</f>
        <v>2022-07-04T15:41:10.241Z</v>
      </c>
    </row>
    <row r="1325" spans="1:10" x14ac:dyDescent="0.2">
      <c r="A1325" s="2" t="str">
        <f ca="1">IFERROR(__xludf.DUMMYFUNCTION("""COMPUTED_VALUE"""),"https://www.facebook.com/renward4short")</f>
        <v>https://www.facebook.com/renward4short</v>
      </c>
      <c r="B1325" s="1" t="str">
        <f ca="1">IFERROR(__xludf.DUMMYFUNCTION("""COMPUTED_VALUE"""),"Renward Sanchez")</f>
        <v>Renward Sanchez</v>
      </c>
      <c r="C1325" s="1" t="str">
        <f ca="1">IFERROR(__xludf.DUMMYFUNCTION("""COMPUTED_VALUE"""),"Renward")</f>
        <v>Renward</v>
      </c>
      <c r="D1325" s="1" t="str">
        <f ca="1">IFERROR(__xludf.DUMMYFUNCTION("""COMPUTED_VALUE"""),"Sanchez")</f>
        <v>Sanchez</v>
      </c>
      <c r="E1325" s="1" t="str">
        <f ca="1">IFERROR(__xludf.DUMMYFUNCTION("""COMPUTED_VALUE"""),"Oh puwede naman pala mag bigay ng respeto ee, give n take lang ✌️♥️")</f>
        <v>Oh puwede naman pala mag bigay ng respeto ee, give n take lang ✌️♥️</v>
      </c>
      <c r="F1325" s="1"/>
      <c r="G1325" s="1" t="str">
        <f ca="1">IFERROR(__xludf.DUMMYFUNCTION("""COMPUTED_VALUE"""),"3 mos")</f>
        <v>3 mos</v>
      </c>
      <c r="H1325" s="1" t="str">
        <f ca="1">IFERROR(__xludf.DUMMYFUNCTION("""COMPUTED_VALUE"""),"comment")</f>
        <v>comment</v>
      </c>
      <c r="I1325" s="2" t="str">
        <f ca="1">IFERROR(__xludf.DUMMYFUNCTION("""COMPUTED_VALUE"""),"https://www.facebook.com/rapplerdotcom/photos/a.317154781638645/5595733810447356/")</f>
        <v>https://www.facebook.com/rapplerdotcom/photos/a.317154781638645/5595733810447356/</v>
      </c>
      <c r="J1325" s="1" t="str">
        <f ca="1">IFERROR(__xludf.DUMMYFUNCTION("""COMPUTED_VALUE"""),"2022-07-04T15:41:10.241Z")</f>
        <v>2022-07-04T15:41:10.241Z</v>
      </c>
    </row>
    <row r="1326" spans="1:10" x14ac:dyDescent="0.2">
      <c r="A1326" s="2" t="str">
        <f ca="1">IFERROR(__xludf.DUMMYFUNCTION("""COMPUTED_VALUE"""),"https://www.facebook.com/she.real.9883")</f>
        <v>https://www.facebook.com/she.real.9883</v>
      </c>
      <c r="B1326" s="1" t="str">
        <f ca="1">IFERROR(__xludf.DUMMYFUNCTION("""COMPUTED_VALUE"""),"She Real")</f>
        <v>She Real</v>
      </c>
      <c r="C1326" s="1" t="str">
        <f ca="1">IFERROR(__xludf.DUMMYFUNCTION("""COMPUTED_VALUE"""),"She")</f>
        <v>She</v>
      </c>
      <c r="D1326" s="1" t="str">
        <f ca="1">IFERROR(__xludf.DUMMYFUNCTION("""COMPUTED_VALUE"""),"Real")</f>
        <v>Real</v>
      </c>
      <c r="E1326" s="1" t="str">
        <f ca="1">IFERROR(__xludf.DUMMYFUNCTION("""COMPUTED_VALUE"""),"baka congressman lover  😝🥵")</f>
        <v>baka congressman lover  😝🥵</v>
      </c>
      <c r="F1326" s="1">
        <f ca="1">IFERROR(__xludf.DUMMYFUNCTION("""COMPUTED_VALUE"""),1)</f>
        <v>1</v>
      </c>
      <c r="G1326" s="1" t="str">
        <f ca="1">IFERROR(__xludf.DUMMYFUNCTION("""COMPUTED_VALUE"""),"3 mos")</f>
        <v>3 mos</v>
      </c>
      <c r="H1326" s="1" t="str">
        <f ca="1">IFERROR(__xludf.DUMMYFUNCTION("""COMPUTED_VALUE"""),"comment")</f>
        <v>comment</v>
      </c>
      <c r="I1326" s="2" t="str">
        <f ca="1">IFERROR(__xludf.DUMMYFUNCTION("""COMPUTED_VALUE"""),"https://www.facebook.com/rapplerdotcom/photos/a.317154781638645/5595733810447356/")</f>
        <v>https://www.facebook.com/rapplerdotcom/photos/a.317154781638645/5595733810447356/</v>
      </c>
      <c r="J1326" s="1" t="str">
        <f ca="1">IFERROR(__xludf.DUMMYFUNCTION("""COMPUTED_VALUE"""),"2022-07-04T15:41:10.241Z")</f>
        <v>2022-07-04T15:41:10.241Z</v>
      </c>
    </row>
    <row r="1327" spans="1:10" x14ac:dyDescent="0.2">
      <c r="A1327" s="2" t="str">
        <f ca="1">IFERROR(__xludf.DUMMYFUNCTION("""COMPUTED_VALUE"""),"https://www.facebook.com/nonongfroilan")</f>
        <v>https://www.facebook.com/nonongfroilan</v>
      </c>
      <c r="B1327" s="1" t="str">
        <f ca="1">IFERROR(__xludf.DUMMYFUNCTION("""COMPUTED_VALUE"""),"Froilan Rodriguez")</f>
        <v>Froilan Rodriguez</v>
      </c>
      <c r="C1327" s="1" t="str">
        <f ca="1">IFERROR(__xludf.DUMMYFUNCTION("""COMPUTED_VALUE"""),"Froilan")</f>
        <v>Froilan</v>
      </c>
      <c r="D1327" s="1" t="str">
        <f ca="1">IFERROR(__xludf.DUMMYFUNCTION("""COMPUTED_VALUE"""),"Rodriguez")</f>
        <v>Rodriguez</v>
      </c>
      <c r="E1327" s="1" t="str">
        <f ca="1">IFERROR(__xludf.DUMMYFUNCTION("""COMPUTED_VALUE"""),"isa sa mga nakulong nung panahon ng lockdown.. ayy hanggang ngaun pala nakalockdown pa ba tau😂😂😂😂😂😂")</f>
        <v>isa sa mga nakulong nung panahon ng lockdown.. ayy hanggang ngaun pala nakalockdown pa ba tau😂😂😂😂😂😂</v>
      </c>
      <c r="F1327" s="1"/>
      <c r="G1327" s="1" t="str">
        <f ca="1">IFERROR(__xludf.DUMMYFUNCTION("""COMPUTED_VALUE"""),"3 mos")</f>
        <v>3 mos</v>
      </c>
      <c r="H1327" s="1" t="str">
        <f ca="1">IFERROR(__xludf.DUMMYFUNCTION("""COMPUTED_VALUE"""),"comment")</f>
        <v>comment</v>
      </c>
      <c r="I1327" s="2" t="str">
        <f ca="1">IFERROR(__xludf.DUMMYFUNCTION("""COMPUTED_VALUE"""),"https://www.facebook.com/rapplerdotcom/photos/a.317154781638645/5595733810447356/")</f>
        <v>https://www.facebook.com/rapplerdotcom/photos/a.317154781638645/5595733810447356/</v>
      </c>
      <c r="J1327" s="1" t="str">
        <f ca="1">IFERROR(__xludf.DUMMYFUNCTION("""COMPUTED_VALUE"""),"2022-07-04T15:41:10.241Z")</f>
        <v>2022-07-04T15:41:10.241Z</v>
      </c>
    </row>
    <row r="1328" spans="1:10" x14ac:dyDescent="0.2">
      <c r="A1328" s="2" t="str">
        <f ca="1">IFERROR(__xludf.DUMMYFUNCTION("""COMPUTED_VALUE"""),"https://www.facebook.com/jeffrey.alfaro.10")</f>
        <v>https://www.facebook.com/jeffrey.alfaro.10</v>
      </c>
      <c r="B1328" s="1" t="str">
        <f ca="1">IFERROR(__xludf.DUMMYFUNCTION("""COMPUTED_VALUE"""),"Jef Docena")</f>
        <v>Jef Docena</v>
      </c>
      <c r="C1328" s="1" t="str">
        <f ca="1">IFERROR(__xludf.DUMMYFUNCTION("""COMPUTED_VALUE"""),"Jef")</f>
        <v>Jef</v>
      </c>
      <c r="D1328" s="1" t="str">
        <f ca="1">IFERROR(__xludf.DUMMYFUNCTION("""COMPUTED_VALUE"""),"Docena")</f>
        <v>Docena</v>
      </c>
      <c r="E1328" s="1" t="str">
        <f ca="1">IFERROR(__xludf.DUMMYFUNCTION("""COMPUTED_VALUE"""),"Pangit nang potangnang kalbong to 😂")</f>
        <v>Pangit nang potangnang kalbong to 😂</v>
      </c>
      <c r="F1328" s="1">
        <f ca="1">IFERROR(__xludf.DUMMYFUNCTION("""COMPUTED_VALUE"""),1)</f>
        <v>1</v>
      </c>
      <c r="G1328" s="1" t="str">
        <f ca="1">IFERROR(__xludf.DUMMYFUNCTION("""COMPUTED_VALUE"""),"3 mos")</f>
        <v>3 mos</v>
      </c>
      <c r="H1328" s="1" t="str">
        <f ca="1">IFERROR(__xludf.DUMMYFUNCTION("""COMPUTED_VALUE"""),"comment")</f>
        <v>comment</v>
      </c>
      <c r="I1328" s="2" t="str">
        <f ca="1">IFERROR(__xludf.DUMMYFUNCTION("""COMPUTED_VALUE"""),"https://www.facebook.com/rapplerdotcom/photos/a.317154781638645/5595733810447356/")</f>
        <v>https://www.facebook.com/rapplerdotcom/photos/a.317154781638645/5595733810447356/</v>
      </c>
      <c r="J1328" s="1" t="str">
        <f ca="1">IFERROR(__xludf.DUMMYFUNCTION("""COMPUTED_VALUE"""),"2022-07-04T15:41:10.241Z")</f>
        <v>2022-07-04T15:41:10.241Z</v>
      </c>
    </row>
    <row r="1329" spans="1:10" x14ac:dyDescent="0.2">
      <c r="A1329" s="2" t="str">
        <f ca="1">IFERROR(__xludf.DUMMYFUNCTION("""COMPUTED_VALUE"""),"https://www.facebook.com/profile.php?id=100010524198327")</f>
        <v>https://www.facebook.com/profile.php?id=100010524198327</v>
      </c>
      <c r="B1329" s="1" t="str">
        <f ca="1">IFERROR(__xludf.DUMMYFUNCTION("""COMPUTED_VALUE"""),"Namra Gisabac")</f>
        <v>Namra Gisabac</v>
      </c>
      <c r="C1329" s="1" t="str">
        <f ca="1">IFERROR(__xludf.DUMMYFUNCTION("""COMPUTED_VALUE"""),"Namra")</f>
        <v>Namra</v>
      </c>
      <c r="D1329" s="1" t="str">
        <f ca="1">IFERROR(__xludf.DUMMYFUNCTION("""COMPUTED_VALUE"""),"Gisabac")</f>
        <v>Gisabac</v>
      </c>
      <c r="E1329" s="1" t="str">
        <f ca="1">IFERROR(__xludf.DUMMYFUNCTION("""COMPUTED_VALUE"""),"Jeffrey Alfaro gumalang ka sa matanda hahaha")</f>
        <v>Jeffrey Alfaro gumalang ka sa matanda hahaha</v>
      </c>
      <c r="F1329" s="1">
        <f ca="1">IFERROR(__xludf.DUMMYFUNCTION("""COMPUTED_VALUE"""),1)</f>
        <v>1</v>
      </c>
      <c r="G1329" s="1" t="str">
        <f ca="1">IFERROR(__xludf.DUMMYFUNCTION("""COMPUTED_VALUE"""),"3 mos")</f>
        <v>3 mos</v>
      </c>
      <c r="H1329" s="1" t="str">
        <f ca="1">IFERROR(__xludf.DUMMYFUNCTION("""COMPUTED_VALUE"""),"reply")</f>
        <v>reply</v>
      </c>
      <c r="I1329" s="2" t="str">
        <f ca="1">IFERROR(__xludf.DUMMYFUNCTION("""COMPUTED_VALUE"""),"https://www.facebook.com/rapplerdotcom/photos/a.317154781638645/5595733810447356/")</f>
        <v>https://www.facebook.com/rapplerdotcom/photos/a.317154781638645/5595733810447356/</v>
      </c>
      <c r="J1329" s="1" t="str">
        <f ca="1">IFERROR(__xludf.DUMMYFUNCTION("""COMPUTED_VALUE"""),"2022-07-04T15:41:10.241Z")</f>
        <v>2022-07-04T15:41:10.241Z</v>
      </c>
    </row>
    <row r="1330" spans="1:10" x14ac:dyDescent="0.2">
      <c r="A1330" s="2" t="str">
        <f ca="1">IFERROR(__xludf.DUMMYFUNCTION("""COMPUTED_VALUE"""),"https://www.facebook.com/profile.php?id=100009637215034")</f>
        <v>https://www.facebook.com/profile.php?id=100009637215034</v>
      </c>
      <c r="B1330" s="1" t="str">
        <f ca="1">IFERROR(__xludf.DUMMYFUNCTION("""COMPUTED_VALUE"""),"Mari Cas")</f>
        <v>Mari Cas</v>
      </c>
      <c r="C1330" s="1" t="str">
        <f ca="1">IFERROR(__xludf.DUMMYFUNCTION("""COMPUTED_VALUE"""),"Mari")</f>
        <v>Mari</v>
      </c>
      <c r="D1330" s="1" t="str">
        <f ca="1">IFERROR(__xludf.DUMMYFUNCTION("""COMPUTED_VALUE"""),"Cas")</f>
        <v>Cas</v>
      </c>
      <c r="E1330" s="1" t="str">
        <f ca="1">IFERROR(__xludf.DUMMYFUNCTION("""COMPUTED_VALUE"""),"Jeffrey Alfaro ok lang yan, kahit may buhok ka pareho lang kayo")</f>
        <v>Jeffrey Alfaro ok lang yan, kahit may buhok ka pareho lang kayo</v>
      </c>
      <c r="F1330" s="1"/>
      <c r="G1330" s="1" t="str">
        <f ca="1">IFERROR(__xludf.DUMMYFUNCTION("""COMPUTED_VALUE"""),"3 mos")</f>
        <v>3 mos</v>
      </c>
      <c r="H1330" s="1" t="str">
        <f ca="1">IFERROR(__xludf.DUMMYFUNCTION("""COMPUTED_VALUE"""),"reply")</f>
        <v>reply</v>
      </c>
      <c r="I1330" s="2" t="str">
        <f ca="1">IFERROR(__xludf.DUMMYFUNCTION("""COMPUTED_VALUE"""),"https://www.facebook.com/rapplerdotcom/photos/a.317154781638645/5595733810447356/")</f>
        <v>https://www.facebook.com/rapplerdotcom/photos/a.317154781638645/5595733810447356/</v>
      </c>
      <c r="J1330" s="1" t="str">
        <f ca="1">IFERROR(__xludf.DUMMYFUNCTION("""COMPUTED_VALUE"""),"2022-07-04T15:41:10.241Z")</f>
        <v>2022-07-04T15:41:10.241Z</v>
      </c>
    </row>
    <row r="1331" spans="1:10" x14ac:dyDescent="0.2">
      <c r="A1331" s="2" t="str">
        <f ca="1">IFERROR(__xludf.DUMMYFUNCTION("""COMPUTED_VALUE"""),"https://www.facebook.com/kttykrsh")</f>
        <v>https://www.facebook.com/kttykrsh</v>
      </c>
      <c r="B1331" s="1" t="str">
        <f ca="1">IFERROR(__xludf.DUMMYFUNCTION("""COMPUTED_VALUE"""),"Kresha Fryn")</f>
        <v>Kresha Fryn</v>
      </c>
      <c r="C1331" s="1" t="str">
        <f ca="1">IFERROR(__xludf.DUMMYFUNCTION("""COMPUTED_VALUE"""),"Kresha")</f>
        <v>Kresha</v>
      </c>
      <c r="D1331" s="1" t="str">
        <f ca="1">IFERROR(__xludf.DUMMYFUNCTION("""COMPUTED_VALUE"""),"Fryn")</f>
        <v>Fryn</v>
      </c>
      <c r="E1331" s="1" t="str">
        <f ca="1">IFERROR(__xludf.DUMMYFUNCTION("""COMPUTED_VALUE"""),"Jeffrey Alfaro ew nahiya nmn sa itsura mo")</f>
        <v>Jeffrey Alfaro ew nahiya nmn sa itsura mo</v>
      </c>
      <c r="F1331" s="1"/>
      <c r="G1331" s="1" t="str">
        <f ca="1">IFERROR(__xludf.DUMMYFUNCTION("""COMPUTED_VALUE"""),"3 mos")</f>
        <v>3 mos</v>
      </c>
      <c r="H1331" s="1" t="str">
        <f ca="1">IFERROR(__xludf.DUMMYFUNCTION("""COMPUTED_VALUE"""),"reply")</f>
        <v>reply</v>
      </c>
      <c r="I1331" s="2" t="str">
        <f ca="1">IFERROR(__xludf.DUMMYFUNCTION("""COMPUTED_VALUE"""),"https://www.facebook.com/rapplerdotcom/photos/a.317154781638645/5595733810447356/")</f>
        <v>https://www.facebook.com/rapplerdotcom/photos/a.317154781638645/5595733810447356/</v>
      </c>
      <c r="J1331" s="1" t="str">
        <f ca="1">IFERROR(__xludf.DUMMYFUNCTION("""COMPUTED_VALUE"""),"2022-07-04T15:41:10.241Z")</f>
        <v>2022-07-04T15:41:10.241Z</v>
      </c>
    </row>
    <row r="1332" spans="1:10" x14ac:dyDescent="0.2">
      <c r="A1332" s="2" t="str">
        <f ca="1">IFERROR(__xludf.DUMMYFUNCTION("""COMPUTED_VALUE"""),"https://www.facebook.com/christina.aranda.188")</f>
        <v>https://www.facebook.com/christina.aranda.188</v>
      </c>
      <c r="B1332" s="1" t="str">
        <f ca="1">IFERROR(__xludf.DUMMYFUNCTION("""COMPUTED_VALUE"""),"Tina Estoesta")</f>
        <v>Tina Estoesta</v>
      </c>
      <c r="C1332" s="1" t="str">
        <f ca="1">IFERROR(__xludf.DUMMYFUNCTION("""COMPUTED_VALUE"""),"Tina")</f>
        <v>Tina</v>
      </c>
      <c r="D1332" s="1" t="str">
        <f ca="1">IFERROR(__xludf.DUMMYFUNCTION("""COMPUTED_VALUE"""),"Estoesta")</f>
        <v>Estoesta</v>
      </c>
      <c r="E1332" s="1" t="str">
        <f ca="1">IFERROR(__xludf.DUMMYFUNCTION("""COMPUTED_VALUE"""),"Jeffrey Alfaro mas pangit ka bastos kapa")</f>
        <v>Jeffrey Alfaro mas pangit ka bastos kapa</v>
      </c>
      <c r="F1332" s="1"/>
      <c r="G1332" s="1" t="str">
        <f ca="1">IFERROR(__xludf.DUMMYFUNCTION("""COMPUTED_VALUE"""),"3 mos")</f>
        <v>3 mos</v>
      </c>
      <c r="H1332" s="1" t="str">
        <f ca="1">IFERROR(__xludf.DUMMYFUNCTION("""COMPUTED_VALUE"""),"reply")</f>
        <v>reply</v>
      </c>
      <c r="I1332" s="2" t="str">
        <f ca="1">IFERROR(__xludf.DUMMYFUNCTION("""COMPUTED_VALUE"""),"https://www.facebook.com/rapplerdotcom/photos/a.317154781638645/5595733810447356/")</f>
        <v>https://www.facebook.com/rapplerdotcom/photos/a.317154781638645/5595733810447356/</v>
      </c>
      <c r="J1332" s="1" t="str">
        <f ca="1">IFERROR(__xludf.DUMMYFUNCTION("""COMPUTED_VALUE"""),"2022-07-04T15:41:10.241Z")</f>
        <v>2022-07-04T15:41:10.241Z</v>
      </c>
    </row>
    <row r="1333" spans="1:10" x14ac:dyDescent="0.2">
      <c r="A1333" s="2" t="str">
        <f ca="1">IFERROR(__xludf.DUMMYFUNCTION("""COMPUTED_VALUE"""),"https://www.facebook.com/alonso.severo.5")</f>
        <v>https://www.facebook.com/alonso.severo.5</v>
      </c>
      <c r="B1333" s="1" t="str">
        <f ca="1">IFERROR(__xludf.DUMMYFUNCTION("""COMPUTED_VALUE"""),"Alonso Severo")</f>
        <v>Alonso Severo</v>
      </c>
      <c r="C1333" s="1" t="str">
        <f ca="1">IFERROR(__xludf.DUMMYFUNCTION("""COMPUTED_VALUE"""),"Alonso")</f>
        <v>Alonso</v>
      </c>
      <c r="D1333" s="1" t="str">
        <f ca="1">IFERROR(__xludf.DUMMYFUNCTION("""COMPUTED_VALUE"""),"Severo")</f>
        <v>Severo</v>
      </c>
      <c r="E1333" s="1" t="str">
        <f ca="1">IFERROR(__xludf.DUMMYFUNCTION("""COMPUTED_VALUE"""),"God bless and thank you po sa inyong supporta,,PISTON!")</f>
        <v>God bless and thank you po sa inyong supporta,,PISTON!</v>
      </c>
      <c r="F1333" s="1"/>
      <c r="G1333" s="1" t="str">
        <f ca="1">IFERROR(__xludf.DUMMYFUNCTION("""COMPUTED_VALUE"""),"3 mos")</f>
        <v>3 mos</v>
      </c>
      <c r="H1333" s="1" t="str">
        <f ca="1">IFERROR(__xludf.DUMMYFUNCTION("""COMPUTED_VALUE"""),"comment")</f>
        <v>comment</v>
      </c>
      <c r="I1333" s="2" t="str">
        <f ca="1">IFERROR(__xludf.DUMMYFUNCTION("""COMPUTED_VALUE"""),"https://www.facebook.com/rapplerdotcom/photos/a.317154781638645/5595733810447356/")</f>
        <v>https://www.facebook.com/rapplerdotcom/photos/a.317154781638645/5595733810447356/</v>
      </c>
      <c r="J1333" s="1" t="str">
        <f ca="1">IFERROR(__xludf.DUMMYFUNCTION("""COMPUTED_VALUE"""),"2022-07-04T15:41:10.241Z")</f>
        <v>2022-07-04T15:41:10.241Z</v>
      </c>
    </row>
    <row r="1334" spans="1:10" x14ac:dyDescent="0.2">
      <c r="A1334" s="2" t="str">
        <f ca="1">IFERROR(__xludf.DUMMYFUNCTION("""COMPUTED_VALUE"""),"https://www.facebook.com/michelle.eslit")</f>
        <v>https://www.facebook.com/michelle.eslit</v>
      </c>
      <c r="B1334" s="1" t="str">
        <f ca="1">IFERROR(__xludf.DUMMYFUNCTION("""COMPUTED_VALUE"""),"Mitch B. Tilse")</f>
        <v>Mitch B. Tilse</v>
      </c>
      <c r="C1334" s="1" t="str">
        <f ca="1">IFERROR(__xludf.DUMMYFUNCTION("""COMPUTED_VALUE"""),"Mitch")</f>
        <v>Mitch</v>
      </c>
      <c r="D1334" s="1" t="str">
        <f ca="1">IFERROR(__xludf.DUMMYFUNCTION("""COMPUTED_VALUE"""),"B. Tilse")</f>
        <v>B. Tilse</v>
      </c>
      <c r="E1334" s="1" t="str">
        <f ca="1">IFERROR(__xludf.DUMMYFUNCTION("""COMPUTED_VALUE"""),"Lolo uli katulog ayaw na apil2x diha imna nato imo tambal didto")</f>
        <v>Lolo uli katulog ayaw na apil2x diha imna nato imo tambal didto</v>
      </c>
      <c r="F1334" s="1"/>
      <c r="G1334" s="1" t="str">
        <f ca="1">IFERROR(__xludf.DUMMYFUNCTION("""COMPUTED_VALUE"""),"3 mos")</f>
        <v>3 mos</v>
      </c>
      <c r="H1334" s="1" t="str">
        <f ca="1">IFERROR(__xludf.DUMMYFUNCTION("""COMPUTED_VALUE"""),"comment")</f>
        <v>comment</v>
      </c>
      <c r="I1334" s="2" t="str">
        <f ca="1">IFERROR(__xludf.DUMMYFUNCTION("""COMPUTED_VALUE"""),"https://www.facebook.com/rapplerdotcom/photos/a.317154781638645/5595733810447356/")</f>
        <v>https://www.facebook.com/rapplerdotcom/photos/a.317154781638645/5595733810447356/</v>
      </c>
      <c r="J1334" s="1" t="str">
        <f ca="1">IFERROR(__xludf.DUMMYFUNCTION("""COMPUTED_VALUE"""),"2022-07-04T15:41:10.241Z")</f>
        <v>2022-07-04T15:41:10.241Z</v>
      </c>
    </row>
    <row r="1335" spans="1:10" x14ac:dyDescent="0.2">
      <c r="A1335" s="2" t="str">
        <f ca="1">IFERROR(__xludf.DUMMYFUNCTION("""COMPUTED_VALUE"""),"https://www.facebook.com/saldy.herrera.73")</f>
        <v>https://www.facebook.com/saldy.herrera.73</v>
      </c>
      <c r="B1335" s="1" t="str">
        <f ca="1">IFERROR(__xludf.DUMMYFUNCTION("""COMPUTED_VALUE"""),"Saldy Herrera")</f>
        <v>Saldy Herrera</v>
      </c>
      <c r="C1335" s="1" t="str">
        <f ca="1">IFERROR(__xludf.DUMMYFUNCTION("""COMPUTED_VALUE"""),"Saldy")</f>
        <v>Saldy</v>
      </c>
      <c r="D1335" s="1" t="str">
        <f ca="1">IFERROR(__xludf.DUMMYFUNCTION("""COMPUTED_VALUE"""),"Herrera")</f>
        <v>Herrera</v>
      </c>
      <c r="E1335" s="1" t="str">
        <f ca="1">IFERROR(__xludf.DUMMYFUNCTION("""COMPUTED_VALUE"""),"kudita lover yan na nman")</f>
        <v>kudita lover yan na nman</v>
      </c>
      <c r="F1335" s="1"/>
      <c r="G1335" s="1" t="str">
        <f ca="1">IFERROR(__xludf.DUMMYFUNCTION("""COMPUTED_VALUE"""),"3 mos")</f>
        <v>3 mos</v>
      </c>
      <c r="H1335" s="1" t="str">
        <f ca="1">IFERROR(__xludf.DUMMYFUNCTION("""COMPUTED_VALUE"""),"comment")</f>
        <v>comment</v>
      </c>
      <c r="I1335" s="2" t="str">
        <f ca="1">IFERROR(__xludf.DUMMYFUNCTION("""COMPUTED_VALUE"""),"https://www.facebook.com/rapplerdotcom/photos/a.317154781638645/5595733810447356/")</f>
        <v>https://www.facebook.com/rapplerdotcom/photos/a.317154781638645/5595733810447356/</v>
      </c>
      <c r="J1335" s="1" t="str">
        <f ca="1">IFERROR(__xludf.DUMMYFUNCTION("""COMPUTED_VALUE"""),"2022-07-04T15:41:10.241Z")</f>
        <v>2022-07-04T15:41:10.241Z</v>
      </c>
    </row>
    <row r="1336" spans="1:10" x14ac:dyDescent="0.2">
      <c r="A1336" s="2" t="str">
        <f ca="1">IFERROR(__xludf.DUMMYFUNCTION("""COMPUTED_VALUE"""),"https://www.facebook.com/romel.palcis")</f>
        <v>https://www.facebook.com/romel.palcis</v>
      </c>
      <c r="B1336" s="1" t="str">
        <f ca="1">IFERROR(__xludf.DUMMYFUNCTION("""COMPUTED_VALUE"""),"Romel Cliff Palcis")</f>
        <v>Romel Cliff Palcis</v>
      </c>
      <c r="C1336" s="1" t="str">
        <f ca="1">IFERROR(__xludf.DUMMYFUNCTION("""COMPUTED_VALUE"""),"Romel")</f>
        <v>Romel</v>
      </c>
      <c r="D1336" s="1" t="str">
        <f ca="1">IFERROR(__xludf.DUMMYFUNCTION("""COMPUTED_VALUE"""),"Cliff Palcis")</f>
        <v>Cliff Palcis</v>
      </c>
      <c r="E1336" s="1" t="str">
        <f ca="1">IFERROR(__xludf.DUMMYFUNCTION("""COMPUTED_VALUE"""),"ito yung matandang pasaway nakulong")</f>
        <v>ito yung matandang pasaway nakulong</v>
      </c>
      <c r="F1336" s="1"/>
      <c r="G1336" s="1" t="str">
        <f ca="1">IFERROR(__xludf.DUMMYFUNCTION("""COMPUTED_VALUE"""),"3 mos")</f>
        <v>3 mos</v>
      </c>
      <c r="H1336" s="1" t="str">
        <f ca="1">IFERROR(__xludf.DUMMYFUNCTION("""COMPUTED_VALUE"""),"comment")</f>
        <v>comment</v>
      </c>
      <c r="I1336" s="2" t="str">
        <f ca="1">IFERROR(__xludf.DUMMYFUNCTION("""COMPUTED_VALUE"""),"https://www.facebook.com/rapplerdotcom/photos/a.317154781638645/5595733810447356/")</f>
        <v>https://www.facebook.com/rapplerdotcom/photos/a.317154781638645/5595733810447356/</v>
      </c>
      <c r="J1336" s="1" t="str">
        <f ca="1">IFERROR(__xludf.DUMMYFUNCTION("""COMPUTED_VALUE"""),"2022-07-04T15:41:10.241Z")</f>
        <v>2022-07-04T15:41:10.241Z</v>
      </c>
    </row>
    <row r="1337" spans="1:10" x14ac:dyDescent="0.2">
      <c r="A1337" s="2" t="str">
        <f ca="1">IFERROR(__xludf.DUMMYFUNCTION("""COMPUTED_VALUE"""),"https://www.facebook.com/celia.santos.397501")</f>
        <v>https://www.facebook.com/celia.santos.397501</v>
      </c>
      <c r="B1337" s="1" t="str">
        <f ca="1">IFERROR(__xludf.DUMMYFUNCTION("""COMPUTED_VALUE"""),"Celia Santos")</f>
        <v>Celia Santos</v>
      </c>
      <c r="C1337" s="1" t="str">
        <f ca="1">IFERROR(__xludf.DUMMYFUNCTION("""COMPUTED_VALUE"""),"Celia")</f>
        <v>Celia</v>
      </c>
      <c r="D1337" s="1" t="str">
        <f ca="1">IFERROR(__xludf.DUMMYFUNCTION("""COMPUTED_VALUE"""),"Santos")</f>
        <v>Santos</v>
      </c>
      <c r="E1337" s="1" t="str">
        <f ca="1">IFERROR(__xludf.DUMMYFUNCTION("""COMPUTED_VALUE"""),"Tatay man korap lang seimpre, puesta pa")</f>
        <v>Tatay man korap lang seimpre, puesta pa</v>
      </c>
      <c r="F1337" s="1"/>
      <c r="G1337" s="1" t="str">
        <f ca="1">IFERROR(__xludf.DUMMYFUNCTION("""COMPUTED_VALUE"""),"3 mos")</f>
        <v>3 mos</v>
      </c>
      <c r="H1337" s="1" t="str">
        <f ca="1">IFERROR(__xludf.DUMMYFUNCTION("""COMPUTED_VALUE"""),"comment")</f>
        <v>comment</v>
      </c>
      <c r="I1337" s="2" t="str">
        <f ca="1">IFERROR(__xludf.DUMMYFUNCTION("""COMPUTED_VALUE"""),"https://www.facebook.com/rapplerdotcom/photos/a.317154781638645/5595733810447356/")</f>
        <v>https://www.facebook.com/rapplerdotcom/photos/a.317154781638645/5595733810447356/</v>
      </c>
      <c r="J1337" s="1" t="str">
        <f ca="1">IFERROR(__xludf.DUMMYFUNCTION("""COMPUTED_VALUE"""),"2022-07-04T15:41:10.241Z")</f>
        <v>2022-07-04T15:41:10.241Z</v>
      </c>
    </row>
    <row r="1338" spans="1:10" x14ac:dyDescent="0.2">
      <c r="A1338" s="2" t="str">
        <f ca="1">IFERROR(__xludf.DUMMYFUNCTION("""COMPUTED_VALUE"""),"https://www.facebook.com/geobert.osma")</f>
        <v>https://www.facebook.com/geobert.osma</v>
      </c>
      <c r="B1338" s="1" t="str">
        <f ca="1">IFERROR(__xludf.DUMMYFUNCTION("""COMPUTED_VALUE"""),"Geobert Osma")</f>
        <v>Geobert Osma</v>
      </c>
      <c r="C1338" s="1" t="str">
        <f ca="1">IFERROR(__xludf.DUMMYFUNCTION("""COMPUTED_VALUE"""),"Geobert")</f>
        <v>Geobert</v>
      </c>
      <c r="D1338" s="1" t="str">
        <f ca="1">IFERROR(__xludf.DUMMYFUNCTION("""COMPUTED_VALUE"""),"Osma")</f>
        <v>Osma</v>
      </c>
      <c r="E1338" s="1" t="str">
        <f ca="1">IFERROR(__xludf.DUMMYFUNCTION("""COMPUTED_VALUE"""),"Salamat po.👍💕")</f>
        <v>Salamat po.👍💕</v>
      </c>
      <c r="F1338" s="1"/>
      <c r="G1338" s="1" t="str">
        <f ca="1">IFERROR(__xludf.DUMMYFUNCTION("""COMPUTED_VALUE"""),"3 mos")</f>
        <v>3 mos</v>
      </c>
      <c r="H1338" s="1" t="str">
        <f ca="1">IFERROR(__xludf.DUMMYFUNCTION("""COMPUTED_VALUE"""),"comment")</f>
        <v>comment</v>
      </c>
      <c r="I1338" s="2" t="str">
        <f ca="1">IFERROR(__xludf.DUMMYFUNCTION("""COMPUTED_VALUE"""),"https://www.facebook.com/rapplerdotcom/photos/a.317154781638645/5595733810447356/")</f>
        <v>https://www.facebook.com/rapplerdotcom/photos/a.317154781638645/5595733810447356/</v>
      </c>
      <c r="J1338" s="1" t="str">
        <f ca="1">IFERROR(__xludf.DUMMYFUNCTION("""COMPUTED_VALUE"""),"2022-07-04T15:41:10.241Z")</f>
        <v>2022-07-04T15:41:10.241Z</v>
      </c>
    </row>
    <row r="1339" spans="1:10" x14ac:dyDescent="0.2">
      <c r="A1339" s="2" t="str">
        <f ca="1">IFERROR(__xludf.DUMMYFUNCTION("""COMPUTED_VALUE"""),"https://www.facebook.com/profile.php?id=100078911753810")</f>
        <v>https://www.facebook.com/profile.php?id=100078911753810</v>
      </c>
      <c r="B1339" s="1" t="str">
        <f ca="1">IFERROR(__xludf.DUMMYFUNCTION("""COMPUTED_VALUE"""),"Asyong Aksaya")</f>
        <v>Asyong Aksaya</v>
      </c>
      <c r="C1339" s="1" t="str">
        <f ca="1">IFERROR(__xludf.DUMMYFUNCTION("""COMPUTED_VALUE"""),"Asyong")</f>
        <v>Asyong</v>
      </c>
      <c r="D1339" s="1" t="str">
        <f ca="1">IFERROR(__xludf.DUMMYFUNCTION("""COMPUTED_VALUE"""),"Aksaya")</f>
        <v>Aksaya</v>
      </c>
      <c r="E1339" s="1" t="str">
        <f ca="1">IFERROR(__xludf.DUMMYFUNCTION("""COMPUTED_VALUE"""),"hindi lahat tang")</f>
        <v>hindi lahat tang</v>
      </c>
      <c r="F1339" s="1"/>
      <c r="G1339" s="1" t="str">
        <f ca="1">IFERROR(__xludf.DUMMYFUNCTION("""COMPUTED_VALUE"""),"3 mos")</f>
        <v>3 mos</v>
      </c>
      <c r="H1339" s="1" t="str">
        <f ca="1">IFERROR(__xludf.DUMMYFUNCTION("""COMPUTED_VALUE"""),"comment")</f>
        <v>comment</v>
      </c>
      <c r="I1339" s="2" t="str">
        <f ca="1">IFERROR(__xludf.DUMMYFUNCTION("""COMPUTED_VALUE"""),"https://www.facebook.com/rapplerdotcom/photos/a.317154781638645/5595733810447356/")</f>
        <v>https://www.facebook.com/rapplerdotcom/photos/a.317154781638645/5595733810447356/</v>
      </c>
      <c r="J1339" s="1" t="str">
        <f ca="1">IFERROR(__xludf.DUMMYFUNCTION("""COMPUTED_VALUE"""),"2022-07-04T15:41:10.241Z")</f>
        <v>2022-07-04T15:41:10.241Z</v>
      </c>
    </row>
    <row r="1340" spans="1:10" x14ac:dyDescent="0.2">
      <c r="A1340" s="2" t="str">
        <f ca="1">IFERROR(__xludf.DUMMYFUNCTION("""COMPUTED_VALUE"""),"https://www.facebook.com/profile.php?id=100076597585055")</f>
        <v>https://www.facebook.com/profile.php?id=100076597585055</v>
      </c>
      <c r="B1340" s="1" t="str">
        <f ca="1">IFERROR(__xludf.DUMMYFUNCTION("""COMPUTED_VALUE"""),"Paulo Sanchez")</f>
        <v>Paulo Sanchez</v>
      </c>
      <c r="C1340" s="1" t="str">
        <f ca="1">IFERROR(__xludf.DUMMYFUNCTION("""COMPUTED_VALUE"""),"Paulo")</f>
        <v>Paulo</v>
      </c>
      <c r="D1340" s="1" t="str">
        <f ca="1">IFERROR(__xludf.DUMMYFUNCTION("""COMPUTED_VALUE"""),"Sanchez")</f>
        <v>Sanchez</v>
      </c>
      <c r="E1340" s="1" t="str">
        <f ca="1">IFERROR(__xludf.DUMMYFUNCTION("""COMPUTED_VALUE"""),"Hala kayo na pala congrats tay")</f>
        <v>Hala kayo na pala congrats tay</v>
      </c>
      <c r="F1340" s="1"/>
      <c r="G1340" s="1" t="str">
        <f ca="1">IFERROR(__xludf.DUMMYFUNCTION("""COMPUTED_VALUE"""),"3 mos")</f>
        <v>3 mos</v>
      </c>
      <c r="H1340" s="1" t="str">
        <f ca="1">IFERROR(__xludf.DUMMYFUNCTION("""COMPUTED_VALUE"""),"comment")</f>
        <v>comment</v>
      </c>
      <c r="I1340" s="2" t="str">
        <f ca="1">IFERROR(__xludf.DUMMYFUNCTION("""COMPUTED_VALUE"""),"https://www.facebook.com/rapplerdotcom/photos/a.317154781638645/5595733810447356/")</f>
        <v>https://www.facebook.com/rapplerdotcom/photos/a.317154781638645/5595733810447356/</v>
      </c>
      <c r="J1340" s="1" t="str">
        <f ca="1">IFERROR(__xludf.DUMMYFUNCTION("""COMPUTED_VALUE"""),"2022-07-04T15:41:10.241Z")</f>
        <v>2022-07-04T15:41:10.241Z</v>
      </c>
    </row>
    <row r="1341" spans="1:10" x14ac:dyDescent="0.2">
      <c r="A1341" s="2" t="str">
        <f ca="1">IFERROR(__xludf.DUMMYFUNCTION("""COMPUTED_VALUE"""),"https://www.facebook.com/profile.php?id=100012992791715")</f>
        <v>https://www.facebook.com/profile.php?id=100012992791715</v>
      </c>
      <c r="B1341" s="1" t="str">
        <f ca="1">IFERROR(__xludf.DUMMYFUNCTION("""COMPUTED_VALUE"""),"Valla Brecia Leoj")</f>
        <v>Valla Brecia Leoj</v>
      </c>
      <c r="C1341" s="1" t="str">
        <f ca="1">IFERROR(__xludf.DUMMYFUNCTION("""COMPUTED_VALUE"""),"Valla")</f>
        <v>Valla</v>
      </c>
      <c r="D1341" s="1" t="str">
        <f ca="1">IFERROR(__xludf.DUMMYFUNCTION("""COMPUTED_VALUE"""),"Brecia Leoj")</f>
        <v>Brecia Leoj</v>
      </c>
      <c r="E1341" s="1" t="str">
        <f ca="1">IFERROR(__xludf.DUMMYFUNCTION("""COMPUTED_VALUE"""),"si KA- Elmer pala yan 😃✌🙏")</f>
        <v>si KA- Elmer pala yan 😃✌🙏</v>
      </c>
      <c r="F1341" s="1"/>
      <c r="G1341" s="1" t="str">
        <f ca="1">IFERROR(__xludf.DUMMYFUNCTION("""COMPUTED_VALUE"""),"3 mos")</f>
        <v>3 mos</v>
      </c>
      <c r="H1341" s="1" t="str">
        <f ca="1">IFERROR(__xludf.DUMMYFUNCTION("""COMPUTED_VALUE"""),"comment")</f>
        <v>comment</v>
      </c>
      <c r="I1341" s="2" t="str">
        <f ca="1">IFERROR(__xludf.DUMMYFUNCTION("""COMPUTED_VALUE"""),"https://www.facebook.com/rapplerdotcom/photos/a.317154781638645/5595733810447356/")</f>
        <v>https://www.facebook.com/rapplerdotcom/photos/a.317154781638645/5595733810447356/</v>
      </c>
      <c r="J1341" s="1" t="str">
        <f ca="1">IFERROR(__xludf.DUMMYFUNCTION("""COMPUTED_VALUE"""),"2022-07-04T15:41:10.241Z")</f>
        <v>2022-07-04T15:41:10.241Z</v>
      </c>
    </row>
    <row r="1342" spans="1:10" x14ac:dyDescent="0.2">
      <c r="A1342" s="2" t="str">
        <f ca="1">IFERROR(__xludf.DUMMYFUNCTION("""COMPUTED_VALUE"""),"https://www.facebook.com/profile.php?id=100079988850982")</f>
        <v>https://www.facebook.com/profile.php?id=100079988850982</v>
      </c>
      <c r="B1342" s="1" t="str">
        <f ca="1">IFERROR(__xludf.DUMMYFUNCTION("""COMPUTED_VALUE"""),"Jo Revil")</f>
        <v>Jo Revil</v>
      </c>
      <c r="C1342" s="1" t="str">
        <f ca="1">IFERROR(__xludf.DUMMYFUNCTION("""COMPUTED_VALUE"""),"Jo")</f>
        <v>Jo</v>
      </c>
      <c r="D1342" s="1" t="str">
        <f ca="1">IFERROR(__xludf.DUMMYFUNCTION("""COMPUTED_VALUE"""),"Revil")</f>
        <v>Revil</v>
      </c>
      <c r="E1342" s="1" t="str">
        <f ca="1">IFERROR(__xludf.DUMMYFUNCTION("""COMPUTED_VALUE"""),"Ayos yan Tatay!")</f>
        <v>Ayos yan Tatay!</v>
      </c>
      <c r="F1342" s="1"/>
      <c r="G1342" s="1" t="str">
        <f ca="1">IFERROR(__xludf.DUMMYFUNCTION("""COMPUTED_VALUE"""),"3 mos")</f>
        <v>3 mos</v>
      </c>
      <c r="H1342" s="1" t="str">
        <f ca="1">IFERROR(__xludf.DUMMYFUNCTION("""COMPUTED_VALUE"""),"comment")</f>
        <v>comment</v>
      </c>
      <c r="I1342" s="2" t="str">
        <f ca="1">IFERROR(__xludf.DUMMYFUNCTION("""COMPUTED_VALUE"""),"https://www.facebook.com/rapplerdotcom/photos/a.317154781638645/5595733810447356/")</f>
        <v>https://www.facebook.com/rapplerdotcom/photos/a.317154781638645/5595733810447356/</v>
      </c>
      <c r="J1342" s="1" t="str">
        <f ca="1">IFERROR(__xludf.DUMMYFUNCTION("""COMPUTED_VALUE"""),"2022-07-04T15:41:10.241Z")</f>
        <v>2022-07-04T15:41:10.241Z</v>
      </c>
    </row>
    <row r="1343" spans="1:10" x14ac:dyDescent="0.2">
      <c r="A1343" s="2" t="str">
        <f ca="1">IFERROR(__xludf.DUMMYFUNCTION("""COMPUTED_VALUE"""),"https://www.facebook.com/profile.php?id=100073431611450")</f>
        <v>https://www.facebook.com/profile.php?id=100073431611450</v>
      </c>
      <c r="B1343" s="1" t="str">
        <f ca="1">IFERROR(__xludf.DUMMYFUNCTION("""COMPUTED_VALUE"""),"Jason King")</f>
        <v>Jason King</v>
      </c>
      <c r="C1343" s="1" t="str">
        <f ca="1">IFERROR(__xludf.DUMMYFUNCTION("""COMPUTED_VALUE"""),"Jason")</f>
        <v>Jason</v>
      </c>
      <c r="D1343" s="1" t="str">
        <f ca="1">IFERROR(__xludf.DUMMYFUNCTION("""COMPUTED_VALUE"""),"King")</f>
        <v>King</v>
      </c>
      <c r="E1343" s="1" t="str">
        <f ca="1">IFERROR(__xludf.DUMMYFUNCTION("""COMPUTED_VALUE"""),"Mag Kano binayad tay")</f>
        <v>Mag Kano binayad tay</v>
      </c>
      <c r="F1343" s="1">
        <f ca="1">IFERROR(__xludf.DUMMYFUNCTION("""COMPUTED_VALUE"""),4)</f>
        <v>4</v>
      </c>
      <c r="G1343" s="1" t="str">
        <f ca="1">IFERROR(__xludf.DUMMYFUNCTION("""COMPUTED_VALUE"""),"3 mos")</f>
        <v>3 mos</v>
      </c>
      <c r="H1343" s="1" t="str">
        <f ca="1">IFERROR(__xludf.DUMMYFUNCTION("""COMPUTED_VALUE"""),"comment")</f>
        <v>comment</v>
      </c>
      <c r="I1343" s="2" t="str">
        <f ca="1">IFERROR(__xludf.DUMMYFUNCTION("""COMPUTED_VALUE"""),"https://www.facebook.com/rapplerdotcom/photos/a.317154781638645/5595733810447356/")</f>
        <v>https://www.facebook.com/rapplerdotcom/photos/a.317154781638645/5595733810447356/</v>
      </c>
      <c r="J1343" s="1" t="str">
        <f ca="1">IFERROR(__xludf.DUMMYFUNCTION("""COMPUTED_VALUE"""),"2022-07-04T15:41:10.241Z")</f>
        <v>2022-07-04T15:41:10.241Z</v>
      </c>
    </row>
    <row r="1344" spans="1:10" x14ac:dyDescent="0.2">
      <c r="A1344" s="2" t="str">
        <f ca="1">IFERROR(__xludf.DUMMYFUNCTION("""COMPUTED_VALUE"""),"https://www.facebook.com/renato.francisco.16503")</f>
        <v>https://www.facebook.com/renato.francisco.16503</v>
      </c>
      <c r="B1344" s="1" t="str">
        <f ca="1">IFERROR(__xludf.DUMMYFUNCTION("""COMPUTED_VALUE"""),"Francisco Jojo")</f>
        <v>Francisco Jojo</v>
      </c>
      <c r="C1344" s="1" t="str">
        <f ca="1">IFERROR(__xludf.DUMMYFUNCTION("""COMPUTED_VALUE"""),"Francisco")</f>
        <v>Francisco</v>
      </c>
      <c r="D1344" s="1" t="str">
        <f ca="1">IFERROR(__xludf.DUMMYFUNCTION("""COMPUTED_VALUE"""),"Jojo")</f>
        <v>Jojo</v>
      </c>
      <c r="E1344" s="1" t="str">
        <f ca="1">IFERROR(__xludf.DUMMYFUNCTION("""COMPUTED_VALUE"""),"Ingat po tay🙏")</f>
        <v>Ingat po tay🙏</v>
      </c>
      <c r="F1344" s="1"/>
      <c r="G1344" s="1" t="str">
        <f ca="1">IFERROR(__xludf.DUMMYFUNCTION("""COMPUTED_VALUE"""),"3 mos")</f>
        <v>3 mos</v>
      </c>
      <c r="H1344" s="1" t="str">
        <f ca="1">IFERROR(__xludf.DUMMYFUNCTION("""COMPUTED_VALUE"""),"comment")</f>
        <v>comment</v>
      </c>
      <c r="I1344" s="2" t="str">
        <f ca="1">IFERROR(__xludf.DUMMYFUNCTION("""COMPUTED_VALUE"""),"https://www.facebook.com/rapplerdotcom/photos/a.317154781638645/5595733810447356/")</f>
        <v>https://www.facebook.com/rapplerdotcom/photos/a.317154781638645/5595733810447356/</v>
      </c>
      <c r="J1344" s="1" t="str">
        <f ca="1">IFERROR(__xludf.DUMMYFUNCTION("""COMPUTED_VALUE"""),"2022-07-04T15:41:10.241Z")</f>
        <v>2022-07-04T15:41:10.241Z</v>
      </c>
    </row>
    <row r="1345" spans="1:10" x14ac:dyDescent="0.2">
      <c r="A1345" s="2" t="str">
        <f ca="1">IFERROR(__xludf.DUMMYFUNCTION("""COMPUTED_VALUE"""),"https://www.facebook.com/dindo.ducay")</f>
        <v>https://www.facebook.com/dindo.ducay</v>
      </c>
      <c r="B1345" s="1" t="str">
        <f ca="1">IFERROR(__xludf.DUMMYFUNCTION("""COMPUTED_VALUE"""),"Dindo Ducay")</f>
        <v>Dindo Ducay</v>
      </c>
      <c r="C1345" s="1" t="str">
        <f ca="1">IFERROR(__xludf.DUMMYFUNCTION("""COMPUTED_VALUE"""),"Dindo")</f>
        <v>Dindo</v>
      </c>
      <c r="D1345" s="1" t="str">
        <f ca="1">IFERROR(__xludf.DUMMYFUNCTION("""COMPUTED_VALUE"""),"Ducay")</f>
        <v>Ducay</v>
      </c>
      <c r="E1345" s="1" t="str">
        <f ca="1">IFERROR(__xludf.DUMMYFUNCTION("""COMPUTED_VALUE"""),"Alam ko Kung bakit✌️✌️")</f>
        <v>Alam ko Kung bakit✌️✌️</v>
      </c>
      <c r="F1345" s="1"/>
      <c r="G1345" s="1" t="str">
        <f ca="1">IFERROR(__xludf.DUMMYFUNCTION("""COMPUTED_VALUE"""),"3 mos")</f>
        <v>3 mos</v>
      </c>
      <c r="H1345" s="1" t="str">
        <f ca="1">IFERROR(__xludf.DUMMYFUNCTION("""COMPUTED_VALUE"""),"comment")</f>
        <v>comment</v>
      </c>
      <c r="I1345" s="2" t="str">
        <f ca="1">IFERROR(__xludf.DUMMYFUNCTION("""COMPUTED_VALUE"""),"https://www.facebook.com/rapplerdotcom/photos/a.317154781638645/5595733810447356/")</f>
        <v>https://www.facebook.com/rapplerdotcom/photos/a.317154781638645/5595733810447356/</v>
      </c>
      <c r="J1345" s="1" t="str">
        <f ca="1">IFERROR(__xludf.DUMMYFUNCTION("""COMPUTED_VALUE"""),"2022-07-04T15:41:10.241Z")</f>
        <v>2022-07-04T15:41:10.241Z</v>
      </c>
    </row>
    <row r="1346" spans="1:10" x14ac:dyDescent="0.2">
      <c r="A1346" s="2" t="str">
        <f ca="1">IFERROR(__xludf.DUMMYFUNCTION("""COMPUTED_VALUE"""),"https://www.facebook.com/obiso.clarissa")</f>
        <v>https://www.facebook.com/obiso.clarissa</v>
      </c>
      <c r="B1346" s="1" t="str">
        <f ca="1">IFERROR(__xludf.DUMMYFUNCTION("""COMPUTED_VALUE"""),"Clarissa Obiso")</f>
        <v>Clarissa Obiso</v>
      </c>
      <c r="C1346" s="1" t="str">
        <f ca="1">IFERROR(__xludf.DUMMYFUNCTION("""COMPUTED_VALUE"""),"Clarissa")</f>
        <v>Clarissa</v>
      </c>
      <c r="D1346" s="1" t="str">
        <f ca="1">IFERROR(__xludf.DUMMYFUNCTION("""COMPUTED_VALUE"""),"Obiso")</f>
        <v>Obiso</v>
      </c>
      <c r="E1346" s="1" t="str">
        <f ca="1">IFERROR(__xludf.DUMMYFUNCTION("""COMPUTED_VALUE"""),"Sa Gobyernong Tapat, #AngatBuhayLahat")</f>
        <v>Sa Gobyernong Tapat, #AngatBuhayLahat</v>
      </c>
      <c r="F1346" s="1"/>
      <c r="G1346" s="1" t="str">
        <f ca="1">IFERROR(__xludf.DUMMYFUNCTION("""COMPUTED_VALUE"""),"3 mos")</f>
        <v>3 mos</v>
      </c>
      <c r="H1346" s="1" t="str">
        <f ca="1">IFERROR(__xludf.DUMMYFUNCTION("""COMPUTED_VALUE"""),"comment")</f>
        <v>comment</v>
      </c>
      <c r="I1346" s="2" t="str">
        <f ca="1">IFERROR(__xludf.DUMMYFUNCTION("""COMPUTED_VALUE"""),"https://www.facebook.com/rapplerdotcom/photos/a.317154781638645/5595733810447356/")</f>
        <v>https://www.facebook.com/rapplerdotcom/photos/a.317154781638645/5595733810447356/</v>
      </c>
      <c r="J1346" s="1" t="str">
        <f ca="1">IFERROR(__xludf.DUMMYFUNCTION("""COMPUTED_VALUE"""),"2022-07-04T15:41:10.241Z")</f>
        <v>2022-07-04T15:41:10.241Z</v>
      </c>
    </row>
    <row r="1347" spans="1:10" x14ac:dyDescent="0.2">
      <c r="A1347" s="2" t="str">
        <f ca="1">IFERROR(__xludf.DUMMYFUNCTION("""COMPUTED_VALUE"""),"https://www.facebook.com/benjamin.naces.3")</f>
        <v>https://www.facebook.com/benjamin.naces.3</v>
      </c>
      <c r="B1347" s="1" t="str">
        <f ca="1">IFERROR(__xludf.DUMMYFUNCTION("""COMPUTED_VALUE"""),"Benjie Naces")</f>
        <v>Benjie Naces</v>
      </c>
      <c r="C1347" s="1" t="str">
        <f ca="1">IFERROR(__xludf.DUMMYFUNCTION("""COMPUTED_VALUE"""),"Benjie")</f>
        <v>Benjie</v>
      </c>
      <c r="D1347" s="1" t="str">
        <f ca="1">IFERROR(__xludf.DUMMYFUNCTION("""COMPUTED_VALUE"""),"Naces")</f>
        <v>Naces</v>
      </c>
      <c r="E1347" s="1" t="str">
        <f ca="1">IFERROR(__xludf.DUMMYFUNCTION("""COMPUTED_VALUE"""),"Nakakamaniho pb yan?..")</f>
        <v>Nakakamaniho pb yan?..</v>
      </c>
      <c r="F1347" s="1"/>
      <c r="G1347" s="1" t="str">
        <f ca="1">IFERROR(__xludf.DUMMYFUNCTION("""COMPUTED_VALUE"""),"3 mos")</f>
        <v>3 mos</v>
      </c>
      <c r="H1347" s="1" t="str">
        <f ca="1">IFERROR(__xludf.DUMMYFUNCTION("""COMPUTED_VALUE"""),"comment")</f>
        <v>comment</v>
      </c>
      <c r="I1347" s="2" t="str">
        <f ca="1">IFERROR(__xludf.DUMMYFUNCTION("""COMPUTED_VALUE"""),"https://www.facebook.com/rapplerdotcom/photos/a.317154781638645/5595733810447356/")</f>
        <v>https://www.facebook.com/rapplerdotcom/photos/a.317154781638645/5595733810447356/</v>
      </c>
      <c r="J1347" s="1" t="str">
        <f ca="1">IFERROR(__xludf.DUMMYFUNCTION("""COMPUTED_VALUE"""),"2022-07-04T15:41:10.241Z")</f>
        <v>2022-07-04T15:41:10.241Z</v>
      </c>
    </row>
    <row r="1348" spans="1:10" x14ac:dyDescent="0.2">
      <c r="A1348" s="2" t="str">
        <f ca="1">IFERROR(__xludf.DUMMYFUNCTION("""COMPUTED_VALUE"""),"https://www.facebook.com/profile.php?id=100071816821889")</f>
        <v>https://www.facebook.com/profile.php?id=100071816821889</v>
      </c>
      <c r="B1348" s="1" t="str">
        <f ca="1">IFERROR(__xludf.DUMMYFUNCTION("""COMPUTED_VALUE"""),"John Paul Quipit Gabutan")</f>
        <v>John Paul Quipit Gabutan</v>
      </c>
      <c r="C1348" s="1" t="str">
        <f ca="1">IFERROR(__xludf.DUMMYFUNCTION("""COMPUTED_VALUE"""),"John")</f>
        <v>John</v>
      </c>
      <c r="D1348" s="1" t="str">
        <f ca="1">IFERROR(__xludf.DUMMYFUNCTION("""COMPUTED_VALUE"""),"Paul Quipit Gabutan")</f>
        <v>Paul Quipit Gabutan</v>
      </c>
      <c r="E1348" s="1" t="str">
        <f ca="1">IFERROR(__xludf.DUMMYFUNCTION("""COMPUTED_VALUE"""),"2jong")</f>
        <v>2jong</v>
      </c>
      <c r="F1348" s="1"/>
      <c r="G1348" s="1" t="str">
        <f ca="1">IFERROR(__xludf.DUMMYFUNCTION("""COMPUTED_VALUE"""),"3 mos")</f>
        <v>3 mos</v>
      </c>
      <c r="H1348" s="1" t="str">
        <f ca="1">IFERROR(__xludf.DUMMYFUNCTION("""COMPUTED_VALUE"""),"comment")</f>
        <v>comment</v>
      </c>
      <c r="I1348" s="2" t="str">
        <f ca="1">IFERROR(__xludf.DUMMYFUNCTION("""COMPUTED_VALUE"""),"https://www.facebook.com/rapplerdotcom/photos/a.317154781638645/5595733810447356/")</f>
        <v>https://www.facebook.com/rapplerdotcom/photos/a.317154781638645/5595733810447356/</v>
      </c>
      <c r="J1348" s="1" t="str">
        <f ca="1">IFERROR(__xludf.DUMMYFUNCTION("""COMPUTED_VALUE"""),"2022-07-04T15:41:10.241Z")</f>
        <v>2022-07-04T15:41:10.241Z</v>
      </c>
    </row>
    <row r="1349" spans="1:10" x14ac:dyDescent="0.2">
      <c r="A1349" s="2" t="str">
        <f ca="1">IFERROR(__xludf.DUMMYFUNCTION("""COMPUTED_VALUE"""),"https://www.facebook.com/tom.bolero1")</f>
        <v>https://www.facebook.com/tom.bolero1</v>
      </c>
      <c r="B1349" s="1" t="str">
        <f ca="1">IFERROR(__xludf.DUMMYFUNCTION("""COMPUTED_VALUE"""),"Alex Vistan")</f>
        <v>Alex Vistan</v>
      </c>
      <c r="C1349" s="1" t="str">
        <f ca="1">IFERROR(__xludf.DUMMYFUNCTION("""COMPUTED_VALUE"""),"Alex")</f>
        <v>Alex</v>
      </c>
      <c r="D1349" s="1" t="str">
        <f ca="1">IFERROR(__xludf.DUMMYFUNCTION("""COMPUTED_VALUE"""),"Vistan")</f>
        <v>Vistan</v>
      </c>
      <c r="E1349" s="1" t="str">
        <f ca="1">IFERROR(__xludf.DUMMYFUNCTION("""COMPUTED_VALUE"""),"Tanda na nya pero galing parin nya mag sulat!!!! Wow")</f>
        <v>Tanda na nya pero galing parin nya mag sulat!!!! Wow</v>
      </c>
      <c r="F1349" s="1">
        <f ca="1">IFERROR(__xludf.DUMMYFUNCTION("""COMPUTED_VALUE"""),1)</f>
        <v>1</v>
      </c>
      <c r="G1349" s="1" t="str">
        <f ca="1">IFERROR(__xludf.DUMMYFUNCTION("""COMPUTED_VALUE"""),"3 mos")</f>
        <v>3 mos</v>
      </c>
      <c r="H1349" s="1" t="str">
        <f ca="1">IFERROR(__xludf.DUMMYFUNCTION("""COMPUTED_VALUE"""),"comment")</f>
        <v>comment</v>
      </c>
      <c r="I1349" s="2" t="str">
        <f ca="1">IFERROR(__xludf.DUMMYFUNCTION("""COMPUTED_VALUE"""),"https://www.facebook.com/rapplerdotcom/photos/a.317154781638645/5595733810447356/")</f>
        <v>https://www.facebook.com/rapplerdotcom/photos/a.317154781638645/5595733810447356/</v>
      </c>
      <c r="J1349" s="1" t="str">
        <f ca="1">IFERROR(__xludf.DUMMYFUNCTION("""COMPUTED_VALUE"""),"2022-07-04T15:41:10.241Z")</f>
        <v>2022-07-04T15:41:10.241Z</v>
      </c>
    </row>
    <row r="1350" spans="1:10" x14ac:dyDescent="0.2">
      <c r="A1350" s="2" t="str">
        <f ca="1">IFERROR(__xludf.DUMMYFUNCTION("""COMPUTED_VALUE"""),"https://www.facebook.com/alex.guza")</f>
        <v>https://www.facebook.com/alex.guza</v>
      </c>
      <c r="B1350" s="1" t="str">
        <f ca="1">IFERROR(__xludf.DUMMYFUNCTION("""COMPUTED_VALUE"""),"Alex P. Guza")</f>
        <v>Alex P. Guza</v>
      </c>
      <c r="C1350" s="1" t="str">
        <f ca="1">IFERROR(__xludf.DUMMYFUNCTION("""COMPUTED_VALUE"""),"Alex")</f>
        <v>Alex</v>
      </c>
      <c r="D1350" s="1" t="str">
        <f ca="1">IFERROR(__xludf.DUMMYFUNCTION("""COMPUTED_VALUE"""),"P. Guza")</f>
        <v>P. Guza</v>
      </c>
      <c r="E1350" s="1" t="str">
        <f ca="1">IFERROR(__xludf.DUMMYFUNCTION("""COMPUTED_VALUE"""),"hindi lahat")</f>
        <v>hindi lahat</v>
      </c>
      <c r="F1350" s="1"/>
      <c r="G1350" s="1" t="str">
        <f ca="1">IFERROR(__xludf.DUMMYFUNCTION("""COMPUTED_VALUE"""),"3 mos")</f>
        <v>3 mos</v>
      </c>
      <c r="H1350" s="1" t="str">
        <f ca="1">IFERROR(__xludf.DUMMYFUNCTION("""COMPUTED_VALUE"""),"comment")</f>
        <v>comment</v>
      </c>
      <c r="I1350" s="2" t="str">
        <f ca="1">IFERROR(__xludf.DUMMYFUNCTION("""COMPUTED_VALUE"""),"https://www.facebook.com/rapplerdotcom/photos/a.317154781638645/5595733810447356/")</f>
        <v>https://www.facebook.com/rapplerdotcom/photos/a.317154781638645/5595733810447356/</v>
      </c>
      <c r="J1350" s="1" t="str">
        <f ca="1">IFERROR(__xludf.DUMMYFUNCTION("""COMPUTED_VALUE"""),"2022-07-04T15:41:10.241Z")</f>
        <v>2022-07-04T15:41:10.241Z</v>
      </c>
    </row>
    <row r="1351" spans="1:10" x14ac:dyDescent="0.2">
      <c r="A1351" s="2" t="str">
        <f ca="1">IFERROR(__xludf.DUMMYFUNCTION("""COMPUTED_VALUE"""),"https://www.facebook.com/carlito.dimayacyac")</f>
        <v>https://www.facebook.com/carlito.dimayacyac</v>
      </c>
      <c r="B1351" s="1" t="str">
        <f ca="1">IFERROR(__xludf.DUMMYFUNCTION("""COMPUTED_VALUE"""),"Carlito Dimayacyac")</f>
        <v>Carlito Dimayacyac</v>
      </c>
      <c r="C1351" s="1" t="str">
        <f ca="1">IFERROR(__xludf.DUMMYFUNCTION("""COMPUTED_VALUE"""),"Carlito")</f>
        <v>Carlito</v>
      </c>
      <c r="D1351" s="1" t="str">
        <f ca="1">IFERROR(__xludf.DUMMYFUNCTION("""COMPUTED_VALUE"""),"Dimayacyac")</f>
        <v>Dimayacyac</v>
      </c>
      <c r="E1351" s="1" t="str">
        <f ca="1">IFERROR(__xludf.DUMMYFUNCTION("""COMPUTED_VALUE"""),"Salamat po mabuhay ka po kuya")</f>
        <v>Salamat po mabuhay ka po kuya</v>
      </c>
      <c r="F1351" s="1"/>
      <c r="G1351" s="1" t="str">
        <f ca="1">IFERROR(__xludf.DUMMYFUNCTION("""COMPUTED_VALUE"""),"3 mos")</f>
        <v>3 mos</v>
      </c>
      <c r="H1351" s="1" t="str">
        <f ca="1">IFERROR(__xludf.DUMMYFUNCTION("""COMPUTED_VALUE"""),"comment")</f>
        <v>comment</v>
      </c>
      <c r="I1351" s="2" t="str">
        <f ca="1">IFERROR(__xludf.DUMMYFUNCTION("""COMPUTED_VALUE"""),"https://www.facebook.com/rapplerdotcom/photos/a.317154781638645/5595733810447356/")</f>
        <v>https://www.facebook.com/rapplerdotcom/photos/a.317154781638645/5595733810447356/</v>
      </c>
      <c r="J1351" s="1" t="str">
        <f ca="1">IFERROR(__xludf.DUMMYFUNCTION("""COMPUTED_VALUE"""),"2022-07-04T15:41:10.241Z")</f>
        <v>2022-07-04T15:41:10.241Z</v>
      </c>
    </row>
    <row r="1352" spans="1:10" x14ac:dyDescent="0.2">
      <c r="A1352" s="2" t="str">
        <f ca="1">IFERROR(__xludf.DUMMYFUNCTION("""COMPUTED_VALUE"""),"https://www.facebook.com/glenn.esmores.1")</f>
        <v>https://www.facebook.com/glenn.esmores.1</v>
      </c>
      <c r="B1352" s="1" t="str">
        <f ca="1">IFERROR(__xludf.DUMMYFUNCTION("""COMPUTED_VALUE"""),"Esmores Glenn")</f>
        <v>Esmores Glenn</v>
      </c>
      <c r="C1352" s="1" t="str">
        <f ca="1">IFERROR(__xludf.DUMMYFUNCTION("""COMPUTED_VALUE"""),"Esmores")</f>
        <v>Esmores</v>
      </c>
      <c r="D1352" s="1" t="str">
        <f ca="1">IFERROR(__xludf.DUMMYFUNCTION("""COMPUTED_VALUE"""),"Glenn")</f>
        <v>Glenn</v>
      </c>
      <c r="E1352" s="1" t="str">
        <f ca="1">IFERROR(__xludf.DUMMYFUNCTION("""COMPUTED_VALUE"""),"Driver dn ako pero respect lng kita Tay pero, BBMSARA solid ako.")</f>
        <v>Driver dn ako pero respect lng kita Tay pero, BBMSARA solid ako.</v>
      </c>
      <c r="F1352" s="1"/>
      <c r="G1352" s="1" t="str">
        <f ca="1">IFERROR(__xludf.DUMMYFUNCTION("""COMPUTED_VALUE"""),"3 mos")</f>
        <v>3 mos</v>
      </c>
      <c r="H1352" s="1" t="str">
        <f ca="1">IFERROR(__xludf.DUMMYFUNCTION("""COMPUTED_VALUE"""),"comment")</f>
        <v>comment</v>
      </c>
      <c r="I1352" s="2" t="str">
        <f ca="1">IFERROR(__xludf.DUMMYFUNCTION("""COMPUTED_VALUE"""),"https://www.facebook.com/rapplerdotcom/photos/a.317154781638645/5595733810447356/")</f>
        <v>https://www.facebook.com/rapplerdotcom/photos/a.317154781638645/5595733810447356/</v>
      </c>
      <c r="J1352" s="1" t="str">
        <f ca="1">IFERROR(__xludf.DUMMYFUNCTION("""COMPUTED_VALUE"""),"2022-07-04T15:41:10.241Z")</f>
        <v>2022-07-04T15:41:10.241Z</v>
      </c>
    </row>
    <row r="1353" spans="1:10" x14ac:dyDescent="0.2">
      <c r="A1353" s="2" t="str">
        <f ca="1">IFERROR(__xludf.DUMMYFUNCTION("""COMPUTED_VALUE"""),"https://www.facebook.com/alvarez.eragen")</f>
        <v>https://www.facebook.com/alvarez.eragen</v>
      </c>
      <c r="B1353" s="1" t="str">
        <f ca="1">IFERROR(__xludf.DUMMYFUNCTION("""COMPUTED_VALUE"""),"Eragen Landiza Alvarez")</f>
        <v>Eragen Landiza Alvarez</v>
      </c>
      <c r="C1353" s="1" t="str">
        <f ca="1">IFERROR(__xludf.DUMMYFUNCTION("""COMPUTED_VALUE"""),"Eragen")</f>
        <v>Eragen</v>
      </c>
      <c r="D1353" s="1" t="str">
        <f ca="1">IFERROR(__xludf.DUMMYFUNCTION("""COMPUTED_VALUE"""),"Landiza Alvarez")</f>
        <v>Landiza Alvarez</v>
      </c>
      <c r="E1353" s="1" t="str">
        <f ca="1">IFERROR(__xludf.DUMMYFUNCTION("""COMPUTED_VALUE"""),"Ikaw lang lo")</f>
        <v>Ikaw lang lo</v>
      </c>
      <c r="F1353" s="1"/>
      <c r="G1353" s="1" t="str">
        <f ca="1">IFERROR(__xludf.DUMMYFUNCTION("""COMPUTED_VALUE"""),"3 mos")</f>
        <v>3 mos</v>
      </c>
      <c r="H1353" s="1" t="str">
        <f ca="1">IFERROR(__xludf.DUMMYFUNCTION("""COMPUTED_VALUE"""),"comment")</f>
        <v>comment</v>
      </c>
      <c r="I1353" s="2" t="str">
        <f ca="1">IFERROR(__xludf.DUMMYFUNCTION("""COMPUTED_VALUE"""),"https://www.facebook.com/rapplerdotcom/photos/a.317154781638645/5595733810447356/")</f>
        <v>https://www.facebook.com/rapplerdotcom/photos/a.317154781638645/5595733810447356/</v>
      </c>
      <c r="J1353" s="1" t="str">
        <f ca="1">IFERROR(__xludf.DUMMYFUNCTION("""COMPUTED_VALUE"""),"2022-07-04T15:41:10.241Z")</f>
        <v>2022-07-04T15:41:10.241Z</v>
      </c>
    </row>
    <row r="1354" spans="1:10" x14ac:dyDescent="0.2">
      <c r="A1354" s="2" t="str">
        <f ca="1">IFERROR(__xludf.DUMMYFUNCTION("""COMPUTED_VALUE"""),"https://www.facebook.com/cirilobalong.lapaz")</f>
        <v>https://www.facebook.com/cirilobalong.lapaz</v>
      </c>
      <c r="B1354" s="1" t="str">
        <f ca="1">IFERROR(__xludf.DUMMYFUNCTION("""COMPUTED_VALUE"""),"Cirilobalong Lapaz")</f>
        <v>Cirilobalong Lapaz</v>
      </c>
      <c r="C1354" s="1" t="str">
        <f ca="1">IFERROR(__xludf.DUMMYFUNCTION("""COMPUTED_VALUE"""),"Cirilobalong")</f>
        <v>Cirilobalong</v>
      </c>
      <c r="D1354" s="1" t="str">
        <f ca="1">IFERROR(__xludf.DUMMYFUNCTION("""COMPUTED_VALUE"""),"Lapaz")</f>
        <v>Lapaz</v>
      </c>
      <c r="E1354" s="1" t="str">
        <f ca="1">IFERROR(__xludf.DUMMYFUNCTION("""COMPUTED_VALUE"""),"Papatayin kayo  sa  gutom  nyan  sa  bet nyo")</f>
        <v>Papatayin kayo  sa  gutom  nyan  sa  bet nyo</v>
      </c>
      <c r="F1354" s="1"/>
      <c r="G1354" s="1" t="str">
        <f ca="1">IFERROR(__xludf.DUMMYFUNCTION("""COMPUTED_VALUE"""),"3 mos")</f>
        <v>3 mos</v>
      </c>
      <c r="H1354" s="1" t="str">
        <f ca="1">IFERROR(__xludf.DUMMYFUNCTION("""COMPUTED_VALUE"""),"comment")</f>
        <v>comment</v>
      </c>
      <c r="I1354" s="2" t="str">
        <f ca="1">IFERROR(__xludf.DUMMYFUNCTION("""COMPUTED_VALUE"""),"https://www.facebook.com/rapplerdotcom/photos/a.317154781638645/5595733810447356/")</f>
        <v>https://www.facebook.com/rapplerdotcom/photos/a.317154781638645/5595733810447356/</v>
      </c>
      <c r="J1354" s="1" t="str">
        <f ca="1">IFERROR(__xludf.DUMMYFUNCTION("""COMPUTED_VALUE"""),"2022-07-04T15:41:10.241Z")</f>
        <v>2022-07-04T15:41:10.241Z</v>
      </c>
    </row>
    <row r="1355" spans="1:10" x14ac:dyDescent="0.2">
      <c r="A1355" s="2" t="str">
        <f ca="1">IFERROR(__xludf.DUMMYFUNCTION("""COMPUTED_VALUE"""),"https://www.facebook.com/janerick.mendozaalarcon")</f>
        <v>https://www.facebook.com/janerick.mendozaalarcon</v>
      </c>
      <c r="B1355" s="1" t="str">
        <f ca="1">IFERROR(__xludf.DUMMYFUNCTION("""COMPUTED_VALUE"""),"Erick Lim Alarcon")</f>
        <v>Erick Lim Alarcon</v>
      </c>
      <c r="C1355" s="1" t="str">
        <f ca="1">IFERROR(__xludf.DUMMYFUNCTION("""COMPUTED_VALUE"""),"Erick")</f>
        <v>Erick</v>
      </c>
      <c r="D1355" s="1" t="str">
        <f ca="1">IFERROR(__xludf.DUMMYFUNCTION("""COMPUTED_VALUE"""),"Lim Alarcon")</f>
        <v>Lim Alarcon</v>
      </c>
      <c r="E1355" s="1" t="str">
        <f ca="1">IFERROR(__xludf.DUMMYFUNCTION("""COMPUTED_VALUE"""),"Hay naku Wala nga nagawa nung lockdown.. maliban sa tawag agad ng media")</f>
        <v>Hay naku Wala nga nagawa nung lockdown.. maliban sa tawag agad ng media</v>
      </c>
      <c r="F1355" s="1"/>
      <c r="G1355" s="1" t="str">
        <f ca="1">IFERROR(__xludf.DUMMYFUNCTION("""COMPUTED_VALUE"""),"3 mos")</f>
        <v>3 mos</v>
      </c>
      <c r="H1355" s="1" t="str">
        <f ca="1">IFERROR(__xludf.DUMMYFUNCTION("""COMPUTED_VALUE"""),"comment")</f>
        <v>comment</v>
      </c>
      <c r="I1355" s="2" t="str">
        <f ca="1">IFERROR(__xludf.DUMMYFUNCTION("""COMPUTED_VALUE"""),"https://www.facebook.com/rapplerdotcom/photos/a.317154781638645/5595733810447356/")</f>
        <v>https://www.facebook.com/rapplerdotcom/photos/a.317154781638645/5595733810447356/</v>
      </c>
      <c r="J1355" s="1" t="str">
        <f ca="1">IFERROR(__xludf.DUMMYFUNCTION("""COMPUTED_VALUE"""),"2022-07-04T15:41:10.241Z")</f>
        <v>2022-07-04T15:41:10.241Z</v>
      </c>
    </row>
    <row r="1356" spans="1:10" x14ac:dyDescent="0.2">
      <c r="A1356" s="2" t="str">
        <f ca="1">IFERROR(__xludf.DUMMYFUNCTION("""COMPUTED_VALUE"""),"https://www.facebook.com/henry.daco")</f>
        <v>https://www.facebook.com/henry.daco</v>
      </c>
      <c r="B1356" s="1" t="str">
        <f ca="1">IFERROR(__xludf.DUMMYFUNCTION("""COMPUTED_VALUE"""),"Henry Daco")</f>
        <v>Henry Daco</v>
      </c>
      <c r="C1356" s="1" t="str">
        <f ca="1">IFERROR(__xludf.DUMMYFUNCTION("""COMPUTED_VALUE"""),"Henry")</f>
        <v>Henry</v>
      </c>
      <c r="D1356" s="1" t="str">
        <f ca="1">IFERROR(__xludf.DUMMYFUNCTION("""COMPUTED_VALUE"""),"Daco")</f>
        <v>Daco</v>
      </c>
      <c r="E1356" s="1" t="str">
        <f ca="1">IFERROR(__xludf.DUMMYFUNCTION("""COMPUTED_VALUE"""),"Henry Daco")</f>
        <v>Henry Daco</v>
      </c>
      <c r="F1356" s="1"/>
      <c r="G1356" s="1" t="str">
        <f ca="1">IFERROR(__xludf.DUMMYFUNCTION("""COMPUTED_VALUE"""),"3 mos")</f>
        <v>3 mos</v>
      </c>
      <c r="H1356" s="1" t="str">
        <f ca="1">IFERROR(__xludf.DUMMYFUNCTION("""COMPUTED_VALUE"""),"comment")</f>
        <v>comment</v>
      </c>
      <c r="I1356" s="2" t="str">
        <f ca="1">IFERROR(__xludf.DUMMYFUNCTION("""COMPUTED_VALUE"""),"https://www.facebook.com/rapplerdotcom/photos/a.317154781638645/5595733810447356/")</f>
        <v>https://www.facebook.com/rapplerdotcom/photos/a.317154781638645/5595733810447356/</v>
      </c>
      <c r="J1356" s="1" t="str">
        <f ca="1">IFERROR(__xludf.DUMMYFUNCTION("""COMPUTED_VALUE"""),"2022-07-04T15:41:10.241Z")</f>
        <v>2022-07-04T15:41:10.241Z</v>
      </c>
    </row>
    <row r="1357" spans="1:10" x14ac:dyDescent="0.2">
      <c r="A1357" s="2" t="str">
        <f ca="1">IFERROR(__xludf.DUMMYFUNCTION("""COMPUTED_VALUE"""),"https://www.facebook.com/maritesse.espinaz")</f>
        <v>https://www.facebook.com/maritesse.espinaz</v>
      </c>
      <c r="B1357" s="1" t="str">
        <f ca="1">IFERROR(__xludf.DUMMYFUNCTION("""COMPUTED_VALUE"""),"Maritess Januras Espinas")</f>
        <v>Maritess Januras Espinas</v>
      </c>
      <c r="C1357" s="1" t="str">
        <f ca="1">IFERROR(__xludf.DUMMYFUNCTION("""COMPUTED_VALUE"""),"Maritess")</f>
        <v>Maritess</v>
      </c>
      <c r="D1357" s="1" t="str">
        <f ca="1">IFERROR(__xludf.DUMMYFUNCTION("""COMPUTED_VALUE"""),"Januras Espinas")</f>
        <v>Januras Espinas</v>
      </c>
      <c r="E1357" s="1" t="str">
        <f ca="1">IFERROR(__xludf.DUMMYFUNCTION("""COMPUTED_VALUE"""),"Maritess Januras Espinas")</f>
        <v>Maritess Januras Espinas</v>
      </c>
      <c r="F1357" s="1"/>
      <c r="G1357" s="1" t="str">
        <f ca="1">IFERROR(__xludf.DUMMYFUNCTION("""COMPUTED_VALUE"""),"3 mos")</f>
        <v>3 mos</v>
      </c>
      <c r="H1357" s="1" t="str">
        <f ca="1">IFERROR(__xludf.DUMMYFUNCTION("""COMPUTED_VALUE"""),"comment")</f>
        <v>comment</v>
      </c>
      <c r="I1357" s="2" t="str">
        <f ca="1">IFERROR(__xludf.DUMMYFUNCTION("""COMPUTED_VALUE"""),"https://www.facebook.com/rapplerdotcom/photos/a.317154781638645/5595733810447356/")</f>
        <v>https://www.facebook.com/rapplerdotcom/photos/a.317154781638645/5595733810447356/</v>
      </c>
      <c r="J1357" s="1" t="str">
        <f ca="1">IFERROR(__xludf.DUMMYFUNCTION("""COMPUTED_VALUE"""),"2022-07-04T15:41:10.241Z")</f>
        <v>2022-07-04T15:41:10.241Z</v>
      </c>
    </row>
    <row r="1358" spans="1:10" x14ac:dyDescent="0.2">
      <c r="A1358" s="2" t="str">
        <f ca="1">IFERROR(__xludf.DUMMYFUNCTION("""COMPUTED_VALUE"""),"https://www.facebook.com/davidlacsina4")</f>
        <v>https://www.facebook.com/davidlacsina4</v>
      </c>
      <c r="B1358" s="1" t="str">
        <f ca="1">IFERROR(__xludf.DUMMYFUNCTION("""COMPUTED_VALUE"""),"David Lacsina")</f>
        <v>David Lacsina</v>
      </c>
      <c r="C1358" s="1" t="str">
        <f ca="1">IFERROR(__xludf.DUMMYFUNCTION("""COMPUTED_VALUE"""),"David")</f>
        <v>David</v>
      </c>
      <c r="D1358" s="1" t="str">
        <f ca="1">IFERROR(__xludf.DUMMYFUNCTION("""COMPUTED_VALUE"""),"Lacsina")</f>
        <v>Lacsina</v>
      </c>
      <c r="E1358" s="1" t="str">
        <f ca="1">IFERROR(__xludf.DUMMYFUNCTION("""COMPUTED_VALUE"""),"David Lacsina")</f>
        <v>David Lacsina</v>
      </c>
      <c r="F1358" s="1"/>
      <c r="G1358" s="1" t="str">
        <f ca="1">IFERROR(__xludf.DUMMYFUNCTION("""COMPUTED_VALUE"""),"3 mos")</f>
        <v>3 mos</v>
      </c>
      <c r="H1358" s="1" t="str">
        <f ca="1">IFERROR(__xludf.DUMMYFUNCTION("""COMPUTED_VALUE"""),"comment")</f>
        <v>comment</v>
      </c>
      <c r="I1358" s="2" t="str">
        <f ca="1">IFERROR(__xludf.DUMMYFUNCTION("""COMPUTED_VALUE"""),"https://www.facebook.com/rapplerdotcom/photos/a.317154781638645/5595733810447356/")</f>
        <v>https://www.facebook.com/rapplerdotcom/photos/a.317154781638645/5595733810447356/</v>
      </c>
      <c r="J1358" s="1" t="str">
        <f ca="1">IFERROR(__xludf.DUMMYFUNCTION("""COMPUTED_VALUE"""),"2022-07-04T15:41:10.241Z")</f>
        <v>2022-07-04T15:41:10.241Z</v>
      </c>
    </row>
    <row r="1359" spans="1:10" x14ac:dyDescent="0.2">
      <c r="A1359" s="2" t="str">
        <f ca="1">IFERROR(__xludf.DUMMYFUNCTION("""COMPUTED_VALUE"""),"https://www.facebook.com/romeo.banderado.56")</f>
        <v>https://www.facebook.com/romeo.banderado.56</v>
      </c>
      <c r="B1359" s="1" t="str">
        <f ca="1">IFERROR(__xludf.DUMMYFUNCTION("""COMPUTED_VALUE"""),"Romeo Banderado")</f>
        <v>Romeo Banderado</v>
      </c>
      <c r="C1359" s="1" t="str">
        <f ca="1">IFERROR(__xludf.DUMMYFUNCTION("""COMPUTED_VALUE"""),"Romeo")</f>
        <v>Romeo</v>
      </c>
      <c r="D1359" s="1" t="str">
        <f ca="1">IFERROR(__xludf.DUMMYFUNCTION("""COMPUTED_VALUE"""),"Banderado")</f>
        <v>Banderado</v>
      </c>
      <c r="E1359" s="1" t="str">
        <f ca="1">IFERROR(__xludf.DUMMYFUNCTION("""COMPUTED_VALUE"""),"Romeo Banderado")</f>
        <v>Romeo Banderado</v>
      </c>
      <c r="F1359" s="1"/>
      <c r="G1359" s="1" t="str">
        <f ca="1">IFERROR(__xludf.DUMMYFUNCTION("""COMPUTED_VALUE"""),"3 mos")</f>
        <v>3 mos</v>
      </c>
      <c r="H1359" s="1" t="str">
        <f ca="1">IFERROR(__xludf.DUMMYFUNCTION("""COMPUTED_VALUE"""),"comment")</f>
        <v>comment</v>
      </c>
      <c r="I1359" s="2" t="str">
        <f ca="1">IFERROR(__xludf.DUMMYFUNCTION("""COMPUTED_VALUE"""),"https://www.facebook.com/rapplerdotcom/photos/a.317154781638645/5595733810447356/")</f>
        <v>https://www.facebook.com/rapplerdotcom/photos/a.317154781638645/5595733810447356/</v>
      </c>
      <c r="J1359" s="1" t="str">
        <f ca="1">IFERROR(__xludf.DUMMYFUNCTION("""COMPUTED_VALUE"""),"2022-07-04T15:41:10.241Z")</f>
        <v>2022-07-04T15:41:10.241Z</v>
      </c>
    </row>
    <row r="1360" spans="1:10" x14ac:dyDescent="0.2">
      <c r="A1360" s="2" t="str">
        <f ca="1">IFERROR(__xludf.DUMMYFUNCTION("""COMPUTED_VALUE"""),"https://www.facebook.com/bobby.gonzaga.9404")</f>
        <v>https://www.facebook.com/bobby.gonzaga.9404</v>
      </c>
      <c r="B1360" s="1" t="str">
        <f ca="1">IFERROR(__xludf.DUMMYFUNCTION("""COMPUTED_VALUE"""),"Bobby Gonzaga")</f>
        <v>Bobby Gonzaga</v>
      </c>
      <c r="C1360" s="1" t="str">
        <f ca="1">IFERROR(__xludf.DUMMYFUNCTION("""COMPUTED_VALUE"""),"Bobby")</f>
        <v>Bobby</v>
      </c>
      <c r="D1360" s="1" t="str">
        <f ca="1">IFERROR(__xludf.DUMMYFUNCTION("""COMPUTED_VALUE"""),"Gonzaga")</f>
        <v>Gonzaga</v>
      </c>
      <c r="E1360" s="1" t="str">
        <f ca="1">IFERROR(__xludf.DUMMYFUNCTION("""COMPUTED_VALUE"""),"Bobby Gonzaga")</f>
        <v>Bobby Gonzaga</v>
      </c>
      <c r="F1360" s="1"/>
      <c r="G1360" s="1" t="str">
        <f ca="1">IFERROR(__xludf.DUMMYFUNCTION("""COMPUTED_VALUE"""),"3 mos")</f>
        <v>3 mos</v>
      </c>
      <c r="H1360" s="1" t="str">
        <f ca="1">IFERROR(__xludf.DUMMYFUNCTION("""COMPUTED_VALUE"""),"comment")</f>
        <v>comment</v>
      </c>
      <c r="I1360" s="2" t="str">
        <f ca="1">IFERROR(__xludf.DUMMYFUNCTION("""COMPUTED_VALUE"""),"https://www.facebook.com/rapplerdotcom/photos/a.317154781638645/5595733810447356/")</f>
        <v>https://www.facebook.com/rapplerdotcom/photos/a.317154781638645/5595733810447356/</v>
      </c>
      <c r="J1360" s="1" t="str">
        <f ca="1">IFERROR(__xludf.DUMMYFUNCTION("""COMPUTED_VALUE"""),"2022-07-04T15:41:10.241Z")</f>
        <v>2022-07-04T15:41:10.241Z</v>
      </c>
    </row>
    <row r="1361" spans="1:10" x14ac:dyDescent="0.2">
      <c r="A1361" s="2" t="str">
        <f ca="1">IFERROR(__xludf.DUMMYFUNCTION("""COMPUTED_VALUE"""),"https://www.facebook.com/wilbert.gadayan")</f>
        <v>https://www.facebook.com/wilbert.gadayan</v>
      </c>
      <c r="B1361" s="1" t="str">
        <f ca="1">IFERROR(__xludf.DUMMYFUNCTION("""COMPUTED_VALUE"""),"Wilbert Gadayan")</f>
        <v>Wilbert Gadayan</v>
      </c>
      <c r="C1361" s="1" t="str">
        <f ca="1">IFERROR(__xludf.DUMMYFUNCTION("""COMPUTED_VALUE"""),"Wilbert")</f>
        <v>Wilbert</v>
      </c>
      <c r="D1361" s="1" t="str">
        <f ca="1">IFERROR(__xludf.DUMMYFUNCTION("""COMPUTED_VALUE"""),"Gadayan")</f>
        <v>Gadayan</v>
      </c>
      <c r="E1361" s="1" t="str">
        <f ca="1">IFERROR(__xludf.DUMMYFUNCTION("""COMPUTED_VALUE"""),"Wilbert Gadayan")</f>
        <v>Wilbert Gadayan</v>
      </c>
      <c r="F1361" s="1"/>
      <c r="G1361" s="1" t="str">
        <f ca="1">IFERROR(__xludf.DUMMYFUNCTION("""COMPUTED_VALUE"""),"3 mos")</f>
        <v>3 mos</v>
      </c>
      <c r="H1361" s="1" t="str">
        <f ca="1">IFERROR(__xludf.DUMMYFUNCTION("""COMPUTED_VALUE"""),"comment")</f>
        <v>comment</v>
      </c>
      <c r="I1361" s="2" t="str">
        <f ca="1">IFERROR(__xludf.DUMMYFUNCTION("""COMPUTED_VALUE"""),"https://www.facebook.com/rapplerdotcom/photos/a.317154781638645/5595733810447356/")</f>
        <v>https://www.facebook.com/rapplerdotcom/photos/a.317154781638645/5595733810447356/</v>
      </c>
      <c r="J1361" s="1" t="str">
        <f ca="1">IFERROR(__xludf.DUMMYFUNCTION("""COMPUTED_VALUE"""),"2022-07-04T15:41:10.241Z")</f>
        <v>2022-07-04T15:41:10.241Z</v>
      </c>
    </row>
    <row r="1362" spans="1:10" x14ac:dyDescent="0.2">
      <c r="A1362" s="2" t="str">
        <f ca="1">IFERROR(__xludf.DUMMYFUNCTION("""COMPUTED_VALUE"""),"https://www.facebook.com/bobby.gonzaga.9404")</f>
        <v>https://www.facebook.com/bobby.gonzaga.9404</v>
      </c>
      <c r="B1362" s="1" t="str">
        <f ca="1">IFERROR(__xludf.DUMMYFUNCTION("""COMPUTED_VALUE"""),"Bobby Gonzaga")</f>
        <v>Bobby Gonzaga</v>
      </c>
      <c r="C1362" s="1" t="str">
        <f ca="1">IFERROR(__xludf.DUMMYFUNCTION("""COMPUTED_VALUE"""),"Bobby")</f>
        <v>Bobby</v>
      </c>
      <c r="D1362" s="1" t="str">
        <f ca="1">IFERROR(__xludf.DUMMYFUNCTION("""COMPUTED_VALUE"""),"Gonzaga")</f>
        <v>Gonzaga</v>
      </c>
      <c r="E1362" s="1" t="str">
        <f ca="1">IFERROR(__xludf.DUMMYFUNCTION("""COMPUTED_VALUE"""),"Bobby Gonzaga")</f>
        <v>Bobby Gonzaga</v>
      </c>
      <c r="F1362" s="1"/>
      <c r="G1362" s="1" t="str">
        <f ca="1">IFERROR(__xludf.DUMMYFUNCTION("""COMPUTED_VALUE"""),"3 mos")</f>
        <v>3 mos</v>
      </c>
      <c r="H1362" s="1" t="str">
        <f ca="1">IFERROR(__xludf.DUMMYFUNCTION("""COMPUTED_VALUE"""),"comment")</f>
        <v>comment</v>
      </c>
      <c r="I1362" s="2" t="str">
        <f ca="1">IFERROR(__xludf.DUMMYFUNCTION("""COMPUTED_VALUE"""),"https://www.facebook.com/rapplerdotcom/photos/a.317154781638645/5595733810447356/")</f>
        <v>https://www.facebook.com/rapplerdotcom/photos/a.317154781638645/5595733810447356/</v>
      </c>
      <c r="J1362" s="1" t="str">
        <f ca="1">IFERROR(__xludf.DUMMYFUNCTION("""COMPUTED_VALUE"""),"2022-07-04T15:41:10.241Z")</f>
        <v>2022-07-04T15:41:10.241Z</v>
      </c>
    </row>
    <row r="1363" spans="1:10" x14ac:dyDescent="0.2">
      <c r="A1363" s="2" t="str">
        <f ca="1">IFERROR(__xludf.DUMMYFUNCTION("""COMPUTED_VALUE"""),"https://www.facebook.com/ariesian.eleazar")</f>
        <v>https://www.facebook.com/ariesian.eleazar</v>
      </c>
      <c r="B1363" s="1" t="str">
        <f ca="1">IFERROR(__xludf.DUMMYFUNCTION("""COMPUTED_VALUE"""),"Jakeclarkee Richburg")</f>
        <v>Jakeclarkee Richburg</v>
      </c>
      <c r="C1363" s="1" t="str">
        <f ca="1">IFERROR(__xludf.DUMMYFUNCTION("""COMPUTED_VALUE"""),"Jakeclarkee")</f>
        <v>Jakeclarkee</v>
      </c>
      <c r="D1363" s="1" t="str">
        <f ca="1">IFERROR(__xludf.DUMMYFUNCTION("""COMPUTED_VALUE"""),"Richburg")</f>
        <v>Richburg</v>
      </c>
      <c r="E1363" s="1" t="str">
        <f ca="1">IFERROR(__xludf.DUMMYFUNCTION("""COMPUTED_VALUE"""),"Jakeclarkee Richburg")</f>
        <v>Jakeclarkee Richburg</v>
      </c>
      <c r="F1363" s="1"/>
      <c r="G1363" s="1" t="str">
        <f ca="1">IFERROR(__xludf.DUMMYFUNCTION("""COMPUTED_VALUE"""),"3 mos")</f>
        <v>3 mos</v>
      </c>
      <c r="H1363" s="1" t="str">
        <f ca="1">IFERROR(__xludf.DUMMYFUNCTION("""COMPUTED_VALUE"""),"comment")</f>
        <v>comment</v>
      </c>
      <c r="I1363" s="2" t="str">
        <f ca="1">IFERROR(__xludf.DUMMYFUNCTION("""COMPUTED_VALUE"""),"https://www.facebook.com/rapplerdotcom/photos/a.317154781638645/5595733810447356/")</f>
        <v>https://www.facebook.com/rapplerdotcom/photos/a.317154781638645/5595733810447356/</v>
      </c>
      <c r="J1363" s="1" t="str">
        <f ca="1">IFERROR(__xludf.DUMMYFUNCTION("""COMPUTED_VALUE"""),"2022-07-04T15:41:10.241Z")</f>
        <v>2022-07-04T15:41:10.241Z</v>
      </c>
    </row>
    <row r="1364" spans="1:10" x14ac:dyDescent="0.2">
      <c r="A1364" s="2" t="str">
        <f ca="1">IFERROR(__xludf.DUMMYFUNCTION("""COMPUTED_VALUE"""),"https://www.facebook.com/queeniejoy.echavez")</f>
        <v>https://www.facebook.com/queeniejoy.echavez</v>
      </c>
      <c r="B1364" s="1" t="str">
        <f ca="1">IFERROR(__xludf.DUMMYFUNCTION("""COMPUTED_VALUE"""),"Queenie Pie")</f>
        <v>Queenie Pie</v>
      </c>
      <c r="C1364" s="1" t="str">
        <f ca="1">IFERROR(__xludf.DUMMYFUNCTION("""COMPUTED_VALUE"""),"Queenie")</f>
        <v>Queenie</v>
      </c>
      <c r="D1364" s="1" t="str">
        <f ca="1">IFERROR(__xludf.DUMMYFUNCTION("""COMPUTED_VALUE"""),"Pie")</f>
        <v>Pie</v>
      </c>
      <c r="E1364" s="1" t="str">
        <f ca="1">IFERROR(__xludf.DUMMYFUNCTION("""COMPUTED_VALUE"""),"❤️💚")</f>
        <v>❤️💚</v>
      </c>
      <c r="F1364" s="1">
        <f ca="1">IFERROR(__xludf.DUMMYFUNCTION("""COMPUTED_VALUE"""),1)</f>
        <v>1</v>
      </c>
      <c r="G1364" s="1" t="str">
        <f ca="1">IFERROR(__xludf.DUMMYFUNCTION("""COMPUTED_VALUE"""),"3 mos")</f>
        <v>3 mos</v>
      </c>
      <c r="H1364" s="1" t="str">
        <f ca="1">IFERROR(__xludf.DUMMYFUNCTION("""COMPUTED_VALUE"""),"comment")</f>
        <v>comment</v>
      </c>
      <c r="I1364" s="2" t="str">
        <f ca="1">IFERROR(__xludf.DUMMYFUNCTION("""COMPUTED_VALUE"""),"https://www.facebook.com/rapplerdotcom/photos/a.317154781638645/5595733810447356/")</f>
        <v>https://www.facebook.com/rapplerdotcom/photos/a.317154781638645/5595733810447356/</v>
      </c>
      <c r="J1364" s="1" t="str">
        <f ca="1">IFERROR(__xludf.DUMMYFUNCTION("""COMPUTED_VALUE"""),"2022-07-04T15:41:10.241Z")</f>
        <v>2022-07-04T15:41:10.241Z</v>
      </c>
    </row>
    <row r="1365" spans="1:10" x14ac:dyDescent="0.2">
      <c r="A1365" s="2" t="str">
        <f ca="1">IFERROR(__xludf.DUMMYFUNCTION("""COMPUTED_VALUE"""),"https://www.facebook.com/carlomanuel.mendoza")</f>
        <v>https://www.facebook.com/carlomanuel.mendoza</v>
      </c>
      <c r="B1365" s="1" t="str">
        <f ca="1">IFERROR(__xludf.DUMMYFUNCTION("""COMPUTED_VALUE"""),"Carlo Manuel Teves Mendoza")</f>
        <v>Carlo Manuel Teves Mendoza</v>
      </c>
      <c r="C1365" s="1" t="str">
        <f ca="1">IFERROR(__xludf.DUMMYFUNCTION("""COMPUTED_VALUE"""),"Carlo")</f>
        <v>Carlo</v>
      </c>
      <c r="D1365" s="1" t="str">
        <f ca="1">IFERROR(__xludf.DUMMYFUNCTION("""COMPUTED_VALUE"""),"Manuel Teves Mendoza")</f>
        <v>Manuel Teves Mendoza</v>
      </c>
      <c r="E1365" s="1" t="str">
        <f ca="1">IFERROR(__xludf.DUMMYFUNCTION("""COMPUTED_VALUE"""),"Carlo Manuel Teves Mendoza")</f>
        <v>Carlo Manuel Teves Mendoza</v>
      </c>
      <c r="F1365" s="1"/>
      <c r="G1365" s="1" t="str">
        <f ca="1">IFERROR(__xludf.DUMMYFUNCTION("""COMPUTED_VALUE"""),"3 mos")</f>
        <v>3 mos</v>
      </c>
      <c r="H1365" s="1" t="str">
        <f ca="1">IFERROR(__xludf.DUMMYFUNCTION("""COMPUTED_VALUE"""),"comment")</f>
        <v>comment</v>
      </c>
      <c r="I1365" s="2" t="str">
        <f ca="1">IFERROR(__xludf.DUMMYFUNCTION("""COMPUTED_VALUE"""),"https://www.facebook.com/rapplerdotcom/photos/a.317154781638645/5595733810447356/")</f>
        <v>https://www.facebook.com/rapplerdotcom/photos/a.317154781638645/5595733810447356/</v>
      </c>
      <c r="J1365" s="1" t="str">
        <f ca="1">IFERROR(__xludf.DUMMYFUNCTION("""COMPUTED_VALUE"""),"2022-07-04T15:41:10.241Z")</f>
        <v>2022-07-04T15:41:10.241Z</v>
      </c>
    </row>
    <row r="1366" spans="1:10" x14ac:dyDescent="0.2">
      <c r="A1366" s="2" t="str">
        <f ca="1">IFERROR(__xludf.DUMMYFUNCTION("""COMPUTED_VALUE"""),"https://www.facebook.com/chloe.vncr")</f>
        <v>https://www.facebook.com/chloe.vncr</v>
      </c>
      <c r="B1366" s="1" t="str">
        <f ca="1">IFERROR(__xludf.DUMMYFUNCTION("""COMPUTED_VALUE"""),"Chloe Vencer")</f>
        <v>Chloe Vencer</v>
      </c>
      <c r="C1366" s="1" t="str">
        <f ca="1">IFERROR(__xludf.DUMMYFUNCTION("""COMPUTED_VALUE"""),"Chloe")</f>
        <v>Chloe</v>
      </c>
      <c r="D1366" s="1" t="str">
        <f ca="1">IFERROR(__xludf.DUMMYFUNCTION("""COMPUTED_VALUE"""),"Vencer")</f>
        <v>Vencer</v>
      </c>
      <c r="E1366" s="1" t="str">
        <f ca="1">IFERROR(__xludf.DUMMYFUNCTION("""COMPUTED_VALUE"""),"💗💗💗💗")</f>
        <v>💗💗💗💗</v>
      </c>
      <c r="F1366" s="1"/>
      <c r="G1366" s="1" t="str">
        <f ca="1">IFERROR(__xludf.DUMMYFUNCTION("""COMPUTED_VALUE"""),"3 mos")</f>
        <v>3 mos</v>
      </c>
      <c r="H1366" s="1" t="str">
        <f ca="1">IFERROR(__xludf.DUMMYFUNCTION("""COMPUTED_VALUE"""),"comment")</f>
        <v>comment</v>
      </c>
      <c r="I1366" s="2" t="str">
        <f ca="1">IFERROR(__xludf.DUMMYFUNCTION("""COMPUTED_VALUE"""),"https://www.facebook.com/rapplerdotcom/photos/a.317154781638645/5595733810447356/")</f>
        <v>https://www.facebook.com/rapplerdotcom/photos/a.317154781638645/5595733810447356/</v>
      </c>
      <c r="J1366" s="1" t="str">
        <f ca="1">IFERROR(__xludf.DUMMYFUNCTION("""COMPUTED_VALUE"""),"2022-07-04T15:41:10.241Z")</f>
        <v>2022-07-04T15:41:10.241Z</v>
      </c>
    </row>
    <row r="1367" spans="1:10" x14ac:dyDescent="0.2">
      <c r="A1367" s="2" t="str">
        <f ca="1">IFERROR(__xludf.DUMMYFUNCTION("""COMPUTED_VALUE"""),"https://www.facebook.com/cherrylynyapchapco.diaz")</f>
        <v>https://www.facebook.com/cherrylynyapchapco.diaz</v>
      </c>
      <c r="B1367" s="1" t="str">
        <f ca="1">IFERROR(__xludf.DUMMYFUNCTION("""COMPUTED_VALUE"""),"Che Diaz")</f>
        <v>Che Diaz</v>
      </c>
      <c r="C1367" s="1" t="str">
        <f ca="1">IFERROR(__xludf.DUMMYFUNCTION("""COMPUTED_VALUE"""),"Che")</f>
        <v>Che</v>
      </c>
      <c r="D1367" s="1" t="str">
        <f ca="1">IFERROR(__xludf.DUMMYFUNCTION("""COMPUTED_VALUE"""),"Diaz")</f>
        <v>Diaz</v>
      </c>
      <c r="E1367" s="1" t="str">
        <f ca="1">IFERROR(__xludf.DUMMYFUNCTION("""COMPUTED_VALUE"""),"💗💗💗")</f>
        <v>💗💗💗</v>
      </c>
      <c r="F1367" s="1">
        <f ca="1">IFERROR(__xludf.DUMMYFUNCTION("""COMPUTED_VALUE"""),3)</f>
        <v>3</v>
      </c>
      <c r="G1367" s="1" t="str">
        <f ca="1">IFERROR(__xludf.DUMMYFUNCTION("""COMPUTED_VALUE"""),"3 mos")</f>
        <v>3 mos</v>
      </c>
      <c r="H1367" s="1" t="str">
        <f ca="1">IFERROR(__xludf.DUMMYFUNCTION("""COMPUTED_VALUE"""),"comment")</f>
        <v>comment</v>
      </c>
      <c r="I1367" s="2" t="str">
        <f ca="1">IFERROR(__xludf.DUMMYFUNCTION("""COMPUTED_VALUE"""),"https://www.facebook.com/rapplerdotcom/photos/a.317154781638645/5595733810447356/")</f>
        <v>https://www.facebook.com/rapplerdotcom/photos/a.317154781638645/5595733810447356/</v>
      </c>
      <c r="J1367" s="1" t="str">
        <f ca="1">IFERROR(__xludf.DUMMYFUNCTION("""COMPUTED_VALUE"""),"2022-07-04T15:41:10.241Z")</f>
        <v>2022-07-04T15:41:10.241Z</v>
      </c>
    </row>
    <row r="1368" spans="1:10" x14ac:dyDescent="0.2">
      <c r="A1368" s="2" t="str">
        <f ca="1">IFERROR(__xludf.DUMMYFUNCTION("""COMPUTED_VALUE"""),"https://www.facebook.com/hz2094")</f>
        <v>https://www.facebook.com/hz2094</v>
      </c>
      <c r="B1368" s="1" t="str">
        <f ca="1">IFERROR(__xludf.DUMMYFUNCTION("""COMPUTED_VALUE"""),"Zyra Gil")</f>
        <v>Zyra Gil</v>
      </c>
      <c r="C1368" s="1" t="str">
        <f ca="1">IFERROR(__xludf.DUMMYFUNCTION("""COMPUTED_VALUE"""),"Zyra")</f>
        <v>Zyra</v>
      </c>
      <c r="D1368" s="1" t="str">
        <f ca="1">IFERROR(__xludf.DUMMYFUNCTION("""COMPUTED_VALUE"""),"Gil")</f>
        <v>Gil</v>
      </c>
      <c r="E1368" s="1" t="str">
        <f ca="1">IFERROR(__xludf.DUMMYFUNCTION("""COMPUTED_VALUE"""),"🌸🌸🌸🌸")</f>
        <v>🌸🌸🌸🌸</v>
      </c>
      <c r="F1368" s="1"/>
      <c r="G1368" s="1" t="str">
        <f ca="1">IFERROR(__xludf.DUMMYFUNCTION("""COMPUTED_VALUE"""),"3 mos")</f>
        <v>3 mos</v>
      </c>
      <c r="H1368" s="1" t="str">
        <f ca="1">IFERROR(__xludf.DUMMYFUNCTION("""COMPUTED_VALUE"""),"comment")</f>
        <v>comment</v>
      </c>
      <c r="I1368" s="2" t="str">
        <f ca="1">IFERROR(__xludf.DUMMYFUNCTION("""COMPUTED_VALUE"""),"https://www.facebook.com/rapplerdotcom/photos/a.317154781638645/5595733810447356/")</f>
        <v>https://www.facebook.com/rapplerdotcom/photos/a.317154781638645/5595733810447356/</v>
      </c>
      <c r="J1368" s="1" t="str">
        <f ca="1">IFERROR(__xludf.DUMMYFUNCTION("""COMPUTED_VALUE"""),"2022-07-04T15:41:10.241Z")</f>
        <v>2022-07-04T15:41:10.241Z</v>
      </c>
    </row>
    <row r="1369" spans="1:10" x14ac:dyDescent="0.2">
      <c r="A1369" s="2" t="str">
        <f ca="1">IFERROR(__xludf.DUMMYFUNCTION("""COMPUTED_VALUE"""),"https://www.facebook.com/profile.php?id=100009060038408")</f>
        <v>https://www.facebook.com/profile.php?id=100009060038408</v>
      </c>
      <c r="B1369" s="1" t="str">
        <f ca="1">IFERROR(__xludf.DUMMYFUNCTION("""COMPUTED_VALUE"""),"Wells Lew Dela Pieza")</f>
        <v>Wells Lew Dela Pieza</v>
      </c>
      <c r="C1369" s="1" t="str">
        <f ca="1">IFERROR(__xludf.DUMMYFUNCTION("""COMPUTED_VALUE"""),"Wells")</f>
        <v>Wells</v>
      </c>
      <c r="D1369" s="1" t="str">
        <f ca="1">IFERROR(__xludf.DUMMYFUNCTION("""COMPUTED_VALUE"""),"Lew Dela Pieza")</f>
        <v>Lew Dela Pieza</v>
      </c>
      <c r="E1369" s="1" t="str">
        <f ca="1">IFERROR(__xludf.DUMMYFUNCTION("""COMPUTED_VALUE"""),"♥️♥️♥️♥️💚💚💚💚💚💪💪💪💪💪💪💪")</f>
        <v>♥️♥️♥️♥️💚💚💚💚💚💪💪💪💪💪💪💪</v>
      </c>
      <c r="F1369" s="1"/>
      <c r="G1369" s="1" t="str">
        <f ca="1">IFERROR(__xludf.DUMMYFUNCTION("""COMPUTED_VALUE"""),"3 mos")</f>
        <v>3 mos</v>
      </c>
      <c r="H1369" s="1" t="str">
        <f ca="1">IFERROR(__xludf.DUMMYFUNCTION("""COMPUTED_VALUE"""),"comment")</f>
        <v>comment</v>
      </c>
      <c r="I1369" s="2" t="str">
        <f ca="1">IFERROR(__xludf.DUMMYFUNCTION("""COMPUTED_VALUE"""),"https://www.facebook.com/rapplerdotcom/photos/a.317154781638645/5595733810447356/")</f>
        <v>https://www.facebook.com/rapplerdotcom/photos/a.317154781638645/5595733810447356/</v>
      </c>
      <c r="J1369" s="1" t="str">
        <f ca="1">IFERROR(__xludf.DUMMYFUNCTION("""COMPUTED_VALUE"""),"2022-07-04T15:41:10.241Z")</f>
        <v>2022-07-04T15:41:10.241Z</v>
      </c>
    </row>
    <row r="1370" spans="1:10" x14ac:dyDescent="0.2">
      <c r="A1370" s="2" t="str">
        <f ca="1">IFERROR(__xludf.DUMMYFUNCTION("""COMPUTED_VALUE"""),"https://www.facebook.com/jegals.dep")</f>
        <v>https://www.facebook.com/jegals.dep</v>
      </c>
      <c r="B1370" s="1" t="str">
        <f ca="1">IFERROR(__xludf.DUMMYFUNCTION("""COMPUTED_VALUE"""),"Jhe LadraBalanza Gales Depitilla")</f>
        <v>Jhe LadraBalanza Gales Depitilla</v>
      </c>
      <c r="C1370" s="1" t="str">
        <f ca="1">IFERROR(__xludf.DUMMYFUNCTION("""COMPUTED_VALUE"""),"Jhe")</f>
        <v>Jhe</v>
      </c>
      <c r="D1370" s="1" t="str">
        <f ca="1">IFERROR(__xludf.DUMMYFUNCTION("""COMPUTED_VALUE"""),"LadraBalanza Gales Depitilla")</f>
        <v>LadraBalanza Gales Depitilla</v>
      </c>
      <c r="E1370" s="1" t="str">
        <f ca="1">IFERROR(__xludf.DUMMYFUNCTION("""COMPUTED_VALUE"""),"Wells Lew Dela Pieza 👍👍✌️✌️👊👊💪💪♥️💖♥️")</f>
        <v>Wells Lew Dela Pieza 👍👍✌️✌️👊👊💪💪♥️💖♥️</v>
      </c>
      <c r="F1370" s="1"/>
      <c r="G1370" s="1" t="str">
        <f ca="1">IFERROR(__xludf.DUMMYFUNCTION("""COMPUTED_VALUE"""),"3 mos")</f>
        <v>3 mos</v>
      </c>
      <c r="H1370" s="1" t="str">
        <f ca="1">IFERROR(__xludf.DUMMYFUNCTION("""COMPUTED_VALUE"""),"reply")</f>
        <v>reply</v>
      </c>
      <c r="I1370" s="2" t="str">
        <f ca="1">IFERROR(__xludf.DUMMYFUNCTION("""COMPUTED_VALUE"""),"https://www.facebook.com/rapplerdotcom/photos/a.317154781638645/5595733810447356/")</f>
        <v>https://www.facebook.com/rapplerdotcom/photos/a.317154781638645/5595733810447356/</v>
      </c>
      <c r="J1370" s="1" t="str">
        <f ca="1">IFERROR(__xludf.DUMMYFUNCTION("""COMPUTED_VALUE"""),"2022-07-04T15:41:10.241Z")</f>
        <v>2022-07-04T15:41:10.241Z</v>
      </c>
    </row>
    <row r="1371" spans="1:10" x14ac:dyDescent="0.2">
      <c r="A1371" s="2" t="str">
        <f ca="1">IFERROR(__xludf.DUMMYFUNCTION("""COMPUTED_VALUE"""),"https://www.facebook.com/myrna.zuasula")</f>
        <v>https://www.facebook.com/myrna.zuasula</v>
      </c>
      <c r="B1371" s="1" t="str">
        <f ca="1">IFERROR(__xludf.DUMMYFUNCTION("""COMPUTED_VALUE"""),"Myrna A. Zuasula")</f>
        <v>Myrna A. Zuasula</v>
      </c>
      <c r="C1371" s="1" t="str">
        <f ca="1">IFERROR(__xludf.DUMMYFUNCTION("""COMPUTED_VALUE"""),"Myrna")</f>
        <v>Myrna</v>
      </c>
      <c r="D1371" s="1" t="str">
        <f ca="1">IFERROR(__xludf.DUMMYFUNCTION("""COMPUTED_VALUE"""),"A. Zuasula")</f>
        <v>A. Zuasula</v>
      </c>
      <c r="E1371" s="1" t="str">
        <f ca="1">IFERROR(__xludf.DUMMYFUNCTION("""COMPUTED_VALUE"""),"💚❤️💚❤️💚❤️✌🏻👊🏻👍🏻")</f>
        <v>💚❤️💚❤️💚❤️✌🏻👊🏻👍🏻</v>
      </c>
      <c r="F1371" s="1"/>
      <c r="G1371" s="1" t="str">
        <f ca="1">IFERROR(__xludf.DUMMYFUNCTION("""COMPUTED_VALUE"""),"3 mos")</f>
        <v>3 mos</v>
      </c>
      <c r="H1371" s="1" t="str">
        <f ca="1">IFERROR(__xludf.DUMMYFUNCTION("""COMPUTED_VALUE"""),"comment")</f>
        <v>comment</v>
      </c>
      <c r="I1371" s="2" t="str">
        <f ca="1">IFERROR(__xludf.DUMMYFUNCTION("""COMPUTED_VALUE"""),"https://www.facebook.com/rapplerdotcom/photos/a.317154781638645/5595733810447356/")</f>
        <v>https://www.facebook.com/rapplerdotcom/photos/a.317154781638645/5595733810447356/</v>
      </c>
      <c r="J1371" s="1" t="str">
        <f ca="1">IFERROR(__xludf.DUMMYFUNCTION("""COMPUTED_VALUE"""),"2022-07-04T15:41:10.241Z")</f>
        <v>2022-07-04T15:41:10.241Z</v>
      </c>
    </row>
    <row r="1372" spans="1:10" x14ac:dyDescent="0.2">
      <c r="A1372" s="2" t="str">
        <f ca="1">IFERROR(__xludf.DUMMYFUNCTION("""COMPUTED_VALUE"""),"https://www.facebook.com/marlovasquezmiranda1979")</f>
        <v>https://www.facebook.com/marlovasquezmiranda1979</v>
      </c>
      <c r="B1372" s="1" t="str">
        <f ca="1">IFERROR(__xludf.DUMMYFUNCTION("""COMPUTED_VALUE"""),"Marlah Vasquez Lopez Miranda")</f>
        <v>Marlah Vasquez Lopez Miranda</v>
      </c>
      <c r="C1372" s="1" t="str">
        <f ca="1">IFERROR(__xludf.DUMMYFUNCTION("""COMPUTED_VALUE"""),"Marlah")</f>
        <v>Marlah</v>
      </c>
      <c r="D1372" s="1" t="str">
        <f ca="1">IFERROR(__xludf.DUMMYFUNCTION("""COMPUTED_VALUE"""),"Vasquez Lopez Miranda")</f>
        <v>Vasquez Lopez Miranda</v>
      </c>
      <c r="E1372" s="1" t="str">
        <f ca="1">IFERROR(__xludf.DUMMYFUNCTION("""COMPUTED_VALUE"""),"💗💗💗💗💗")</f>
        <v>💗💗💗💗💗</v>
      </c>
      <c r="F1372" s="1"/>
      <c r="G1372" s="1" t="str">
        <f ca="1">IFERROR(__xludf.DUMMYFUNCTION("""COMPUTED_VALUE"""),"3 mos")</f>
        <v>3 mos</v>
      </c>
      <c r="H1372" s="1" t="str">
        <f ca="1">IFERROR(__xludf.DUMMYFUNCTION("""COMPUTED_VALUE"""),"comment")</f>
        <v>comment</v>
      </c>
      <c r="I1372" s="2" t="str">
        <f ca="1">IFERROR(__xludf.DUMMYFUNCTION("""COMPUTED_VALUE"""),"https://www.facebook.com/rapplerdotcom/photos/a.317154781638645/5595733810447356/")</f>
        <v>https://www.facebook.com/rapplerdotcom/photos/a.317154781638645/5595733810447356/</v>
      </c>
      <c r="J1372" s="1" t="str">
        <f ca="1">IFERROR(__xludf.DUMMYFUNCTION("""COMPUTED_VALUE"""),"2022-07-04T15:41:10.242Z")</f>
        <v>2022-07-04T15:41:10.242Z</v>
      </c>
    </row>
    <row r="1373" spans="1:10" x14ac:dyDescent="0.2">
      <c r="A1373" s="2" t="str">
        <f ca="1">IFERROR(__xludf.DUMMYFUNCTION("""COMPUTED_VALUE"""),"https://www.facebook.com/claro.miranda.7")</f>
        <v>https://www.facebook.com/claro.miranda.7</v>
      </c>
      <c r="B1373" s="1" t="str">
        <f ca="1">IFERROR(__xludf.DUMMYFUNCTION("""COMPUTED_VALUE"""),"Claro Miranda")</f>
        <v>Claro Miranda</v>
      </c>
      <c r="C1373" s="1" t="str">
        <f ca="1">IFERROR(__xludf.DUMMYFUNCTION("""COMPUTED_VALUE"""),"Claro")</f>
        <v>Claro</v>
      </c>
      <c r="D1373" s="1" t="str">
        <f ca="1">IFERROR(__xludf.DUMMYFUNCTION("""COMPUTED_VALUE"""),"Miranda")</f>
        <v>Miranda</v>
      </c>
      <c r="E1373" s="1" t="str">
        <f ca="1">IFERROR(__xludf.DUMMYFUNCTION("""COMPUTED_VALUE"""),"💗💗💗")</f>
        <v>💗💗💗</v>
      </c>
      <c r="F1373" s="1"/>
      <c r="G1373" s="1" t="str">
        <f ca="1">IFERROR(__xludf.DUMMYFUNCTION("""COMPUTED_VALUE"""),"3 mos")</f>
        <v>3 mos</v>
      </c>
      <c r="H1373" s="1" t="str">
        <f ca="1">IFERROR(__xludf.DUMMYFUNCTION("""COMPUTED_VALUE"""),"comment")</f>
        <v>comment</v>
      </c>
      <c r="I1373" s="2" t="str">
        <f ca="1">IFERROR(__xludf.DUMMYFUNCTION("""COMPUTED_VALUE"""),"https://www.facebook.com/rapplerdotcom/photos/a.317154781638645/5595733810447356/")</f>
        <v>https://www.facebook.com/rapplerdotcom/photos/a.317154781638645/5595733810447356/</v>
      </c>
      <c r="J1373" s="1" t="str">
        <f ca="1">IFERROR(__xludf.DUMMYFUNCTION("""COMPUTED_VALUE"""),"2022-07-04T15:41:10.242Z")</f>
        <v>2022-07-04T15:41:10.242Z</v>
      </c>
    </row>
    <row r="1374" spans="1:10" x14ac:dyDescent="0.2">
      <c r="A1374" s="2" t="str">
        <f ca="1">IFERROR(__xludf.DUMMYFUNCTION("""COMPUTED_VALUE"""),"https://www.facebook.com/benjamin.alejandro.142")</f>
        <v>https://www.facebook.com/benjamin.alejandro.142</v>
      </c>
      <c r="B1374" s="1" t="str">
        <f ca="1">IFERROR(__xludf.DUMMYFUNCTION("""COMPUTED_VALUE"""),"Benjamin Alejandro")</f>
        <v>Benjamin Alejandro</v>
      </c>
      <c r="C1374" s="1" t="str">
        <f ca="1">IFERROR(__xludf.DUMMYFUNCTION("""COMPUTED_VALUE"""),"Benjamin")</f>
        <v>Benjamin</v>
      </c>
      <c r="D1374" s="1" t="str">
        <f ca="1">IFERROR(__xludf.DUMMYFUNCTION("""COMPUTED_VALUE"""),"Alejandro")</f>
        <v>Alejandro</v>
      </c>
      <c r="E1374" s="1" t="str">
        <f ca="1">IFERROR(__xludf.DUMMYFUNCTION("""COMPUTED_VALUE"""),"🌸")</f>
        <v>🌸</v>
      </c>
      <c r="F1374" s="1"/>
      <c r="G1374" s="1" t="str">
        <f ca="1">IFERROR(__xludf.DUMMYFUNCTION("""COMPUTED_VALUE"""),"3 mos")</f>
        <v>3 mos</v>
      </c>
      <c r="H1374" s="1" t="str">
        <f ca="1">IFERROR(__xludf.DUMMYFUNCTION("""COMPUTED_VALUE"""),"comment")</f>
        <v>comment</v>
      </c>
      <c r="I1374" s="2" t="str">
        <f ca="1">IFERROR(__xludf.DUMMYFUNCTION("""COMPUTED_VALUE"""),"https://www.facebook.com/rapplerdotcom/photos/a.317154781638645/5595733810447356/")</f>
        <v>https://www.facebook.com/rapplerdotcom/photos/a.317154781638645/5595733810447356/</v>
      </c>
      <c r="J1374" s="1" t="str">
        <f ca="1">IFERROR(__xludf.DUMMYFUNCTION("""COMPUTED_VALUE"""),"2022-07-04T15:41:10.242Z")</f>
        <v>2022-07-04T15:41:10.242Z</v>
      </c>
    </row>
    <row r="1375" spans="1:10" x14ac:dyDescent="0.2">
      <c r="A1375" s="2" t="str">
        <f ca="1">IFERROR(__xludf.DUMMYFUNCTION("""COMPUTED_VALUE"""),"https://www.facebook.com/obiso.clarissa")</f>
        <v>https://www.facebook.com/obiso.clarissa</v>
      </c>
      <c r="B1375" s="1" t="str">
        <f ca="1">IFERROR(__xludf.DUMMYFUNCTION("""COMPUTED_VALUE"""),"Clarissa Obiso")</f>
        <v>Clarissa Obiso</v>
      </c>
      <c r="C1375" s="1" t="str">
        <f ca="1">IFERROR(__xludf.DUMMYFUNCTION("""COMPUTED_VALUE"""),"Clarissa")</f>
        <v>Clarissa</v>
      </c>
      <c r="D1375" s="1" t="str">
        <f ca="1">IFERROR(__xludf.DUMMYFUNCTION("""COMPUTED_VALUE"""),"Obiso")</f>
        <v>Obiso</v>
      </c>
      <c r="E1375" s="1" t="str">
        <f ca="1">IFERROR(__xludf.DUMMYFUNCTION("""COMPUTED_VALUE"""),"#LetLeniLead")</f>
        <v>#LetLeniLead</v>
      </c>
      <c r="F1375" s="1"/>
      <c r="G1375" s="1" t="str">
        <f ca="1">IFERROR(__xludf.DUMMYFUNCTION("""COMPUTED_VALUE"""),"3 mos")</f>
        <v>3 mos</v>
      </c>
      <c r="H1375" s="1" t="str">
        <f ca="1">IFERROR(__xludf.DUMMYFUNCTION("""COMPUTED_VALUE"""),"comment")</f>
        <v>comment</v>
      </c>
      <c r="I1375" s="2" t="str">
        <f ca="1">IFERROR(__xludf.DUMMYFUNCTION("""COMPUTED_VALUE"""),"https://www.facebook.com/rapplerdotcom/photos/a.317154781638645/5595733810447356/")</f>
        <v>https://www.facebook.com/rapplerdotcom/photos/a.317154781638645/5595733810447356/</v>
      </c>
      <c r="J1375" s="1" t="str">
        <f ca="1">IFERROR(__xludf.DUMMYFUNCTION("""COMPUTED_VALUE"""),"2022-07-04T15:41:10.242Z")</f>
        <v>2022-07-04T15:41:10.242Z</v>
      </c>
    </row>
    <row r="1376" spans="1:10" x14ac:dyDescent="0.2">
      <c r="A1376" s="2" t="str">
        <f ca="1">IFERROR(__xludf.DUMMYFUNCTION("""COMPUTED_VALUE"""),"https://www.facebook.com/profile.php?id=100076809421771")</f>
        <v>https://www.facebook.com/profile.php?id=100076809421771</v>
      </c>
      <c r="B1376" s="1" t="str">
        <f ca="1">IFERROR(__xludf.DUMMYFUNCTION("""COMPUTED_VALUE"""),"Clarence Cortez")</f>
        <v>Clarence Cortez</v>
      </c>
      <c r="C1376" s="1" t="str">
        <f ca="1">IFERROR(__xludf.DUMMYFUNCTION("""COMPUTED_VALUE"""),"Clarence")</f>
        <v>Clarence</v>
      </c>
      <c r="D1376" s="1" t="str">
        <f ca="1">IFERROR(__xludf.DUMMYFUNCTION("""COMPUTED_VALUE"""),"Cortez")</f>
        <v>Cortez</v>
      </c>
      <c r="E1376" s="1" t="str">
        <f ca="1">IFERROR(__xludf.DUMMYFUNCTION("""COMPUTED_VALUE"""),"💗💗💗")</f>
        <v>💗💗💗</v>
      </c>
      <c r="F1376" s="1"/>
      <c r="G1376" s="1" t="str">
        <f ca="1">IFERROR(__xludf.DUMMYFUNCTION("""COMPUTED_VALUE"""),"3 mos")</f>
        <v>3 mos</v>
      </c>
      <c r="H1376" s="1" t="str">
        <f ca="1">IFERROR(__xludf.DUMMYFUNCTION("""COMPUTED_VALUE"""),"comment")</f>
        <v>comment</v>
      </c>
      <c r="I1376" s="2" t="str">
        <f ca="1">IFERROR(__xludf.DUMMYFUNCTION("""COMPUTED_VALUE"""),"https://www.facebook.com/rapplerdotcom/photos/a.317154781638645/5595733810447356/")</f>
        <v>https://www.facebook.com/rapplerdotcom/photos/a.317154781638645/5595733810447356/</v>
      </c>
      <c r="J1376" s="1" t="str">
        <f ca="1">IFERROR(__xludf.DUMMYFUNCTION("""COMPUTED_VALUE"""),"2022-07-04T15:41:10.242Z")</f>
        <v>2022-07-04T15:41:10.242Z</v>
      </c>
    </row>
    <row r="1377" spans="1:10" x14ac:dyDescent="0.2">
      <c r="A1377" s="2" t="str">
        <f ca="1">IFERROR(__xludf.DUMMYFUNCTION("""COMPUTED_VALUE"""),"https://www.facebook.com/profile.php?id=100074931561512")</f>
        <v>https://www.facebook.com/profile.php?id=100074931561512</v>
      </c>
      <c r="B1377" s="1" t="str">
        <f ca="1">IFERROR(__xludf.DUMMYFUNCTION("""COMPUTED_VALUE"""),"Jonathan De Guzman")</f>
        <v>Jonathan De Guzman</v>
      </c>
      <c r="C1377" s="1" t="str">
        <f ca="1">IFERROR(__xludf.DUMMYFUNCTION("""COMPUTED_VALUE"""),"Jonathan")</f>
        <v>Jonathan</v>
      </c>
      <c r="D1377" s="1" t="str">
        <f ca="1">IFERROR(__xludf.DUMMYFUNCTION("""COMPUTED_VALUE"""),"De Guzman")</f>
        <v>De Guzman</v>
      </c>
      <c r="E1377" s="1" t="str">
        <f ca="1">IFERROR(__xludf.DUMMYFUNCTION("""COMPUTED_VALUE"""),"Matalinong botante si tatay mabuhay ka at god bless you po.")</f>
        <v>Matalinong botante si tatay mabuhay ka at god bless you po.</v>
      </c>
      <c r="F1377" s="1">
        <f ca="1">IFERROR(__xludf.DUMMYFUNCTION("""COMPUTED_VALUE"""),8)</f>
        <v>8</v>
      </c>
      <c r="G1377" s="1" t="str">
        <f ca="1">IFERROR(__xludf.DUMMYFUNCTION("""COMPUTED_VALUE"""),"3 mos")</f>
        <v>3 mos</v>
      </c>
      <c r="H1377" s="1" t="str">
        <f ca="1">IFERROR(__xludf.DUMMYFUNCTION("""COMPUTED_VALUE"""),"comment")</f>
        <v>comment</v>
      </c>
      <c r="I1377" s="2" t="str">
        <f ca="1">IFERROR(__xludf.DUMMYFUNCTION("""COMPUTED_VALUE"""),"https://www.facebook.com/rapplerdotcom/photos/a.317154781638645/5595733810447356/")</f>
        <v>https://www.facebook.com/rapplerdotcom/photos/a.317154781638645/5595733810447356/</v>
      </c>
      <c r="J1377" s="1" t="str">
        <f ca="1">IFERROR(__xludf.DUMMYFUNCTION("""COMPUTED_VALUE"""),"2022-07-04T15:41:10.242Z")</f>
        <v>2022-07-04T15:41:10.242Z</v>
      </c>
    </row>
    <row r="1378" spans="1:10" x14ac:dyDescent="0.2">
      <c r="A1378" s="2" t="str">
        <f ca="1">IFERROR(__xludf.DUMMYFUNCTION("""COMPUTED_VALUE"""),"https://www.facebook.com/jimmy.rebollo")</f>
        <v>https://www.facebook.com/jimmy.rebollo</v>
      </c>
      <c r="B1378" s="1" t="str">
        <f ca="1">IFERROR(__xludf.DUMMYFUNCTION("""COMPUTED_VALUE"""),"Jimmy Pascual Rebollo")</f>
        <v>Jimmy Pascual Rebollo</v>
      </c>
      <c r="C1378" s="1" t="str">
        <f ca="1">IFERROR(__xludf.DUMMYFUNCTION("""COMPUTED_VALUE"""),"Jimmy")</f>
        <v>Jimmy</v>
      </c>
      <c r="D1378" s="1" t="str">
        <f ca="1">IFERROR(__xludf.DUMMYFUNCTION("""COMPUTED_VALUE"""),"Pascual Rebollo")</f>
        <v>Pascual Rebollo</v>
      </c>
      <c r="E1378" s="1" t="str">
        <f ca="1">IFERROR(__xludf.DUMMYFUNCTION("""COMPUTED_VALUE"""),"Jonathan De Guzman matalino daw 🤣🤣🤣🤣🤣🤣")</f>
        <v>Jonathan De Guzman matalino daw 🤣🤣🤣🤣🤣🤣</v>
      </c>
      <c r="F1378" s="1">
        <f ca="1">IFERROR(__xludf.DUMMYFUNCTION("""COMPUTED_VALUE"""),1)</f>
        <v>1</v>
      </c>
      <c r="G1378" s="1" t="str">
        <f ca="1">IFERROR(__xludf.DUMMYFUNCTION("""COMPUTED_VALUE"""),"3 mos")</f>
        <v>3 mos</v>
      </c>
      <c r="H1378" s="1" t="str">
        <f ca="1">IFERROR(__xludf.DUMMYFUNCTION("""COMPUTED_VALUE"""),"reply")</f>
        <v>reply</v>
      </c>
      <c r="I1378" s="2" t="str">
        <f ca="1">IFERROR(__xludf.DUMMYFUNCTION("""COMPUTED_VALUE"""),"https://www.facebook.com/rapplerdotcom/photos/a.317154781638645/5595733810447356/")</f>
        <v>https://www.facebook.com/rapplerdotcom/photos/a.317154781638645/5595733810447356/</v>
      </c>
      <c r="J1378" s="1" t="str">
        <f ca="1">IFERROR(__xludf.DUMMYFUNCTION("""COMPUTED_VALUE"""),"2022-07-04T15:41:10.242Z")</f>
        <v>2022-07-04T15:41:10.242Z</v>
      </c>
    </row>
    <row r="1379" spans="1:10" x14ac:dyDescent="0.2">
      <c r="A1379" s="2" t="str">
        <f ca="1">IFERROR(__xludf.DUMMYFUNCTION("""COMPUTED_VALUE"""),"https://www.facebook.com/profile.php?id=100074931561512")</f>
        <v>https://www.facebook.com/profile.php?id=100074931561512</v>
      </c>
      <c r="B1379" s="1" t="str">
        <f ca="1">IFERROR(__xludf.DUMMYFUNCTION("""COMPUTED_VALUE"""),"Jonathan De Guzman")</f>
        <v>Jonathan De Guzman</v>
      </c>
      <c r="C1379" s="1" t="str">
        <f ca="1">IFERROR(__xludf.DUMMYFUNCTION("""COMPUTED_VALUE"""),"Jonathan")</f>
        <v>Jonathan</v>
      </c>
      <c r="D1379" s="1" t="str">
        <f ca="1">IFERROR(__xludf.DUMMYFUNCTION("""COMPUTED_VALUE"""),"De Guzman")</f>
        <v>De Guzman</v>
      </c>
      <c r="E1379" s="1" t="str">
        <f ca="1">IFERROR(__xludf.DUMMYFUNCTION("""COMPUTED_VALUE"""),"Jimmy Pascual Rebollo  nagbasa kaba?")</f>
        <v>Jimmy Pascual Rebollo  nagbasa kaba?</v>
      </c>
      <c r="F1379" s="1"/>
      <c r="G1379" s="1" t="str">
        <f ca="1">IFERROR(__xludf.DUMMYFUNCTION("""COMPUTED_VALUE"""),"3 mos")</f>
        <v>3 mos</v>
      </c>
      <c r="H1379" s="1" t="str">
        <f ca="1">IFERROR(__xludf.DUMMYFUNCTION("""COMPUTED_VALUE"""),"reply")</f>
        <v>reply</v>
      </c>
      <c r="I1379" s="2" t="str">
        <f ca="1">IFERROR(__xludf.DUMMYFUNCTION("""COMPUTED_VALUE"""),"https://www.facebook.com/rapplerdotcom/photos/a.317154781638645/5595733810447356/")</f>
        <v>https://www.facebook.com/rapplerdotcom/photos/a.317154781638645/5595733810447356/</v>
      </c>
      <c r="J1379" s="1" t="str">
        <f ca="1">IFERROR(__xludf.DUMMYFUNCTION("""COMPUTED_VALUE"""),"2022-07-04T15:41:10.242Z")</f>
        <v>2022-07-04T15:41:10.242Z</v>
      </c>
    </row>
    <row r="1380" spans="1:10" x14ac:dyDescent="0.2">
      <c r="A1380" s="2" t="str">
        <f ca="1">IFERROR(__xludf.DUMMYFUNCTION("""COMPUTED_VALUE"""),"https://www.facebook.com/roland.somera.129")</f>
        <v>https://www.facebook.com/roland.somera.129</v>
      </c>
      <c r="B1380" s="1" t="str">
        <f ca="1">IFERROR(__xludf.DUMMYFUNCTION("""COMPUTED_VALUE"""),"Somera Gonzaga Roland")</f>
        <v>Somera Gonzaga Roland</v>
      </c>
      <c r="C1380" s="1" t="str">
        <f ca="1">IFERROR(__xludf.DUMMYFUNCTION("""COMPUTED_VALUE"""),"Somera")</f>
        <v>Somera</v>
      </c>
      <c r="D1380" s="1" t="str">
        <f ca="1">IFERROR(__xludf.DUMMYFUNCTION("""COMPUTED_VALUE"""),"Gonzaga Roland")</f>
        <v>Gonzaga Roland</v>
      </c>
      <c r="E1380" s="1" t="str">
        <f ca="1">IFERROR(__xludf.DUMMYFUNCTION("""COMPUTED_VALUE"""),"Jonathan De Guzman  my 500 yan 🤣")</f>
        <v>Jonathan De Guzman  my 500 yan 🤣</v>
      </c>
      <c r="F1380" s="1"/>
      <c r="G1380" s="1" t="str">
        <f ca="1">IFERROR(__xludf.DUMMYFUNCTION("""COMPUTED_VALUE"""),"3 mos")</f>
        <v>3 mos</v>
      </c>
      <c r="H1380" s="1" t="str">
        <f ca="1">IFERROR(__xludf.DUMMYFUNCTION("""COMPUTED_VALUE"""),"reply")</f>
        <v>reply</v>
      </c>
      <c r="I1380" s="2" t="str">
        <f ca="1">IFERROR(__xludf.DUMMYFUNCTION("""COMPUTED_VALUE"""),"https://www.facebook.com/rapplerdotcom/photos/a.317154781638645/5595733810447356/")</f>
        <v>https://www.facebook.com/rapplerdotcom/photos/a.317154781638645/5595733810447356/</v>
      </c>
      <c r="J1380" s="1" t="str">
        <f ca="1">IFERROR(__xludf.DUMMYFUNCTION("""COMPUTED_VALUE"""),"2022-07-04T15:41:10.242Z")</f>
        <v>2022-07-04T15:41:10.242Z</v>
      </c>
    </row>
    <row r="1381" spans="1:10" x14ac:dyDescent="0.2">
      <c r="A1381" s="2" t="str">
        <f ca="1">IFERROR(__xludf.DUMMYFUNCTION("""COMPUTED_VALUE"""),"https://www.facebook.com/profile.php?id=100074931561512")</f>
        <v>https://www.facebook.com/profile.php?id=100074931561512</v>
      </c>
      <c r="B1381" s="1" t="str">
        <f ca="1">IFERROR(__xludf.DUMMYFUNCTION("""COMPUTED_VALUE"""),"Jonathan De Guzman")</f>
        <v>Jonathan De Guzman</v>
      </c>
      <c r="C1381" s="1" t="str">
        <f ca="1">IFERROR(__xludf.DUMMYFUNCTION("""COMPUTED_VALUE"""),"Jonathan")</f>
        <v>Jonathan</v>
      </c>
      <c r="D1381" s="1" t="str">
        <f ca="1">IFERROR(__xludf.DUMMYFUNCTION("""COMPUTED_VALUE"""),"De Guzman")</f>
        <v>De Guzman</v>
      </c>
      <c r="E1381" s="1" t="str">
        <f ca="1">IFERROR(__xludf.DUMMYFUNCTION("""COMPUTED_VALUE"""),"Somera Gonzaga Roland weh")</f>
        <v>Somera Gonzaga Roland weh</v>
      </c>
      <c r="F1381" s="1"/>
      <c r="G1381" s="1" t="str">
        <f ca="1">IFERROR(__xludf.DUMMYFUNCTION("""COMPUTED_VALUE"""),"3 mos")</f>
        <v>3 mos</v>
      </c>
      <c r="H1381" s="1" t="str">
        <f ca="1">IFERROR(__xludf.DUMMYFUNCTION("""COMPUTED_VALUE"""),"reply")</f>
        <v>reply</v>
      </c>
      <c r="I1381" s="2" t="str">
        <f ca="1">IFERROR(__xludf.DUMMYFUNCTION("""COMPUTED_VALUE"""),"https://www.facebook.com/rapplerdotcom/photos/a.317154781638645/5595733810447356/")</f>
        <v>https://www.facebook.com/rapplerdotcom/photos/a.317154781638645/5595733810447356/</v>
      </c>
      <c r="J1381" s="1" t="str">
        <f ca="1">IFERROR(__xludf.DUMMYFUNCTION("""COMPUTED_VALUE"""),"2022-07-04T15:41:10.242Z")</f>
        <v>2022-07-04T15:41:10.242Z</v>
      </c>
    </row>
    <row r="1382" spans="1:10" x14ac:dyDescent="0.2">
      <c r="A1382" s="2" t="str">
        <f ca="1">IFERROR(__xludf.DUMMYFUNCTION("""COMPUTED_VALUE"""),"https://www.facebook.com/profile.php?id=100074931561512")</f>
        <v>https://www.facebook.com/profile.php?id=100074931561512</v>
      </c>
      <c r="B1382" s="1" t="str">
        <f ca="1">IFERROR(__xludf.DUMMYFUNCTION("""COMPUTED_VALUE"""),"Jonathan De Guzman")</f>
        <v>Jonathan De Guzman</v>
      </c>
      <c r="C1382" s="1" t="str">
        <f ca="1">IFERROR(__xludf.DUMMYFUNCTION("""COMPUTED_VALUE"""),"Jonathan")</f>
        <v>Jonathan</v>
      </c>
      <c r="D1382" s="1" t="str">
        <f ca="1">IFERROR(__xludf.DUMMYFUNCTION("""COMPUTED_VALUE"""),"De Guzman")</f>
        <v>De Guzman</v>
      </c>
      <c r="E1382" s="1" t="str">
        <f ca="1">IFERROR(__xludf.DUMMYFUNCTION("""COMPUTED_VALUE"""),"Somera Gonzaga Roland ganyan ba ang tingin mo sa mga pinoy?")</f>
        <v>Somera Gonzaga Roland ganyan ba ang tingin mo sa mga pinoy?</v>
      </c>
      <c r="F1382" s="1"/>
      <c r="G1382" s="1" t="str">
        <f ca="1">IFERROR(__xludf.DUMMYFUNCTION("""COMPUTED_VALUE"""),"3 mos")</f>
        <v>3 mos</v>
      </c>
      <c r="H1382" s="1" t="str">
        <f ca="1">IFERROR(__xludf.DUMMYFUNCTION("""COMPUTED_VALUE"""),"reply")</f>
        <v>reply</v>
      </c>
      <c r="I1382" s="2" t="str">
        <f ca="1">IFERROR(__xludf.DUMMYFUNCTION("""COMPUTED_VALUE"""),"https://www.facebook.com/rapplerdotcom/photos/a.317154781638645/5595733810447356/")</f>
        <v>https://www.facebook.com/rapplerdotcom/photos/a.317154781638645/5595733810447356/</v>
      </c>
      <c r="J1382" s="1" t="str">
        <f ca="1">IFERROR(__xludf.DUMMYFUNCTION("""COMPUTED_VALUE"""),"2022-07-04T15:41:10.242Z")</f>
        <v>2022-07-04T15:41:10.242Z</v>
      </c>
    </row>
    <row r="1383" spans="1:10" x14ac:dyDescent="0.2">
      <c r="A1383" s="2" t="str">
        <f ca="1">IFERROR(__xludf.DUMMYFUNCTION("""COMPUTED_VALUE"""),"https://www.facebook.com/june.vicentino.11")</f>
        <v>https://www.facebook.com/june.vicentino.11</v>
      </c>
      <c r="B1383" s="1" t="str">
        <f ca="1">IFERROR(__xludf.DUMMYFUNCTION("""COMPUTED_VALUE"""),"John Salvador Vicentino")</f>
        <v>John Salvador Vicentino</v>
      </c>
      <c r="C1383" s="1" t="str">
        <f ca="1">IFERROR(__xludf.DUMMYFUNCTION("""COMPUTED_VALUE"""),"John")</f>
        <v>John</v>
      </c>
      <c r="D1383" s="1" t="str">
        <f ca="1">IFERROR(__xludf.DUMMYFUNCTION("""COMPUTED_VALUE"""),"Salvador Vicentino")</f>
        <v>Salvador Vicentino</v>
      </c>
      <c r="E1383" s="1" t="str">
        <f ca="1">IFERROR(__xludf.DUMMYFUNCTION("""COMPUTED_VALUE"""),"Bayad yarnnnn")</f>
        <v>Bayad yarnnnn</v>
      </c>
      <c r="F1383" s="1">
        <f ca="1">IFERROR(__xludf.DUMMYFUNCTION("""COMPUTED_VALUE"""),8)</f>
        <v>8</v>
      </c>
      <c r="G1383" s="1" t="str">
        <f ca="1">IFERROR(__xludf.DUMMYFUNCTION("""COMPUTED_VALUE"""),"3 mos")</f>
        <v>3 mos</v>
      </c>
      <c r="H1383" s="1" t="str">
        <f ca="1">IFERROR(__xludf.DUMMYFUNCTION("""COMPUTED_VALUE"""),"comment")</f>
        <v>comment</v>
      </c>
      <c r="I1383" s="2" t="str">
        <f ca="1">IFERROR(__xludf.DUMMYFUNCTION("""COMPUTED_VALUE"""),"https://www.facebook.com/rapplerdotcom/photos/a.317154781638645/5595733810447356/")</f>
        <v>https://www.facebook.com/rapplerdotcom/photos/a.317154781638645/5595733810447356/</v>
      </c>
      <c r="J1383" s="1" t="str">
        <f ca="1">IFERROR(__xludf.DUMMYFUNCTION("""COMPUTED_VALUE"""),"2022-07-04T15:41:10.242Z")</f>
        <v>2022-07-04T15:41:10.242Z</v>
      </c>
    </row>
    <row r="1384" spans="1:10" x14ac:dyDescent="0.2">
      <c r="A1384" s="2" t="str">
        <f ca="1">IFERROR(__xludf.DUMMYFUNCTION("""COMPUTED_VALUE"""),"https://www.facebook.com/emeleen.17")</f>
        <v>https://www.facebook.com/emeleen.17</v>
      </c>
      <c r="B1384" s="1" t="str">
        <f ca="1">IFERROR(__xludf.DUMMYFUNCTION("""COMPUTED_VALUE"""),"SweetEmelyn Villados")</f>
        <v>SweetEmelyn Villados</v>
      </c>
      <c r="C1384" s="1" t="str">
        <f ca="1">IFERROR(__xludf.DUMMYFUNCTION("""COMPUTED_VALUE"""),"SweetEmelyn")</f>
        <v>SweetEmelyn</v>
      </c>
      <c r="D1384" s="1" t="str">
        <f ca="1">IFERROR(__xludf.DUMMYFUNCTION("""COMPUTED_VALUE"""),"Villados")</f>
        <v>Villados</v>
      </c>
      <c r="E1384" s="1" t="str">
        <f ca="1">IFERROR(__xludf.DUMMYFUNCTION("""COMPUTED_VALUE"""),"John Salvador Vicentino mukha kayong ""bayad yarn""... ikaw rin ba?")</f>
        <v>John Salvador Vicentino mukha kayong "bayad yarn"... ikaw rin ba?</v>
      </c>
      <c r="F1384" s="1"/>
      <c r="G1384" s="1" t="str">
        <f ca="1">IFERROR(__xludf.DUMMYFUNCTION("""COMPUTED_VALUE"""),"3 mos")</f>
        <v>3 mos</v>
      </c>
      <c r="H1384" s="1" t="str">
        <f ca="1">IFERROR(__xludf.DUMMYFUNCTION("""COMPUTED_VALUE"""),"reply")</f>
        <v>reply</v>
      </c>
      <c r="I1384" s="2" t="str">
        <f ca="1">IFERROR(__xludf.DUMMYFUNCTION("""COMPUTED_VALUE"""),"https://www.facebook.com/rapplerdotcom/photos/a.317154781638645/5595733810447356/")</f>
        <v>https://www.facebook.com/rapplerdotcom/photos/a.317154781638645/5595733810447356/</v>
      </c>
      <c r="J1384" s="1" t="str">
        <f ca="1">IFERROR(__xludf.DUMMYFUNCTION("""COMPUTED_VALUE"""),"2022-07-04T15:41:10.242Z")</f>
        <v>2022-07-04T15:41:10.242Z</v>
      </c>
    </row>
    <row r="1385" spans="1:10" x14ac:dyDescent="0.2">
      <c r="A1385" s="2" t="str">
        <f ca="1">IFERROR(__xludf.DUMMYFUNCTION("""COMPUTED_VALUE"""),"https://www.facebook.com/taipan.shantel")</f>
        <v>https://www.facebook.com/taipan.shantel</v>
      </c>
      <c r="B1385" s="1" t="str">
        <f ca="1">IFERROR(__xludf.DUMMYFUNCTION("""COMPUTED_VALUE"""),"Taipan Shantel")</f>
        <v>Taipan Shantel</v>
      </c>
      <c r="C1385" s="1" t="str">
        <f ca="1">IFERROR(__xludf.DUMMYFUNCTION("""COMPUTED_VALUE"""),"Taipan")</f>
        <v>Taipan</v>
      </c>
      <c r="D1385" s="1" t="str">
        <f ca="1">IFERROR(__xludf.DUMMYFUNCTION("""COMPUTED_VALUE"""),"Shantel")</f>
        <v>Shantel</v>
      </c>
      <c r="E1385" s="1" t="str">
        <f ca="1">IFERROR(__xludf.DUMMYFUNCTION("""COMPUTED_VALUE"""),"John Salvador Vicentino  panu mo nasabi*?")</f>
        <v>John Salvador Vicentino  panu mo nasabi*?</v>
      </c>
      <c r="F1385" s="1">
        <f ca="1">IFERROR(__xludf.DUMMYFUNCTION("""COMPUTED_VALUE"""),2)</f>
        <v>2</v>
      </c>
      <c r="G1385" s="1" t="str">
        <f ca="1">IFERROR(__xludf.DUMMYFUNCTION("""COMPUTED_VALUE"""),"3 mos")</f>
        <v>3 mos</v>
      </c>
      <c r="H1385" s="1" t="str">
        <f ca="1">IFERROR(__xludf.DUMMYFUNCTION("""COMPUTED_VALUE"""),"reply")</f>
        <v>reply</v>
      </c>
      <c r="I1385" s="2" t="str">
        <f ca="1">IFERROR(__xludf.DUMMYFUNCTION("""COMPUTED_VALUE"""),"https://www.facebook.com/rapplerdotcom/photos/a.317154781638645/5595733810447356/")</f>
        <v>https://www.facebook.com/rapplerdotcom/photos/a.317154781638645/5595733810447356/</v>
      </c>
      <c r="J1385" s="1" t="str">
        <f ca="1">IFERROR(__xludf.DUMMYFUNCTION("""COMPUTED_VALUE"""),"2022-07-04T15:41:10.242Z")</f>
        <v>2022-07-04T15:41:10.242Z</v>
      </c>
    </row>
    <row r="1386" spans="1:10" x14ac:dyDescent="0.2">
      <c r="A1386" s="2" t="str">
        <f ca="1">IFERROR(__xludf.DUMMYFUNCTION("""COMPUTED_VALUE"""),"https://www.facebook.com/minato.batousai")</f>
        <v>https://www.facebook.com/minato.batousai</v>
      </c>
      <c r="B1386" s="1" t="str">
        <f ca="1">IFERROR(__xludf.DUMMYFUNCTION("""COMPUTED_VALUE"""),"Fujima Nagato")</f>
        <v>Fujima Nagato</v>
      </c>
      <c r="C1386" s="1" t="str">
        <f ca="1">IFERROR(__xludf.DUMMYFUNCTION("""COMPUTED_VALUE"""),"Fujima")</f>
        <v>Fujima</v>
      </c>
      <c r="D1386" s="1" t="str">
        <f ca="1">IFERROR(__xludf.DUMMYFUNCTION("""COMPUTED_VALUE"""),"Nagato")</f>
        <v>Nagato</v>
      </c>
      <c r="E1386" s="1" t="str">
        <f ca="1">IFERROR(__xludf.DUMMYFUNCTION("""COMPUTED_VALUE"""),"Solid kakampink")</f>
        <v>Solid kakampink</v>
      </c>
      <c r="F1386" s="1">
        <f ca="1">IFERROR(__xludf.DUMMYFUNCTION("""COMPUTED_VALUE"""),5)</f>
        <v>5</v>
      </c>
      <c r="G1386" s="1" t="str">
        <f ca="1">IFERROR(__xludf.DUMMYFUNCTION("""COMPUTED_VALUE"""),"3 mos")</f>
        <v>3 mos</v>
      </c>
      <c r="H1386" s="1" t="str">
        <f ca="1">IFERROR(__xludf.DUMMYFUNCTION("""COMPUTED_VALUE"""),"comment")</f>
        <v>comment</v>
      </c>
      <c r="I1386" s="2" t="str">
        <f ca="1">IFERROR(__xludf.DUMMYFUNCTION("""COMPUTED_VALUE"""),"https://www.facebook.com/rapplerdotcom/photos/a.317154781638645/5595733810447356/")</f>
        <v>https://www.facebook.com/rapplerdotcom/photos/a.317154781638645/5595733810447356/</v>
      </c>
      <c r="J1386" s="1" t="str">
        <f ca="1">IFERROR(__xludf.DUMMYFUNCTION("""COMPUTED_VALUE"""),"2022-07-04T15:41:10.242Z")</f>
        <v>2022-07-04T15:41:10.242Z</v>
      </c>
    </row>
    <row r="1387" spans="1:10" x14ac:dyDescent="0.2">
      <c r="A1387" s="2" t="str">
        <f ca="1">IFERROR(__xludf.DUMMYFUNCTION("""COMPUTED_VALUE"""),"https://www.facebook.com/profile.php?id=100069939051229")</f>
        <v>https://www.facebook.com/profile.php?id=100069939051229</v>
      </c>
      <c r="B1387" s="1" t="str">
        <f ca="1">IFERROR(__xludf.DUMMYFUNCTION("""COMPUTED_VALUE"""),"Vince Carter")</f>
        <v>Vince Carter</v>
      </c>
      <c r="C1387" s="1" t="str">
        <f ca="1">IFERROR(__xludf.DUMMYFUNCTION("""COMPUTED_VALUE"""),"Vince")</f>
        <v>Vince</v>
      </c>
      <c r="D1387" s="1" t="str">
        <f ca="1">IFERROR(__xludf.DUMMYFUNCTION("""COMPUTED_VALUE"""),"Carter")</f>
        <v>Carter</v>
      </c>
      <c r="E1387" s="1" t="str">
        <f ca="1">IFERROR(__xludf.DUMMYFUNCTION("""COMPUTED_VALUE"""),"#AngatSila")</f>
        <v>#AngatSila</v>
      </c>
      <c r="F1387" s="1"/>
      <c r="G1387" s="1" t="str">
        <f ca="1">IFERROR(__xludf.DUMMYFUNCTION("""COMPUTED_VALUE"""),"3 mos")</f>
        <v>3 mos</v>
      </c>
      <c r="H1387" s="1" t="str">
        <f ca="1">IFERROR(__xludf.DUMMYFUNCTION("""COMPUTED_VALUE"""),"comment")</f>
        <v>comment</v>
      </c>
      <c r="I1387" s="2" t="str">
        <f ca="1">IFERROR(__xludf.DUMMYFUNCTION("""COMPUTED_VALUE"""),"https://www.facebook.com/rapplerdotcom/photos/a.317154781638645/5595733810447356/")</f>
        <v>https://www.facebook.com/rapplerdotcom/photos/a.317154781638645/5595733810447356/</v>
      </c>
      <c r="J1387" s="1" t="str">
        <f ca="1">IFERROR(__xludf.DUMMYFUNCTION("""COMPUTED_VALUE"""),"2022-07-04T15:41:10.242Z")</f>
        <v>2022-07-04T15:41:10.242Z</v>
      </c>
    </row>
    <row r="1388" spans="1:10" x14ac:dyDescent="0.2">
      <c r="A1388" s="2" t="str">
        <f ca="1">IFERROR(__xludf.DUMMYFUNCTION("""COMPUTED_VALUE"""),"https://www.facebook.com/djlansang")</f>
        <v>https://www.facebook.com/djlansang</v>
      </c>
      <c r="B1388" s="1" t="str">
        <f ca="1">IFERROR(__xludf.DUMMYFUNCTION("""COMPUTED_VALUE"""),"Joy Ben Lan")</f>
        <v>Joy Ben Lan</v>
      </c>
      <c r="C1388" s="1" t="str">
        <f ca="1">IFERROR(__xludf.DUMMYFUNCTION("""COMPUTED_VALUE"""),"Joy")</f>
        <v>Joy</v>
      </c>
      <c r="D1388" s="1" t="str">
        <f ca="1">IFERROR(__xludf.DUMMYFUNCTION("""COMPUTED_VALUE"""),"Ben Lan")</f>
        <v>Ben Lan</v>
      </c>
      <c r="E1388" s="1" t="str">
        <f ca="1">IFERROR(__xludf.DUMMYFUNCTION("""COMPUTED_VALUE"""),"""Tumindig kayo; tinitiyak ko, mayroon ding titindig sa tabi ninyo."" #10RobredoForPresident #LeniKiko2022 #AngatBuhayLahat Mabuhay ang mga Filipino! TO GOD BE THE GLORY🙏 GOD BLESS THE PHILIPPINES 🇵🇭 https://media.giphy.com/media/OyEUuw53Z4HlTEyItq/gip"&amp;"hy.gif")</f>
        <v>"Tumindig kayo; tinitiyak ko, mayroon ding titindig sa tabi ninyo." #10RobredoForPresident #LeniKiko2022 #AngatBuhayLahat Mabuhay ang mga Filipino! TO GOD BE THE GLORY🙏 GOD BLESS THE PHILIPPINES 🇵🇭 https://media.giphy.com/media/OyEUuw53Z4HlTEyItq/giphy.gif</v>
      </c>
      <c r="F1388" s="1">
        <f ca="1">IFERROR(__xludf.DUMMYFUNCTION("""COMPUTED_VALUE"""),84)</f>
        <v>84</v>
      </c>
      <c r="G1388" s="1" t="str">
        <f ca="1">IFERROR(__xludf.DUMMYFUNCTION("""COMPUTED_VALUE"""),"3 mos")</f>
        <v>3 mos</v>
      </c>
      <c r="H1388" s="1" t="str">
        <f ca="1">IFERROR(__xludf.DUMMYFUNCTION("""COMPUTED_VALUE"""),"comment")</f>
        <v>comment</v>
      </c>
      <c r="I1388" s="2" t="str">
        <f ca="1">IFERROR(__xludf.DUMMYFUNCTION("""COMPUTED_VALUE"""),"https://www.facebook.com/watch/?v=570590637273208")</f>
        <v>https://www.facebook.com/watch/?v=570590637273208</v>
      </c>
      <c r="J1388" s="1" t="str">
        <f ca="1">IFERROR(__xludf.DUMMYFUNCTION("""COMPUTED_VALUE"""),"2022-07-04T15:42:11.152Z")</f>
        <v>2022-07-04T15:42:11.152Z</v>
      </c>
    </row>
    <row r="1389" spans="1:10" x14ac:dyDescent="0.2">
      <c r="A1389" s="2" t="str">
        <f ca="1">IFERROR(__xludf.DUMMYFUNCTION("""COMPUTED_VALUE"""),"https://www.facebook.com/profile.php?id=100078441967269")</f>
        <v>https://www.facebook.com/profile.php?id=100078441967269</v>
      </c>
      <c r="B1389" s="1" t="str">
        <f ca="1">IFERROR(__xludf.DUMMYFUNCTION("""COMPUTED_VALUE"""),"Matheo Lopes Roa")</f>
        <v>Matheo Lopes Roa</v>
      </c>
      <c r="C1389" s="1" t="str">
        <f ca="1">IFERROR(__xludf.DUMMYFUNCTION("""COMPUTED_VALUE"""),"Matheo")</f>
        <v>Matheo</v>
      </c>
      <c r="D1389" s="1" t="str">
        <f ca="1">IFERROR(__xludf.DUMMYFUNCTION("""COMPUTED_VALUE"""),"Lopes Roa")</f>
        <v>Lopes Roa</v>
      </c>
      <c r="E1389" s="1" t="str">
        <f ca="1">IFERROR(__xludf.DUMMYFUNCTION("""COMPUTED_VALUE"""),"Su Bangero  may nsligaw na langaw")</f>
        <v>Su Bangero  may nsligaw na langaw</v>
      </c>
      <c r="F1389" s="1">
        <f ca="1">IFERROR(__xludf.DUMMYFUNCTION("""COMPUTED_VALUE"""),2)</f>
        <v>2</v>
      </c>
      <c r="G1389" s="1" t="str">
        <f ca="1">IFERROR(__xludf.DUMMYFUNCTION("""COMPUTED_VALUE"""),"3 mos")</f>
        <v>3 mos</v>
      </c>
      <c r="H1389" s="1" t="str">
        <f ca="1">IFERROR(__xludf.DUMMYFUNCTION("""COMPUTED_VALUE"""),"reply")</f>
        <v>reply</v>
      </c>
      <c r="I1389" s="2" t="str">
        <f ca="1">IFERROR(__xludf.DUMMYFUNCTION("""COMPUTED_VALUE"""),"https://www.facebook.com/watch/?v=570590637273208")</f>
        <v>https://www.facebook.com/watch/?v=570590637273208</v>
      </c>
      <c r="J1389" s="1" t="str">
        <f ca="1">IFERROR(__xludf.DUMMYFUNCTION("""COMPUTED_VALUE"""),"2022-07-04T15:42:11.152Z")</f>
        <v>2022-07-04T15:42:11.152Z</v>
      </c>
    </row>
    <row r="1390" spans="1:10" x14ac:dyDescent="0.2">
      <c r="A1390" s="2" t="str">
        <f ca="1">IFERROR(__xludf.DUMMYFUNCTION("""COMPUTED_VALUE"""),"https://www.facebook.com/profile.php?id=100076165174797")</f>
        <v>https://www.facebook.com/profile.php?id=100076165174797</v>
      </c>
      <c r="B1390" s="1" t="str">
        <f ca="1">IFERROR(__xludf.DUMMYFUNCTION("""COMPUTED_VALUE"""),"Joshua Madronero")</f>
        <v>Joshua Madronero</v>
      </c>
      <c r="C1390" s="1" t="str">
        <f ca="1">IFERROR(__xludf.DUMMYFUNCTION("""COMPUTED_VALUE"""),"Joshua")</f>
        <v>Joshua</v>
      </c>
      <c r="D1390" s="1" t="str">
        <f ca="1">IFERROR(__xludf.DUMMYFUNCTION("""COMPUTED_VALUE"""),"Madronero")</f>
        <v>Madronero</v>
      </c>
      <c r="E1390" s="1" t="str">
        <f ca="1">IFERROR(__xludf.DUMMYFUNCTION("""COMPUTED_VALUE"""),"😂😂🤣🤣🤣")</f>
        <v>😂😂🤣🤣🤣</v>
      </c>
      <c r="F1390" s="1"/>
      <c r="G1390" s="1" t="str">
        <f ca="1">IFERROR(__xludf.DUMMYFUNCTION("""COMPUTED_VALUE"""),"3 mos")</f>
        <v>3 mos</v>
      </c>
      <c r="H1390" s="1" t="str">
        <f ca="1">IFERROR(__xludf.DUMMYFUNCTION("""COMPUTED_VALUE"""),"reply")</f>
        <v>reply</v>
      </c>
      <c r="I1390" s="2" t="str">
        <f ca="1">IFERROR(__xludf.DUMMYFUNCTION("""COMPUTED_VALUE"""),"https://www.facebook.com/watch/?v=570590637273208")</f>
        <v>https://www.facebook.com/watch/?v=570590637273208</v>
      </c>
      <c r="J1390" s="1" t="str">
        <f ca="1">IFERROR(__xludf.DUMMYFUNCTION("""COMPUTED_VALUE"""),"2022-07-04T15:42:11.152Z")</f>
        <v>2022-07-04T15:42:11.152Z</v>
      </c>
    </row>
    <row r="1391" spans="1:10" x14ac:dyDescent="0.2">
      <c r="A1391" s="2" t="str">
        <f ca="1">IFERROR(__xludf.DUMMYFUNCTION("""COMPUTED_VALUE"""),"https://www.facebook.com/profile.php?id=100076165174797")</f>
        <v>https://www.facebook.com/profile.php?id=100076165174797</v>
      </c>
      <c r="B1391" s="1" t="str">
        <f ca="1">IFERROR(__xludf.DUMMYFUNCTION("""COMPUTED_VALUE"""),"Joshua Madronero")</f>
        <v>Joshua Madronero</v>
      </c>
      <c r="C1391" s="1" t="str">
        <f ca="1">IFERROR(__xludf.DUMMYFUNCTION("""COMPUTED_VALUE"""),"Joshua")</f>
        <v>Joshua</v>
      </c>
      <c r="D1391" s="1" t="str">
        <f ca="1">IFERROR(__xludf.DUMMYFUNCTION("""COMPUTED_VALUE"""),"Madronero")</f>
        <v>Madronero</v>
      </c>
      <c r="E1391" s="1" t="str">
        <f ca="1">IFERROR(__xludf.DUMMYFUNCTION("""COMPUTED_VALUE"""),"Joshua Madronero")</f>
        <v>Joshua Madronero</v>
      </c>
      <c r="F1391" s="1"/>
      <c r="G1391" s="1" t="str">
        <f ca="1">IFERROR(__xludf.DUMMYFUNCTION("""COMPUTED_VALUE"""),"3 mos")</f>
        <v>3 mos</v>
      </c>
      <c r="H1391" s="1" t="str">
        <f ca="1">IFERROR(__xludf.DUMMYFUNCTION("""COMPUTED_VALUE"""),"reply")</f>
        <v>reply</v>
      </c>
      <c r="I1391" s="2" t="str">
        <f ca="1">IFERROR(__xludf.DUMMYFUNCTION("""COMPUTED_VALUE"""),"https://www.facebook.com/watch/?v=570590637273208")</f>
        <v>https://www.facebook.com/watch/?v=570590637273208</v>
      </c>
      <c r="J1391" s="1" t="str">
        <f ca="1">IFERROR(__xludf.DUMMYFUNCTION("""COMPUTED_VALUE"""),"2022-07-04T15:42:11.152Z")</f>
        <v>2022-07-04T15:42:11.152Z</v>
      </c>
    </row>
    <row r="1392" spans="1:10" x14ac:dyDescent="0.2">
      <c r="A1392" s="2" t="str">
        <f ca="1">IFERROR(__xludf.DUMMYFUNCTION("""COMPUTED_VALUE"""),"https://www.facebook.com/bechabye")</f>
        <v>https://www.facebook.com/bechabye</v>
      </c>
      <c r="B1392" s="1" t="str">
        <f ca="1">IFERROR(__xludf.DUMMYFUNCTION("""COMPUTED_VALUE"""),"Beth Sebastian Salazar")</f>
        <v>Beth Sebastian Salazar</v>
      </c>
      <c r="C1392" s="1" t="str">
        <f ca="1">IFERROR(__xludf.DUMMYFUNCTION("""COMPUTED_VALUE"""),"Beth")</f>
        <v>Beth</v>
      </c>
      <c r="D1392" s="1" t="str">
        <f ca="1">IFERROR(__xludf.DUMMYFUNCTION("""COMPUTED_VALUE"""),"Sebastian Salazar")</f>
        <v>Sebastian Salazar</v>
      </c>
      <c r="E1392" s="1" t="str">
        <f ca="1">IFERROR(__xludf.DUMMYFUNCTION("""COMPUTED_VALUE"""),"Thanks N.E......sending our love from California and Quezon province.")</f>
        <v>Thanks N.E......sending our love from California and Quezon province.</v>
      </c>
      <c r="F1392" s="1">
        <f ca="1">IFERROR(__xludf.DUMMYFUNCTION("""COMPUTED_VALUE"""),16)</f>
        <v>16</v>
      </c>
      <c r="G1392" s="1" t="str">
        <f ca="1">IFERROR(__xludf.DUMMYFUNCTION("""COMPUTED_VALUE"""),"3 mos")</f>
        <v>3 mos</v>
      </c>
      <c r="H1392" s="1" t="str">
        <f ca="1">IFERROR(__xludf.DUMMYFUNCTION("""COMPUTED_VALUE"""),"comment")</f>
        <v>comment</v>
      </c>
      <c r="I1392" s="2" t="str">
        <f ca="1">IFERROR(__xludf.DUMMYFUNCTION("""COMPUTED_VALUE"""),"https://www.facebook.com/watch/?v=570590637273208")</f>
        <v>https://www.facebook.com/watch/?v=570590637273208</v>
      </c>
      <c r="J1392" s="1" t="str">
        <f ca="1">IFERROR(__xludf.DUMMYFUNCTION("""COMPUTED_VALUE"""),"2022-07-04T15:42:11.152Z")</f>
        <v>2022-07-04T15:42:11.152Z</v>
      </c>
    </row>
    <row r="1393" spans="1:10" x14ac:dyDescent="0.2">
      <c r="A1393" s="2" t="str">
        <f ca="1">IFERROR(__xludf.DUMMYFUNCTION("""COMPUTED_VALUE"""),"https://www.facebook.com/richardo.deloreto")</f>
        <v>https://www.facebook.com/richardo.deloreto</v>
      </c>
      <c r="B1393" s="1" t="str">
        <f ca="1">IFERROR(__xludf.DUMMYFUNCTION("""COMPUTED_VALUE"""),"Richardo Yao De Loreto")</f>
        <v>Richardo Yao De Loreto</v>
      </c>
      <c r="C1393" s="1" t="str">
        <f ca="1">IFERROR(__xludf.DUMMYFUNCTION("""COMPUTED_VALUE"""),"Richardo")</f>
        <v>Richardo</v>
      </c>
      <c r="D1393" s="1" t="str">
        <f ca="1">IFERROR(__xludf.DUMMYFUNCTION("""COMPUTED_VALUE"""),"Yao De Loreto")</f>
        <v>Yao De Loreto</v>
      </c>
      <c r="E1393" s="1" t="str">
        <f ca="1">IFERROR(__xludf.DUMMYFUNCTION("""COMPUTED_VALUE"""),"Tunay na patuloy ang pag laban ng Central Luzon! 🙏💗🇵🇭 Tumindig, humakbang, kumilos, lumaban at magdasal para sa pamilya at bayan. Magkaisa tayo para magandang kinabukasan ng ating bayan 🙏💗 Para ito lalo na sa mahihirap nating kababayan.  Marami ng n"&amp;"agigising sa katotohanan. Yung mga nagbubulag-bulagan or may masamang interest ipagdasal natin na makonsensya. Pag hindi pa rin Diyos na bahala sa kanila. Doon lang tayo sa tama, totoo, tapat, servant leader, mapagmahal at maka-Diyos. #MasRadikalAngMagmah"&amp;"al #LeniKiko2022 #GobyernongTapatAngatBuhayLahat")</f>
        <v>Tunay na patuloy ang pag laban ng Central Luzon! 🙏💗🇵🇭 Tumindig, humakbang, kumilos, lumaban at magdasal para sa pamilya at bayan. Magkaisa tayo para magandang kinabukasan ng ating bayan 🙏💗 Para ito lalo na sa mahihirap nating kababayan.  Marami ng nagigising sa katotohanan. Yung mga nagbubulag-bulagan or may masamang interest ipagdasal natin na makonsensya. Pag hindi pa rin Diyos na bahala sa kanila. Doon lang tayo sa tama, totoo, tapat, servant leader, mapagmahal at maka-Diyos. #MasRadikalAngMagmahal #LeniKiko2022 #GobyernongTapatAngatBuhayLahat</v>
      </c>
      <c r="F1393" s="1">
        <f ca="1">IFERROR(__xludf.DUMMYFUNCTION("""COMPUTED_VALUE"""),22)</f>
        <v>22</v>
      </c>
      <c r="G1393" s="1" t="str">
        <f ca="1">IFERROR(__xludf.DUMMYFUNCTION("""COMPUTED_VALUE"""),"3 mos")</f>
        <v>3 mos</v>
      </c>
      <c r="H1393" s="1" t="str">
        <f ca="1">IFERROR(__xludf.DUMMYFUNCTION("""COMPUTED_VALUE"""),"comment")</f>
        <v>comment</v>
      </c>
      <c r="I1393" s="2" t="str">
        <f ca="1">IFERROR(__xludf.DUMMYFUNCTION("""COMPUTED_VALUE"""),"https://www.facebook.com/watch/?v=570590637273208")</f>
        <v>https://www.facebook.com/watch/?v=570590637273208</v>
      </c>
      <c r="J1393" s="1" t="str">
        <f ca="1">IFERROR(__xludf.DUMMYFUNCTION("""COMPUTED_VALUE"""),"2022-07-04T15:42:11.152Z")</f>
        <v>2022-07-04T15:42:11.152Z</v>
      </c>
    </row>
    <row r="1394" spans="1:10" x14ac:dyDescent="0.2">
      <c r="A1394" s="2" t="str">
        <f ca="1">IFERROR(__xludf.DUMMYFUNCTION("""COMPUTED_VALUE"""),"https://www.facebook.com/vincedexter.teves")</f>
        <v>https://www.facebook.com/vincedexter.teves</v>
      </c>
      <c r="B1394" s="1" t="str">
        <f ca="1">IFERROR(__xludf.DUMMYFUNCTION("""COMPUTED_VALUE"""),"Vince Dexter Teves")</f>
        <v>Vince Dexter Teves</v>
      </c>
      <c r="C1394" s="1" t="str">
        <f ca="1">IFERROR(__xludf.DUMMYFUNCTION("""COMPUTED_VALUE"""),"Vince")</f>
        <v>Vince</v>
      </c>
      <c r="D1394" s="1" t="str">
        <f ca="1">IFERROR(__xludf.DUMMYFUNCTION("""COMPUTED_VALUE"""),"Dexter Teves")</f>
        <v>Dexter Teves</v>
      </c>
      <c r="E1394" s="1" t="str">
        <f ca="1">IFERROR(__xludf.DUMMYFUNCTION("""COMPUTED_VALUE"""),"Richardo Yao De Loreto ❤❤💚💚✌")</f>
        <v>Richardo Yao De Loreto ❤❤💚💚✌</v>
      </c>
      <c r="F1394" s="1"/>
      <c r="G1394" s="1" t="str">
        <f ca="1">IFERROR(__xludf.DUMMYFUNCTION("""COMPUTED_VALUE"""),"3 mos")</f>
        <v>3 mos</v>
      </c>
      <c r="H1394" s="1" t="str">
        <f ca="1">IFERROR(__xludf.DUMMYFUNCTION("""COMPUTED_VALUE"""),"reply")</f>
        <v>reply</v>
      </c>
      <c r="I1394" s="2" t="str">
        <f ca="1">IFERROR(__xludf.DUMMYFUNCTION("""COMPUTED_VALUE"""),"https://www.facebook.com/watch/?v=570590637273208")</f>
        <v>https://www.facebook.com/watch/?v=570590637273208</v>
      </c>
      <c r="J1394" s="1" t="str">
        <f ca="1">IFERROR(__xludf.DUMMYFUNCTION("""COMPUTED_VALUE"""),"2022-07-04T15:42:11.152Z")</f>
        <v>2022-07-04T15:42:11.152Z</v>
      </c>
    </row>
    <row r="1395" spans="1:10" x14ac:dyDescent="0.2">
      <c r="A1395" s="2" t="str">
        <f ca="1">IFERROR(__xludf.DUMMYFUNCTION("""COMPUTED_VALUE"""),"https://www.facebook.com/jhonatan.dordas")</f>
        <v>https://www.facebook.com/jhonatan.dordas</v>
      </c>
      <c r="B1395" s="1" t="str">
        <f ca="1">IFERROR(__xludf.DUMMYFUNCTION("""COMPUTED_VALUE"""),"Willdordas Conde Dordas")</f>
        <v>Willdordas Conde Dordas</v>
      </c>
      <c r="C1395" s="1" t="str">
        <f ca="1">IFERROR(__xludf.DUMMYFUNCTION("""COMPUTED_VALUE"""),"Willdordas")</f>
        <v>Willdordas</v>
      </c>
      <c r="D1395" s="1" t="str">
        <f ca="1">IFERROR(__xludf.DUMMYFUNCTION("""COMPUTED_VALUE"""),"Conde Dordas")</f>
        <v>Conde Dordas</v>
      </c>
      <c r="E1395" s="1" t="str">
        <f ca="1">IFERROR(__xludf.DUMMYFUNCTION("""COMPUTED_VALUE"""),"Richardo Yao De Loreto tama")</f>
        <v>Richardo Yao De Loreto tama</v>
      </c>
      <c r="F1395" s="1">
        <f ca="1">IFERROR(__xludf.DUMMYFUNCTION("""COMPUTED_VALUE"""),1)</f>
        <v>1</v>
      </c>
      <c r="G1395" s="1" t="str">
        <f ca="1">IFERROR(__xludf.DUMMYFUNCTION("""COMPUTED_VALUE"""),"2 mos")</f>
        <v>2 mos</v>
      </c>
      <c r="H1395" s="1" t="str">
        <f ca="1">IFERROR(__xludf.DUMMYFUNCTION("""COMPUTED_VALUE"""),"reply")</f>
        <v>reply</v>
      </c>
      <c r="I1395" s="2" t="str">
        <f ca="1">IFERROR(__xludf.DUMMYFUNCTION("""COMPUTED_VALUE"""),"https://www.facebook.com/watch/?v=570590637273208")</f>
        <v>https://www.facebook.com/watch/?v=570590637273208</v>
      </c>
      <c r="J1395" s="1" t="str">
        <f ca="1">IFERROR(__xludf.DUMMYFUNCTION("""COMPUTED_VALUE"""),"2022-07-04T15:42:11.152Z")</f>
        <v>2022-07-04T15:42:11.152Z</v>
      </c>
    </row>
    <row r="1396" spans="1:10" x14ac:dyDescent="0.2">
      <c r="A1396" s="2" t="str">
        <f ca="1">IFERROR(__xludf.DUMMYFUNCTION("""COMPUTED_VALUE"""),"https://www.facebook.com/james.yodong")</f>
        <v>https://www.facebook.com/james.yodong</v>
      </c>
      <c r="B1396" s="1" t="str">
        <f ca="1">IFERROR(__xludf.DUMMYFUNCTION("""COMPUTED_VALUE"""),"James Yodong")</f>
        <v>James Yodong</v>
      </c>
      <c r="C1396" s="1" t="str">
        <f ca="1">IFERROR(__xludf.DUMMYFUNCTION("""COMPUTED_VALUE"""),"James")</f>
        <v>James</v>
      </c>
      <c r="D1396" s="1" t="str">
        <f ca="1">IFERROR(__xludf.DUMMYFUNCTION("""COMPUTED_VALUE"""),"Yodong")</f>
        <v>Yodong</v>
      </c>
      <c r="E1396" s="1" t="str">
        <f ca="1">IFERROR(__xludf.DUMMYFUNCTION("""COMPUTED_VALUE"""),"Richardo Yao De Loreto Tama ka makadiyos sa iyo pero makadiyos ba and taoñg nanghuhusga sÀ kapwa ganyan ka Rin cguro mapaghusga")</f>
        <v>Richardo Yao De Loreto Tama ka makadiyos sa iyo pero makadiyos ba and taoñg nanghuhusga sÀ kapwa ganyan ka Rin cguro mapaghusga</v>
      </c>
      <c r="F1396" s="1"/>
      <c r="G1396" s="1" t="str">
        <f ca="1">IFERROR(__xludf.DUMMYFUNCTION("""COMPUTED_VALUE"""),"2 mos")</f>
        <v>2 mos</v>
      </c>
      <c r="H1396" s="1" t="str">
        <f ca="1">IFERROR(__xludf.DUMMYFUNCTION("""COMPUTED_VALUE"""),"reply")</f>
        <v>reply</v>
      </c>
      <c r="I1396" s="2" t="str">
        <f ca="1">IFERROR(__xludf.DUMMYFUNCTION("""COMPUTED_VALUE"""),"https://www.facebook.com/watch/?v=570590637273208")</f>
        <v>https://www.facebook.com/watch/?v=570590637273208</v>
      </c>
      <c r="J1396" s="1" t="str">
        <f ca="1">IFERROR(__xludf.DUMMYFUNCTION("""COMPUTED_VALUE"""),"2022-07-04T15:42:11.152Z")</f>
        <v>2022-07-04T15:42:11.152Z</v>
      </c>
    </row>
    <row r="1397" spans="1:10" x14ac:dyDescent="0.2">
      <c r="A1397" s="2" t="str">
        <f ca="1">IFERROR(__xludf.DUMMYFUNCTION("""COMPUTED_VALUE"""),"https://www.facebook.com/profile.php?id=100007491668111")</f>
        <v>https://www.facebook.com/profile.php?id=100007491668111</v>
      </c>
      <c r="B1397" s="1" t="str">
        <f ca="1">IFERROR(__xludf.DUMMYFUNCTION("""COMPUTED_VALUE"""),"Ross Lind")</f>
        <v>Ross Lind</v>
      </c>
      <c r="C1397" s="1" t="str">
        <f ca="1">IFERROR(__xludf.DUMMYFUNCTION("""COMPUTED_VALUE"""),"Ross")</f>
        <v>Ross</v>
      </c>
      <c r="D1397" s="1" t="str">
        <f ca="1">IFERROR(__xludf.DUMMYFUNCTION("""COMPUTED_VALUE"""),"Lind")</f>
        <v>Lind</v>
      </c>
      <c r="E1397" s="1" t="str">
        <f ca="1">IFERROR(__xludf.DUMMYFUNCTION("""COMPUTED_VALUE"""),"God bless you Madam VP #LeniAngatSaLahat")</f>
        <v>God bless you Madam VP #LeniAngatSaLahat</v>
      </c>
      <c r="F1397" s="1">
        <f ca="1">IFERROR(__xludf.DUMMYFUNCTION("""COMPUTED_VALUE"""),35)</f>
        <v>35</v>
      </c>
      <c r="G1397" s="1" t="str">
        <f ca="1">IFERROR(__xludf.DUMMYFUNCTION("""COMPUTED_VALUE"""),"3 mos")</f>
        <v>3 mos</v>
      </c>
      <c r="H1397" s="1" t="str">
        <f ca="1">IFERROR(__xludf.DUMMYFUNCTION("""COMPUTED_VALUE"""),"comment")</f>
        <v>comment</v>
      </c>
      <c r="I1397" s="2" t="str">
        <f ca="1">IFERROR(__xludf.DUMMYFUNCTION("""COMPUTED_VALUE"""),"https://www.facebook.com/watch/?v=570590637273208")</f>
        <v>https://www.facebook.com/watch/?v=570590637273208</v>
      </c>
      <c r="J1397" s="1" t="str">
        <f ca="1">IFERROR(__xludf.DUMMYFUNCTION("""COMPUTED_VALUE"""),"2022-07-04T15:42:11.152Z")</f>
        <v>2022-07-04T15:42:11.152Z</v>
      </c>
    </row>
    <row r="1398" spans="1:10" x14ac:dyDescent="0.2">
      <c r="A1398" s="2" t="str">
        <f ca="1">IFERROR(__xludf.DUMMYFUNCTION("""COMPUTED_VALUE"""),"https://www.facebook.com/pensylvania.eightythree")</f>
        <v>https://www.facebook.com/pensylvania.eightythree</v>
      </c>
      <c r="B1398" s="1" t="str">
        <f ca="1">IFERROR(__xludf.DUMMYFUNCTION("""COMPUTED_VALUE"""),"Pensylvania Eighty-three")</f>
        <v>Pensylvania Eighty-three</v>
      </c>
      <c r="C1398" s="1" t="str">
        <f ca="1">IFERROR(__xludf.DUMMYFUNCTION("""COMPUTED_VALUE"""),"Pensylvania")</f>
        <v>Pensylvania</v>
      </c>
      <c r="D1398" s="1" t="str">
        <f ca="1">IFERROR(__xludf.DUMMYFUNCTION("""COMPUTED_VALUE"""),"Eighty-three")</f>
        <v>Eighty-three</v>
      </c>
      <c r="E1398" s="1" t="str">
        <f ca="1">IFERROR(__xludf.DUMMYFUNCTION("""COMPUTED_VALUE"""),"100 PERCENT MANALO SI BBMSARAH WALANG KOKONTRA CONGRATS GOD BLESS")</f>
        <v>100 PERCENT MANALO SI BBMSARAH WALANG KOKONTRA CONGRATS GOD BLESS</v>
      </c>
      <c r="F1398" s="1">
        <f ca="1">IFERROR(__xludf.DUMMYFUNCTION("""COMPUTED_VALUE"""),8)</f>
        <v>8</v>
      </c>
      <c r="G1398" s="1" t="str">
        <f ca="1">IFERROR(__xludf.DUMMYFUNCTION("""COMPUTED_VALUE"""),"3 mos")</f>
        <v>3 mos</v>
      </c>
      <c r="H1398" s="1" t="str">
        <f ca="1">IFERROR(__xludf.DUMMYFUNCTION("""COMPUTED_VALUE"""),"comment")</f>
        <v>comment</v>
      </c>
      <c r="I1398" s="2" t="str">
        <f ca="1">IFERROR(__xludf.DUMMYFUNCTION("""COMPUTED_VALUE"""),"https://www.facebook.com/watch/?v=570590637273208")</f>
        <v>https://www.facebook.com/watch/?v=570590637273208</v>
      </c>
      <c r="J1398" s="1" t="str">
        <f ca="1">IFERROR(__xludf.DUMMYFUNCTION("""COMPUTED_VALUE"""),"2022-07-04T15:42:11.152Z")</f>
        <v>2022-07-04T15:42:11.152Z</v>
      </c>
    </row>
    <row r="1399" spans="1:10" x14ac:dyDescent="0.2">
      <c r="A1399" s="2" t="str">
        <f ca="1">IFERROR(__xludf.DUMMYFUNCTION("""COMPUTED_VALUE"""),"https://www.facebook.com/sedfrey.canizares")</f>
        <v>https://www.facebook.com/sedfrey.canizares</v>
      </c>
      <c r="B1399" s="1" t="str">
        <f ca="1">IFERROR(__xludf.DUMMYFUNCTION("""COMPUTED_VALUE"""),"GearKid Ferolino")</f>
        <v>GearKid Ferolino</v>
      </c>
      <c r="C1399" s="1" t="str">
        <f ca="1">IFERROR(__xludf.DUMMYFUNCTION("""COMPUTED_VALUE"""),"GearKid")</f>
        <v>GearKid</v>
      </c>
      <c r="D1399" s="1" t="str">
        <f ca="1">IFERROR(__xludf.DUMMYFUNCTION("""COMPUTED_VALUE"""),"Ferolino")</f>
        <v>Ferolino</v>
      </c>
      <c r="E1399" s="1" t="str">
        <f ca="1">IFERROR(__xludf.DUMMYFUNCTION("""COMPUTED_VALUE"""),"Pensylvania Eighty-three ano ba nagawa ng LBM mo? Kokontra ako kasi kailangan mag isip")</f>
        <v>Pensylvania Eighty-three ano ba nagawa ng LBM mo? Kokontra ako kasi kailangan mag isip</v>
      </c>
      <c r="F1399" s="1">
        <f ca="1">IFERROR(__xludf.DUMMYFUNCTION("""COMPUTED_VALUE"""),1)</f>
        <v>1</v>
      </c>
      <c r="G1399" s="1" t="str">
        <f ca="1">IFERROR(__xludf.DUMMYFUNCTION("""COMPUTED_VALUE"""),"3 mos")</f>
        <v>3 mos</v>
      </c>
      <c r="H1399" s="1" t="str">
        <f ca="1">IFERROR(__xludf.DUMMYFUNCTION("""COMPUTED_VALUE"""),"reply")</f>
        <v>reply</v>
      </c>
      <c r="I1399" s="2" t="str">
        <f ca="1">IFERROR(__xludf.DUMMYFUNCTION("""COMPUTED_VALUE"""),"https://www.facebook.com/watch/?v=570590637273208")</f>
        <v>https://www.facebook.com/watch/?v=570590637273208</v>
      </c>
      <c r="J1399" s="1" t="str">
        <f ca="1">IFERROR(__xludf.DUMMYFUNCTION("""COMPUTED_VALUE"""),"2022-07-04T15:42:11.152Z")</f>
        <v>2022-07-04T15:42:11.152Z</v>
      </c>
    </row>
    <row r="1400" spans="1:10" x14ac:dyDescent="0.2">
      <c r="A1400" s="2" t="str">
        <f ca="1">IFERROR(__xludf.DUMMYFUNCTION("""COMPUTED_VALUE"""),"https://www.facebook.com/eunicemay.bbe")</f>
        <v>https://www.facebook.com/eunicemay.bbe</v>
      </c>
      <c r="B1400" s="1" t="str">
        <f ca="1">IFERROR(__xludf.DUMMYFUNCTION("""COMPUTED_VALUE"""),"Eunice May")</f>
        <v>Eunice May</v>
      </c>
      <c r="C1400" s="1" t="str">
        <f ca="1">IFERROR(__xludf.DUMMYFUNCTION("""COMPUTED_VALUE"""),"Eunice")</f>
        <v>Eunice</v>
      </c>
      <c r="D1400" s="1" t="str">
        <f ca="1">IFERROR(__xludf.DUMMYFUNCTION("""COMPUTED_VALUE"""),"May")</f>
        <v>May</v>
      </c>
      <c r="E1400" s="1" t="str">
        <f ca="1">IFERROR(__xludf.DUMMYFUNCTION("""COMPUTED_VALUE"""),"Pensylvania Eighty-three wala man komokontra🤣🤣🤣")</f>
        <v>Pensylvania Eighty-three wala man komokontra🤣🤣🤣</v>
      </c>
      <c r="F1400" s="1"/>
      <c r="G1400" s="1" t="str">
        <f ca="1">IFERROR(__xludf.DUMMYFUNCTION("""COMPUTED_VALUE"""),"3 mos")</f>
        <v>3 mos</v>
      </c>
      <c r="H1400" s="1" t="str">
        <f ca="1">IFERROR(__xludf.DUMMYFUNCTION("""COMPUTED_VALUE"""),"reply")</f>
        <v>reply</v>
      </c>
      <c r="I1400" s="2" t="str">
        <f ca="1">IFERROR(__xludf.DUMMYFUNCTION("""COMPUTED_VALUE"""),"https://www.facebook.com/watch/?v=570590637273208")</f>
        <v>https://www.facebook.com/watch/?v=570590637273208</v>
      </c>
      <c r="J1400" s="1" t="str">
        <f ca="1">IFERROR(__xludf.DUMMYFUNCTION("""COMPUTED_VALUE"""),"2022-07-04T15:42:11.152Z")</f>
        <v>2022-07-04T15:42:11.152Z</v>
      </c>
    </row>
    <row r="1401" spans="1:10" x14ac:dyDescent="0.2">
      <c r="A1401" s="2" t="str">
        <f ca="1">IFERROR(__xludf.DUMMYFUNCTION("""COMPUTED_VALUE"""),"https://www.facebook.com/Aga0129")</f>
        <v>https://www.facebook.com/Aga0129</v>
      </c>
      <c r="B1401" s="1" t="str">
        <f ca="1">IFERROR(__xludf.DUMMYFUNCTION("""COMPUTED_VALUE"""),"Louie Escueta San Juan")</f>
        <v>Louie Escueta San Juan</v>
      </c>
      <c r="C1401" s="1" t="str">
        <f ca="1">IFERROR(__xludf.DUMMYFUNCTION("""COMPUTED_VALUE"""),"Louie")</f>
        <v>Louie</v>
      </c>
      <c r="D1401" s="1" t="str">
        <f ca="1">IFERROR(__xludf.DUMMYFUNCTION("""COMPUTED_VALUE"""),"Escueta San Juan")</f>
        <v>Escueta San Juan</v>
      </c>
      <c r="E1401" s="1" t="str">
        <f ca="1">IFERROR(__xludf.DUMMYFUNCTION("""COMPUTED_VALUE"""),"GearKid FerolinoGearKid Ferolino nag iisip kaba,baka nakalutang narin kayo,,,😂😂😂😂😂😂😂😂😂😂😂")</f>
        <v>GearKid FerolinoGearKid Ferolino nag iisip kaba,baka nakalutang narin kayo,,,😂😂😂😂😂😂😂😂😂😂😂</v>
      </c>
      <c r="F1401" s="1"/>
      <c r="G1401" s="1" t="str">
        <f ca="1">IFERROR(__xludf.DUMMYFUNCTION("""COMPUTED_VALUE"""),"3 mos")</f>
        <v>3 mos</v>
      </c>
      <c r="H1401" s="1" t="str">
        <f ca="1">IFERROR(__xludf.DUMMYFUNCTION("""COMPUTED_VALUE"""),"reply")</f>
        <v>reply</v>
      </c>
      <c r="I1401" s="2" t="str">
        <f ca="1">IFERROR(__xludf.DUMMYFUNCTION("""COMPUTED_VALUE"""),"https://www.facebook.com/watch/?v=570590637273208")</f>
        <v>https://www.facebook.com/watch/?v=570590637273208</v>
      </c>
      <c r="J1401" s="1" t="str">
        <f ca="1">IFERROR(__xludf.DUMMYFUNCTION("""COMPUTED_VALUE"""),"2022-07-04T15:42:11.152Z")</f>
        <v>2022-07-04T15:42:11.152Z</v>
      </c>
    </row>
    <row r="1402" spans="1:10" x14ac:dyDescent="0.2">
      <c r="A1402" s="2" t="str">
        <f ca="1">IFERROR(__xludf.DUMMYFUNCTION("""COMPUTED_VALUE"""),"https://www.facebook.com/gil.d.berino")</f>
        <v>https://www.facebook.com/gil.d.berino</v>
      </c>
      <c r="B1402" s="1" t="str">
        <f ca="1">IFERROR(__xludf.DUMMYFUNCTION("""COMPUTED_VALUE"""),"Dindo Ocampo Berino")</f>
        <v>Dindo Ocampo Berino</v>
      </c>
      <c r="C1402" s="1" t="str">
        <f ca="1">IFERROR(__xludf.DUMMYFUNCTION("""COMPUTED_VALUE"""),"Dindo")</f>
        <v>Dindo</v>
      </c>
      <c r="D1402" s="1" t="str">
        <f ca="1">IFERROR(__xludf.DUMMYFUNCTION("""COMPUTED_VALUE"""),"Ocampo Berino")</f>
        <v>Ocampo Berino</v>
      </c>
      <c r="E1402" s="1" t="str">
        <f ca="1">IFERROR(__xludf.DUMMYFUNCTION("""COMPUTED_VALUE"""),"#GobyernongTapatParaSaLahat  #lenikiko22")</f>
        <v>#GobyernongTapatParaSaLahat  #lenikiko22</v>
      </c>
      <c r="F1402" s="1">
        <f ca="1">IFERROR(__xludf.DUMMYFUNCTION("""COMPUTED_VALUE"""),23)</f>
        <v>23</v>
      </c>
      <c r="G1402" s="1" t="str">
        <f ca="1">IFERROR(__xludf.DUMMYFUNCTION("""COMPUTED_VALUE"""),"3 mos")</f>
        <v>3 mos</v>
      </c>
      <c r="H1402" s="1" t="str">
        <f ca="1">IFERROR(__xludf.DUMMYFUNCTION("""COMPUTED_VALUE"""),"comment")</f>
        <v>comment</v>
      </c>
      <c r="I1402" s="2" t="str">
        <f ca="1">IFERROR(__xludf.DUMMYFUNCTION("""COMPUTED_VALUE"""),"https://www.facebook.com/watch/?v=570590637273208")</f>
        <v>https://www.facebook.com/watch/?v=570590637273208</v>
      </c>
      <c r="J1402" s="1" t="str">
        <f ca="1">IFERROR(__xludf.DUMMYFUNCTION("""COMPUTED_VALUE"""),"2022-07-04T15:42:11.152Z")</f>
        <v>2022-07-04T15:42:11.152Z</v>
      </c>
    </row>
    <row r="1403" spans="1:10" x14ac:dyDescent="0.2">
      <c r="A1403" s="2" t="str">
        <f ca="1">IFERROR(__xludf.DUMMYFUNCTION("""COMPUTED_VALUE"""),"https://www.facebook.com/juliedcpacheco")</f>
        <v>https://www.facebook.com/juliedcpacheco</v>
      </c>
      <c r="B1403" s="1" t="str">
        <f ca="1">IFERROR(__xludf.DUMMYFUNCTION("""COMPUTED_VALUE"""),"Julie dela Cruz")</f>
        <v>Julie dela Cruz</v>
      </c>
      <c r="C1403" s="1" t="str">
        <f ca="1">IFERROR(__xludf.DUMMYFUNCTION("""COMPUTED_VALUE"""),"Julie")</f>
        <v>Julie</v>
      </c>
      <c r="D1403" s="1" t="str">
        <f ca="1">IFERROR(__xludf.DUMMYFUNCTION("""COMPUTED_VALUE"""),"dela Cruz")</f>
        <v>dela Cruz</v>
      </c>
      <c r="E1403" s="1" t="str">
        <f ca="1">IFERROR(__xludf.DUMMYFUNCTION("""COMPUTED_VALUE"""),"PHILIPPINES WILL NEVER BE THE SAME  AGAIN .  🇵🇭🇵🇭🇵🇭❤️❤️❤️💚💚💚💚👊👊 AKO AY PILIPINO TAAS NOO KAHIT KANINO...")</f>
        <v>PHILIPPINES WILL NEVER BE THE SAME  AGAIN .  🇵🇭🇵🇭🇵🇭❤️❤️❤️💚💚💚💚👊👊 AKO AY PILIPINO TAAS NOO KAHIT KANINO...</v>
      </c>
      <c r="F1403" s="1">
        <f ca="1">IFERROR(__xludf.DUMMYFUNCTION("""COMPUTED_VALUE"""),28)</f>
        <v>28</v>
      </c>
      <c r="G1403" s="1" t="str">
        <f ca="1">IFERROR(__xludf.DUMMYFUNCTION("""COMPUTED_VALUE"""),"3 mos")</f>
        <v>3 mos</v>
      </c>
      <c r="H1403" s="1" t="str">
        <f ca="1">IFERROR(__xludf.DUMMYFUNCTION("""COMPUTED_VALUE"""),"comment")</f>
        <v>comment</v>
      </c>
      <c r="I1403" s="2" t="str">
        <f ca="1">IFERROR(__xludf.DUMMYFUNCTION("""COMPUTED_VALUE"""),"https://www.facebook.com/watch/?v=570590637273208")</f>
        <v>https://www.facebook.com/watch/?v=570590637273208</v>
      </c>
      <c r="J1403" s="1" t="str">
        <f ca="1">IFERROR(__xludf.DUMMYFUNCTION("""COMPUTED_VALUE"""),"2022-07-04T15:42:11.152Z")</f>
        <v>2022-07-04T15:42:11.152Z</v>
      </c>
    </row>
    <row r="1404" spans="1:10" x14ac:dyDescent="0.2">
      <c r="A1404" s="2" t="str">
        <f ca="1">IFERROR(__xludf.DUMMYFUNCTION("""COMPUTED_VALUE"""),"https://www.facebook.com/alex.jaylo.7")</f>
        <v>https://www.facebook.com/alex.jaylo.7</v>
      </c>
      <c r="B1404" s="1" t="str">
        <f ca="1">IFERROR(__xludf.DUMMYFUNCTION("""COMPUTED_VALUE"""),"Alexander Carizon Jaylo")</f>
        <v>Alexander Carizon Jaylo</v>
      </c>
      <c r="C1404" s="1" t="str">
        <f ca="1">IFERROR(__xludf.DUMMYFUNCTION("""COMPUTED_VALUE"""),"Alexander")</f>
        <v>Alexander</v>
      </c>
      <c r="D1404" s="1" t="str">
        <f ca="1">IFERROR(__xludf.DUMMYFUNCTION("""COMPUTED_VALUE"""),"Carizon Jaylo")</f>
        <v>Carizon Jaylo</v>
      </c>
      <c r="E1404" s="1" t="str">
        <f ca="1">IFERROR(__xludf.DUMMYFUNCTION("""COMPUTED_VALUE"""),"Julie Dela Cruz Pacheco Taas nuo itapon ba naman ang facemask sa likod nya.🤣🤣✌️✌️")</f>
        <v>Julie Dela Cruz Pacheco Taas nuo itapon ba naman ang facemask sa likod nya.🤣🤣✌️✌️</v>
      </c>
      <c r="F1404" s="1"/>
      <c r="G1404" s="1" t="str">
        <f ca="1">IFERROR(__xludf.DUMMYFUNCTION("""COMPUTED_VALUE"""),"3 mos")</f>
        <v>3 mos</v>
      </c>
      <c r="H1404" s="1" t="str">
        <f ca="1">IFERROR(__xludf.DUMMYFUNCTION("""COMPUTED_VALUE"""),"reply")</f>
        <v>reply</v>
      </c>
      <c r="I1404" s="2" t="str">
        <f ca="1">IFERROR(__xludf.DUMMYFUNCTION("""COMPUTED_VALUE"""),"https://www.facebook.com/watch/?v=570590637273208")</f>
        <v>https://www.facebook.com/watch/?v=570590637273208</v>
      </c>
      <c r="J1404" s="1" t="str">
        <f ca="1">IFERROR(__xludf.DUMMYFUNCTION("""COMPUTED_VALUE"""),"2022-07-04T15:42:11.152Z")</f>
        <v>2022-07-04T15:42:11.152Z</v>
      </c>
    </row>
    <row r="1405" spans="1:10" x14ac:dyDescent="0.2">
      <c r="A1405" s="2" t="str">
        <f ca="1">IFERROR(__xludf.DUMMYFUNCTION("""COMPUTED_VALUE"""),"https://www.facebook.com/ronski.alde")</f>
        <v>https://www.facebook.com/ronski.alde</v>
      </c>
      <c r="B1405" s="1" t="str">
        <f ca="1">IFERROR(__xludf.DUMMYFUNCTION("""COMPUTED_VALUE"""),"Ronski Alde")</f>
        <v>Ronski Alde</v>
      </c>
      <c r="C1405" s="1" t="str">
        <f ca="1">IFERROR(__xludf.DUMMYFUNCTION("""COMPUTED_VALUE"""),"Ronski")</f>
        <v>Ronski</v>
      </c>
      <c r="D1405" s="1" t="str">
        <f ca="1">IFERROR(__xludf.DUMMYFUNCTION("""COMPUTED_VALUE"""),"Alde")</f>
        <v>Alde</v>
      </c>
      <c r="E1405" s="1" t="str">
        <f ca="1">IFERROR(__xludf.DUMMYFUNCTION("""COMPUTED_VALUE"""),"Julie Dela Cruz Pacheco tama ka kabayan, wag tayo MAGPAPABUDOL kahit kanino dahil tayo tayo at PILIPINO")</f>
        <v>Julie Dela Cruz Pacheco tama ka kabayan, wag tayo MAGPAPABUDOL kahit kanino dahil tayo tayo at PILIPINO</v>
      </c>
      <c r="F1405" s="1">
        <f ca="1">IFERROR(__xludf.DUMMYFUNCTION("""COMPUTED_VALUE"""),1)</f>
        <v>1</v>
      </c>
      <c r="G1405" s="1" t="str">
        <f ca="1">IFERROR(__xludf.DUMMYFUNCTION("""COMPUTED_VALUE"""),"3 mos")</f>
        <v>3 mos</v>
      </c>
      <c r="H1405" s="1" t="str">
        <f ca="1">IFERROR(__xludf.DUMMYFUNCTION("""COMPUTED_VALUE"""),"reply")</f>
        <v>reply</v>
      </c>
      <c r="I1405" s="2" t="str">
        <f ca="1">IFERROR(__xludf.DUMMYFUNCTION("""COMPUTED_VALUE"""),"https://www.facebook.com/watch/?v=570590637273208")</f>
        <v>https://www.facebook.com/watch/?v=570590637273208</v>
      </c>
      <c r="J1405" s="1" t="str">
        <f ca="1">IFERROR(__xludf.DUMMYFUNCTION("""COMPUTED_VALUE"""),"2022-07-04T15:42:11.152Z")</f>
        <v>2022-07-04T15:42:11.152Z</v>
      </c>
    </row>
    <row r="1406" spans="1:10" x14ac:dyDescent="0.2">
      <c r="A1406" s="2" t="str">
        <f ca="1">IFERROR(__xludf.DUMMYFUNCTION("""COMPUTED_VALUE"""),"https://www.facebook.com/jennifer.zafra.1")</f>
        <v>https://www.facebook.com/jennifer.zafra.1</v>
      </c>
      <c r="B1406" s="1" t="str">
        <f ca="1">IFERROR(__xludf.DUMMYFUNCTION("""COMPUTED_VALUE"""),"Jeo Aquino")</f>
        <v>Jeo Aquino</v>
      </c>
      <c r="C1406" s="1" t="str">
        <f ca="1">IFERROR(__xludf.DUMMYFUNCTION("""COMPUTED_VALUE"""),"Jeo")</f>
        <v>Jeo</v>
      </c>
      <c r="D1406" s="1" t="str">
        <f ca="1">IFERROR(__xludf.DUMMYFUNCTION("""COMPUTED_VALUE"""),"Aquino")</f>
        <v>Aquino</v>
      </c>
      <c r="E1406" s="1" t="str">
        <f ca="1">IFERROR(__xludf.DUMMYFUNCTION("""COMPUTED_VALUE"""),"Julie Dela Cruz Pacheco pero pg debate tago😅😅😅")</f>
        <v>Julie Dela Cruz Pacheco pero pg debate tago😅😅😅</v>
      </c>
      <c r="F1406" s="1"/>
      <c r="G1406" s="1" t="str">
        <f ca="1">IFERROR(__xludf.DUMMYFUNCTION("""COMPUTED_VALUE"""),"3 mos")</f>
        <v>3 mos</v>
      </c>
      <c r="H1406" s="1" t="str">
        <f ca="1">IFERROR(__xludf.DUMMYFUNCTION("""COMPUTED_VALUE"""),"reply")</f>
        <v>reply</v>
      </c>
      <c r="I1406" s="2" t="str">
        <f ca="1">IFERROR(__xludf.DUMMYFUNCTION("""COMPUTED_VALUE"""),"https://www.facebook.com/watch/?v=570590637273208")</f>
        <v>https://www.facebook.com/watch/?v=570590637273208</v>
      </c>
      <c r="J1406" s="1" t="str">
        <f ca="1">IFERROR(__xludf.DUMMYFUNCTION("""COMPUTED_VALUE"""),"2022-07-04T15:42:11.152Z")</f>
        <v>2022-07-04T15:42:11.152Z</v>
      </c>
    </row>
    <row r="1407" spans="1:10" x14ac:dyDescent="0.2">
      <c r="A1407" s="2" t="str">
        <f ca="1">IFERROR(__xludf.DUMMYFUNCTION("""COMPUTED_VALUE"""),"https://www.facebook.com/indiping.cosmetic")</f>
        <v>https://www.facebook.com/indiping.cosmetic</v>
      </c>
      <c r="B1407" s="1" t="str">
        <f ca="1">IFERROR(__xludf.DUMMYFUNCTION("""COMPUTED_VALUE"""),"Romeo Charlie Delta")</f>
        <v>Romeo Charlie Delta</v>
      </c>
      <c r="C1407" s="1" t="str">
        <f ca="1">IFERROR(__xludf.DUMMYFUNCTION("""COMPUTED_VALUE"""),"Romeo")</f>
        <v>Romeo</v>
      </c>
      <c r="D1407" s="1" t="str">
        <f ca="1">IFERROR(__xludf.DUMMYFUNCTION("""COMPUTED_VALUE"""),"Charlie Delta")</f>
        <v>Charlie Delta</v>
      </c>
      <c r="E1407" s="1" t="str">
        <f ca="1">IFERROR(__xludf.DUMMYFUNCTION("""COMPUTED_VALUE"""),"Julie Dela Cruz Pacheco bawal ka dito")</f>
        <v>Julie Dela Cruz Pacheco bawal ka dito</v>
      </c>
      <c r="F1407" s="1">
        <f ca="1">IFERROR(__xludf.DUMMYFUNCTION("""COMPUTED_VALUE"""),1)</f>
        <v>1</v>
      </c>
      <c r="G1407" s="1" t="str">
        <f ca="1">IFERROR(__xludf.DUMMYFUNCTION("""COMPUTED_VALUE"""),"3 mos")</f>
        <v>3 mos</v>
      </c>
      <c r="H1407" s="1" t="str">
        <f ca="1">IFERROR(__xludf.DUMMYFUNCTION("""COMPUTED_VALUE"""),"reply")</f>
        <v>reply</v>
      </c>
      <c r="I1407" s="2" t="str">
        <f ca="1">IFERROR(__xludf.DUMMYFUNCTION("""COMPUTED_VALUE"""),"https://www.facebook.com/watch/?v=570590637273208")</f>
        <v>https://www.facebook.com/watch/?v=570590637273208</v>
      </c>
      <c r="J1407" s="1" t="str">
        <f ca="1">IFERROR(__xludf.DUMMYFUNCTION("""COMPUTED_VALUE"""),"2022-07-04T15:42:11.152Z")</f>
        <v>2022-07-04T15:42:11.152Z</v>
      </c>
    </row>
    <row r="1408" spans="1:10" x14ac:dyDescent="0.2">
      <c r="A1408" s="2" t="str">
        <f ca="1">IFERROR(__xludf.DUMMYFUNCTION("""COMPUTED_VALUE"""),"https://www.facebook.com/emily.ananda.3")</f>
        <v>https://www.facebook.com/emily.ananda.3</v>
      </c>
      <c r="B1408" s="1" t="str">
        <f ca="1">IFERROR(__xludf.DUMMYFUNCTION("""COMPUTED_VALUE"""),"Emily Ananda")</f>
        <v>Emily Ananda</v>
      </c>
      <c r="C1408" s="1" t="str">
        <f ca="1">IFERROR(__xludf.DUMMYFUNCTION("""COMPUTED_VALUE"""),"Emily")</f>
        <v>Emily</v>
      </c>
      <c r="D1408" s="1" t="str">
        <f ca="1">IFERROR(__xludf.DUMMYFUNCTION("""COMPUTED_VALUE"""),"Ananda")</f>
        <v>Ananda</v>
      </c>
      <c r="E1408" s="1" t="str">
        <f ca="1">IFERROR(__xludf.DUMMYFUNCTION("""COMPUTED_VALUE"""),"#NuevaEcijaIsPink Dumayo ako sa Cabanatuan mula sa Angeles para sumuporta sa RpcNuevaEcija at para mapakinggan ang plataporma ni VPLeni ng Personal.. muli akong Pupunta sa April 9, dito sa amin sa Pampanga🌸🌸🌸🌸🌸🌸🌸🌸")</f>
        <v>#NuevaEcijaIsPink Dumayo ako sa Cabanatuan mula sa Angeles para sumuporta sa RpcNuevaEcija at para mapakinggan ang plataporma ni VPLeni ng Personal.. muli akong Pupunta sa April 9, dito sa amin sa Pampanga🌸🌸🌸🌸🌸🌸🌸🌸</v>
      </c>
      <c r="F1408" s="1">
        <f ca="1">IFERROR(__xludf.DUMMYFUNCTION("""COMPUTED_VALUE"""),72)</f>
        <v>72</v>
      </c>
      <c r="G1408" s="1" t="str">
        <f ca="1">IFERROR(__xludf.DUMMYFUNCTION("""COMPUTED_VALUE"""),"3 mos")</f>
        <v>3 mos</v>
      </c>
      <c r="H1408" s="1" t="str">
        <f ca="1">IFERROR(__xludf.DUMMYFUNCTION("""COMPUTED_VALUE"""),"comment")</f>
        <v>comment</v>
      </c>
      <c r="I1408" s="2" t="str">
        <f ca="1">IFERROR(__xludf.DUMMYFUNCTION("""COMPUTED_VALUE"""),"https://www.facebook.com/watch/?v=570590637273208")</f>
        <v>https://www.facebook.com/watch/?v=570590637273208</v>
      </c>
      <c r="J1408" s="1" t="str">
        <f ca="1">IFERROR(__xludf.DUMMYFUNCTION("""COMPUTED_VALUE"""),"2022-07-04T15:42:11.152Z")</f>
        <v>2022-07-04T15:42:11.152Z</v>
      </c>
    </row>
    <row r="1409" spans="1:10" x14ac:dyDescent="0.2">
      <c r="A1409" s="2" t="str">
        <f ca="1">IFERROR(__xludf.DUMMYFUNCTION("""COMPUTED_VALUE"""),"https://www.facebook.com/buday.7777777")</f>
        <v>https://www.facebook.com/buday.7777777</v>
      </c>
      <c r="B1409" s="1" t="str">
        <f ca="1">IFERROR(__xludf.DUMMYFUNCTION("""COMPUTED_VALUE"""),"Kim Kim")</f>
        <v>Kim Kim</v>
      </c>
      <c r="C1409" s="1" t="str">
        <f ca="1">IFERROR(__xludf.DUMMYFUNCTION("""COMPUTED_VALUE"""),"Kim")</f>
        <v>Kim</v>
      </c>
      <c r="D1409" s="1" t="str">
        <f ca="1">IFERROR(__xludf.DUMMYFUNCTION("""COMPUTED_VALUE"""),"Kim")</f>
        <v>Kim</v>
      </c>
      <c r="E1409" s="1" t="str">
        <f ca="1">IFERROR(__xludf.DUMMYFUNCTION("""COMPUTED_VALUE"""),"Emily Ananda salamat po sa supporta . Naway talonin ng Pampanga Ang Nueva Ecija sa #OlymPinks")</f>
        <v>Emily Ananda salamat po sa supporta . Naway talonin ng Pampanga Ang Nueva Ecija sa #OlymPinks</v>
      </c>
      <c r="F1409" s="1">
        <f ca="1">IFERROR(__xludf.DUMMYFUNCTION("""COMPUTED_VALUE"""),1)</f>
        <v>1</v>
      </c>
      <c r="G1409" s="1" t="str">
        <f ca="1">IFERROR(__xludf.DUMMYFUNCTION("""COMPUTED_VALUE"""),"3 mos")</f>
        <v>3 mos</v>
      </c>
      <c r="H1409" s="1" t="str">
        <f ca="1">IFERROR(__xludf.DUMMYFUNCTION("""COMPUTED_VALUE"""),"reply")</f>
        <v>reply</v>
      </c>
      <c r="I1409" s="2" t="str">
        <f ca="1">IFERROR(__xludf.DUMMYFUNCTION("""COMPUTED_VALUE"""),"https://www.facebook.com/watch/?v=570590637273208")</f>
        <v>https://www.facebook.com/watch/?v=570590637273208</v>
      </c>
      <c r="J1409" s="1" t="str">
        <f ca="1">IFERROR(__xludf.DUMMYFUNCTION("""COMPUTED_VALUE"""),"2022-07-04T15:42:11.152Z")</f>
        <v>2022-07-04T15:42:11.152Z</v>
      </c>
    </row>
    <row r="1410" spans="1:10" x14ac:dyDescent="0.2">
      <c r="A1410" s="2" t="str">
        <f ca="1">IFERROR(__xludf.DUMMYFUNCTION("""COMPUTED_VALUE"""),"https://www.facebook.com/profile.php?id=100076467948562")</f>
        <v>https://www.facebook.com/profile.php?id=100076467948562</v>
      </c>
      <c r="B1410" s="1" t="str">
        <f ca="1">IFERROR(__xludf.DUMMYFUNCTION("""COMPUTED_VALUE"""),"Ruen Eneria")</f>
        <v>Ruen Eneria</v>
      </c>
      <c r="C1410" s="1" t="str">
        <f ca="1">IFERROR(__xludf.DUMMYFUNCTION("""COMPUTED_VALUE"""),"Ruen")</f>
        <v>Ruen</v>
      </c>
      <c r="D1410" s="1" t="str">
        <f ca="1">IFERROR(__xludf.DUMMYFUNCTION("""COMPUTED_VALUE"""),"Eneria")</f>
        <v>Eneria</v>
      </c>
      <c r="E1410" s="1" t="str">
        <f ca="1">IFERROR(__xludf.DUMMYFUNCTION("""COMPUTED_VALUE"""),"Emily Ananda aminin m m hakot k hahaha")</f>
        <v>Emily Ananda aminin m m hakot k hahaha</v>
      </c>
      <c r="F1410" s="1">
        <f ca="1">IFERROR(__xludf.DUMMYFUNCTION("""COMPUTED_VALUE"""),4)</f>
        <v>4</v>
      </c>
      <c r="G1410" s="1" t="str">
        <f ca="1">IFERROR(__xludf.DUMMYFUNCTION("""COMPUTED_VALUE"""),"3 mos")</f>
        <v>3 mos</v>
      </c>
      <c r="H1410" s="1" t="str">
        <f ca="1">IFERROR(__xludf.DUMMYFUNCTION("""COMPUTED_VALUE"""),"reply")</f>
        <v>reply</v>
      </c>
      <c r="I1410" s="2" t="str">
        <f ca="1">IFERROR(__xludf.DUMMYFUNCTION("""COMPUTED_VALUE"""),"https://www.facebook.com/watch/?v=570590637273208")</f>
        <v>https://www.facebook.com/watch/?v=570590637273208</v>
      </c>
      <c r="J1410" s="1" t="str">
        <f ca="1">IFERROR(__xludf.DUMMYFUNCTION("""COMPUTED_VALUE"""),"2022-07-04T15:42:11.152Z")</f>
        <v>2022-07-04T15:42:11.152Z</v>
      </c>
    </row>
    <row r="1411" spans="1:10" x14ac:dyDescent="0.2">
      <c r="A1411" s="2" t="str">
        <f ca="1">IFERROR(__xludf.DUMMYFUNCTION("""COMPUTED_VALUE"""),"https://www.facebook.com/joeynatallo")</f>
        <v>https://www.facebook.com/joeynatallo</v>
      </c>
      <c r="B1411" s="1" t="str">
        <f ca="1">IFERROR(__xludf.DUMMYFUNCTION("""COMPUTED_VALUE"""),"Joey Natallo")</f>
        <v>Joey Natallo</v>
      </c>
      <c r="C1411" s="1" t="str">
        <f ca="1">IFERROR(__xludf.DUMMYFUNCTION("""COMPUTED_VALUE"""),"Joey")</f>
        <v>Joey</v>
      </c>
      <c r="D1411" s="1" t="str">
        <f ca="1">IFERROR(__xludf.DUMMYFUNCTION("""COMPUTED_VALUE"""),"Natallo")</f>
        <v>Natallo</v>
      </c>
      <c r="E1411" s="1" t="str">
        <f ca="1">IFERROR(__xludf.DUMMYFUNCTION("""COMPUTED_VALUE"""),"Ruen Eneria  Wag ka na maingay jan umamin na yung tao!")</f>
        <v>Ruen Eneria  Wag ka na maingay jan umamin na yung tao!</v>
      </c>
      <c r="F1411" s="1">
        <f ca="1">IFERROR(__xludf.DUMMYFUNCTION("""COMPUTED_VALUE"""),2)</f>
        <v>2</v>
      </c>
      <c r="G1411" s="1" t="str">
        <f ca="1">IFERROR(__xludf.DUMMYFUNCTION("""COMPUTED_VALUE"""),"3 mos")</f>
        <v>3 mos</v>
      </c>
      <c r="H1411" s="1" t="str">
        <f ca="1">IFERROR(__xludf.DUMMYFUNCTION("""COMPUTED_VALUE"""),"reply")</f>
        <v>reply</v>
      </c>
      <c r="I1411" s="2" t="str">
        <f ca="1">IFERROR(__xludf.DUMMYFUNCTION("""COMPUTED_VALUE"""),"https://www.facebook.com/watch/?v=570590637273208")</f>
        <v>https://www.facebook.com/watch/?v=570590637273208</v>
      </c>
      <c r="J1411" s="1" t="str">
        <f ca="1">IFERROR(__xludf.DUMMYFUNCTION("""COMPUTED_VALUE"""),"2022-07-04T15:42:11.152Z")</f>
        <v>2022-07-04T15:42:11.152Z</v>
      </c>
    </row>
    <row r="1412" spans="1:10" x14ac:dyDescent="0.2">
      <c r="A1412" s="2" t="str">
        <f ca="1">IFERROR(__xludf.DUMMYFUNCTION("""COMPUTED_VALUE"""),"https://www.facebook.com/emily.ananda.3")</f>
        <v>https://www.facebook.com/emily.ananda.3</v>
      </c>
      <c r="B1412" s="1" t="str">
        <f ca="1">IFERROR(__xludf.DUMMYFUNCTION("""COMPUTED_VALUE"""),"Emily Ananda")</f>
        <v>Emily Ananda</v>
      </c>
      <c r="C1412" s="1" t="str">
        <f ca="1">IFERROR(__xludf.DUMMYFUNCTION("""COMPUTED_VALUE"""),"Emily")</f>
        <v>Emily</v>
      </c>
      <c r="D1412" s="1" t="str">
        <f ca="1">IFERROR(__xludf.DUMMYFUNCTION("""COMPUTED_VALUE"""),"Ananda")</f>
        <v>Ananda</v>
      </c>
      <c r="E1412" s="1" t="str">
        <f ca="1">IFERROR(__xludf.DUMMYFUNCTION("""COMPUTED_VALUE"""),"Ruen Eneria excuse me!!! Kayo ang naghahakot☺️hindi kami ah..")</f>
        <v>Ruen Eneria excuse me!!! Kayo ang naghahakot☺️hindi kami ah..</v>
      </c>
      <c r="F1412" s="1">
        <f ca="1">IFERROR(__xludf.DUMMYFUNCTION("""COMPUTED_VALUE"""),3)</f>
        <v>3</v>
      </c>
      <c r="G1412" s="1" t="str">
        <f ca="1">IFERROR(__xludf.DUMMYFUNCTION("""COMPUTED_VALUE"""),"3 mos")</f>
        <v>3 mos</v>
      </c>
      <c r="H1412" s="1" t="str">
        <f ca="1">IFERROR(__xludf.DUMMYFUNCTION("""COMPUTED_VALUE"""),"reply")</f>
        <v>reply</v>
      </c>
      <c r="I1412" s="2" t="str">
        <f ca="1">IFERROR(__xludf.DUMMYFUNCTION("""COMPUTED_VALUE"""),"https://www.facebook.com/watch/?v=570590637273208")</f>
        <v>https://www.facebook.com/watch/?v=570590637273208</v>
      </c>
      <c r="J1412" s="1" t="str">
        <f ca="1">IFERROR(__xludf.DUMMYFUNCTION("""COMPUTED_VALUE"""),"2022-07-04T15:42:11.152Z")</f>
        <v>2022-07-04T15:42:11.152Z</v>
      </c>
    </row>
    <row r="1413" spans="1:10" x14ac:dyDescent="0.2">
      <c r="A1413" s="2" t="str">
        <f ca="1">IFERROR(__xludf.DUMMYFUNCTION("""COMPUTED_VALUE"""),"https://www.facebook.com/theresa.ysabella.75")</f>
        <v>https://www.facebook.com/theresa.ysabella.75</v>
      </c>
      <c r="B1413" s="1" t="str">
        <f ca="1">IFERROR(__xludf.DUMMYFUNCTION("""COMPUTED_VALUE"""),"Theresa Ysabella")</f>
        <v>Theresa Ysabella</v>
      </c>
      <c r="C1413" s="1" t="str">
        <f ca="1">IFERROR(__xludf.DUMMYFUNCTION("""COMPUTED_VALUE"""),"Theresa")</f>
        <v>Theresa</v>
      </c>
      <c r="D1413" s="1" t="str">
        <f ca="1">IFERROR(__xludf.DUMMYFUNCTION("""COMPUTED_VALUE"""),"Ysabella")</f>
        <v>Ysabella</v>
      </c>
      <c r="E1413" s="1" t="str">
        <f ca="1">IFERROR(__xludf.DUMMYFUNCTION("""COMPUTED_VALUE"""),"Ruen Eneria hahaha umamin na sya  ikaw talaga 😂😂😂😂😂😂")</f>
        <v>Ruen Eneria hahaha umamin na sya  ikaw talaga 😂😂😂😂😂😂</v>
      </c>
      <c r="F1413" s="1">
        <f ca="1">IFERROR(__xludf.DUMMYFUNCTION("""COMPUTED_VALUE"""),2)</f>
        <v>2</v>
      </c>
      <c r="G1413" s="1" t="str">
        <f ca="1">IFERROR(__xludf.DUMMYFUNCTION("""COMPUTED_VALUE"""),"3 mos")</f>
        <v>3 mos</v>
      </c>
      <c r="H1413" s="1" t="str">
        <f ca="1">IFERROR(__xludf.DUMMYFUNCTION("""COMPUTED_VALUE"""),"reply")</f>
        <v>reply</v>
      </c>
      <c r="I1413" s="2" t="str">
        <f ca="1">IFERROR(__xludf.DUMMYFUNCTION("""COMPUTED_VALUE"""),"https://www.facebook.com/watch/?v=570590637273208")</f>
        <v>https://www.facebook.com/watch/?v=570590637273208</v>
      </c>
      <c r="J1413" s="1" t="str">
        <f ca="1">IFERROR(__xludf.DUMMYFUNCTION("""COMPUTED_VALUE"""),"2022-07-04T15:42:11.152Z")</f>
        <v>2022-07-04T15:42:11.152Z</v>
      </c>
    </row>
    <row r="1414" spans="1:10" x14ac:dyDescent="0.2">
      <c r="A1414" s="2" t="str">
        <f ca="1">IFERROR(__xludf.DUMMYFUNCTION("""COMPUTED_VALUE"""),"https://www.facebook.com/vincent.deleon.14473")</f>
        <v>https://www.facebook.com/vincent.deleon.14473</v>
      </c>
      <c r="B1414" s="1" t="str">
        <f ca="1">IFERROR(__xludf.DUMMYFUNCTION("""COMPUTED_VALUE"""),"Vincent Oltiveros De Leon")</f>
        <v>Vincent Oltiveros De Leon</v>
      </c>
      <c r="C1414" s="1" t="str">
        <f ca="1">IFERROR(__xludf.DUMMYFUNCTION("""COMPUTED_VALUE"""),"Vincent")</f>
        <v>Vincent</v>
      </c>
      <c r="D1414" s="1" t="str">
        <f ca="1">IFERROR(__xludf.DUMMYFUNCTION("""COMPUTED_VALUE"""),"Oltiveros De Leon")</f>
        <v>Oltiveros De Leon</v>
      </c>
      <c r="E1414" s="1" t="str">
        <f ca="1">IFERROR(__xludf.DUMMYFUNCTION("""COMPUTED_VALUE"""),"Emily Ananda madameng hnde taga nueva ecoja nun eh hahaha mga taga ibang lugar haha")</f>
        <v>Emily Ananda madameng hnde taga nueva ecoja nun eh hahaha mga taga ibang lugar haha</v>
      </c>
      <c r="F1414" s="1"/>
      <c r="G1414" s="1" t="str">
        <f ca="1">IFERROR(__xludf.DUMMYFUNCTION("""COMPUTED_VALUE"""),"3 mos")</f>
        <v>3 mos</v>
      </c>
      <c r="H1414" s="1" t="str">
        <f ca="1">IFERROR(__xludf.DUMMYFUNCTION("""COMPUTED_VALUE"""),"reply")</f>
        <v>reply</v>
      </c>
      <c r="I1414" s="2" t="str">
        <f ca="1">IFERROR(__xludf.DUMMYFUNCTION("""COMPUTED_VALUE"""),"https://www.facebook.com/watch/?v=570590637273208")</f>
        <v>https://www.facebook.com/watch/?v=570590637273208</v>
      </c>
      <c r="J1414" s="1" t="str">
        <f ca="1">IFERROR(__xludf.DUMMYFUNCTION("""COMPUTED_VALUE"""),"2022-07-04T15:42:11.152Z")</f>
        <v>2022-07-04T15:42:11.152Z</v>
      </c>
    </row>
    <row r="1415" spans="1:10" x14ac:dyDescent="0.2">
      <c r="A1415" s="2" t="str">
        <f ca="1">IFERROR(__xludf.DUMMYFUNCTION("""COMPUTED_VALUE"""),"https://www.facebook.com/vincent.deleon.14473")</f>
        <v>https://www.facebook.com/vincent.deleon.14473</v>
      </c>
      <c r="B1415" s="1" t="str">
        <f ca="1">IFERROR(__xludf.DUMMYFUNCTION("""COMPUTED_VALUE"""),"Vincent Oltiveros De Leon")</f>
        <v>Vincent Oltiveros De Leon</v>
      </c>
      <c r="C1415" s="1" t="str">
        <f ca="1">IFERROR(__xludf.DUMMYFUNCTION("""COMPUTED_VALUE"""),"Vincent")</f>
        <v>Vincent</v>
      </c>
      <c r="D1415" s="1" t="str">
        <f ca="1">IFERROR(__xludf.DUMMYFUNCTION("""COMPUTED_VALUE"""),"Oltiveros De Leon")</f>
        <v>Oltiveros De Leon</v>
      </c>
      <c r="E1415" s="1" t="str">
        <f ca="1">IFERROR(__xludf.DUMMYFUNCTION("""COMPUTED_VALUE"""),"ecija")</f>
        <v>ecija</v>
      </c>
      <c r="F1415" s="1"/>
      <c r="G1415" s="1" t="str">
        <f ca="1">IFERROR(__xludf.DUMMYFUNCTION("""COMPUTED_VALUE"""),"3 mos")</f>
        <v>3 mos</v>
      </c>
      <c r="H1415" s="1" t="str">
        <f ca="1">IFERROR(__xludf.DUMMYFUNCTION("""COMPUTED_VALUE"""),"reply")</f>
        <v>reply</v>
      </c>
      <c r="I1415" s="2" t="str">
        <f ca="1">IFERROR(__xludf.DUMMYFUNCTION("""COMPUTED_VALUE"""),"https://www.facebook.com/watch/?v=570590637273208")</f>
        <v>https://www.facebook.com/watch/?v=570590637273208</v>
      </c>
      <c r="J1415" s="1" t="str">
        <f ca="1">IFERROR(__xludf.DUMMYFUNCTION("""COMPUTED_VALUE"""),"2022-07-04T15:42:11.152Z")</f>
        <v>2022-07-04T15:42:11.152Z</v>
      </c>
    </row>
    <row r="1416" spans="1:10" x14ac:dyDescent="0.2">
      <c r="A1416" s="2" t="str">
        <f ca="1">IFERROR(__xludf.DUMMYFUNCTION("""COMPUTED_VALUE"""),"https://www.facebook.com/salvacion.balidoy.58")</f>
        <v>https://www.facebook.com/salvacion.balidoy.58</v>
      </c>
      <c r="B1416" s="1" t="str">
        <f ca="1">IFERROR(__xludf.DUMMYFUNCTION("""COMPUTED_VALUE"""),"Salvacion Balidoy")</f>
        <v>Salvacion Balidoy</v>
      </c>
      <c r="C1416" s="1" t="str">
        <f ca="1">IFERROR(__xludf.DUMMYFUNCTION("""COMPUTED_VALUE"""),"Salvacion")</f>
        <v>Salvacion</v>
      </c>
      <c r="D1416" s="1" t="str">
        <f ca="1">IFERROR(__xludf.DUMMYFUNCTION("""COMPUTED_VALUE"""),"Balidoy")</f>
        <v>Balidoy</v>
      </c>
      <c r="E1416" s="1" t="str">
        <f ca="1">IFERROR(__xludf.DUMMYFUNCTION("""COMPUTED_VALUE"""),"Salamat kakampink Nueva Ecija sa pakikiisa nyo pra kay VpLeni Kiko team")</f>
        <v>Salamat kakampink Nueva Ecija sa pakikiisa nyo pra kay VpLeni Kiko team</v>
      </c>
      <c r="F1416" s="1">
        <f ca="1">IFERROR(__xludf.DUMMYFUNCTION("""COMPUTED_VALUE"""),21)</f>
        <v>21</v>
      </c>
      <c r="G1416" s="1" t="str">
        <f ca="1">IFERROR(__xludf.DUMMYFUNCTION("""COMPUTED_VALUE"""),"3 mos")</f>
        <v>3 mos</v>
      </c>
      <c r="H1416" s="1" t="str">
        <f ca="1">IFERROR(__xludf.DUMMYFUNCTION("""COMPUTED_VALUE"""),"comment")</f>
        <v>comment</v>
      </c>
      <c r="I1416" s="2" t="str">
        <f ca="1">IFERROR(__xludf.DUMMYFUNCTION("""COMPUTED_VALUE"""),"https://www.facebook.com/watch/?v=570590637273208")</f>
        <v>https://www.facebook.com/watch/?v=570590637273208</v>
      </c>
      <c r="J1416" s="1" t="str">
        <f ca="1">IFERROR(__xludf.DUMMYFUNCTION("""COMPUTED_VALUE"""),"2022-07-04T15:42:11.153Z")</f>
        <v>2022-07-04T15:42:11.153Z</v>
      </c>
    </row>
    <row r="1417" spans="1:10" x14ac:dyDescent="0.2">
      <c r="A1417" s="2" t="str">
        <f ca="1">IFERROR(__xludf.DUMMYFUNCTION("""COMPUTED_VALUE"""),"https://www.facebook.com/profile.php?id=100076125252754")</f>
        <v>https://www.facebook.com/profile.php?id=100076125252754</v>
      </c>
      <c r="B1417" s="1" t="str">
        <f ca="1">IFERROR(__xludf.DUMMYFUNCTION("""COMPUTED_VALUE"""),"Jimmy Grado")</f>
        <v>Jimmy Grado</v>
      </c>
      <c r="C1417" s="1" t="str">
        <f ca="1">IFERROR(__xludf.DUMMYFUNCTION("""COMPUTED_VALUE"""),"Jimmy")</f>
        <v>Jimmy</v>
      </c>
      <c r="D1417" s="1" t="str">
        <f ca="1">IFERROR(__xludf.DUMMYFUNCTION("""COMPUTED_VALUE"""),"Grado")</f>
        <v>Grado</v>
      </c>
      <c r="E1417" s="1" t="str">
        <f ca="1">IFERROR(__xludf.DUMMYFUNCTION("""COMPUTED_VALUE"""),"Huwag-mag-alinlangan, sa diyos magtiwala, malapit ng maglaho si satanas")</f>
        <v>Huwag-mag-alinlangan, sa diyos magtiwala, malapit ng maglaho si satanas</v>
      </c>
      <c r="F1417" s="1">
        <f ca="1">IFERROR(__xludf.DUMMYFUNCTION("""COMPUTED_VALUE"""),7)</f>
        <v>7</v>
      </c>
      <c r="G1417" s="1" t="str">
        <f ca="1">IFERROR(__xludf.DUMMYFUNCTION("""COMPUTED_VALUE"""),"3 mos")</f>
        <v>3 mos</v>
      </c>
      <c r="H1417" s="1" t="str">
        <f ca="1">IFERROR(__xludf.DUMMYFUNCTION("""COMPUTED_VALUE"""),"comment")</f>
        <v>comment</v>
      </c>
      <c r="I1417" s="2" t="str">
        <f ca="1">IFERROR(__xludf.DUMMYFUNCTION("""COMPUTED_VALUE"""),"https://www.facebook.com/watch/?v=570590637273208")</f>
        <v>https://www.facebook.com/watch/?v=570590637273208</v>
      </c>
      <c r="J1417" s="1" t="str">
        <f ca="1">IFERROR(__xludf.DUMMYFUNCTION("""COMPUTED_VALUE"""),"2022-07-04T15:42:11.153Z")</f>
        <v>2022-07-04T15:42:11.153Z</v>
      </c>
    </row>
    <row r="1418" spans="1:10" x14ac:dyDescent="0.2">
      <c r="A1418" s="2" t="str">
        <f ca="1">IFERROR(__xludf.DUMMYFUNCTION("""COMPUTED_VALUE"""),"https://www.facebook.com/jhonatan.dordas")</f>
        <v>https://www.facebook.com/jhonatan.dordas</v>
      </c>
      <c r="B1418" s="1" t="str">
        <f ca="1">IFERROR(__xludf.DUMMYFUNCTION("""COMPUTED_VALUE"""),"Willdordas Conde Dordas")</f>
        <v>Willdordas Conde Dordas</v>
      </c>
      <c r="C1418" s="1" t="str">
        <f ca="1">IFERROR(__xludf.DUMMYFUNCTION("""COMPUTED_VALUE"""),"Willdordas")</f>
        <v>Willdordas</v>
      </c>
      <c r="D1418" s="1" t="str">
        <f ca="1">IFERROR(__xludf.DUMMYFUNCTION("""COMPUTED_VALUE"""),"Conde Dordas")</f>
        <v>Conde Dordas</v>
      </c>
      <c r="E1418" s="1" t="str">
        <f ca="1">IFERROR(__xludf.DUMMYFUNCTION("""COMPUTED_VALUE"""),"Jimmy Grado Tama yn mag Wawakas n c satanas Yung 666")</f>
        <v>Jimmy Grado Tama yn mag Wawakas n c satanas Yung 666</v>
      </c>
      <c r="F1418" s="1"/>
      <c r="G1418" s="1" t="str">
        <f ca="1">IFERROR(__xludf.DUMMYFUNCTION("""COMPUTED_VALUE"""),"2 mos")</f>
        <v>2 mos</v>
      </c>
      <c r="H1418" s="1" t="str">
        <f ca="1">IFERROR(__xludf.DUMMYFUNCTION("""COMPUTED_VALUE"""),"reply")</f>
        <v>reply</v>
      </c>
      <c r="I1418" s="2" t="str">
        <f ca="1">IFERROR(__xludf.DUMMYFUNCTION("""COMPUTED_VALUE"""),"https://www.facebook.com/watch/?v=570590637273208")</f>
        <v>https://www.facebook.com/watch/?v=570590637273208</v>
      </c>
      <c r="J1418" s="1" t="str">
        <f ca="1">IFERROR(__xludf.DUMMYFUNCTION("""COMPUTED_VALUE"""),"2022-07-04T15:42:11.153Z")</f>
        <v>2022-07-04T15:42:11.153Z</v>
      </c>
    </row>
    <row r="1419" spans="1:10" x14ac:dyDescent="0.2">
      <c r="A1419" s="2" t="str">
        <f ca="1">IFERROR(__xludf.DUMMYFUNCTION("""COMPUTED_VALUE"""),"https://www.facebook.com/divina.ritualpujeda")</f>
        <v>https://www.facebook.com/divina.ritualpujeda</v>
      </c>
      <c r="B1419" s="1" t="str">
        <f ca="1">IFERROR(__xludf.DUMMYFUNCTION("""COMPUTED_VALUE"""),"Divina Pujeda Padua")</f>
        <v>Divina Pujeda Padua</v>
      </c>
      <c r="C1419" s="1" t="str">
        <f ca="1">IFERROR(__xludf.DUMMYFUNCTION("""COMPUTED_VALUE"""),"Divina")</f>
        <v>Divina</v>
      </c>
      <c r="D1419" s="1" t="str">
        <f ca="1">IFERROR(__xludf.DUMMYFUNCTION("""COMPUTED_VALUE"""),"Pujeda Padua")</f>
        <v>Pujeda Padua</v>
      </c>
      <c r="E1419" s="1" t="str">
        <f ca="1">IFERROR(__xludf.DUMMYFUNCTION("""COMPUTED_VALUE"""),"Yes mga KakamPink KayLeniKikoTeamTayo #ipanalona10to #GobyernongTapat #AngatBuhayLahat #KulayRosasangBukas")</f>
        <v>Yes mga KakamPink KayLeniKikoTeamTayo #ipanalona10to #GobyernongTapat #AngatBuhayLahat #KulayRosasangBukas</v>
      </c>
      <c r="F1419" s="1">
        <f ca="1">IFERROR(__xludf.DUMMYFUNCTION("""COMPUTED_VALUE"""),12)</f>
        <v>12</v>
      </c>
      <c r="G1419" s="1" t="str">
        <f ca="1">IFERROR(__xludf.DUMMYFUNCTION("""COMPUTED_VALUE"""),"3 mos")</f>
        <v>3 mos</v>
      </c>
      <c r="H1419" s="1" t="str">
        <f ca="1">IFERROR(__xludf.DUMMYFUNCTION("""COMPUTED_VALUE"""),"comment")</f>
        <v>comment</v>
      </c>
      <c r="I1419" s="2" t="str">
        <f ca="1">IFERROR(__xludf.DUMMYFUNCTION("""COMPUTED_VALUE"""),"https://www.facebook.com/watch/?v=570590637273208")</f>
        <v>https://www.facebook.com/watch/?v=570590637273208</v>
      </c>
      <c r="J1419" s="1" t="str">
        <f ca="1">IFERROR(__xludf.DUMMYFUNCTION("""COMPUTED_VALUE"""),"2022-07-04T15:42:11.153Z")</f>
        <v>2022-07-04T15:42:11.153Z</v>
      </c>
    </row>
    <row r="1420" spans="1:10" x14ac:dyDescent="0.2">
      <c r="A1420" s="2" t="str">
        <f ca="1">IFERROR(__xludf.DUMMYFUNCTION("""COMPUTED_VALUE"""),"https://www.facebook.com/veron.uera")</f>
        <v>https://www.facebook.com/veron.uera</v>
      </c>
      <c r="B1420" s="1" t="str">
        <f ca="1">IFERROR(__xludf.DUMMYFUNCTION("""COMPUTED_VALUE"""),"Veron Uera-Aquino")</f>
        <v>Veron Uera-Aquino</v>
      </c>
      <c r="C1420" s="1" t="str">
        <f ca="1">IFERROR(__xludf.DUMMYFUNCTION("""COMPUTED_VALUE"""),"Veron")</f>
        <v>Veron</v>
      </c>
      <c r="D1420" s="1" t="str">
        <f ca="1">IFERROR(__xludf.DUMMYFUNCTION("""COMPUTED_VALUE"""),"Uera-Aquino")</f>
        <v>Uera-Aquino</v>
      </c>
      <c r="E1420" s="1" t="str">
        <f ca="1">IFERROR(__xludf.DUMMYFUNCTION("""COMPUTED_VALUE"""),"Proud Novo Ecijano! Tumindig at patuloy na titindig para sa #GobyernongTapatAngatBuhayLahat  #LeniKiko2022")</f>
        <v>Proud Novo Ecijano! Tumindig at patuloy na titindig para sa #GobyernongTapatAngatBuhayLahat  #LeniKiko2022</v>
      </c>
      <c r="F1420" s="1">
        <f ca="1">IFERROR(__xludf.DUMMYFUNCTION("""COMPUTED_VALUE"""),37)</f>
        <v>37</v>
      </c>
      <c r="G1420" s="1" t="str">
        <f ca="1">IFERROR(__xludf.DUMMYFUNCTION("""COMPUTED_VALUE"""),"3 mos")</f>
        <v>3 mos</v>
      </c>
      <c r="H1420" s="1" t="str">
        <f ca="1">IFERROR(__xludf.DUMMYFUNCTION("""COMPUTED_VALUE"""),"comment")</f>
        <v>comment</v>
      </c>
      <c r="I1420" s="2" t="str">
        <f ca="1">IFERROR(__xludf.DUMMYFUNCTION("""COMPUTED_VALUE"""),"https://www.facebook.com/watch/?v=570590637273208")</f>
        <v>https://www.facebook.com/watch/?v=570590637273208</v>
      </c>
      <c r="J1420" s="1" t="str">
        <f ca="1">IFERROR(__xludf.DUMMYFUNCTION("""COMPUTED_VALUE"""),"2022-07-04T15:42:11.153Z")</f>
        <v>2022-07-04T15:42:11.153Z</v>
      </c>
    </row>
    <row r="1421" spans="1:10" x14ac:dyDescent="0.2">
      <c r="A1421" s="2" t="str">
        <f ca="1">IFERROR(__xludf.DUMMYFUNCTION("""COMPUTED_VALUE"""),"https://www.facebook.com/roberto.como.14")</f>
        <v>https://www.facebook.com/roberto.como.14</v>
      </c>
      <c r="B1421" s="1" t="str">
        <f ca="1">IFERROR(__xludf.DUMMYFUNCTION("""COMPUTED_VALUE"""),"Roberto Como")</f>
        <v>Roberto Como</v>
      </c>
      <c r="C1421" s="1" t="str">
        <f ca="1">IFERROR(__xludf.DUMMYFUNCTION("""COMPUTED_VALUE"""),"Roberto")</f>
        <v>Roberto</v>
      </c>
      <c r="D1421" s="1" t="str">
        <f ca="1">IFERROR(__xludf.DUMMYFUNCTION("""COMPUTED_VALUE"""),"Como")</f>
        <v>Como</v>
      </c>
      <c r="E1421" s="1" t="str">
        <f ca="1">IFERROR(__xludf.DUMMYFUNCTION("""COMPUTED_VALUE"""),"Ok lang naman po ang mangarap karapatan po iyan ng bawat kandidato pero maging maginoo po tayo sa pagtangap ng pagkatalo para magkaron po ng Unity at dangal ang bawat isang pilipino at sabay sabay po tayung makasisigaw na tayo ay isang marangal na pilipin"&amp;"o")</f>
        <v>Ok lang naman po ang mangarap karapatan po iyan ng bawat kandidato pero maging maginoo po tayo sa pagtangap ng pagkatalo para magkaron po ng Unity at dangal ang bawat isang pilipino at sabay sabay po tayung makasisigaw na tayo ay isang marangal na pilipino</v>
      </c>
      <c r="F1421" s="1">
        <f ca="1">IFERROR(__xludf.DUMMYFUNCTION("""COMPUTED_VALUE"""),2)</f>
        <v>2</v>
      </c>
      <c r="G1421" s="1" t="str">
        <f ca="1">IFERROR(__xludf.DUMMYFUNCTION("""COMPUTED_VALUE"""),"3 mos")</f>
        <v>3 mos</v>
      </c>
      <c r="H1421" s="1" t="str">
        <f ca="1">IFERROR(__xludf.DUMMYFUNCTION("""COMPUTED_VALUE"""),"comment")</f>
        <v>comment</v>
      </c>
      <c r="I1421" s="2" t="str">
        <f ca="1">IFERROR(__xludf.DUMMYFUNCTION("""COMPUTED_VALUE"""),"https://www.facebook.com/watch/?v=570590637273208")</f>
        <v>https://www.facebook.com/watch/?v=570590637273208</v>
      </c>
      <c r="J1421" s="1" t="str">
        <f ca="1">IFERROR(__xludf.DUMMYFUNCTION("""COMPUTED_VALUE"""),"2022-07-04T15:42:11.153Z")</f>
        <v>2022-07-04T15:42:11.153Z</v>
      </c>
    </row>
    <row r="1422" spans="1:10" x14ac:dyDescent="0.2">
      <c r="A1422" s="2" t="str">
        <f ca="1">IFERROR(__xludf.DUMMYFUNCTION("""COMPUTED_VALUE"""),"https://www.facebook.com/ventura.mariejane")</f>
        <v>https://www.facebook.com/ventura.mariejane</v>
      </c>
      <c r="B1422" s="1" t="str">
        <f ca="1">IFERROR(__xludf.DUMMYFUNCTION("""COMPUTED_VALUE"""),"Jane Maltu Ventura")</f>
        <v>Jane Maltu Ventura</v>
      </c>
      <c r="C1422" s="1" t="str">
        <f ca="1">IFERROR(__xludf.DUMMYFUNCTION("""COMPUTED_VALUE"""),"Jane")</f>
        <v>Jane</v>
      </c>
      <c r="D1422" s="1" t="str">
        <f ca="1">IFERROR(__xludf.DUMMYFUNCTION("""COMPUTED_VALUE"""),"Maltu Ventura")</f>
        <v>Maltu Ventura</v>
      </c>
      <c r="E1422" s="1" t="str">
        <f ca="1">IFERROR(__xludf.DUMMYFUNCTION("""COMPUTED_VALUE"""),"For better Philippines  The best Man for the job is a Woman 👠👠 #IpanaloNa10T #LeniKiko2022 #10RobredoForPresident  #7KikoPangilinanVicePresident  #TrillanesForSenator2022  #LeilaDeLima2022  #RisaHontiveros2022  #SonnyMatula2022  #AlexLacson2022  #ChelDi"&amp;"oknoSaSenado  #DickGordon #NeriComenares #AngatBuhayLahat #KulayRosasAngBukas  #GobyernongTapatAngatBuhayLahat  #HelloPagkainGoodbyeGutom")</f>
        <v>For better Philippines  The best Man for the job is a Woman 👠👠 #IpanaloNa10T #LeniKiko2022 #10RobredoForPresident  #7KikoPangilinanVicePresident  #TrillanesForSenator2022  #LeilaDeLima2022  #RisaHontiveros2022  #SonnyMatula2022  #AlexLacson2022  #ChelDioknoSaSenado  #DickGordon #NeriComenares #AngatBuhayLahat #KulayRosasAngBukas  #GobyernongTapatAngatBuhayLahat  #HelloPagkainGoodbyeGutom</v>
      </c>
      <c r="F1422" s="1">
        <f ca="1">IFERROR(__xludf.DUMMYFUNCTION("""COMPUTED_VALUE"""),52)</f>
        <v>52</v>
      </c>
      <c r="G1422" s="1" t="str">
        <f ca="1">IFERROR(__xludf.DUMMYFUNCTION("""COMPUTED_VALUE"""),"3 mos")</f>
        <v>3 mos</v>
      </c>
      <c r="H1422" s="1" t="str">
        <f ca="1">IFERROR(__xludf.DUMMYFUNCTION("""COMPUTED_VALUE"""),"comment")</f>
        <v>comment</v>
      </c>
      <c r="I1422" s="2" t="str">
        <f ca="1">IFERROR(__xludf.DUMMYFUNCTION("""COMPUTED_VALUE"""),"https://www.facebook.com/watch/?v=570590637273208")</f>
        <v>https://www.facebook.com/watch/?v=570590637273208</v>
      </c>
      <c r="J1422" s="1" t="str">
        <f ca="1">IFERROR(__xludf.DUMMYFUNCTION("""COMPUTED_VALUE"""),"2022-07-04T15:42:11.153Z")</f>
        <v>2022-07-04T15:42:11.153Z</v>
      </c>
    </row>
    <row r="1423" spans="1:10" x14ac:dyDescent="0.2">
      <c r="A1423" s="2" t="str">
        <f ca="1">IFERROR(__xludf.DUMMYFUNCTION("""COMPUTED_VALUE"""),"https://www.facebook.com/profile.php?id=100075179869760")</f>
        <v>https://www.facebook.com/profile.php?id=100075179869760</v>
      </c>
      <c r="B1423" s="1" t="str">
        <f ca="1">IFERROR(__xludf.DUMMYFUNCTION("""COMPUTED_VALUE"""),"Albert Villodres")</f>
        <v>Albert Villodres</v>
      </c>
      <c r="C1423" s="1" t="str">
        <f ca="1">IFERROR(__xludf.DUMMYFUNCTION("""COMPUTED_VALUE"""),"Albert")</f>
        <v>Albert</v>
      </c>
      <c r="D1423" s="1" t="str">
        <f ca="1">IFERROR(__xludf.DUMMYFUNCTION("""COMPUTED_VALUE"""),"Villodres")</f>
        <v>Villodres</v>
      </c>
      <c r="E1423" s="1" t="str">
        <f ca="1">IFERROR(__xludf.DUMMYFUNCTION("""COMPUTED_VALUE"""),"Jane Maltu Ventura Anong the best MAN for the job is a WOMAN?....HAHAHA")</f>
        <v>Jane Maltu Ventura Anong the best MAN for the job is a WOMAN?....HAHAHA</v>
      </c>
      <c r="F1423" s="1"/>
      <c r="G1423" s="1" t="str">
        <f ca="1">IFERROR(__xludf.DUMMYFUNCTION("""COMPUTED_VALUE"""),"3 mos")</f>
        <v>3 mos</v>
      </c>
      <c r="H1423" s="1" t="str">
        <f ca="1">IFERROR(__xludf.DUMMYFUNCTION("""COMPUTED_VALUE"""),"reply")</f>
        <v>reply</v>
      </c>
      <c r="I1423" s="2" t="str">
        <f ca="1">IFERROR(__xludf.DUMMYFUNCTION("""COMPUTED_VALUE"""),"https://www.facebook.com/watch/?v=570590637273208")</f>
        <v>https://www.facebook.com/watch/?v=570590637273208</v>
      </c>
      <c r="J1423" s="1" t="str">
        <f ca="1">IFERROR(__xludf.DUMMYFUNCTION("""COMPUTED_VALUE"""),"2022-07-04T15:42:11.153Z")</f>
        <v>2022-07-04T15:42:11.153Z</v>
      </c>
    </row>
    <row r="1424" spans="1:10" x14ac:dyDescent="0.2">
      <c r="A1424" s="2" t="str">
        <f ca="1">IFERROR(__xludf.DUMMYFUNCTION("""COMPUTED_VALUE"""),"https://www.facebook.com/argie.salo")</f>
        <v>https://www.facebook.com/argie.salo</v>
      </c>
      <c r="B1424" s="1" t="str">
        <f ca="1">IFERROR(__xludf.DUMMYFUNCTION("""COMPUTED_VALUE"""),"Argie Salo")</f>
        <v>Argie Salo</v>
      </c>
      <c r="C1424" s="1" t="str">
        <f ca="1">IFERROR(__xludf.DUMMYFUNCTION("""COMPUTED_VALUE"""),"Argie")</f>
        <v>Argie</v>
      </c>
      <c r="D1424" s="1" t="str">
        <f ca="1">IFERROR(__xludf.DUMMYFUNCTION("""COMPUTED_VALUE"""),"Salo")</f>
        <v>Salo</v>
      </c>
      <c r="E1424" s="1" t="str">
        <f ca="1">IFERROR(__xludf.DUMMYFUNCTION("""COMPUTED_VALUE"""),"Kurap😅")</f>
        <v>Kurap😅</v>
      </c>
      <c r="F1424" s="1"/>
      <c r="G1424" s="1" t="str">
        <f ca="1">IFERROR(__xludf.DUMMYFUNCTION("""COMPUTED_VALUE"""),"2 mos")</f>
        <v>2 mos</v>
      </c>
      <c r="H1424" s="1" t="str">
        <f ca="1">IFERROR(__xludf.DUMMYFUNCTION("""COMPUTED_VALUE"""),"reply")</f>
        <v>reply</v>
      </c>
      <c r="I1424" s="2" t="str">
        <f ca="1">IFERROR(__xludf.DUMMYFUNCTION("""COMPUTED_VALUE"""),"https://www.facebook.com/watch/?v=570590637273208")</f>
        <v>https://www.facebook.com/watch/?v=570590637273208</v>
      </c>
      <c r="J1424" s="1" t="str">
        <f ca="1">IFERROR(__xludf.DUMMYFUNCTION("""COMPUTED_VALUE"""),"2022-07-04T15:42:11.153Z")</f>
        <v>2022-07-04T15:42:11.153Z</v>
      </c>
    </row>
    <row r="1425" spans="1:10" x14ac:dyDescent="0.2">
      <c r="A1425" s="2" t="str">
        <f ca="1">IFERROR(__xludf.DUMMYFUNCTION("""COMPUTED_VALUE"""),"https://www.facebook.com/chitocmorales")</f>
        <v>https://www.facebook.com/chitocmorales</v>
      </c>
      <c r="B1425" s="1" t="str">
        <f ca="1">IFERROR(__xludf.DUMMYFUNCTION("""COMPUTED_VALUE"""),"Chito Morales")</f>
        <v>Chito Morales</v>
      </c>
      <c r="C1425" s="1" t="str">
        <f ca="1">IFERROR(__xludf.DUMMYFUNCTION("""COMPUTED_VALUE"""),"Chito")</f>
        <v>Chito</v>
      </c>
      <c r="D1425" s="1" t="str">
        <f ca="1">IFERROR(__xludf.DUMMYFUNCTION("""COMPUTED_VALUE"""),"Morales")</f>
        <v>Morales</v>
      </c>
      <c r="E1425" s="1" t="str">
        <f ca="1">IFERROR(__xludf.DUMMYFUNCTION("""COMPUTED_VALUE"""),"Tuloy tuloy ang pag- agos ng suporta.  #IpanaloNa10to #RosasAngKulayNgBukas #GobyernongTapatAngatBuhayLahat #KayLeniKikoPanaloAngPilipino #HusayAtTibay #BangonPilipinas #TaraIpanalNaNa10To")</f>
        <v>Tuloy tuloy ang pag- agos ng suporta.  #IpanaloNa10to #RosasAngKulayNgBukas #GobyernongTapatAngatBuhayLahat #KayLeniKikoPanaloAngPilipino #HusayAtTibay #BangonPilipinas #TaraIpanalNaNa10To</v>
      </c>
      <c r="F1425" s="1">
        <f ca="1">IFERROR(__xludf.DUMMYFUNCTION("""COMPUTED_VALUE"""),1)</f>
        <v>1</v>
      </c>
      <c r="G1425" s="1" t="str">
        <f ca="1">IFERROR(__xludf.DUMMYFUNCTION("""COMPUTED_VALUE"""),"3 mos")</f>
        <v>3 mos</v>
      </c>
      <c r="H1425" s="1" t="str">
        <f ca="1">IFERROR(__xludf.DUMMYFUNCTION("""COMPUTED_VALUE"""),"comment")</f>
        <v>comment</v>
      </c>
      <c r="I1425" s="2" t="str">
        <f ca="1">IFERROR(__xludf.DUMMYFUNCTION("""COMPUTED_VALUE"""),"https://www.facebook.com/watch/?v=570590637273208")</f>
        <v>https://www.facebook.com/watch/?v=570590637273208</v>
      </c>
      <c r="J1425" s="1" t="str">
        <f ca="1">IFERROR(__xludf.DUMMYFUNCTION("""COMPUTED_VALUE"""),"2022-07-04T15:42:11.153Z")</f>
        <v>2022-07-04T15:42:11.153Z</v>
      </c>
    </row>
    <row r="1426" spans="1:10" x14ac:dyDescent="0.2">
      <c r="A1426" s="2" t="str">
        <f ca="1">IFERROR(__xludf.DUMMYFUNCTION("""COMPUTED_VALUE"""),"https://www.facebook.com/benjie.roquejr")</f>
        <v>https://www.facebook.com/benjie.roquejr</v>
      </c>
      <c r="B1426" s="1" t="str">
        <f ca="1">IFERROR(__xludf.DUMMYFUNCTION("""COMPUTED_VALUE"""),"Benjie Roque Jr.")</f>
        <v>Benjie Roque Jr.</v>
      </c>
      <c r="C1426" s="1" t="str">
        <f ca="1">IFERROR(__xludf.DUMMYFUNCTION("""COMPUTED_VALUE"""),"Benjie")</f>
        <v>Benjie</v>
      </c>
      <c r="D1426" s="1" t="str">
        <f ca="1">IFERROR(__xludf.DUMMYFUNCTION("""COMPUTED_VALUE"""),"Roque Jr.")</f>
        <v>Roque Jr.</v>
      </c>
      <c r="E1426" s="1" t="str">
        <f ca="1">IFERROR(__xludf.DUMMYFUNCTION("""COMPUTED_VALUE"""),"Bababawi kame! Sarap pakingan. Nakakakaiyak, parang buhay, gusto natin makabawi upang makatayo pag tayo ay nadadapa. God bless Philippines!")</f>
        <v>Bababawi kame! Sarap pakingan. Nakakakaiyak, parang buhay, gusto natin makabawi upang makatayo pag tayo ay nadadapa. God bless Philippines!</v>
      </c>
      <c r="F1426" s="1">
        <f ca="1">IFERROR(__xludf.DUMMYFUNCTION("""COMPUTED_VALUE"""),1)</f>
        <v>1</v>
      </c>
      <c r="G1426" s="1" t="str">
        <f ca="1">IFERROR(__xludf.DUMMYFUNCTION("""COMPUTED_VALUE"""),"3 mos")</f>
        <v>3 mos</v>
      </c>
      <c r="H1426" s="1" t="str">
        <f ca="1">IFERROR(__xludf.DUMMYFUNCTION("""COMPUTED_VALUE"""),"comment")</f>
        <v>comment</v>
      </c>
      <c r="I1426" s="2" t="str">
        <f ca="1">IFERROR(__xludf.DUMMYFUNCTION("""COMPUTED_VALUE"""),"https://www.facebook.com/watch/?v=570590637273208")</f>
        <v>https://www.facebook.com/watch/?v=570590637273208</v>
      </c>
      <c r="J1426" s="1" t="str">
        <f ca="1">IFERROR(__xludf.DUMMYFUNCTION("""COMPUTED_VALUE"""),"2022-07-04T15:42:11.153Z")</f>
        <v>2022-07-04T15:42:11.153Z</v>
      </c>
    </row>
    <row r="1427" spans="1:10" x14ac:dyDescent="0.2">
      <c r="A1427" s="2" t="str">
        <f ca="1">IFERROR(__xludf.DUMMYFUNCTION("""COMPUTED_VALUE"""),"https://www.facebook.com/james.yodong")</f>
        <v>https://www.facebook.com/james.yodong</v>
      </c>
      <c r="B1427" s="1" t="str">
        <f ca="1">IFERROR(__xludf.DUMMYFUNCTION("""COMPUTED_VALUE"""),"James Yodong")</f>
        <v>James Yodong</v>
      </c>
      <c r="C1427" s="1" t="str">
        <f ca="1">IFERROR(__xludf.DUMMYFUNCTION("""COMPUTED_VALUE"""),"James")</f>
        <v>James</v>
      </c>
      <c r="D1427" s="1" t="str">
        <f ca="1">IFERROR(__xludf.DUMMYFUNCTION("""COMPUTED_VALUE"""),"Yodong")</f>
        <v>Yodong</v>
      </c>
      <c r="E1427" s="1" t="str">
        <f ca="1">IFERROR(__xludf.DUMMYFUNCTION("""COMPUTED_VALUE"""),"Benjie Roque Jr. Saan ka nadapa tatangatanga ka KC baka madqpa ka nanaman ngayon")</f>
        <v>Benjie Roque Jr. Saan ka nadapa tatangatanga ka KC baka madqpa ka nanaman ngayon</v>
      </c>
      <c r="F1427" s="1"/>
      <c r="G1427" s="1" t="str">
        <f ca="1">IFERROR(__xludf.DUMMYFUNCTION("""COMPUTED_VALUE"""),"2 mos")</f>
        <v>2 mos</v>
      </c>
      <c r="H1427" s="1" t="str">
        <f ca="1">IFERROR(__xludf.DUMMYFUNCTION("""COMPUTED_VALUE"""),"reply")</f>
        <v>reply</v>
      </c>
      <c r="I1427" s="2" t="str">
        <f ca="1">IFERROR(__xludf.DUMMYFUNCTION("""COMPUTED_VALUE"""),"https://www.facebook.com/watch/?v=570590637273208")</f>
        <v>https://www.facebook.com/watch/?v=570590637273208</v>
      </c>
      <c r="J1427" s="1" t="str">
        <f ca="1">IFERROR(__xludf.DUMMYFUNCTION("""COMPUTED_VALUE"""),"2022-07-04T15:42:11.153Z")</f>
        <v>2022-07-04T15:42:11.153Z</v>
      </c>
    </row>
    <row r="1428" spans="1:10" x14ac:dyDescent="0.2">
      <c r="A1428" s="2" t="str">
        <f ca="1">IFERROR(__xludf.DUMMYFUNCTION("""COMPUTED_VALUE"""),"https://www.facebook.com/lizaabrigos")</f>
        <v>https://www.facebook.com/lizaabrigos</v>
      </c>
      <c r="B1428" s="1" t="str">
        <f ca="1">IFERROR(__xludf.DUMMYFUNCTION("""COMPUTED_VALUE"""),"Flordeliza Abrigos")</f>
        <v>Flordeliza Abrigos</v>
      </c>
      <c r="C1428" s="1" t="str">
        <f ca="1">IFERROR(__xludf.DUMMYFUNCTION("""COMPUTED_VALUE"""),"Flordeliza")</f>
        <v>Flordeliza</v>
      </c>
      <c r="D1428" s="1" t="str">
        <f ca="1">IFERROR(__xludf.DUMMYFUNCTION("""COMPUTED_VALUE"""),"Abrigos")</f>
        <v>Abrigos</v>
      </c>
      <c r="E1428" s="1" t="str">
        <f ca="1">IFERROR(__xludf.DUMMYFUNCTION("""COMPUTED_VALUE"""),"Yes i was there mga kakampink")</f>
        <v>Yes i was there mga kakampink</v>
      </c>
      <c r="F1428" s="1">
        <f ca="1">IFERROR(__xludf.DUMMYFUNCTION("""COMPUTED_VALUE"""),13)</f>
        <v>13</v>
      </c>
      <c r="G1428" s="1" t="str">
        <f ca="1">IFERROR(__xludf.DUMMYFUNCTION("""COMPUTED_VALUE"""),"3 mos")</f>
        <v>3 mos</v>
      </c>
      <c r="H1428" s="1" t="str">
        <f ca="1">IFERROR(__xludf.DUMMYFUNCTION("""COMPUTED_VALUE"""),"comment")</f>
        <v>comment</v>
      </c>
      <c r="I1428" s="2" t="str">
        <f ca="1">IFERROR(__xludf.DUMMYFUNCTION("""COMPUTED_VALUE"""),"https://www.facebook.com/watch/?v=570590637273208")</f>
        <v>https://www.facebook.com/watch/?v=570590637273208</v>
      </c>
      <c r="J1428" s="1" t="str">
        <f ca="1">IFERROR(__xludf.DUMMYFUNCTION("""COMPUTED_VALUE"""),"2022-07-04T15:42:11.153Z")</f>
        <v>2022-07-04T15:42:11.153Z</v>
      </c>
    </row>
    <row r="1429" spans="1:10" x14ac:dyDescent="0.2">
      <c r="A1429" s="2" t="str">
        <f ca="1">IFERROR(__xludf.DUMMYFUNCTION("""COMPUTED_VALUE"""),"https://www.facebook.com/evangeline.cayabyab.79")</f>
        <v>https://www.facebook.com/evangeline.cayabyab.79</v>
      </c>
      <c r="B1429" s="1" t="str">
        <f ca="1">IFERROR(__xludf.DUMMYFUNCTION("""COMPUTED_VALUE"""),"Evangeline Cayabyab")</f>
        <v>Evangeline Cayabyab</v>
      </c>
      <c r="C1429" s="1" t="str">
        <f ca="1">IFERROR(__xludf.DUMMYFUNCTION("""COMPUTED_VALUE"""),"Evangeline")</f>
        <v>Evangeline</v>
      </c>
      <c r="D1429" s="1" t="str">
        <f ca="1">IFERROR(__xludf.DUMMYFUNCTION("""COMPUTED_VALUE"""),"Cayabyab")</f>
        <v>Cayabyab</v>
      </c>
      <c r="E1429" s="1" t="str">
        <f ca="1">IFERROR(__xludf.DUMMYFUNCTION("""COMPUTED_VALUE"""),"Mabuhay CAMANAVA!!!! #HappyKAKAMPINKS #ProudKAKAMPINKS #LeniKikoAllTheWay💗💗💗💗💗💗💗💗")</f>
        <v>Mabuhay CAMANAVA!!!! #HappyKAKAMPINKS #ProudKAKAMPINKS #LeniKikoAllTheWay💗💗💗💗💗💗💗💗</v>
      </c>
      <c r="F1429" s="1">
        <f ca="1">IFERROR(__xludf.DUMMYFUNCTION("""COMPUTED_VALUE"""),24)</f>
        <v>24</v>
      </c>
      <c r="G1429" s="1" t="str">
        <f ca="1">IFERROR(__xludf.DUMMYFUNCTION("""COMPUTED_VALUE"""),"3 mos")</f>
        <v>3 mos</v>
      </c>
      <c r="H1429" s="1" t="str">
        <f ca="1">IFERROR(__xludf.DUMMYFUNCTION("""COMPUTED_VALUE"""),"comment")</f>
        <v>comment</v>
      </c>
      <c r="I1429" s="2" t="str">
        <f ca="1">IFERROR(__xludf.DUMMYFUNCTION("""COMPUTED_VALUE"""),"https://www.facebook.com/watch/?v=570590637273208")</f>
        <v>https://www.facebook.com/watch/?v=570590637273208</v>
      </c>
      <c r="J1429" s="1" t="str">
        <f ca="1">IFERROR(__xludf.DUMMYFUNCTION("""COMPUTED_VALUE"""),"2022-07-04T15:42:11.153Z")</f>
        <v>2022-07-04T15:42:11.153Z</v>
      </c>
    </row>
    <row r="1430" spans="1:10" x14ac:dyDescent="0.2">
      <c r="A1430" s="2" t="str">
        <f ca="1">IFERROR(__xludf.DUMMYFUNCTION("""COMPUTED_VALUE"""),"https://www.facebook.com/marnito.peligro")</f>
        <v>https://www.facebook.com/marnito.peligro</v>
      </c>
      <c r="B1430" s="1" t="str">
        <f ca="1">IFERROR(__xludf.DUMMYFUNCTION("""COMPUTED_VALUE"""),"Marnito Peligro")</f>
        <v>Marnito Peligro</v>
      </c>
      <c r="C1430" s="1" t="str">
        <f ca="1">IFERROR(__xludf.DUMMYFUNCTION("""COMPUTED_VALUE"""),"Marnito")</f>
        <v>Marnito</v>
      </c>
      <c r="D1430" s="1" t="str">
        <f ca="1">IFERROR(__xludf.DUMMYFUNCTION("""COMPUTED_VALUE"""),"Peligro")</f>
        <v>Peligro</v>
      </c>
      <c r="E1430" s="1" t="str">
        <f ca="1">IFERROR(__xludf.DUMMYFUNCTION("""COMPUTED_VALUE"""),"In your dreams pagka tapos durugin ang tiwala NG mga pilipino sa pamamagitan NG panluluko sa media gamit ang mga  artista ni Yong sikat at inidulo NG mga pilipino  mahirap nang ibalik ang tiwala at gising na ang Bayan.")</f>
        <v>In your dreams pagka tapos durugin ang tiwala NG mga pilipino sa pamamagitan NG panluluko sa media gamit ang mga  artista ni Yong sikat at inidulo NG mga pilipino  mahirap nang ibalik ang tiwala at gising na ang Bayan.</v>
      </c>
      <c r="F1430" s="1"/>
      <c r="G1430" s="1" t="str">
        <f ca="1">IFERROR(__xludf.DUMMYFUNCTION("""COMPUTED_VALUE"""),"2 mos")</f>
        <v>2 mos</v>
      </c>
      <c r="H1430" s="1" t="str">
        <f ca="1">IFERROR(__xludf.DUMMYFUNCTION("""COMPUTED_VALUE"""),"comment")</f>
        <v>comment</v>
      </c>
      <c r="I1430" s="2" t="str">
        <f ca="1">IFERROR(__xludf.DUMMYFUNCTION("""COMPUTED_VALUE"""),"https://www.facebook.com/watch/?v=570590637273208")</f>
        <v>https://www.facebook.com/watch/?v=570590637273208</v>
      </c>
      <c r="J1430" s="1" t="str">
        <f ca="1">IFERROR(__xludf.DUMMYFUNCTION("""COMPUTED_VALUE"""),"2022-07-04T15:42:11.153Z")</f>
        <v>2022-07-04T15:42:11.153Z</v>
      </c>
    </row>
    <row r="1431" spans="1:10" x14ac:dyDescent="0.2">
      <c r="A1431" s="2" t="str">
        <f ca="1">IFERROR(__xludf.DUMMYFUNCTION("""COMPUTED_VALUE"""),"https://www.facebook.com/joem.nadong.5")</f>
        <v>https://www.facebook.com/joem.nadong.5</v>
      </c>
      <c r="B1431" s="1" t="str">
        <f ca="1">IFERROR(__xludf.DUMMYFUNCTION("""COMPUTED_VALUE"""),"Joem Nadong")</f>
        <v>Joem Nadong</v>
      </c>
      <c r="C1431" s="1" t="str">
        <f ca="1">IFERROR(__xludf.DUMMYFUNCTION("""COMPUTED_VALUE"""),"Joem")</f>
        <v>Joem</v>
      </c>
      <c r="D1431" s="1" t="str">
        <f ca="1">IFERROR(__xludf.DUMMYFUNCTION("""COMPUTED_VALUE"""),"Nadong")</f>
        <v>Nadong</v>
      </c>
      <c r="E1431" s="1" t="str">
        <f ca="1">IFERROR(__xludf.DUMMYFUNCTION("""COMPUTED_VALUE"""),"Solid LeniKiko #MASKARAPATDAPATLeniKiko #NegrosIsPink #NegrosForLeni #10LeniRobredoForPresident #7KikoPangilinanForVicePresident #TibayAtHusay  #LetLeniLead2022  #LeniKiko2022  #RadicalAngMagmahal #GobyernongTapatAngatBuhayLahat  #KulayRosasAngBukas")</f>
        <v>Solid LeniKiko #MASKARAPATDAPATLeniKiko #NegrosIsPink #NegrosForLeni #10LeniRobredoForPresident #7KikoPangilinanForVicePresident #TibayAtHusay  #LetLeniLead2022  #LeniKiko2022  #RadicalAngMagmahal #GobyernongTapatAngatBuhayLahat  #KulayRosasAngBukas</v>
      </c>
      <c r="F1431" s="1">
        <f ca="1">IFERROR(__xludf.DUMMYFUNCTION("""COMPUTED_VALUE"""),15)</f>
        <v>15</v>
      </c>
      <c r="G1431" s="1" t="str">
        <f ca="1">IFERROR(__xludf.DUMMYFUNCTION("""COMPUTED_VALUE"""),"3 mos")</f>
        <v>3 mos</v>
      </c>
      <c r="H1431" s="1" t="str">
        <f ca="1">IFERROR(__xludf.DUMMYFUNCTION("""COMPUTED_VALUE"""),"comment")</f>
        <v>comment</v>
      </c>
      <c r="I1431" s="2" t="str">
        <f ca="1">IFERROR(__xludf.DUMMYFUNCTION("""COMPUTED_VALUE"""),"https://www.facebook.com/watch/?v=570590637273208")</f>
        <v>https://www.facebook.com/watch/?v=570590637273208</v>
      </c>
      <c r="J1431" s="1" t="str">
        <f ca="1">IFERROR(__xludf.DUMMYFUNCTION("""COMPUTED_VALUE"""),"2022-07-04T15:42:11.153Z")</f>
        <v>2022-07-04T15:42:11.153Z</v>
      </c>
    </row>
    <row r="1432" spans="1:10" x14ac:dyDescent="0.2">
      <c r="A1432" s="2" t="str">
        <f ca="1">IFERROR(__xludf.DUMMYFUNCTION("""COMPUTED_VALUE"""),"https://www.facebook.com/ojcuison109")</f>
        <v>https://www.facebook.com/ojcuison109</v>
      </c>
      <c r="B1432" s="1" t="str">
        <f ca="1">IFERROR(__xludf.DUMMYFUNCTION("""COMPUTED_VALUE"""),"Jo Sui")</f>
        <v>Jo Sui</v>
      </c>
      <c r="C1432" s="1" t="str">
        <f ca="1">IFERROR(__xludf.DUMMYFUNCTION("""COMPUTED_VALUE"""),"Jo")</f>
        <v>Jo</v>
      </c>
      <c r="D1432" s="1" t="str">
        <f ca="1">IFERROR(__xludf.DUMMYFUNCTION("""COMPUTED_VALUE"""),"Sui")</f>
        <v>Sui</v>
      </c>
      <c r="E1432" s="1" t="str">
        <f ca="1">IFERROR(__xludf.DUMMYFUNCTION("""COMPUTED_VALUE"""),"Mabuhay Makabayang Kakampink i love you all 💗")</f>
        <v>Mabuhay Makabayang Kakampink i love you all 💗</v>
      </c>
      <c r="F1432" s="1">
        <f ca="1">IFERROR(__xludf.DUMMYFUNCTION("""COMPUTED_VALUE"""),15)</f>
        <v>15</v>
      </c>
      <c r="G1432" s="1" t="str">
        <f ca="1">IFERROR(__xludf.DUMMYFUNCTION("""COMPUTED_VALUE"""),"3 mos")</f>
        <v>3 mos</v>
      </c>
      <c r="H1432" s="1" t="str">
        <f ca="1">IFERROR(__xludf.DUMMYFUNCTION("""COMPUTED_VALUE"""),"comment")</f>
        <v>comment</v>
      </c>
      <c r="I1432" s="2" t="str">
        <f ca="1">IFERROR(__xludf.DUMMYFUNCTION("""COMPUTED_VALUE"""),"https://www.facebook.com/watch/?v=570590637273208")</f>
        <v>https://www.facebook.com/watch/?v=570590637273208</v>
      </c>
      <c r="J1432" s="1" t="str">
        <f ca="1">IFERROR(__xludf.DUMMYFUNCTION("""COMPUTED_VALUE"""),"2022-07-04T15:42:11.153Z")</f>
        <v>2022-07-04T15:42:11.153Z</v>
      </c>
    </row>
    <row r="1433" spans="1:10" x14ac:dyDescent="0.2">
      <c r="A1433" s="2" t="str">
        <f ca="1">IFERROR(__xludf.DUMMYFUNCTION("""COMPUTED_VALUE"""),"https://www.facebook.com/ernie.lebrillarigo")</f>
        <v>https://www.facebook.com/ernie.lebrillarigo</v>
      </c>
      <c r="B1433" s="1" t="str">
        <f ca="1">IFERROR(__xludf.DUMMYFUNCTION("""COMPUTED_VALUE"""),"Ernie Lebrilla Rigo")</f>
        <v>Ernie Lebrilla Rigo</v>
      </c>
      <c r="C1433" s="1" t="str">
        <f ca="1">IFERROR(__xludf.DUMMYFUNCTION("""COMPUTED_VALUE"""),"Ernie")</f>
        <v>Ernie</v>
      </c>
      <c r="D1433" s="1" t="str">
        <f ca="1">IFERROR(__xludf.DUMMYFUNCTION("""COMPUTED_VALUE"""),"Lebrilla Rigo")</f>
        <v>Lebrilla Rigo</v>
      </c>
      <c r="E1433" s="1" t="str">
        <f ca="1">IFERROR(__xludf.DUMMYFUNCTION("""COMPUTED_VALUE"""),"Kaya iboto natin si atty/ doc j montemayor cya lng ang may malasakit sa taong bayan alam nya ang batas,kalusugan at economiya kaya mga kapwa ko pilipino gumising na kayu wag kayung maniwala sa kasikatan  ng isamg kandidato ang makatulong sa atin ngayung p"&amp;"anahun yung may malasakit sa taong bayan si atty/ montemayor")</f>
        <v>Kaya iboto natin si atty/ doc j montemayor cya lng ang may malasakit sa taong bayan alam nya ang batas,kalusugan at economiya kaya mga kapwa ko pilipino gumising na kayu wag kayung maniwala sa kasikatan  ng isamg kandidato ang makatulong sa atin ngayung panahun yung may malasakit sa taong bayan si atty/ montemayor</v>
      </c>
      <c r="F1433" s="1">
        <f ca="1">IFERROR(__xludf.DUMMYFUNCTION("""COMPUTED_VALUE"""),8)</f>
        <v>8</v>
      </c>
      <c r="G1433" s="1" t="str">
        <f ca="1">IFERROR(__xludf.DUMMYFUNCTION("""COMPUTED_VALUE"""),"3 mos")</f>
        <v>3 mos</v>
      </c>
      <c r="H1433" s="1" t="str">
        <f ca="1">IFERROR(__xludf.DUMMYFUNCTION("""COMPUTED_VALUE"""),"comment")</f>
        <v>comment</v>
      </c>
      <c r="I1433" s="2" t="str">
        <f ca="1">IFERROR(__xludf.DUMMYFUNCTION("""COMPUTED_VALUE"""),"https://www.facebook.com/watch/?v=570590637273208")</f>
        <v>https://www.facebook.com/watch/?v=570590637273208</v>
      </c>
      <c r="J1433" s="1" t="str">
        <f ca="1">IFERROR(__xludf.DUMMYFUNCTION("""COMPUTED_VALUE"""),"2022-07-04T15:42:11.153Z")</f>
        <v>2022-07-04T15:42:11.153Z</v>
      </c>
    </row>
    <row r="1434" spans="1:10" x14ac:dyDescent="0.2">
      <c r="A1434" s="2" t="str">
        <f ca="1">IFERROR(__xludf.DUMMYFUNCTION("""COMPUTED_VALUE"""),"https://www.facebook.com/melyn.eridao")</f>
        <v>https://www.facebook.com/melyn.eridao</v>
      </c>
      <c r="B1434" s="1" t="str">
        <f ca="1">IFERROR(__xludf.DUMMYFUNCTION("""COMPUTED_VALUE"""),"Melyn Del Mundo Eridao")</f>
        <v>Melyn Del Mundo Eridao</v>
      </c>
      <c r="C1434" s="1" t="str">
        <f ca="1">IFERROR(__xludf.DUMMYFUNCTION("""COMPUTED_VALUE"""),"Melyn")</f>
        <v>Melyn</v>
      </c>
      <c r="D1434" s="1" t="str">
        <f ca="1">IFERROR(__xludf.DUMMYFUNCTION("""COMPUTED_VALUE"""),"Del Mundo Eridao")</f>
        <v>Del Mundo Eridao</v>
      </c>
      <c r="E1434" s="1" t="str">
        <f ca="1">IFERROR(__xludf.DUMMYFUNCTION("""COMPUTED_VALUE"""),"GOBYERNONG TAPAT ANGAT BUHAY LAHAT….KULAY ROSAS ANG BUKAS….🌸🌷💗💝💖💕💞💓")</f>
        <v>GOBYERNONG TAPAT ANGAT BUHAY LAHAT….KULAY ROSAS ANG BUKAS….🌸🌷💗💝💖💕💞💓</v>
      </c>
      <c r="F1434" s="1"/>
      <c r="G1434" s="1" t="str">
        <f ca="1">IFERROR(__xludf.DUMMYFUNCTION("""COMPUTED_VALUE"""),"3 mos")</f>
        <v>3 mos</v>
      </c>
      <c r="H1434" s="1" t="str">
        <f ca="1">IFERROR(__xludf.DUMMYFUNCTION("""COMPUTED_VALUE"""),"comment")</f>
        <v>comment</v>
      </c>
      <c r="I1434" s="2" t="str">
        <f ca="1">IFERROR(__xludf.DUMMYFUNCTION("""COMPUTED_VALUE"""),"https://www.facebook.com/watch/?v=570590637273208")</f>
        <v>https://www.facebook.com/watch/?v=570590637273208</v>
      </c>
      <c r="J1434" s="1" t="str">
        <f ca="1">IFERROR(__xludf.DUMMYFUNCTION("""COMPUTED_VALUE"""),"2022-07-04T15:42:11.153Z")</f>
        <v>2022-07-04T15:42:11.153Z</v>
      </c>
    </row>
    <row r="1435" spans="1:10" x14ac:dyDescent="0.2">
      <c r="A1435" s="2" t="str">
        <f ca="1">IFERROR(__xludf.DUMMYFUNCTION("""COMPUTED_VALUE"""),"https://www.facebook.com/yuseri.rashida")</f>
        <v>https://www.facebook.com/yuseri.rashida</v>
      </c>
      <c r="B1435" s="1" t="str">
        <f ca="1">IFERROR(__xludf.DUMMYFUNCTION("""COMPUTED_VALUE"""),"Yuseri Rashida")</f>
        <v>Yuseri Rashida</v>
      </c>
      <c r="C1435" s="1" t="str">
        <f ca="1">IFERROR(__xludf.DUMMYFUNCTION("""COMPUTED_VALUE"""),"Yuseri")</f>
        <v>Yuseri</v>
      </c>
      <c r="D1435" s="1" t="str">
        <f ca="1">IFERROR(__xludf.DUMMYFUNCTION("""COMPUTED_VALUE"""),"Rashida")</f>
        <v>Rashida</v>
      </c>
      <c r="E1435" s="1" t="str">
        <f ca="1">IFERROR(__xludf.DUMMYFUNCTION("""COMPUTED_VALUE"""),"Kakampinks! Congratulations🙏💜💖💕💗💝💝")</f>
        <v>Kakampinks! Congratulations🙏💜💖💕💗💝💝</v>
      </c>
      <c r="F1435" s="1">
        <f ca="1">IFERROR(__xludf.DUMMYFUNCTION("""COMPUTED_VALUE"""),8)</f>
        <v>8</v>
      </c>
      <c r="G1435" s="1" t="str">
        <f ca="1">IFERROR(__xludf.DUMMYFUNCTION("""COMPUTED_VALUE"""),"3 mos")</f>
        <v>3 mos</v>
      </c>
      <c r="H1435" s="1" t="str">
        <f ca="1">IFERROR(__xludf.DUMMYFUNCTION("""COMPUTED_VALUE"""),"comment")</f>
        <v>comment</v>
      </c>
      <c r="I1435" s="2" t="str">
        <f ca="1">IFERROR(__xludf.DUMMYFUNCTION("""COMPUTED_VALUE"""),"https://www.facebook.com/watch/?v=570590637273208")</f>
        <v>https://www.facebook.com/watch/?v=570590637273208</v>
      </c>
      <c r="J1435" s="1" t="str">
        <f ca="1">IFERROR(__xludf.DUMMYFUNCTION("""COMPUTED_VALUE"""),"2022-07-04T15:42:11.153Z")</f>
        <v>2022-07-04T15:42:11.153Z</v>
      </c>
    </row>
    <row r="1436" spans="1:10" x14ac:dyDescent="0.2">
      <c r="A1436" s="2" t="str">
        <f ca="1">IFERROR(__xludf.DUMMYFUNCTION("""COMPUTED_VALUE"""),"https://www.facebook.com/francisco.deriquito")</f>
        <v>https://www.facebook.com/francisco.deriquito</v>
      </c>
      <c r="B1436" s="1" t="str">
        <f ca="1">IFERROR(__xludf.DUMMYFUNCTION("""COMPUTED_VALUE"""),"Frank Deriquito")</f>
        <v>Frank Deriquito</v>
      </c>
      <c r="C1436" s="1" t="str">
        <f ca="1">IFERROR(__xludf.DUMMYFUNCTION("""COMPUTED_VALUE"""),"Frank")</f>
        <v>Frank</v>
      </c>
      <c r="D1436" s="1" t="str">
        <f ca="1">IFERROR(__xludf.DUMMYFUNCTION("""COMPUTED_VALUE"""),"Deriquito")</f>
        <v>Deriquito</v>
      </c>
      <c r="E1436" s="1" t="str">
        <f ca="1">IFERROR(__xludf.DUMMYFUNCTION("""COMPUTED_VALUE"""),"God bless all kakampinks🙏❤🙏")</f>
        <v>God bless all kakampinks🙏❤🙏</v>
      </c>
      <c r="F1436" s="1"/>
      <c r="G1436" s="1" t="str">
        <f ca="1">IFERROR(__xludf.DUMMYFUNCTION("""COMPUTED_VALUE"""),"3 mos")</f>
        <v>3 mos</v>
      </c>
      <c r="H1436" s="1" t="str">
        <f ca="1">IFERROR(__xludf.DUMMYFUNCTION("""COMPUTED_VALUE"""),"comment")</f>
        <v>comment</v>
      </c>
      <c r="I1436" s="2" t="str">
        <f ca="1">IFERROR(__xludf.DUMMYFUNCTION("""COMPUTED_VALUE"""),"https://www.facebook.com/watch/?v=570590637273208")</f>
        <v>https://www.facebook.com/watch/?v=570590637273208</v>
      </c>
      <c r="J1436" s="1" t="str">
        <f ca="1">IFERROR(__xludf.DUMMYFUNCTION("""COMPUTED_VALUE"""),"2022-07-04T15:42:11.153Z")</f>
        <v>2022-07-04T15:42:11.153Z</v>
      </c>
    </row>
    <row r="1437" spans="1:10" x14ac:dyDescent="0.2">
      <c r="A1437" s="2" t="str">
        <f ca="1">IFERROR(__xludf.DUMMYFUNCTION("""COMPUTED_VALUE"""),"https://www.facebook.com/naty.relato")</f>
        <v>https://www.facebook.com/naty.relato</v>
      </c>
      <c r="B1437" s="1" t="str">
        <f ca="1">IFERROR(__xludf.DUMMYFUNCTION("""COMPUTED_VALUE"""),"Naty Relato")</f>
        <v>Naty Relato</v>
      </c>
      <c r="C1437" s="1" t="str">
        <f ca="1">IFERROR(__xludf.DUMMYFUNCTION("""COMPUTED_VALUE"""),"Naty")</f>
        <v>Naty</v>
      </c>
      <c r="D1437" s="1" t="str">
        <f ca="1">IFERROR(__xludf.DUMMYFUNCTION("""COMPUTED_VALUE"""),"Relato")</f>
        <v>Relato</v>
      </c>
      <c r="E1437" s="1" t="str">
        <f ca="1">IFERROR(__xludf.DUMMYFUNCTION("""COMPUTED_VALUE"""),"Be safe kakampinks God bless you all")</f>
        <v>Be safe kakampinks God bless you all</v>
      </c>
      <c r="F1437" s="1">
        <f ca="1">IFERROR(__xludf.DUMMYFUNCTION("""COMPUTED_VALUE"""),6)</f>
        <v>6</v>
      </c>
      <c r="G1437" s="1" t="str">
        <f ca="1">IFERROR(__xludf.DUMMYFUNCTION("""COMPUTED_VALUE"""),"3 mos")</f>
        <v>3 mos</v>
      </c>
      <c r="H1437" s="1" t="str">
        <f ca="1">IFERROR(__xludf.DUMMYFUNCTION("""COMPUTED_VALUE"""),"comment")</f>
        <v>comment</v>
      </c>
      <c r="I1437" s="2" t="str">
        <f ca="1">IFERROR(__xludf.DUMMYFUNCTION("""COMPUTED_VALUE"""),"https://www.facebook.com/watch/?v=570590637273208")</f>
        <v>https://www.facebook.com/watch/?v=570590637273208</v>
      </c>
      <c r="J1437" s="1" t="str">
        <f ca="1">IFERROR(__xludf.DUMMYFUNCTION("""COMPUTED_VALUE"""),"2022-07-04T15:42:11.153Z")</f>
        <v>2022-07-04T15:42:11.153Z</v>
      </c>
    </row>
    <row r="1438" spans="1:10" x14ac:dyDescent="0.2">
      <c r="A1438" s="2" t="str">
        <f ca="1">IFERROR(__xludf.DUMMYFUNCTION("""COMPUTED_VALUE"""),"https://www.facebook.com/maryrosetimbol.bual")</f>
        <v>https://www.facebook.com/maryrosetimbol.bual</v>
      </c>
      <c r="B1438" s="1" t="str">
        <f ca="1">IFERROR(__xludf.DUMMYFUNCTION("""COMPUTED_VALUE"""),"Mary Rose Timbol Bual")</f>
        <v>Mary Rose Timbol Bual</v>
      </c>
      <c r="C1438" s="1" t="str">
        <f ca="1">IFERROR(__xludf.DUMMYFUNCTION("""COMPUTED_VALUE"""),"Mary")</f>
        <v>Mary</v>
      </c>
      <c r="D1438" s="1" t="str">
        <f ca="1">IFERROR(__xludf.DUMMYFUNCTION("""COMPUTED_VALUE"""),"Rose Timbol Bual")</f>
        <v>Rose Timbol Bual</v>
      </c>
      <c r="E1438" s="1" t="str">
        <f ca="1">IFERROR(__xludf.DUMMYFUNCTION("""COMPUTED_VALUE"""),"Pilipinas how much😭😭😭")</f>
        <v>Pilipinas how much😭😭😭</v>
      </c>
      <c r="F1438" s="1">
        <f ca="1">IFERROR(__xludf.DUMMYFUNCTION("""COMPUTED_VALUE"""),2)</f>
        <v>2</v>
      </c>
      <c r="G1438" s="1" t="str">
        <f ca="1">IFERROR(__xludf.DUMMYFUNCTION("""COMPUTED_VALUE"""),"3 mos")</f>
        <v>3 mos</v>
      </c>
      <c r="H1438" s="1" t="str">
        <f ca="1">IFERROR(__xludf.DUMMYFUNCTION("""COMPUTED_VALUE"""),"comment")</f>
        <v>comment</v>
      </c>
      <c r="I1438" s="2" t="str">
        <f ca="1">IFERROR(__xludf.DUMMYFUNCTION("""COMPUTED_VALUE"""),"https://www.facebook.com/watch/?v=570590637273208")</f>
        <v>https://www.facebook.com/watch/?v=570590637273208</v>
      </c>
      <c r="J1438" s="1" t="str">
        <f ca="1">IFERROR(__xludf.DUMMYFUNCTION("""COMPUTED_VALUE"""),"2022-07-04T15:42:11.153Z")</f>
        <v>2022-07-04T15:42:11.153Z</v>
      </c>
    </row>
    <row r="1439" spans="1:10" x14ac:dyDescent="0.2">
      <c r="A1439" s="2" t="str">
        <f ca="1">IFERROR(__xludf.DUMMYFUNCTION("""COMPUTED_VALUE"""),"https://www.facebook.com/maryrosetimbol.bual")</f>
        <v>https://www.facebook.com/maryrosetimbol.bual</v>
      </c>
      <c r="B1439" s="1" t="str">
        <f ca="1">IFERROR(__xludf.DUMMYFUNCTION("""COMPUTED_VALUE"""),"Mary Rose Timbol Bual")</f>
        <v>Mary Rose Timbol Bual</v>
      </c>
      <c r="C1439" s="1" t="str">
        <f ca="1">IFERROR(__xludf.DUMMYFUNCTION("""COMPUTED_VALUE"""),"Mary")</f>
        <v>Mary</v>
      </c>
      <c r="D1439" s="1" t="str">
        <f ca="1">IFERROR(__xludf.DUMMYFUNCTION("""COMPUTED_VALUE"""),"Rose Timbol Bual")</f>
        <v>Rose Timbol Bual</v>
      </c>
      <c r="E1439" s="1" t="b">
        <f ca="1">IFERROR(__xludf.DUMMYFUNCTION("""COMPUTED_VALUE"""),TRUE)</f>
        <v>1</v>
      </c>
      <c r="F1439" s="1">
        <f ca="1">IFERROR(__xludf.DUMMYFUNCTION("""COMPUTED_VALUE"""),1)</f>
        <v>1</v>
      </c>
      <c r="G1439" s="1" t="str">
        <f ca="1">IFERROR(__xludf.DUMMYFUNCTION("""COMPUTED_VALUE"""),"3 mos")</f>
        <v>3 mos</v>
      </c>
      <c r="H1439" s="1" t="str">
        <f ca="1">IFERROR(__xludf.DUMMYFUNCTION("""COMPUTED_VALUE"""),"reply")</f>
        <v>reply</v>
      </c>
      <c r="I1439" s="2" t="str">
        <f ca="1">IFERROR(__xludf.DUMMYFUNCTION("""COMPUTED_VALUE"""),"https://www.facebook.com/watch/?v=570590637273208")</f>
        <v>https://www.facebook.com/watch/?v=570590637273208</v>
      </c>
      <c r="J1439" s="1" t="str">
        <f ca="1">IFERROR(__xludf.DUMMYFUNCTION("""COMPUTED_VALUE"""),"2022-07-04T15:42:11.153Z")</f>
        <v>2022-07-04T15:42:11.153Z</v>
      </c>
    </row>
    <row r="1440" spans="1:10" x14ac:dyDescent="0.2">
      <c r="A1440" s="2" t="str">
        <f ca="1">IFERROR(__xludf.DUMMYFUNCTION("""COMPUTED_VALUE"""),"https://www.facebook.com/amie.maroma.9")</f>
        <v>https://www.facebook.com/amie.maroma.9</v>
      </c>
      <c r="B1440" s="1" t="str">
        <f ca="1">IFERROR(__xludf.DUMMYFUNCTION("""COMPUTED_VALUE"""),"Amie Maroma")</f>
        <v>Amie Maroma</v>
      </c>
      <c r="C1440" s="1" t="str">
        <f ca="1">IFERROR(__xludf.DUMMYFUNCTION("""COMPUTED_VALUE"""),"Amie")</f>
        <v>Amie</v>
      </c>
      <c r="D1440" s="1" t="str">
        <f ca="1">IFERROR(__xludf.DUMMYFUNCTION("""COMPUTED_VALUE"""),"Maroma")</f>
        <v>Maroma</v>
      </c>
      <c r="E1440" s="1" t="str">
        <f ca="1">IFERROR(__xludf.DUMMYFUNCTION("""COMPUTED_VALUE"""),"LeniKiko2022💕🙏💕")</f>
        <v>LeniKiko2022💕🙏💕</v>
      </c>
      <c r="F1440" s="1">
        <f ca="1">IFERROR(__xludf.DUMMYFUNCTION("""COMPUTED_VALUE"""),13)</f>
        <v>13</v>
      </c>
      <c r="G1440" s="1" t="str">
        <f ca="1">IFERROR(__xludf.DUMMYFUNCTION("""COMPUTED_VALUE"""),"3 mos")</f>
        <v>3 mos</v>
      </c>
      <c r="H1440" s="1" t="str">
        <f ca="1">IFERROR(__xludf.DUMMYFUNCTION("""COMPUTED_VALUE"""),"comment")</f>
        <v>comment</v>
      </c>
      <c r="I1440" s="2" t="str">
        <f ca="1">IFERROR(__xludf.DUMMYFUNCTION("""COMPUTED_VALUE"""),"https://www.facebook.com/watch/?v=570590637273208")</f>
        <v>https://www.facebook.com/watch/?v=570590637273208</v>
      </c>
      <c r="J1440" s="1" t="str">
        <f ca="1">IFERROR(__xludf.DUMMYFUNCTION("""COMPUTED_VALUE"""),"2022-07-04T15:42:11.153Z")</f>
        <v>2022-07-04T15:42:11.153Z</v>
      </c>
    </row>
    <row r="1441" spans="1:10" x14ac:dyDescent="0.2">
      <c r="A1441" s="2" t="str">
        <f ca="1">IFERROR(__xludf.DUMMYFUNCTION("""COMPUTED_VALUE"""),"https://www.facebook.com/lucy.reeves.792")</f>
        <v>https://www.facebook.com/lucy.reeves.792</v>
      </c>
      <c r="B1441" s="1" t="str">
        <f ca="1">IFERROR(__xludf.DUMMYFUNCTION("""COMPUTED_VALUE"""),"Lucy Reeves")</f>
        <v>Lucy Reeves</v>
      </c>
      <c r="C1441" s="1" t="str">
        <f ca="1">IFERROR(__xludf.DUMMYFUNCTION("""COMPUTED_VALUE"""),"Lucy")</f>
        <v>Lucy</v>
      </c>
      <c r="D1441" s="1" t="str">
        <f ca="1">IFERROR(__xludf.DUMMYFUNCTION("""COMPUTED_VALUE"""),"Reeves")</f>
        <v>Reeves</v>
      </c>
      <c r="E1441" s="1" t="str">
        <f ca="1">IFERROR(__xludf.DUMMYFUNCTION("""COMPUTED_VALUE"""),"MABUHAY kayo mga Kakampink sa Nueva Ecija GOD BLESS you")</f>
        <v>MABUHAY kayo mga Kakampink sa Nueva Ecija GOD BLESS you</v>
      </c>
      <c r="F1441" s="1">
        <f ca="1">IFERROR(__xludf.DUMMYFUNCTION("""COMPUTED_VALUE"""),8)</f>
        <v>8</v>
      </c>
      <c r="G1441" s="1" t="str">
        <f ca="1">IFERROR(__xludf.DUMMYFUNCTION("""COMPUTED_VALUE"""),"3 mos")</f>
        <v>3 mos</v>
      </c>
      <c r="H1441" s="1" t="str">
        <f ca="1">IFERROR(__xludf.DUMMYFUNCTION("""COMPUTED_VALUE"""),"comment")</f>
        <v>comment</v>
      </c>
      <c r="I1441" s="2" t="str">
        <f ca="1">IFERROR(__xludf.DUMMYFUNCTION("""COMPUTED_VALUE"""),"https://www.facebook.com/watch/?v=570590637273208")</f>
        <v>https://www.facebook.com/watch/?v=570590637273208</v>
      </c>
      <c r="J1441" s="1" t="str">
        <f ca="1">IFERROR(__xludf.DUMMYFUNCTION("""COMPUTED_VALUE"""),"2022-07-04T15:42:11.153Z")</f>
        <v>2022-07-04T15:42:11.153Z</v>
      </c>
    </row>
    <row r="1442" spans="1:10" x14ac:dyDescent="0.2">
      <c r="A1442" s="2" t="str">
        <f ca="1">IFERROR(__xludf.DUMMYFUNCTION("""COMPUTED_VALUE"""),"https://www.facebook.com/cortesobet.shooter")</f>
        <v>https://www.facebook.com/cortesobet.shooter</v>
      </c>
      <c r="B1442" s="1" t="str">
        <f ca="1">IFERROR(__xludf.DUMMYFUNCTION("""COMPUTED_VALUE"""),"Obet Cartagena")</f>
        <v>Obet Cartagena</v>
      </c>
      <c r="C1442" s="1" t="str">
        <f ca="1">IFERROR(__xludf.DUMMYFUNCTION("""COMPUTED_VALUE"""),"Obet")</f>
        <v>Obet</v>
      </c>
      <c r="D1442" s="1" t="str">
        <f ca="1">IFERROR(__xludf.DUMMYFUNCTION("""COMPUTED_VALUE"""),"Cartagena")</f>
        <v>Cartagena</v>
      </c>
      <c r="E1442" s="1" t="str">
        <f ca="1">IFERROR(__xludf.DUMMYFUNCTION("""COMPUTED_VALUE"""),"Maraming salamat po🙏🙏🙏👍💓💓💓💓")</f>
        <v>Maraming salamat po🙏🙏🙏👍💓💓💓💓</v>
      </c>
      <c r="F1442" s="1"/>
      <c r="G1442" s="1" t="str">
        <f ca="1">IFERROR(__xludf.DUMMYFUNCTION("""COMPUTED_VALUE"""),"3 mos")</f>
        <v>3 mos</v>
      </c>
      <c r="H1442" s="1" t="str">
        <f ca="1">IFERROR(__xludf.DUMMYFUNCTION("""COMPUTED_VALUE"""),"comment")</f>
        <v>comment</v>
      </c>
      <c r="I1442" s="2" t="str">
        <f ca="1">IFERROR(__xludf.DUMMYFUNCTION("""COMPUTED_VALUE"""),"https://www.facebook.com/watch/?v=570590637273208")</f>
        <v>https://www.facebook.com/watch/?v=570590637273208</v>
      </c>
      <c r="J1442" s="1" t="str">
        <f ca="1">IFERROR(__xludf.DUMMYFUNCTION("""COMPUTED_VALUE"""),"2022-07-04T15:42:11.153Z")</f>
        <v>2022-07-04T15:42:11.153Z</v>
      </c>
    </row>
    <row r="1443" spans="1:10" x14ac:dyDescent="0.2">
      <c r="A1443" s="2" t="str">
        <f ca="1">IFERROR(__xludf.DUMMYFUNCTION("""COMPUTED_VALUE"""),"https://www.facebook.com/RitaAvilaBooksforChildren")</f>
        <v>https://www.facebook.com/RitaAvilaBooksforChildren</v>
      </c>
      <c r="B1443" s="1" t="str">
        <f ca="1">IFERROR(__xludf.DUMMYFUNCTION("""COMPUTED_VALUE"""),"Rita Avila")</f>
        <v>Rita Avila</v>
      </c>
      <c r="C1443" s="1" t="str">
        <f ca="1">IFERROR(__xludf.DUMMYFUNCTION("""COMPUTED_VALUE"""),"Rita")</f>
        <v>Rita</v>
      </c>
      <c r="D1443" s="1" t="str">
        <f ca="1">IFERROR(__xludf.DUMMYFUNCTION("""COMPUTED_VALUE"""),"Avila")</f>
        <v>Avila</v>
      </c>
      <c r="E1443" s="1" t="str">
        <f ca="1">IFERROR(__xludf.DUMMYFUNCTION("""COMPUTED_VALUE"""),"PRAYERS for all… Kakampinks o hindi. Mahiya tayo sa Diyos sa mga ginagawa nating hindi kaaya-aya.")</f>
        <v>PRAYERS for all… Kakampinks o hindi. Mahiya tayo sa Diyos sa mga ginagawa nating hindi kaaya-aya.</v>
      </c>
      <c r="F1443" s="1">
        <f ca="1">IFERROR(__xludf.DUMMYFUNCTION("""COMPUTED_VALUE"""),111)</f>
        <v>111</v>
      </c>
      <c r="G1443" s="1" t="str">
        <f ca="1">IFERROR(__xludf.DUMMYFUNCTION("""COMPUTED_VALUE"""),"3 mos")</f>
        <v>3 mos</v>
      </c>
      <c r="H1443" s="1" t="str">
        <f ca="1">IFERROR(__xludf.DUMMYFUNCTION("""COMPUTED_VALUE"""),"comment")</f>
        <v>comment</v>
      </c>
      <c r="I1443" s="2" t="str">
        <f ca="1">IFERROR(__xludf.DUMMYFUNCTION("""COMPUTED_VALUE"""),"https://www.facebook.com/watch/live/?ref=watch_permalink&amp;v=360307549312104")</f>
        <v>https://www.facebook.com/watch/live/?ref=watch_permalink&amp;v=360307549312104</v>
      </c>
      <c r="J1443" s="1" t="str">
        <f ca="1">IFERROR(__xludf.DUMMYFUNCTION("""COMPUTED_VALUE"""),"2022-07-04T15:42:44.430Z")</f>
        <v>2022-07-04T15:42:44.430Z</v>
      </c>
    </row>
    <row r="1444" spans="1:10" x14ac:dyDescent="0.2">
      <c r="A1444" s="2" t="str">
        <f ca="1">IFERROR(__xludf.DUMMYFUNCTION("""COMPUTED_VALUE"""),"https://www.facebook.com/romiel.cabrezajr")</f>
        <v>https://www.facebook.com/romiel.cabrezajr</v>
      </c>
      <c r="B1444" s="1" t="str">
        <f ca="1">IFERROR(__xludf.DUMMYFUNCTION("""COMPUTED_VALUE"""),"Romeo Peñaflor Cabreza Jr.")</f>
        <v>Romeo Peñaflor Cabreza Jr.</v>
      </c>
      <c r="C1444" s="1" t="str">
        <f ca="1">IFERROR(__xludf.DUMMYFUNCTION("""COMPUTED_VALUE"""),"Romeo")</f>
        <v>Romeo</v>
      </c>
      <c r="D1444" s="1" t="str">
        <f ca="1">IFERROR(__xludf.DUMMYFUNCTION("""COMPUTED_VALUE"""),"Peñaflor Cabreza Jr.")</f>
        <v>Peñaflor Cabreza Jr.</v>
      </c>
      <c r="E1444" s="1" t="str">
        <f ca="1">IFERROR(__xludf.DUMMYFUNCTION("""COMPUTED_VALUE"""),"Opo madam! 💖🥰🌹🙏")</f>
        <v>Opo madam! 💖🥰🌹🙏</v>
      </c>
      <c r="F1444" s="1"/>
      <c r="G1444" s="1" t="str">
        <f ca="1">IFERROR(__xludf.DUMMYFUNCTION("""COMPUTED_VALUE"""),"3 mos")</f>
        <v>3 mos</v>
      </c>
      <c r="H1444" s="1" t="str">
        <f ca="1">IFERROR(__xludf.DUMMYFUNCTION("""COMPUTED_VALUE"""),"reply")</f>
        <v>reply</v>
      </c>
      <c r="I1444" s="2" t="str">
        <f ca="1">IFERROR(__xludf.DUMMYFUNCTION("""COMPUTED_VALUE"""),"https://www.facebook.com/watch/live/?ref=watch_permalink&amp;v=360307549312104")</f>
        <v>https://www.facebook.com/watch/live/?ref=watch_permalink&amp;v=360307549312104</v>
      </c>
      <c r="J1444" s="1" t="str">
        <f ca="1">IFERROR(__xludf.DUMMYFUNCTION("""COMPUTED_VALUE"""),"2022-07-04T15:42:44.430Z")</f>
        <v>2022-07-04T15:42:44.430Z</v>
      </c>
    </row>
    <row r="1445" spans="1:10" x14ac:dyDescent="0.2">
      <c r="A1445" s="2" t="str">
        <f ca="1">IFERROR(__xludf.DUMMYFUNCTION("""COMPUTED_VALUE"""),"https://www.facebook.com/raulg.azcuna")</f>
        <v>https://www.facebook.com/raulg.azcuna</v>
      </c>
      <c r="B1445" s="1" t="str">
        <f ca="1">IFERROR(__xludf.DUMMYFUNCTION("""COMPUTED_VALUE"""),"Raul G Azcuna")</f>
        <v>Raul G Azcuna</v>
      </c>
      <c r="C1445" s="1" t="str">
        <f ca="1">IFERROR(__xludf.DUMMYFUNCTION("""COMPUTED_VALUE"""),"Raul")</f>
        <v>Raul</v>
      </c>
      <c r="D1445" s="1" t="str">
        <f ca="1">IFERROR(__xludf.DUMMYFUNCTION("""COMPUTED_VALUE"""),"G Azcuna")</f>
        <v>G Azcuna</v>
      </c>
      <c r="E1445" s="1" t="str">
        <f ca="1">IFERROR(__xludf.DUMMYFUNCTION("""COMPUTED_VALUE"""),"Rita Avila ano? Mahiya sa duos sa mga ginagawang hindi kayaaya? Yun bang gamitin ang simbahan para sa pansariling kapakanan eh kaayaaya? Tingin din sa sarili ha?")</f>
        <v>Rita Avila ano? Mahiya sa duos sa mga ginagawang hindi kayaaya? Yun bang gamitin ang simbahan para sa pansariling kapakanan eh kaayaaya? Tingin din sa sarili ha?</v>
      </c>
      <c r="F1445" s="1"/>
      <c r="G1445" s="1" t="str">
        <f ca="1">IFERROR(__xludf.DUMMYFUNCTION("""COMPUTED_VALUE"""),"3 mos")</f>
        <v>3 mos</v>
      </c>
      <c r="H1445" s="1" t="str">
        <f ca="1">IFERROR(__xludf.DUMMYFUNCTION("""COMPUTED_VALUE"""),"reply")</f>
        <v>reply</v>
      </c>
      <c r="I1445" s="2" t="str">
        <f ca="1">IFERROR(__xludf.DUMMYFUNCTION("""COMPUTED_VALUE"""),"https://www.facebook.com/watch/live/?ref=watch_permalink&amp;v=360307549312104")</f>
        <v>https://www.facebook.com/watch/live/?ref=watch_permalink&amp;v=360307549312104</v>
      </c>
      <c r="J1445" s="1" t="str">
        <f ca="1">IFERROR(__xludf.DUMMYFUNCTION("""COMPUTED_VALUE"""),"2022-07-04T15:42:44.430Z")</f>
        <v>2022-07-04T15:42:44.430Z</v>
      </c>
    </row>
    <row r="1446" spans="1:10" x14ac:dyDescent="0.2">
      <c r="A1446" s="2" t="str">
        <f ca="1">IFERROR(__xludf.DUMMYFUNCTION("""COMPUTED_VALUE"""),"https://www.facebook.com/RitaAvilaBooksforChildren")</f>
        <v>https://www.facebook.com/RitaAvilaBooksforChildren</v>
      </c>
      <c r="B1446" s="1" t="str">
        <f ca="1">IFERROR(__xludf.DUMMYFUNCTION("""COMPUTED_VALUE"""),"Rita Avila")</f>
        <v>Rita Avila</v>
      </c>
      <c r="C1446" s="1" t="str">
        <f ca="1">IFERROR(__xludf.DUMMYFUNCTION("""COMPUTED_VALUE"""),"Rita")</f>
        <v>Rita</v>
      </c>
      <c r="D1446" s="1" t="str">
        <f ca="1">IFERROR(__xludf.DUMMYFUNCTION("""COMPUTED_VALUE"""),"Avila")</f>
        <v>Avila</v>
      </c>
      <c r="E1446" s="1" t="str">
        <f ca="1">IFERROR(__xludf.DUMMYFUNCTION("""COMPUTED_VALUE"""),"Raul G Azcuna duh d ka nagbabasa ng news")</f>
        <v>Raul G Azcuna duh d ka nagbabasa ng news</v>
      </c>
      <c r="F1446" s="1">
        <f ca="1">IFERROR(__xludf.DUMMYFUNCTION("""COMPUTED_VALUE"""),5)</f>
        <v>5</v>
      </c>
      <c r="G1446" s="1" t="str">
        <f ca="1">IFERROR(__xludf.DUMMYFUNCTION("""COMPUTED_VALUE"""),"3 mos")</f>
        <v>3 mos</v>
      </c>
      <c r="H1446" s="1" t="str">
        <f ca="1">IFERROR(__xludf.DUMMYFUNCTION("""COMPUTED_VALUE"""),"reply")</f>
        <v>reply</v>
      </c>
      <c r="I1446" s="2" t="str">
        <f ca="1">IFERROR(__xludf.DUMMYFUNCTION("""COMPUTED_VALUE"""),"https://www.facebook.com/watch/live/?ref=watch_permalink&amp;v=360307549312104")</f>
        <v>https://www.facebook.com/watch/live/?ref=watch_permalink&amp;v=360307549312104</v>
      </c>
      <c r="J1446" s="1" t="str">
        <f ca="1">IFERROR(__xludf.DUMMYFUNCTION("""COMPUTED_VALUE"""),"2022-07-04T15:42:44.430Z")</f>
        <v>2022-07-04T15:42:44.430Z</v>
      </c>
    </row>
    <row r="1447" spans="1:10" x14ac:dyDescent="0.2">
      <c r="A1447" s="2" t="str">
        <f ca="1">IFERROR(__xludf.DUMMYFUNCTION("""COMPUTED_VALUE"""),"https://www.facebook.com/mheldzkie.jean.1")</f>
        <v>https://www.facebook.com/mheldzkie.jean.1</v>
      </c>
      <c r="B1447" s="1" t="str">
        <f ca="1">IFERROR(__xludf.DUMMYFUNCTION("""COMPUTED_VALUE"""),"Mheldzkie Jean")</f>
        <v>Mheldzkie Jean</v>
      </c>
      <c r="C1447" s="1" t="str">
        <f ca="1">IFERROR(__xludf.DUMMYFUNCTION("""COMPUTED_VALUE"""),"Mheldzkie")</f>
        <v>Mheldzkie</v>
      </c>
      <c r="D1447" s="1" t="str">
        <f ca="1">IFERROR(__xludf.DUMMYFUNCTION("""COMPUTED_VALUE"""),"Jean")</f>
        <v>Jean</v>
      </c>
      <c r="E1447" s="1" t="str">
        <f ca="1">IFERROR(__xludf.DUMMYFUNCTION("""COMPUTED_VALUE"""),"Rita Avila hello po maam avila")</f>
        <v>Rita Avila hello po maam avila</v>
      </c>
      <c r="F1447" s="1">
        <f ca="1">IFERROR(__xludf.DUMMYFUNCTION("""COMPUTED_VALUE"""),1)</f>
        <v>1</v>
      </c>
      <c r="G1447" s="1" t="str">
        <f ca="1">IFERROR(__xludf.DUMMYFUNCTION("""COMPUTED_VALUE"""),"3 mos")</f>
        <v>3 mos</v>
      </c>
      <c r="H1447" s="1" t="str">
        <f ca="1">IFERROR(__xludf.DUMMYFUNCTION("""COMPUTED_VALUE"""),"reply")</f>
        <v>reply</v>
      </c>
      <c r="I1447" s="2" t="str">
        <f ca="1">IFERROR(__xludf.DUMMYFUNCTION("""COMPUTED_VALUE"""),"https://www.facebook.com/watch/live/?ref=watch_permalink&amp;v=360307549312104")</f>
        <v>https://www.facebook.com/watch/live/?ref=watch_permalink&amp;v=360307549312104</v>
      </c>
      <c r="J1447" s="1" t="str">
        <f ca="1">IFERROR(__xludf.DUMMYFUNCTION("""COMPUTED_VALUE"""),"2022-07-04T15:42:44.430Z")</f>
        <v>2022-07-04T15:42:44.430Z</v>
      </c>
    </row>
    <row r="1448" spans="1:10" x14ac:dyDescent="0.2">
      <c r="A1448" s="2" t="str">
        <f ca="1">IFERROR(__xludf.DUMMYFUNCTION("""COMPUTED_VALUE"""),"https://www.facebook.com/divz.magz")</f>
        <v>https://www.facebook.com/divz.magz</v>
      </c>
      <c r="B1448" s="1" t="str">
        <f ca="1">IFERROR(__xludf.DUMMYFUNCTION("""COMPUTED_VALUE"""),"MorillaMagpatoc TantoySalado Div")</f>
        <v>MorillaMagpatoc TantoySalado Div</v>
      </c>
      <c r="C1448" s="1" t="str">
        <f ca="1">IFERROR(__xludf.DUMMYFUNCTION("""COMPUTED_VALUE"""),"MorillaMagpatoc")</f>
        <v>MorillaMagpatoc</v>
      </c>
      <c r="D1448" s="1" t="str">
        <f ca="1">IFERROR(__xludf.DUMMYFUNCTION("""COMPUTED_VALUE"""),"TantoySalado Div")</f>
        <v>TantoySalado Div</v>
      </c>
      <c r="E1448" s="1" t="str">
        <f ca="1">IFERROR(__xludf.DUMMYFUNCTION("""COMPUTED_VALUE"""),"Hi miss rita Avila 😘")</f>
        <v>Hi miss rita Avila 😘</v>
      </c>
      <c r="F1448" s="1"/>
      <c r="G1448" s="1" t="str">
        <f ca="1">IFERROR(__xludf.DUMMYFUNCTION("""COMPUTED_VALUE"""),"3 mos")</f>
        <v>3 mos</v>
      </c>
      <c r="H1448" s="1" t="str">
        <f ca="1">IFERROR(__xludf.DUMMYFUNCTION("""COMPUTED_VALUE"""),"reply")</f>
        <v>reply</v>
      </c>
      <c r="I1448" s="2" t="str">
        <f ca="1">IFERROR(__xludf.DUMMYFUNCTION("""COMPUTED_VALUE"""),"https://www.facebook.com/watch/live/?ref=watch_permalink&amp;v=360307549312104")</f>
        <v>https://www.facebook.com/watch/live/?ref=watch_permalink&amp;v=360307549312104</v>
      </c>
      <c r="J1448" s="1" t="str">
        <f ca="1">IFERROR(__xludf.DUMMYFUNCTION("""COMPUTED_VALUE"""),"2022-07-04T15:42:44.431Z")</f>
        <v>2022-07-04T15:42:44.431Z</v>
      </c>
    </row>
    <row r="1449" spans="1:10" x14ac:dyDescent="0.2">
      <c r="A1449" s="2" t="str">
        <f ca="1">IFERROR(__xludf.DUMMYFUNCTION("""COMPUTED_VALUE"""),"https://www.facebook.com/RitaAvilaBooksforChildren")</f>
        <v>https://www.facebook.com/RitaAvilaBooksforChildren</v>
      </c>
      <c r="B1449" s="1" t="str">
        <f ca="1">IFERROR(__xludf.DUMMYFUNCTION("""COMPUTED_VALUE"""),"Rita Avila")</f>
        <v>Rita Avila</v>
      </c>
      <c r="C1449" s="1" t="str">
        <f ca="1">IFERROR(__xludf.DUMMYFUNCTION("""COMPUTED_VALUE"""),"Rita")</f>
        <v>Rita</v>
      </c>
      <c r="D1449" s="1" t="str">
        <f ca="1">IFERROR(__xludf.DUMMYFUNCTION("""COMPUTED_VALUE"""),"Avila")</f>
        <v>Avila</v>
      </c>
      <c r="E1449" s="1" t="str">
        <f ca="1">IFERROR(__xludf.DUMMYFUNCTION("""COMPUTED_VALUE"""),"Mheldzkie Jean ☺️")</f>
        <v>Mheldzkie Jean ☺️</v>
      </c>
      <c r="F1449" s="1">
        <f ca="1">IFERROR(__xludf.DUMMYFUNCTION("""COMPUTED_VALUE"""),1)</f>
        <v>1</v>
      </c>
      <c r="G1449" s="1" t="str">
        <f ca="1">IFERROR(__xludf.DUMMYFUNCTION("""COMPUTED_VALUE"""),"3 mos")</f>
        <v>3 mos</v>
      </c>
      <c r="H1449" s="1" t="str">
        <f ca="1">IFERROR(__xludf.DUMMYFUNCTION("""COMPUTED_VALUE"""),"reply")</f>
        <v>reply</v>
      </c>
      <c r="I1449" s="2" t="str">
        <f ca="1">IFERROR(__xludf.DUMMYFUNCTION("""COMPUTED_VALUE"""),"https://www.facebook.com/watch/live/?ref=watch_permalink&amp;v=360307549312104")</f>
        <v>https://www.facebook.com/watch/live/?ref=watch_permalink&amp;v=360307549312104</v>
      </c>
      <c r="J1449" s="1" t="str">
        <f ca="1">IFERROR(__xludf.DUMMYFUNCTION("""COMPUTED_VALUE"""),"2022-07-04T15:42:44.431Z")</f>
        <v>2022-07-04T15:42:44.431Z</v>
      </c>
    </row>
    <row r="1450" spans="1:10" x14ac:dyDescent="0.2">
      <c r="A1450" s="2" t="str">
        <f ca="1">IFERROR(__xludf.DUMMYFUNCTION("""COMPUTED_VALUE"""),"https://www.facebook.com/adelfa.abuda")</f>
        <v>https://www.facebook.com/adelfa.abuda</v>
      </c>
      <c r="B1450" s="1" t="str">
        <f ca="1">IFERROR(__xludf.DUMMYFUNCTION("""COMPUTED_VALUE"""),"Adelfa Abuda")</f>
        <v>Adelfa Abuda</v>
      </c>
      <c r="C1450" s="1" t="str">
        <f ca="1">IFERROR(__xludf.DUMMYFUNCTION("""COMPUTED_VALUE"""),"Adelfa")</f>
        <v>Adelfa</v>
      </c>
      <c r="D1450" s="1" t="str">
        <f ca="1">IFERROR(__xludf.DUMMYFUNCTION("""COMPUTED_VALUE"""),"Abuda")</f>
        <v>Abuda</v>
      </c>
      <c r="E1450" s="1" t="str">
        <f ca="1">IFERROR(__xludf.DUMMYFUNCTION("""COMPUTED_VALUE"""),"Hi Rita")</f>
        <v>Hi Rita</v>
      </c>
      <c r="F1450" s="1">
        <f ca="1">IFERROR(__xludf.DUMMYFUNCTION("""COMPUTED_VALUE"""),1)</f>
        <v>1</v>
      </c>
      <c r="G1450" s="1" t="str">
        <f ca="1">IFERROR(__xludf.DUMMYFUNCTION("""COMPUTED_VALUE"""),"3 mos")</f>
        <v>3 mos</v>
      </c>
      <c r="H1450" s="1" t="str">
        <f ca="1">IFERROR(__xludf.DUMMYFUNCTION("""COMPUTED_VALUE"""),"reply")</f>
        <v>reply</v>
      </c>
      <c r="I1450" s="2" t="str">
        <f ca="1">IFERROR(__xludf.DUMMYFUNCTION("""COMPUTED_VALUE"""),"https://www.facebook.com/watch/live/?ref=watch_permalink&amp;v=360307549312104")</f>
        <v>https://www.facebook.com/watch/live/?ref=watch_permalink&amp;v=360307549312104</v>
      </c>
      <c r="J1450" s="1" t="str">
        <f ca="1">IFERROR(__xludf.DUMMYFUNCTION("""COMPUTED_VALUE"""),"2022-07-04T15:42:44.431Z")</f>
        <v>2022-07-04T15:42:44.431Z</v>
      </c>
    </row>
    <row r="1451" spans="1:10" x14ac:dyDescent="0.2">
      <c r="A1451" s="2" t="str">
        <f ca="1">IFERROR(__xludf.DUMMYFUNCTION("""COMPUTED_VALUE"""),"https://www.facebook.com/mheldzkie.jean.1")</f>
        <v>https://www.facebook.com/mheldzkie.jean.1</v>
      </c>
      <c r="B1451" s="1" t="str">
        <f ca="1">IFERROR(__xludf.DUMMYFUNCTION("""COMPUTED_VALUE"""),"Mheldzkie Jean")</f>
        <v>Mheldzkie Jean</v>
      </c>
      <c r="C1451" s="1" t="str">
        <f ca="1">IFERROR(__xludf.DUMMYFUNCTION("""COMPUTED_VALUE"""),"Mheldzkie")</f>
        <v>Mheldzkie</v>
      </c>
      <c r="D1451" s="1" t="str">
        <f ca="1">IFERROR(__xludf.DUMMYFUNCTION("""COMPUTED_VALUE"""),"Jean")</f>
        <v>Jean</v>
      </c>
      <c r="E1451" s="1" t="str">
        <f ca="1">IFERROR(__xludf.DUMMYFUNCTION("""COMPUTED_VALUE"""),"Rita Avila yes vp at kiko,,")</f>
        <v>Rita Avila yes vp at kiko,,</v>
      </c>
      <c r="F1451" s="1"/>
      <c r="G1451" s="1" t="str">
        <f ca="1">IFERROR(__xludf.DUMMYFUNCTION("""COMPUTED_VALUE"""),"3 mos")</f>
        <v>3 mos</v>
      </c>
      <c r="H1451" s="1" t="str">
        <f ca="1">IFERROR(__xludf.DUMMYFUNCTION("""COMPUTED_VALUE"""),"reply")</f>
        <v>reply</v>
      </c>
      <c r="I1451" s="2" t="str">
        <f ca="1">IFERROR(__xludf.DUMMYFUNCTION("""COMPUTED_VALUE"""),"https://www.facebook.com/watch/live/?ref=watch_permalink&amp;v=360307549312104")</f>
        <v>https://www.facebook.com/watch/live/?ref=watch_permalink&amp;v=360307549312104</v>
      </c>
      <c r="J1451" s="1" t="str">
        <f ca="1">IFERROR(__xludf.DUMMYFUNCTION("""COMPUTED_VALUE"""),"2022-07-04T15:42:44.432Z")</f>
        <v>2022-07-04T15:42:44.432Z</v>
      </c>
    </row>
    <row r="1452" spans="1:10" x14ac:dyDescent="0.2">
      <c r="A1452" s="2" t="str">
        <f ca="1">IFERROR(__xludf.DUMMYFUNCTION("""COMPUTED_VALUE"""),"https://www.facebook.com/mheldzkie.jean.1")</f>
        <v>https://www.facebook.com/mheldzkie.jean.1</v>
      </c>
      <c r="B1452" s="1" t="str">
        <f ca="1">IFERROR(__xludf.DUMMYFUNCTION("""COMPUTED_VALUE"""),"Mheldzkie Jean")</f>
        <v>Mheldzkie Jean</v>
      </c>
      <c r="C1452" s="1" t="str">
        <f ca="1">IFERROR(__xludf.DUMMYFUNCTION("""COMPUTED_VALUE"""),"Mheldzkie")</f>
        <v>Mheldzkie</v>
      </c>
      <c r="D1452" s="1" t="str">
        <f ca="1">IFERROR(__xludf.DUMMYFUNCTION("""COMPUTED_VALUE"""),"Jean")</f>
        <v>Jean</v>
      </c>
      <c r="E1452" s="1" t="str">
        <f ca="1">IFERROR(__xludf.DUMMYFUNCTION("""COMPUTED_VALUE"""),"Rita Avila wow ang daming tao,,godbless po sa inyong lahat jan")</f>
        <v>Rita Avila wow ang daming tao,,godbless po sa inyong lahat jan</v>
      </c>
      <c r="F1452" s="1"/>
      <c r="G1452" s="1" t="str">
        <f ca="1">IFERROR(__xludf.DUMMYFUNCTION("""COMPUTED_VALUE"""),"3 mos")</f>
        <v>3 mos</v>
      </c>
      <c r="H1452" s="1" t="str">
        <f ca="1">IFERROR(__xludf.DUMMYFUNCTION("""COMPUTED_VALUE"""),"reply")</f>
        <v>reply</v>
      </c>
      <c r="I1452" s="2" t="str">
        <f ca="1">IFERROR(__xludf.DUMMYFUNCTION("""COMPUTED_VALUE"""),"https://www.facebook.com/watch/live/?ref=watch_permalink&amp;v=360307549312104")</f>
        <v>https://www.facebook.com/watch/live/?ref=watch_permalink&amp;v=360307549312104</v>
      </c>
      <c r="J1452" s="1" t="str">
        <f ca="1">IFERROR(__xludf.DUMMYFUNCTION("""COMPUTED_VALUE"""),"2022-07-04T15:42:44.432Z")</f>
        <v>2022-07-04T15:42:44.432Z</v>
      </c>
    </row>
    <row r="1453" spans="1:10" x14ac:dyDescent="0.2">
      <c r="A1453" s="2" t="str">
        <f ca="1">IFERROR(__xludf.DUMMYFUNCTION("""COMPUTED_VALUE"""),"https://www.facebook.com/carizamae.mendoza")</f>
        <v>https://www.facebook.com/carizamae.mendoza</v>
      </c>
      <c r="B1453" s="1" t="str">
        <f ca="1">IFERROR(__xludf.DUMMYFUNCTION("""COMPUTED_VALUE"""),"Bal Ong")</f>
        <v>Bal Ong</v>
      </c>
      <c r="C1453" s="1" t="str">
        <f ca="1">IFERROR(__xludf.DUMMYFUNCTION("""COMPUTED_VALUE"""),"Bal")</f>
        <v>Bal</v>
      </c>
      <c r="D1453" s="1" t="str">
        <f ca="1">IFERROR(__xludf.DUMMYFUNCTION("""COMPUTED_VALUE"""),"Ong")</f>
        <v>Ong</v>
      </c>
      <c r="E1453" s="1" t="str">
        <f ca="1">IFERROR(__xludf.DUMMYFUNCTION("""COMPUTED_VALUE"""),"Si tatay digong npo nagsabi wla syang alam")</f>
        <v>Si tatay digong npo nagsabi wla syang alam</v>
      </c>
      <c r="F1453" s="1"/>
      <c r="G1453" s="1" t="str">
        <f ca="1">IFERROR(__xludf.DUMMYFUNCTION("""COMPUTED_VALUE"""),"3 mos")</f>
        <v>3 mos</v>
      </c>
      <c r="H1453" s="1" t="str">
        <f ca="1">IFERROR(__xludf.DUMMYFUNCTION("""COMPUTED_VALUE"""),"reply")</f>
        <v>reply</v>
      </c>
      <c r="I1453" s="2" t="str">
        <f ca="1">IFERROR(__xludf.DUMMYFUNCTION("""COMPUTED_VALUE"""),"https://www.facebook.com/watch/live/?ref=watch_permalink&amp;v=360307549312104")</f>
        <v>https://www.facebook.com/watch/live/?ref=watch_permalink&amp;v=360307549312104</v>
      </c>
      <c r="J1453" s="1" t="str">
        <f ca="1">IFERROR(__xludf.DUMMYFUNCTION("""COMPUTED_VALUE"""),"2022-07-04T15:42:44.432Z")</f>
        <v>2022-07-04T15:42:44.432Z</v>
      </c>
    </row>
    <row r="1454" spans="1:10" x14ac:dyDescent="0.2">
      <c r="A1454" s="2" t="str">
        <f ca="1">IFERROR(__xludf.DUMMYFUNCTION("""COMPUTED_VALUE"""),"https://www.facebook.com/profile.php?id=100078423849655")</f>
        <v>https://www.facebook.com/profile.php?id=100078423849655</v>
      </c>
      <c r="B1454" s="1" t="str">
        <f ca="1">IFERROR(__xludf.DUMMYFUNCTION("""COMPUTED_VALUE"""),"Yuuna Hitaru")</f>
        <v>Yuuna Hitaru</v>
      </c>
      <c r="C1454" s="1" t="str">
        <f ca="1">IFERROR(__xludf.DUMMYFUNCTION("""COMPUTED_VALUE"""),"Yuuna")</f>
        <v>Yuuna</v>
      </c>
      <c r="D1454" s="1" t="str">
        <f ca="1">IFERROR(__xludf.DUMMYFUNCTION("""COMPUTED_VALUE"""),"Hitaru")</f>
        <v>Hitaru</v>
      </c>
      <c r="E1454" s="1" t="str">
        <f ca="1">IFERROR(__xludf.DUMMYFUNCTION("""COMPUTED_VALUE"""),"Bakit si tatay digong mo ba ang teacher para masabi walang alam")</f>
        <v>Bakit si tatay digong mo ba ang teacher para masabi walang alam</v>
      </c>
      <c r="F1454" s="1"/>
      <c r="G1454" s="1" t="str">
        <f ca="1">IFERROR(__xludf.DUMMYFUNCTION("""COMPUTED_VALUE"""),"3 mos")</f>
        <v>3 mos</v>
      </c>
      <c r="H1454" s="1" t="str">
        <f ca="1">IFERROR(__xludf.DUMMYFUNCTION("""COMPUTED_VALUE"""),"reply")</f>
        <v>reply</v>
      </c>
      <c r="I1454" s="2" t="str">
        <f ca="1">IFERROR(__xludf.DUMMYFUNCTION("""COMPUTED_VALUE"""),"https://www.facebook.com/watch/live/?ref=watch_permalink&amp;v=360307549312104")</f>
        <v>https://www.facebook.com/watch/live/?ref=watch_permalink&amp;v=360307549312104</v>
      </c>
      <c r="J1454" s="1" t="str">
        <f ca="1">IFERROR(__xludf.DUMMYFUNCTION("""COMPUTED_VALUE"""),"2022-07-04T15:42:44.432Z")</f>
        <v>2022-07-04T15:42:44.432Z</v>
      </c>
    </row>
    <row r="1455" spans="1:10" x14ac:dyDescent="0.2">
      <c r="A1455" s="2" t="str">
        <f ca="1">IFERROR(__xludf.DUMMYFUNCTION("""COMPUTED_VALUE"""),"https://www.facebook.com/bella.iriberribuniel")</f>
        <v>https://www.facebook.com/bella.iriberribuniel</v>
      </c>
      <c r="B1455" s="1" t="str">
        <f ca="1">IFERROR(__xludf.DUMMYFUNCTION("""COMPUTED_VALUE"""),"Bella Rozanna Iriberri-Buniel")</f>
        <v>Bella Rozanna Iriberri-Buniel</v>
      </c>
      <c r="C1455" s="1" t="str">
        <f ca="1">IFERROR(__xludf.DUMMYFUNCTION("""COMPUTED_VALUE"""),"Bella")</f>
        <v>Bella</v>
      </c>
      <c r="D1455" s="1" t="str">
        <f ca="1">IFERROR(__xludf.DUMMYFUNCTION("""COMPUTED_VALUE"""),"Rozanna Iriberri-Buniel")</f>
        <v>Rozanna Iriberri-Buniel</v>
      </c>
      <c r="E1455" s="1" t="str">
        <f ca="1">IFERROR(__xludf.DUMMYFUNCTION("""COMPUTED_VALUE"""),"Raul G Azcuna inggit pikit. Punta ka na kay Quiboloy.")</f>
        <v>Raul G Azcuna inggit pikit. Punta ka na kay Quiboloy.</v>
      </c>
      <c r="F1455" s="1"/>
      <c r="G1455" s="1" t="str">
        <f ca="1">IFERROR(__xludf.DUMMYFUNCTION("""COMPUTED_VALUE"""),"3 mos")</f>
        <v>3 mos</v>
      </c>
      <c r="H1455" s="1" t="str">
        <f ca="1">IFERROR(__xludf.DUMMYFUNCTION("""COMPUTED_VALUE"""),"reply")</f>
        <v>reply</v>
      </c>
      <c r="I1455" s="2" t="str">
        <f ca="1">IFERROR(__xludf.DUMMYFUNCTION("""COMPUTED_VALUE"""),"https://www.facebook.com/watch/live/?ref=watch_permalink&amp;v=360307549312104")</f>
        <v>https://www.facebook.com/watch/live/?ref=watch_permalink&amp;v=360307549312104</v>
      </c>
      <c r="J1455" s="1" t="str">
        <f ca="1">IFERROR(__xludf.DUMMYFUNCTION("""COMPUTED_VALUE"""),"2022-07-04T15:42:44.432Z")</f>
        <v>2022-07-04T15:42:44.432Z</v>
      </c>
    </row>
    <row r="1456" spans="1:10" x14ac:dyDescent="0.2">
      <c r="A1456" s="2" t="str">
        <f ca="1">IFERROR(__xludf.DUMMYFUNCTION("""COMPUTED_VALUE"""),"https://www.facebook.com/roger.espiritu.5")</f>
        <v>https://www.facebook.com/roger.espiritu.5</v>
      </c>
      <c r="B1456" s="1" t="str">
        <f ca="1">IFERROR(__xludf.DUMMYFUNCTION("""COMPUTED_VALUE"""),"Roger Espiritu")</f>
        <v>Roger Espiritu</v>
      </c>
      <c r="C1456" s="1" t="str">
        <f ca="1">IFERROR(__xludf.DUMMYFUNCTION("""COMPUTED_VALUE"""),"Roger")</f>
        <v>Roger</v>
      </c>
      <c r="D1456" s="1" t="str">
        <f ca="1">IFERROR(__xludf.DUMMYFUNCTION("""COMPUTED_VALUE"""),"Espiritu")</f>
        <v>Espiritu</v>
      </c>
      <c r="E1456" s="1" t="str">
        <f ca="1">IFERROR(__xludf.DUMMYFUNCTION("""COMPUTED_VALUE"""),"Eh ano naman po sabi mo? Salamat po")</f>
        <v>Eh ano naman po sabi mo? Salamat po</v>
      </c>
      <c r="F1456" s="1"/>
      <c r="G1456" s="1" t="str">
        <f ca="1">IFERROR(__xludf.DUMMYFUNCTION("""COMPUTED_VALUE"""),"3 mos")</f>
        <v>3 mos</v>
      </c>
      <c r="H1456" s="1" t="str">
        <f ca="1">IFERROR(__xludf.DUMMYFUNCTION("""COMPUTED_VALUE"""),"reply")</f>
        <v>reply</v>
      </c>
      <c r="I1456" s="2" t="str">
        <f ca="1">IFERROR(__xludf.DUMMYFUNCTION("""COMPUTED_VALUE"""),"https://www.facebook.com/watch/live/?ref=watch_permalink&amp;v=360307549312104")</f>
        <v>https://www.facebook.com/watch/live/?ref=watch_permalink&amp;v=360307549312104</v>
      </c>
      <c r="J1456" s="1" t="str">
        <f ca="1">IFERROR(__xludf.DUMMYFUNCTION("""COMPUTED_VALUE"""),"2022-07-04T15:42:44.432Z")</f>
        <v>2022-07-04T15:42:44.432Z</v>
      </c>
    </row>
    <row r="1457" spans="1:10" x14ac:dyDescent="0.2">
      <c r="A1457" s="2" t="str">
        <f ca="1">IFERROR(__xludf.DUMMYFUNCTION("""COMPUTED_VALUE"""),"https://www.facebook.com/raulg.azcuna")</f>
        <v>https://www.facebook.com/raulg.azcuna</v>
      </c>
      <c r="B1457" s="1" t="str">
        <f ca="1">IFERROR(__xludf.DUMMYFUNCTION("""COMPUTED_VALUE"""),"Raul G Azcuna")</f>
        <v>Raul G Azcuna</v>
      </c>
      <c r="C1457" s="1" t="str">
        <f ca="1">IFERROR(__xludf.DUMMYFUNCTION("""COMPUTED_VALUE"""),"Raul")</f>
        <v>Raul</v>
      </c>
      <c r="D1457" s="1" t="str">
        <f ca="1">IFERROR(__xludf.DUMMYFUNCTION("""COMPUTED_VALUE"""),"G Azcuna")</f>
        <v>G Azcuna</v>
      </c>
      <c r="E1457" s="1" t="str">
        <f ca="1">IFERROR(__xludf.DUMMYFUNCTION("""COMPUTED_VALUE"""),"Bella Rozanna Iriberri-Buniel  https://fb.watch/b_NAj9LjSx/ Tapos na ang live interview pero sigurado may replay. Maliwanagan ka")</f>
        <v>Bella Rozanna Iriberri-Buniel  https://fb.watch/b_NAj9LjSx/ Tapos na ang live interview pero sigurado may replay. Maliwanagan ka</v>
      </c>
      <c r="F1457" s="1"/>
      <c r="G1457" s="1" t="str">
        <f ca="1">IFERROR(__xludf.DUMMYFUNCTION("""COMPUTED_VALUE"""),"3 mos")</f>
        <v>3 mos</v>
      </c>
      <c r="H1457" s="1" t="str">
        <f ca="1">IFERROR(__xludf.DUMMYFUNCTION("""COMPUTED_VALUE"""),"reply")</f>
        <v>reply</v>
      </c>
      <c r="I1457" s="2" t="str">
        <f ca="1">IFERROR(__xludf.DUMMYFUNCTION("""COMPUTED_VALUE"""),"https://www.facebook.com/watch/live/?ref=watch_permalink&amp;v=360307549312104")</f>
        <v>https://www.facebook.com/watch/live/?ref=watch_permalink&amp;v=360307549312104</v>
      </c>
      <c r="J1457" s="1" t="str">
        <f ca="1">IFERROR(__xludf.DUMMYFUNCTION("""COMPUTED_VALUE"""),"2022-07-04T15:42:44.432Z")</f>
        <v>2022-07-04T15:42:44.432Z</v>
      </c>
    </row>
    <row r="1458" spans="1:10" x14ac:dyDescent="0.2">
      <c r="A1458" s="2" t="str">
        <f ca="1">IFERROR(__xludf.DUMMYFUNCTION("""COMPUTED_VALUE"""),"https://www.facebook.com/elie.cosep.75")</f>
        <v>https://www.facebook.com/elie.cosep.75</v>
      </c>
      <c r="B1458" s="1" t="str">
        <f ca="1">IFERROR(__xludf.DUMMYFUNCTION("""COMPUTED_VALUE"""),"Elie Cosep")</f>
        <v>Elie Cosep</v>
      </c>
      <c r="C1458" s="1" t="str">
        <f ca="1">IFERROR(__xludf.DUMMYFUNCTION("""COMPUTED_VALUE"""),"Elie")</f>
        <v>Elie</v>
      </c>
      <c r="D1458" s="1" t="str">
        <f ca="1">IFERROR(__xludf.DUMMYFUNCTION("""COMPUTED_VALUE"""),"Cosep")</f>
        <v>Cosep</v>
      </c>
      <c r="E1458" s="1" t="str">
        <f ca="1">IFERROR(__xludf.DUMMYFUNCTION("""COMPUTED_VALUE"""),"Rita Avila hindi yan didingin sa diyos yung dasal mo ayaw ng diyos sa taong mapanira sa kapwa .kaya wg kanang umasa sa dasal mo kahit tatawagin mo pa lahat na santo dyan")</f>
        <v>Rita Avila hindi yan didingin sa diyos yung dasal mo ayaw ng diyos sa taong mapanira sa kapwa .kaya wg kanang umasa sa dasal mo kahit tatawagin mo pa lahat na santo dyan</v>
      </c>
      <c r="F1458" s="1"/>
      <c r="G1458" s="1" t="str">
        <f ca="1">IFERROR(__xludf.DUMMYFUNCTION("""COMPUTED_VALUE"""),"3 mos")</f>
        <v>3 mos</v>
      </c>
      <c r="H1458" s="1" t="str">
        <f ca="1">IFERROR(__xludf.DUMMYFUNCTION("""COMPUTED_VALUE"""),"reply")</f>
        <v>reply</v>
      </c>
      <c r="I1458" s="2" t="str">
        <f ca="1">IFERROR(__xludf.DUMMYFUNCTION("""COMPUTED_VALUE"""),"https://www.facebook.com/watch/live/?ref=watch_permalink&amp;v=360307549312104")</f>
        <v>https://www.facebook.com/watch/live/?ref=watch_permalink&amp;v=360307549312104</v>
      </c>
      <c r="J1458" s="1" t="str">
        <f ca="1">IFERROR(__xludf.DUMMYFUNCTION("""COMPUTED_VALUE"""),"2022-07-04T15:42:44.432Z")</f>
        <v>2022-07-04T15:42:44.432Z</v>
      </c>
    </row>
    <row r="1459" spans="1:10" x14ac:dyDescent="0.2">
      <c r="A1459" s="2" t="str">
        <f ca="1">IFERROR(__xludf.DUMMYFUNCTION("""COMPUTED_VALUE"""),"https://www.facebook.com/marlon.sambile.12")</f>
        <v>https://www.facebook.com/marlon.sambile.12</v>
      </c>
      <c r="B1459" s="1" t="str">
        <f ca="1">IFERROR(__xludf.DUMMYFUNCTION("""COMPUTED_VALUE"""),"Marlon Perlas Sambile")</f>
        <v>Marlon Perlas Sambile</v>
      </c>
      <c r="C1459" s="1" t="str">
        <f ca="1">IFERROR(__xludf.DUMMYFUNCTION("""COMPUTED_VALUE"""),"Marlon")</f>
        <v>Marlon</v>
      </c>
      <c r="D1459" s="1" t="str">
        <f ca="1">IFERROR(__xludf.DUMMYFUNCTION("""COMPUTED_VALUE"""),"Perlas Sambile")</f>
        <v>Perlas Sambile</v>
      </c>
      <c r="E1459" s="1" t="str">
        <f ca="1">IFERROR(__xludf.DUMMYFUNCTION("""COMPUTED_VALUE"""),"Rita Avila kayo Po mahiya, election idadamay Ang diyos? huwag ganun, magkaiba Tayo ng iboboto pero huwag ganun, magkalaban man Tayo sa pulitika tao lang Tayo may prinsipyong pinaglalaban pero Ang idamay Ang diyos maling mali po, respeto sa Bawat Isa Ang d"&amp;"apat👍")</f>
        <v>Rita Avila kayo Po mahiya, election idadamay Ang diyos? huwag ganun, magkaiba Tayo ng iboboto pero huwag ganun, magkalaban man Tayo sa pulitika tao lang Tayo may prinsipyong pinaglalaban pero Ang idamay Ang diyos maling mali po, respeto sa Bawat Isa Ang dapat👍</v>
      </c>
      <c r="F1459" s="1">
        <f ca="1">IFERROR(__xludf.DUMMYFUNCTION("""COMPUTED_VALUE"""),1)</f>
        <v>1</v>
      </c>
      <c r="G1459" s="1" t="str">
        <f ca="1">IFERROR(__xludf.DUMMYFUNCTION("""COMPUTED_VALUE"""),"3 mos")</f>
        <v>3 mos</v>
      </c>
      <c r="H1459" s="1" t="str">
        <f ca="1">IFERROR(__xludf.DUMMYFUNCTION("""COMPUTED_VALUE"""),"reply")</f>
        <v>reply</v>
      </c>
      <c r="I1459" s="2" t="str">
        <f ca="1">IFERROR(__xludf.DUMMYFUNCTION("""COMPUTED_VALUE"""),"https://www.facebook.com/watch/live/?ref=watch_permalink&amp;v=360307549312104")</f>
        <v>https://www.facebook.com/watch/live/?ref=watch_permalink&amp;v=360307549312104</v>
      </c>
      <c r="J1459" s="1" t="str">
        <f ca="1">IFERROR(__xludf.DUMMYFUNCTION("""COMPUTED_VALUE"""),"2022-07-04T15:42:44.432Z")</f>
        <v>2022-07-04T15:42:44.432Z</v>
      </c>
    </row>
    <row r="1460" spans="1:10" x14ac:dyDescent="0.2">
      <c r="A1460" s="2" t="str">
        <f ca="1">IFERROR(__xludf.DUMMYFUNCTION("""COMPUTED_VALUE"""),"https://www.facebook.com/RitaAvilaBooksforChildren")</f>
        <v>https://www.facebook.com/RitaAvilaBooksforChildren</v>
      </c>
      <c r="B1460" s="1" t="str">
        <f ca="1">IFERROR(__xludf.DUMMYFUNCTION("""COMPUTED_VALUE"""),"Rita Avila")</f>
        <v>Rita Avila</v>
      </c>
      <c r="C1460" s="1" t="str">
        <f ca="1">IFERROR(__xludf.DUMMYFUNCTION("""COMPUTED_VALUE"""),"Rita")</f>
        <v>Rita</v>
      </c>
      <c r="D1460" s="1" t="str">
        <f ca="1">IFERROR(__xludf.DUMMYFUNCTION("""COMPUTED_VALUE"""),"Avila")</f>
        <v>Avila</v>
      </c>
      <c r="E1460" s="1" t="str">
        <f ca="1">IFERROR(__xludf.DUMMYFUNCTION("""COMPUTED_VALUE"""),"Katungkulan natin ang magsabi ng TOTOO. Bawal ang magkalat ng HINDI TOTOO. Kawawa naman ang mga tao kung MALI ang maririnig.")</f>
        <v>Katungkulan natin ang magsabi ng TOTOO. Bawal ang magkalat ng HINDI TOTOO. Kawawa naman ang mga tao kung MALI ang maririnig.</v>
      </c>
      <c r="F1460" s="1">
        <f ca="1">IFERROR(__xludf.DUMMYFUNCTION("""COMPUTED_VALUE"""),68)</f>
        <v>68</v>
      </c>
      <c r="G1460" s="1" t="str">
        <f ca="1">IFERROR(__xludf.DUMMYFUNCTION("""COMPUTED_VALUE"""),"3 mos")</f>
        <v>3 mos</v>
      </c>
      <c r="H1460" s="1" t="str">
        <f ca="1">IFERROR(__xludf.DUMMYFUNCTION("""COMPUTED_VALUE"""),"comment")</f>
        <v>comment</v>
      </c>
      <c r="I1460" s="2" t="str">
        <f ca="1">IFERROR(__xludf.DUMMYFUNCTION("""COMPUTED_VALUE"""),"https://www.facebook.com/watch/live/?ref=watch_permalink&amp;v=360307549312104")</f>
        <v>https://www.facebook.com/watch/live/?ref=watch_permalink&amp;v=360307549312104</v>
      </c>
      <c r="J1460" s="1" t="str">
        <f ca="1">IFERROR(__xludf.DUMMYFUNCTION("""COMPUTED_VALUE"""),"2022-07-04T15:42:44.432Z")</f>
        <v>2022-07-04T15:42:44.432Z</v>
      </c>
    </row>
    <row r="1461" spans="1:10" x14ac:dyDescent="0.2">
      <c r="A1461" s="2" t="str">
        <f ca="1">IFERROR(__xludf.DUMMYFUNCTION("""COMPUTED_VALUE"""),"https://www.facebook.com/romiel.cabrezajr")</f>
        <v>https://www.facebook.com/romiel.cabrezajr</v>
      </c>
      <c r="B1461" s="1" t="str">
        <f ca="1">IFERROR(__xludf.DUMMYFUNCTION("""COMPUTED_VALUE"""),"Romeo Peñaflor Cabreza Jr.")</f>
        <v>Romeo Peñaflor Cabreza Jr.</v>
      </c>
      <c r="C1461" s="1" t="str">
        <f ca="1">IFERROR(__xludf.DUMMYFUNCTION("""COMPUTED_VALUE"""),"Romeo")</f>
        <v>Romeo</v>
      </c>
      <c r="D1461" s="1" t="str">
        <f ca="1">IFERROR(__xludf.DUMMYFUNCTION("""COMPUTED_VALUE"""),"Peñaflor Cabreza Jr.")</f>
        <v>Peñaflor Cabreza Jr.</v>
      </c>
      <c r="E1461" s="1" t="str">
        <f ca="1">IFERROR(__xludf.DUMMYFUNCTION("""COMPUTED_VALUE"""),"Yes po madam, sa trueee po! 💖🌹🥰")</f>
        <v>Yes po madam, sa trueee po! 💖🌹🥰</v>
      </c>
      <c r="F1461" s="1">
        <f ca="1">IFERROR(__xludf.DUMMYFUNCTION("""COMPUTED_VALUE"""),1)</f>
        <v>1</v>
      </c>
      <c r="G1461" s="1" t="str">
        <f ca="1">IFERROR(__xludf.DUMMYFUNCTION("""COMPUTED_VALUE"""),"3 mos")</f>
        <v>3 mos</v>
      </c>
      <c r="H1461" s="1" t="str">
        <f ca="1">IFERROR(__xludf.DUMMYFUNCTION("""COMPUTED_VALUE"""),"reply")</f>
        <v>reply</v>
      </c>
      <c r="I1461" s="2" t="str">
        <f ca="1">IFERROR(__xludf.DUMMYFUNCTION("""COMPUTED_VALUE"""),"https://www.facebook.com/watch/live/?ref=watch_permalink&amp;v=360307549312104")</f>
        <v>https://www.facebook.com/watch/live/?ref=watch_permalink&amp;v=360307549312104</v>
      </c>
      <c r="J1461" s="1" t="str">
        <f ca="1">IFERROR(__xludf.DUMMYFUNCTION("""COMPUTED_VALUE"""),"2022-07-04T15:42:44.432Z")</f>
        <v>2022-07-04T15:42:44.432Z</v>
      </c>
    </row>
    <row r="1462" spans="1:10" x14ac:dyDescent="0.2">
      <c r="A1462" s="2" t="str">
        <f ca="1">IFERROR(__xludf.DUMMYFUNCTION("""COMPUTED_VALUE"""),"https://www.facebook.com/mheldzkie.jean.1")</f>
        <v>https://www.facebook.com/mheldzkie.jean.1</v>
      </c>
      <c r="B1462" s="1" t="str">
        <f ca="1">IFERROR(__xludf.DUMMYFUNCTION("""COMPUTED_VALUE"""),"Mheldzkie Jean")</f>
        <v>Mheldzkie Jean</v>
      </c>
      <c r="C1462" s="1" t="str">
        <f ca="1">IFERROR(__xludf.DUMMYFUNCTION("""COMPUTED_VALUE"""),"Mheldzkie")</f>
        <v>Mheldzkie</v>
      </c>
      <c r="D1462" s="1" t="str">
        <f ca="1">IFERROR(__xludf.DUMMYFUNCTION("""COMPUTED_VALUE"""),"Jean")</f>
        <v>Jean</v>
      </c>
      <c r="E1462" s="1" t="str">
        <f ca="1">IFERROR(__xludf.DUMMYFUNCTION("""COMPUTED_VALUE"""),"Rita Avila tama ka maam")</f>
        <v>Rita Avila tama ka maam</v>
      </c>
      <c r="F1462" s="1">
        <f ca="1">IFERROR(__xludf.DUMMYFUNCTION("""COMPUTED_VALUE"""),1)</f>
        <v>1</v>
      </c>
      <c r="G1462" s="1" t="str">
        <f ca="1">IFERROR(__xludf.DUMMYFUNCTION("""COMPUTED_VALUE"""),"3 mos")</f>
        <v>3 mos</v>
      </c>
      <c r="H1462" s="1" t="str">
        <f ca="1">IFERROR(__xludf.DUMMYFUNCTION("""COMPUTED_VALUE"""),"reply")</f>
        <v>reply</v>
      </c>
      <c r="I1462" s="2" t="str">
        <f ca="1">IFERROR(__xludf.DUMMYFUNCTION("""COMPUTED_VALUE"""),"https://www.facebook.com/watch/live/?ref=watch_permalink&amp;v=360307549312104")</f>
        <v>https://www.facebook.com/watch/live/?ref=watch_permalink&amp;v=360307549312104</v>
      </c>
      <c r="J1462" s="1" t="str">
        <f ca="1">IFERROR(__xludf.DUMMYFUNCTION("""COMPUTED_VALUE"""),"2022-07-04T15:42:44.432Z")</f>
        <v>2022-07-04T15:42:44.432Z</v>
      </c>
    </row>
    <row r="1463" spans="1:10" x14ac:dyDescent="0.2">
      <c r="A1463" s="2" t="str">
        <f ca="1">IFERROR(__xludf.DUMMYFUNCTION("""COMPUTED_VALUE"""),"https://www.facebook.com/nathann.delacruz.1")</f>
        <v>https://www.facebook.com/nathann.delacruz.1</v>
      </c>
      <c r="B1463" s="1" t="str">
        <f ca="1">IFERROR(__xludf.DUMMYFUNCTION("""COMPUTED_VALUE"""),"Nathann Dela Cruz")</f>
        <v>Nathann Dela Cruz</v>
      </c>
      <c r="C1463" s="1" t="str">
        <f ca="1">IFERROR(__xludf.DUMMYFUNCTION("""COMPUTED_VALUE"""),"Nathann")</f>
        <v>Nathann</v>
      </c>
      <c r="D1463" s="1" t="str">
        <f ca="1">IFERROR(__xludf.DUMMYFUNCTION("""COMPUTED_VALUE"""),"Dela Cruz")</f>
        <v>Dela Cruz</v>
      </c>
      <c r="E1463" s="1" t="str">
        <f ca="1">IFERROR(__xludf.DUMMYFUNCTION("""COMPUTED_VALUE"""),"May kurti tayu. Na dapat sundin")</f>
        <v>May kurti tayu. Na dapat sundin</v>
      </c>
      <c r="F1463" s="1"/>
      <c r="G1463" s="1" t="str">
        <f ca="1">IFERROR(__xludf.DUMMYFUNCTION("""COMPUTED_VALUE"""),"3 mos")</f>
        <v>3 mos</v>
      </c>
      <c r="H1463" s="1" t="str">
        <f ca="1">IFERROR(__xludf.DUMMYFUNCTION("""COMPUTED_VALUE"""),"reply")</f>
        <v>reply</v>
      </c>
      <c r="I1463" s="2" t="str">
        <f ca="1">IFERROR(__xludf.DUMMYFUNCTION("""COMPUTED_VALUE"""),"https://www.facebook.com/watch/live/?ref=watch_permalink&amp;v=360307549312104")</f>
        <v>https://www.facebook.com/watch/live/?ref=watch_permalink&amp;v=360307549312104</v>
      </c>
      <c r="J1463" s="1" t="str">
        <f ca="1">IFERROR(__xludf.DUMMYFUNCTION("""COMPUTED_VALUE"""),"2022-07-04T15:42:44.432Z")</f>
        <v>2022-07-04T15:42:44.432Z</v>
      </c>
    </row>
    <row r="1464" spans="1:10" x14ac:dyDescent="0.2">
      <c r="A1464" s="2" t="str">
        <f ca="1">IFERROR(__xludf.DUMMYFUNCTION("""COMPUTED_VALUE"""),"https://www.facebook.com/nathann.delacruz.1")</f>
        <v>https://www.facebook.com/nathann.delacruz.1</v>
      </c>
      <c r="B1464" s="1" t="str">
        <f ca="1">IFERROR(__xludf.DUMMYFUNCTION("""COMPUTED_VALUE"""),"Nathann Dela Cruz")</f>
        <v>Nathann Dela Cruz</v>
      </c>
      <c r="C1464" s="1" t="str">
        <f ca="1">IFERROR(__xludf.DUMMYFUNCTION("""COMPUTED_VALUE"""),"Nathann")</f>
        <v>Nathann</v>
      </c>
      <c r="D1464" s="1" t="str">
        <f ca="1">IFERROR(__xludf.DUMMYFUNCTION("""COMPUTED_VALUE"""),"Dela Cruz")</f>
        <v>Dela Cruz</v>
      </c>
      <c r="E1464" s="1" t="str">
        <f ca="1">IFERROR(__xludf.DUMMYFUNCTION("""COMPUTED_VALUE"""),"Ano")</f>
        <v>Ano</v>
      </c>
      <c r="F1464" s="1"/>
      <c r="G1464" s="1" t="str">
        <f ca="1">IFERROR(__xludf.DUMMYFUNCTION("""COMPUTED_VALUE"""),"3 mos")</f>
        <v>3 mos</v>
      </c>
      <c r="H1464" s="1" t="str">
        <f ca="1">IFERROR(__xludf.DUMMYFUNCTION("""COMPUTED_VALUE"""),"reply")</f>
        <v>reply</v>
      </c>
      <c r="I1464" s="2" t="str">
        <f ca="1">IFERROR(__xludf.DUMMYFUNCTION("""COMPUTED_VALUE"""),"https://www.facebook.com/watch/live/?ref=watch_permalink&amp;v=360307549312104")</f>
        <v>https://www.facebook.com/watch/live/?ref=watch_permalink&amp;v=360307549312104</v>
      </c>
      <c r="J1464" s="1" t="str">
        <f ca="1">IFERROR(__xludf.DUMMYFUNCTION("""COMPUTED_VALUE"""),"2022-07-04T15:42:44.432Z")</f>
        <v>2022-07-04T15:42:44.432Z</v>
      </c>
    </row>
    <row r="1465" spans="1:10" x14ac:dyDescent="0.2">
      <c r="A1465" s="2" t="str">
        <f ca="1">IFERROR(__xludf.DUMMYFUNCTION("""COMPUTED_VALUE"""),"https://www.facebook.com/nathann.delacruz.1")</f>
        <v>https://www.facebook.com/nathann.delacruz.1</v>
      </c>
      <c r="B1465" s="1" t="str">
        <f ca="1">IFERROR(__xludf.DUMMYFUNCTION("""COMPUTED_VALUE"""),"Nathann Dela Cruz")</f>
        <v>Nathann Dela Cruz</v>
      </c>
      <c r="C1465" s="1" t="str">
        <f ca="1">IFERROR(__xludf.DUMMYFUNCTION("""COMPUTED_VALUE"""),"Nathann")</f>
        <v>Nathann</v>
      </c>
      <c r="D1465" s="1" t="str">
        <f ca="1">IFERROR(__xludf.DUMMYFUNCTION("""COMPUTED_VALUE"""),"Dela Cruz")</f>
        <v>Dela Cruz</v>
      </c>
      <c r="E1465" s="1" t="str">
        <f ca="1">IFERROR(__xludf.DUMMYFUNCTION("""COMPUTED_VALUE"""),"Asan ang ang mga reklamo nyu")</f>
        <v>Asan ang ang mga reklamo nyu</v>
      </c>
      <c r="F1465" s="1"/>
      <c r="G1465" s="1" t="str">
        <f ca="1">IFERROR(__xludf.DUMMYFUNCTION("""COMPUTED_VALUE"""),"3 mos")</f>
        <v>3 mos</v>
      </c>
      <c r="H1465" s="1" t="str">
        <f ca="1">IFERROR(__xludf.DUMMYFUNCTION("""COMPUTED_VALUE"""),"reply")</f>
        <v>reply</v>
      </c>
      <c r="I1465" s="2" t="str">
        <f ca="1">IFERROR(__xludf.DUMMYFUNCTION("""COMPUTED_VALUE"""),"https://www.facebook.com/watch/live/?ref=watch_permalink&amp;v=360307549312104")</f>
        <v>https://www.facebook.com/watch/live/?ref=watch_permalink&amp;v=360307549312104</v>
      </c>
      <c r="J1465" s="1" t="str">
        <f ca="1">IFERROR(__xludf.DUMMYFUNCTION("""COMPUTED_VALUE"""),"2022-07-04T15:42:44.432Z")</f>
        <v>2022-07-04T15:42:44.432Z</v>
      </c>
    </row>
    <row r="1466" spans="1:10" x14ac:dyDescent="0.2">
      <c r="A1466" s="2" t="str">
        <f ca="1">IFERROR(__xludf.DUMMYFUNCTION("""COMPUTED_VALUE"""),"https://www.facebook.com/nathann.delacruz.1")</f>
        <v>https://www.facebook.com/nathann.delacruz.1</v>
      </c>
      <c r="B1466" s="1" t="str">
        <f ca="1">IFERROR(__xludf.DUMMYFUNCTION("""COMPUTED_VALUE"""),"Nathann Dela Cruz")</f>
        <v>Nathann Dela Cruz</v>
      </c>
      <c r="C1466" s="1" t="str">
        <f ca="1">IFERROR(__xludf.DUMMYFUNCTION("""COMPUTED_VALUE"""),"Nathann")</f>
        <v>Nathann</v>
      </c>
      <c r="D1466" s="1" t="str">
        <f ca="1">IFERROR(__xludf.DUMMYFUNCTION("""COMPUTED_VALUE"""),"Dela Cruz")</f>
        <v>Dela Cruz</v>
      </c>
      <c r="E1466" s="1" t="str">
        <f ca="1">IFERROR(__xludf.DUMMYFUNCTION("""COMPUTED_VALUE"""),"Ano bat ndi  pa sila nakukulung. Kasi wala silang kasalanan.")</f>
        <v>Ano bat ndi  pa sila nakukulung. Kasi wala silang kasalanan.</v>
      </c>
      <c r="F1466" s="1">
        <f ca="1">IFERROR(__xludf.DUMMYFUNCTION("""COMPUTED_VALUE"""),3)</f>
        <v>3</v>
      </c>
      <c r="G1466" s="1" t="str">
        <f ca="1">IFERROR(__xludf.DUMMYFUNCTION("""COMPUTED_VALUE"""),"3 mos")</f>
        <v>3 mos</v>
      </c>
      <c r="H1466" s="1" t="str">
        <f ca="1">IFERROR(__xludf.DUMMYFUNCTION("""COMPUTED_VALUE"""),"reply")</f>
        <v>reply</v>
      </c>
      <c r="I1466" s="2" t="str">
        <f ca="1">IFERROR(__xludf.DUMMYFUNCTION("""COMPUTED_VALUE"""),"https://www.facebook.com/watch/live/?ref=watch_permalink&amp;v=360307549312104")</f>
        <v>https://www.facebook.com/watch/live/?ref=watch_permalink&amp;v=360307549312104</v>
      </c>
      <c r="J1466" s="1" t="str">
        <f ca="1">IFERROR(__xludf.DUMMYFUNCTION("""COMPUTED_VALUE"""),"2022-07-04T15:42:44.432Z")</f>
        <v>2022-07-04T15:42:44.432Z</v>
      </c>
    </row>
    <row r="1467" spans="1:10" x14ac:dyDescent="0.2">
      <c r="A1467" s="2" t="str">
        <f ca="1">IFERROR(__xludf.DUMMYFUNCTION("""COMPUTED_VALUE"""),"https://www.facebook.com/emily.capistrano.5")</f>
        <v>https://www.facebook.com/emily.capistrano.5</v>
      </c>
      <c r="B1467" s="1" t="str">
        <f ca="1">IFERROR(__xludf.DUMMYFUNCTION("""COMPUTED_VALUE"""),"Emily Capistrano")</f>
        <v>Emily Capistrano</v>
      </c>
      <c r="C1467" s="1" t="str">
        <f ca="1">IFERROR(__xludf.DUMMYFUNCTION("""COMPUTED_VALUE"""),"Emily")</f>
        <v>Emily</v>
      </c>
      <c r="D1467" s="1" t="str">
        <f ca="1">IFERROR(__xludf.DUMMYFUNCTION("""COMPUTED_VALUE"""),"Capistrano")</f>
        <v>Capistrano</v>
      </c>
      <c r="E1467" s="1" t="str">
        <f ca="1">IFERROR(__xludf.DUMMYFUNCTION("""COMPUTED_VALUE"""),"Mabuhay ka Sen.de Lima you have my vote together with my family.the truth will set you free..Mabalos God bless.")</f>
        <v>Mabuhay ka Sen.de Lima you have my vote together with my family.the truth will set you free..Mabalos God bless.</v>
      </c>
      <c r="F1467" s="1">
        <f ca="1">IFERROR(__xludf.DUMMYFUNCTION("""COMPUTED_VALUE"""),21)</f>
        <v>21</v>
      </c>
      <c r="G1467" s="1" t="str">
        <f ca="1">IFERROR(__xludf.DUMMYFUNCTION("""COMPUTED_VALUE"""),"3 mos")</f>
        <v>3 mos</v>
      </c>
      <c r="H1467" s="1" t="str">
        <f ca="1">IFERROR(__xludf.DUMMYFUNCTION("""COMPUTED_VALUE"""),"comment")</f>
        <v>comment</v>
      </c>
      <c r="I1467" s="2" t="str">
        <f ca="1">IFERROR(__xludf.DUMMYFUNCTION("""COMPUTED_VALUE"""),"https://www.facebook.com/watch/live/?ref=watch_permalink&amp;v=360307549312104")</f>
        <v>https://www.facebook.com/watch/live/?ref=watch_permalink&amp;v=360307549312104</v>
      </c>
      <c r="J1467" s="1" t="str">
        <f ca="1">IFERROR(__xludf.DUMMYFUNCTION("""COMPUTED_VALUE"""),"2022-07-04T15:42:44.432Z")</f>
        <v>2022-07-04T15:42:44.432Z</v>
      </c>
    </row>
    <row r="1468" spans="1:10" x14ac:dyDescent="0.2">
      <c r="A1468" s="2" t="str">
        <f ca="1">IFERROR(__xludf.DUMMYFUNCTION("""COMPUTED_VALUE"""),"https://www.facebook.com/mariabella.fernandez.9")</f>
        <v>https://www.facebook.com/mariabella.fernandez.9</v>
      </c>
      <c r="B1468" s="1" t="str">
        <f ca="1">IFERROR(__xludf.DUMMYFUNCTION("""COMPUTED_VALUE"""),"Maria Bella Fernandez")</f>
        <v>Maria Bella Fernandez</v>
      </c>
      <c r="C1468" s="1" t="str">
        <f ca="1">IFERROR(__xludf.DUMMYFUNCTION("""COMPUTED_VALUE"""),"Maria")</f>
        <v>Maria</v>
      </c>
      <c r="D1468" s="1" t="str">
        <f ca="1">IFERROR(__xludf.DUMMYFUNCTION("""COMPUTED_VALUE"""),"Bella Fernandez")</f>
        <v>Bella Fernandez</v>
      </c>
      <c r="E1468" s="1" t="str">
        <f ca="1">IFERROR(__xludf.DUMMYFUNCTION("""COMPUTED_VALUE"""),"Emily Capistrano 🙏🏽🙏🏽🙏🏽 💕💕💕 for the win")</f>
        <v>Emily Capistrano 🙏🏽🙏🏽🙏🏽 💕💕💕 for the win</v>
      </c>
      <c r="F1468" s="1"/>
      <c r="G1468" s="1" t="str">
        <f ca="1">IFERROR(__xludf.DUMMYFUNCTION("""COMPUTED_VALUE"""),"3 mos")</f>
        <v>3 mos</v>
      </c>
      <c r="H1468" s="1" t="str">
        <f ca="1">IFERROR(__xludf.DUMMYFUNCTION("""COMPUTED_VALUE"""),"reply")</f>
        <v>reply</v>
      </c>
      <c r="I1468" s="2" t="str">
        <f ca="1">IFERROR(__xludf.DUMMYFUNCTION("""COMPUTED_VALUE"""),"https://www.facebook.com/watch/live/?ref=watch_permalink&amp;v=360307549312104")</f>
        <v>https://www.facebook.com/watch/live/?ref=watch_permalink&amp;v=360307549312104</v>
      </c>
      <c r="J1468" s="1" t="str">
        <f ca="1">IFERROR(__xludf.DUMMYFUNCTION("""COMPUTED_VALUE"""),"2022-07-04T15:42:44.433Z")</f>
        <v>2022-07-04T15:42:44.433Z</v>
      </c>
    </row>
    <row r="1469" spans="1:10" x14ac:dyDescent="0.2">
      <c r="A1469" s="2" t="str">
        <f ca="1">IFERROR(__xludf.DUMMYFUNCTION("""COMPUTED_VALUE"""),"https://www.facebook.com/gem.hernan")</f>
        <v>https://www.facebook.com/gem.hernan</v>
      </c>
      <c r="B1469" s="1" t="str">
        <f ca="1">IFERROR(__xludf.DUMMYFUNCTION("""COMPUTED_VALUE"""),"Gem Hernan")</f>
        <v>Gem Hernan</v>
      </c>
      <c r="C1469" s="1" t="str">
        <f ca="1">IFERROR(__xludf.DUMMYFUNCTION("""COMPUTED_VALUE"""),"Gem")</f>
        <v>Gem</v>
      </c>
      <c r="D1469" s="1" t="str">
        <f ca="1">IFERROR(__xludf.DUMMYFUNCTION("""COMPUTED_VALUE"""),"Hernan")</f>
        <v>Hernan</v>
      </c>
      <c r="E1469" s="1" t="str">
        <f ca="1">IFERROR(__xludf.DUMMYFUNCTION("""COMPUTED_VALUE"""),"Stay strong Sen Leila! We support you and will vote for you again this 2022! God protect and save you!")</f>
        <v>Stay strong Sen Leila! We support you and will vote for you again this 2022! God protect and save you!</v>
      </c>
      <c r="F1469" s="1">
        <f ca="1">IFERROR(__xludf.DUMMYFUNCTION("""COMPUTED_VALUE"""),13)</f>
        <v>13</v>
      </c>
      <c r="G1469" s="1" t="str">
        <f ca="1">IFERROR(__xludf.DUMMYFUNCTION("""COMPUTED_VALUE"""),"3 mos")</f>
        <v>3 mos</v>
      </c>
      <c r="H1469" s="1" t="str">
        <f ca="1">IFERROR(__xludf.DUMMYFUNCTION("""COMPUTED_VALUE"""),"comment")</f>
        <v>comment</v>
      </c>
      <c r="I1469" s="2" t="str">
        <f ca="1">IFERROR(__xludf.DUMMYFUNCTION("""COMPUTED_VALUE"""),"https://www.facebook.com/watch/live/?ref=watch_permalink&amp;v=360307549312104")</f>
        <v>https://www.facebook.com/watch/live/?ref=watch_permalink&amp;v=360307549312104</v>
      </c>
      <c r="J1469" s="1" t="str">
        <f ca="1">IFERROR(__xludf.DUMMYFUNCTION("""COMPUTED_VALUE"""),"2022-07-04T15:42:44.433Z")</f>
        <v>2022-07-04T15:42:44.433Z</v>
      </c>
    </row>
    <row r="1470" spans="1:10" x14ac:dyDescent="0.2">
      <c r="A1470" s="2" t="str">
        <f ca="1">IFERROR(__xludf.DUMMYFUNCTION("""COMPUTED_VALUE"""),"https://www.facebook.com/gil.cerin")</f>
        <v>https://www.facebook.com/gil.cerin</v>
      </c>
      <c r="B1470" s="1" t="str">
        <f ca="1">IFERROR(__xludf.DUMMYFUNCTION("""COMPUTED_VALUE"""),"Gil Cerin")</f>
        <v>Gil Cerin</v>
      </c>
      <c r="C1470" s="1" t="str">
        <f ca="1">IFERROR(__xludf.DUMMYFUNCTION("""COMPUTED_VALUE"""),"Gil")</f>
        <v>Gil</v>
      </c>
      <c r="D1470" s="1" t="str">
        <f ca="1">IFERROR(__xludf.DUMMYFUNCTION("""COMPUTED_VALUE"""),"Cerin")</f>
        <v>Cerin</v>
      </c>
      <c r="E1470" s="1" t="str">
        <f ca="1">IFERROR(__xludf.DUMMYFUNCTION("""COMPUTED_VALUE"""),"CaMaNaVaIsPink!!! #LetLeniLead  ✅Decency ✅Track record ✅Competency  #LeniKiko2022  #GobyernongTapatAngatBuhayLahat")</f>
        <v>CaMaNaVaIsPink!!! #LetLeniLead  ✅Decency ✅Track record ✅Competency  #LeniKiko2022  #GobyernongTapatAngatBuhayLahat</v>
      </c>
      <c r="F1470" s="1">
        <f ca="1">IFERROR(__xludf.DUMMYFUNCTION("""COMPUTED_VALUE"""),6)</f>
        <v>6</v>
      </c>
      <c r="G1470" s="1" t="str">
        <f ca="1">IFERROR(__xludf.DUMMYFUNCTION("""COMPUTED_VALUE"""),"3 mos")</f>
        <v>3 mos</v>
      </c>
      <c r="H1470" s="1" t="str">
        <f ca="1">IFERROR(__xludf.DUMMYFUNCTION("""COMPUTED_VALUE"""),"comment")</f>
        <v>comment</v>
      </c>
      <c r="I1470" s="2" t="str">
        <f ca="1">IFERROR(__xludf.DUMMYFUNCTION("""COMPUTED_VALUE"""),"https://www.facebook.com/watch/live/?ref=watch_permalink&amp;v=360307549312104")</f>
        <v>https://www.facebook.com/watch/live/?ref=watch_permalink&amp;v=360307549312104</v>
      </c>
      <c r="J1470" s="1" t="str">
        <f ca="1">IFERROR(__xludf.DUMMYFUNCTION("""COMPUTED_VALUE"""),"2022-07-04T15:42:44.433Z")</f>
        <v>2022-07-04T15:42:44.433Z</v>
      </c>
    </row>
    <row r="1471" spans="1:10" x14ac:dyDescent="0.2">
      <c r="A1471" s="2" t="str">
        <f ca="1">IFERROR(__xludf.DUMMYFUNCTION("""COMPUTED_VALUE"""),"https://www.facebook.com/ashley.siodena")</f>
        <v>https://www.facebook.com/ashley.siodena</v>
      </c>
      <c r="B1471" s="1" t="str">
        <f ca="1">IFERROR(__xludf.DUMMYFUNCTION("""COMPUTED_VALUE"""),"シェリル シオデナ")</f>
        <v>シェリル シオデナ</v>
      </c>
      <c r="C1471" s="1" t="str">
        <f ca="1">IFERROR(__xludf.DUMMYFUNCTION("""COMPUTED_VALUE"""),"シェリル")</f>
        <v>シェリル</v>
      </c>
      <c r="D1471" s="1" t="str">
        <f ca="1">IFERROR(__xludf.DUMMYFUNCTION("""COMPUTED_VALUE"""),"シオデナ")</f>
        <v>シオデナ</v>
      </c>
      <c r="E1471" s="1" t="str">
        <f ca="1">IFERROR(__xludf.DUMMYFUNCTION("""COMPUTED_VALUE"""),"Gil Cerin Yan akala mo:) Decency?? naku wake up pips!")</f>
        <v>Gil Cerin Yan akala mo:) Decency?? naku wake up pips!</v>
      </c>
      <c r="F1471" s="1"/>
      <c r="G1471" s="1" t="str">
        <f ca="1">IFERROR(__xludf.DUMMYFUNCTION("""COMPUTED_VALUE"""),"3 mos")</f>
        <v>3 mos</v>
      </c>
      <c r="H1471" s="1" t="str">
        <f ca="1">IFERROR(__xludf.DUMMYFUNCTION("""COMPUTED_VALUE"""),"reply")</f>
        <v>reply</v>
      </c>
      <c r="I1471" s="2" t="str">
        <f ca="1">IFERROR(__xludf.DUMMYFUNCTION("""COMPUTED_VALUE"""),"https://www.facebook.com/watch/live/?ref=watch_permalink&amp;v=360307549312104")</f>
        <v>https://www.facebook.com/watch/live/?ref=watch_permalink&amp;v=360307549312104</v>
      </c>
      <c r="J1471" s="1" t="str">
        <f ca="1">IFERROR(__xludf.DUMMYFUNCTION("""COMPUTED_VALUE"""),"2022-07-04T15:42:44.433Z")</f>
        <v>2022-07-04T15:42:44.433Z</v>
      </c>
    </row>
    <row r="1472" spans="1:10" x14ac:dyDescent="0.2">
      <c r="A1472" s="2" t="str">
        <f ca="1">IFERROR(__xludf.DUMMYFUNCTION("""COMPUTED_VALUE"""),"https://www.facebook.com/0331Dva")</f>
        <v>https://www.facebook.com/0331Dva</v>
      </c>
      <c r="B1472" s="1" t="str">
        <f ca="1">IFERROR(__xludf.DUMMYFUNCTION("""COMPUTED_VALUE"""),"JR Ramirez")</f>
        <v>JR Ramirez</v>
      </c>
      <c r="C1472" s="1" t="str">
        <f ca="1">IFERROR(__xludf.DUMMYFUNCTION("""COMPUTED_VALUE"""),"JR")</f>
        <v>JR</v>
      </c>
      <c r="D1472" s="1" t="str">
        <f ca="1">IFERROR(__xludf.DUMMYFUNCTION("""COMPUTED_VALUE"""),"Ramirez")</f>
        <v>Ramirez</v>
      </c>
      <c r="E1472" s="1" t="str">
        <f ca="1">IFERROR(__xludf.DUMMYFUNCTION("""COMPUTED_VALUE"""),"シェリル シオデナ need mo n nga gumising")</f>
        <v>シェリル シオデナ need mo n nga gumising</v>
      </c>
      <c r="F1472" s="1"/>
      <c r="G1472" s="1" t="str">
        <f ca="1">IFERROR(__xludf.DUMMYFUNCTION("""COMPUTED_VALUE"""),"3 mos")</f>
        <v>3 mos</v>
      </c>
      <c r="H1472" s="1" t="str">
        <f ca="1">IFERROR(__xludf.DUMMYFUNCTION("""COMPUTED_VALUE"""),"reply")</f>
        <v>reply</v>
      </c>
      <c r="I1472" s="2" t="str">
        <f ca="1">IFERROR(__xludf.DUMMYFUNCTION("""COMPUTED_VALUE"""),"https://www.facebook.com/watch/live/?ref=watch_permalink&amp;v=360307549312104")</f>
        <v>https://www.facebook.com/watch/live/?ref=watch_permalink&amp;v=360307549312104</v>
      </c>
      <c r="J1472" s="1" t="str">
        <f ca="1">IFERROR(__xludf.DUMMYFUNCTION("""COMPUTED_VALUE"""),"2022-07-04T15:42:44.433Z")</f>
        <v>2022-07-04T15:42:44.433Z</v>
      </c>
    </row>
    <row r="1473" spans="1:10" x14ac:dyDescent="0.2">
      <c r="A1473" s="2" t="str">
        <f ca="1">IFERROR(__xludf.DUMMYFUNCTION("""COMPUTED_VALUE"""),"https://www.facebook.com/mabeltamparong")</f>
        <v>https://www.facebook.com/mabeltamparong</v>
      </c>
      <c r="B1473" s="1" t="str">
        <f ca="1">IFERROR(__xludf.DUMMYFUNCTION("""COMPUTED_VALUE"""),"Mabel Tamparong")</f>
        <v>Mabel Tamparong</v>
      </c>
      <c r="C1473" s="1" t="str">
        <f ca="1">IFERROR(__xludf.DUMMYFUNCTION("""COMPUTED_VALUE"""),"Mabel")</f>
        <v>Mabel</v>
      </c>
      <c r="D1473" s="1" t="str">
        <f ca="1">IFERROR(__xludf.DUMMYFUNCTION("""COMPUTED_VALUE"""),"Tamparong")</f>
        <v>Tamparong</v>
      </c>
      <c r="E1473" s="1" t="str">
        <f ca="1">IFERROR(__xludf.DUMMYFUNCTION("""COMPUTED_VALUE"""),"To all trolls you know we are praying for all of you may God open your heart's and minds to choose the right candidate for the positions 🙏🙏🙏")</f>
        <v>To all trolls you know we are praying for all of you may God open your heart's and minds to choose the right candidate for the positions 🙏🙏🙏</v>
      </c>
      <c r="F1473" s="1">
        <f ca="1">IFERROR(__xludf.DUMMYFUNCTION("""COMPUTED_VALUE"""),9)</f>
        <v>9</v>
      </c>
      <c r="G1473" s="1" t="str">
        <f ca="1">IFERROR(__xludf.DUMMYFUNCTION("""COMPUTED_VALUE"""),"3 mos")</f>
        <v>3 mos</v>
      </c>
      <c r="H1473" s="1" t="str">
        <f ca="1">IFERROR(__xludf.DUMMYFUNCTION("""COMPUTED_VALUE"""),"comment")</f>
        <v>comment</v>
      </c>
      <c r="I1473" s="2" t="str">
        <f ca="1">IFERROR(__xludf.DUMMYFUNCTION("""COMPUTED_VALUE"""),"https://www.facebook.com/watch/live/?ref=watch_permalink&amp;v=360307549312104")</f>
        <v>https://www.facebook.com/watch/live/?ref=watch_permalink&amp;v=360307549312104</v>
      </c>
      <c r="J1473" s="1" t="str">
        <f ca="1">IFERROR(__xludf.DUMMYFUNCTION("""COMPUTED_VALUE"""),"2022-07-04T15:42:44.433Z")</f>
        <v>2022-07-04T15:42:44.433Z</v>
      </c>
    </row>
    <row r="1474" spans="1:10" x14ac:dyDescent="0.2">
      <c r="A1474" s="2" t="str">
        <f ca="1">IFERROR(__xludf.DUMMYFUNCTION("""COMPUTED_VALUE"""),"https://www.facebook.com/edralin.munoz.7")</f>
        <v>https://www.facebook.com/edralin.munoz.7</v>
      </c>
      <c r="B1474" s="1" t="str">
        <f ca="1">IFERROR(__xludf.DUMMYFUNCTION("""COMPUTED_VALUE"""),"Edralin Marquez Muñoz")</f>
        <v>Edralin Marquez Muñoz</v>
      </c>
      <c r="C1474" s="1" t="str">
        <f ca="1">IFERROR(__xludf.DUMMYFUNCTION("""COMPUTED_VALUE"""),"Edralin")</f>
        <v>Edralin</v>
      </c>
      <c r="D1474" s="1" t="str">
        <f ca="1">IFERROR(__xludf.DUMMYFUNCTION("""COMPUTED_VALUE"""),"Marquez Muñoz")</f>
        <v>Marquez Muñoz</v>
      </c>
      <c r="E1474" s="1" t="str">
        <f ca="1">IFERROR(__xludf.DUMMYFUNCTION("""COMPUTED_VALUE"""),"If you have integrity, vote for a president with integrity. #LetLeniLead2022")</f>
        <v>If you have integrity, vote for a president with integrity. #LetLeniLead2022</v>
      </c>
      <c r="F1474" s="1">
        <f ca="1">IFERROR(__xludf.DUMMYFUNCTION("""COMPUTED_VALUE"""),4)</f>
        <v>4</v>
      </c>
      <c r="G1474" s="1" t="str">
        <f ca="1">IFERROR(__xludf.DUMMYFUNCTION("""COMPUTED_VALUE"""),"3 mos")</f>
        <v>3 mos</v>
      </c>
      <c r="H1474" s="1" t="str">
        <f ca="1">IFERROR(__xludf.DUMMYFUNCTION("""COMPUTED_VALUE"""),"comment")</f>
        <v>comment</v>
      </c>
      <c r="I1474" s="2" t="str">
        <f ca="1">IFERROR(__xludf.DUMMYFUNCTION("""COMPUTED_VALUE"""),"https://www.facebook.com/watch/live/?ref=watch_permalink&amp;v=360307549312104")</f>
        <v>https://www.facebook.com/watch/live/?ref=watch_permalink&amp;v=360307549312104</v>
      </c>
      <c r="J1474" s="1" t="str">
        <f ca="1">IFERROR(__xludf.DUMMYFUNCTION("""COMPUTED_VALUE"""),"2022-07-04T15:42:44.433Z")</f>
        <v>2022-07-04T15:42:44.433Z</v>
      </c>
    </row>
    <row r="1475" spans="1:10" x14ac:dyDescent="0.2">
      <c r="A1475" s="2" t="str">
        <f ca="1">IFERROR(__xludf.DUMMYFUNCTION("""COMPUTED_VALUE"""),"https://www.facebook.com/arki.ikra")</f>
        <v>https://www.facebook.com/arki.ikra</v>
      </c>
      <c r="B1475" s="1" t="str">
        <f ca="1">IFERROR(__xludf.DUMMYFUNCTION("""COMPUTED_VALUE"""),"Arki Ikra")</f>
        <v>Arki Ikra</v>
      </c>
      <c r="C1475" s="1" t="str">
        <f ca="1">IFERROR(__xludf.DUMMYFUNCTION("""COMPUTED_VALUE"""),"Arki")</f>
        <v>Arki</v>
      </c>
      <c r="D1475" s="1" t="str">
        <f ca="1">IFERROR(__xludf.DUMMYFUNCTION("""COMPUTED_VALUE"""),"Ikra")</f>
        <v>Ikra</v>
      </c>
      <c r="E1475" s="1" t="str">
        <f ca="1">IFERROR(__xludf.DUMMYFUNCTION("""COMPUTED_VALUE"""),"Edralin Marquez Muñoz no thanks ahhahaha")</f>
        <v>Edralin Marquez Muñoz no thanks ahhahaha</v>
      </c>
      <c r="F1475" s="1"/>
      <c r="G1475" s="1" t="str">
        <f ca="1">IFERROR(__xludf.DUMMYFUNCTION("""COMPUTED_VALUE"""),"3 mos")</f>
        <v>3 mos</v>
      </c>
      <c r="H1475" s="1" t="str">
        <f ca="1">IFERROR(__xludf.DUMMYFUNCTION("""COMPUTED_VALUE"""),"reply")</f>
        <v>reply</v>
      </c>
      <c r="I1475" s="2" t="str">
        <f ca="1">IFERROR(__xludf.DUMMYFUNCTION("""COMPUTED_VALUE"""),"https://www.facebook.com/watch/live/?ref=watch_permalink&amp;v=360307549312104")</f>
        <v>https://www.facebook.com/watch/live/?ref=watch_permalink&amp;v=360307549312104</v>
      </c>
      <c r="J1475" s="1" t="str">
        <f ca="1">IFERROR(__xludf.DUMMYFUNCTION("""COMPUTED_VALUE"""),"2022-07-04T15:42:44.433Z")</f>
        <v>2022-07-04T15:42:44.433Z</v>
      </c>
    </row>
    <row r="1476" spans="1:10" x14ac:dyDescent="0.2">
      <c r="A1476" s="2" t="str">
        <f ca="1">IFERROR(__xludf.DUMMYFUNCTION("""COMPUTED_VALUE"""),"https://www.facebook.com/road.mccane")</f>
        <v>https://www.facebook.com/road.mccane</v>
      </c>
      <c r="B1476" s="1" t="str">
        <f ca="1">IFERROR(__xludf.DUMMYFUNCTION("""COMPUTED_VALUE"""),"Roneth Dora Masangkay")</f>
        <v>Roneth Dora Masangkay</v>
      </c>
      <c r="C1476" s="1" t="str">
        <f ca="1">IFERROR(__xludf.DUMMYFUNCTION("""COMPUTED_VALUE"""),"Roneth")</f>
        <v>Roneth</v>
      </c>
      <c r="D1476" s="1" t="str">
        <f ca="1">IFERROR(__xludf.DUMMYFUNCTION("""COMPUTED_VALUE"""),"Dora Masangkay")</f>
        <v>Dora Masangkay</v>
      </c>
      <c r="E1476" s="1" t="str">
        <f ca="1">IFERROR(__xludf.DUMMYFUNCTION("""COMPUTED_VALUE"""),"Edralin Marquez Muñoz hahaha in your dreams. Integrity is nothing if you're shunga to everything.")</f>
        <v>Edralin Marquez Muñoz hahaha in your dreams. Integrity is nothing if you're shunga to everything.</v>
      </c>
      <c r="F1476" s="1"/>
      <c r="G1476" s="1" t="str">
        <f ca="1">IFERROR(__xludf.DUMMYFUNCTION("""COMPUTED_VALUE"""),"3 mos")</f>
        <v>3 mos</v>
      </c>
      <c r="H1476" s="1" t="str">
        <f ca="1">IFERROR(__xludf.DUMMYFUNCTION("""COMPUTED_VALUE"""),"reply")</f>
        <v>reply</v>
      </c>
      <c r="I1476" s="2" t="str">
        <f ca="1">IFERROR(__xludf.DUMMYFUNCTION("""COMPUTED_VALUE"""),"https://www.facebook.com/watch/live/?ref=watch_permalink&amp;v=360307549312104")</f>
        <v>https://www.facebook.com/watch/live/?ref=watch_permalink&amp;v=360307549312104</v>
      </c>
      <c r="J1476" s="1" t="str">
        <f ca="1">IFERROR(__xludf.DUMMYFUNCTION("""COMPUTED_VALUE"""),"2022-07-04T15:42:44.433Z")</f>
        <v>2022-07-04T15:42:44.433Z</v>
      </c>
    </row>
    <row r="1477" spans="1:10" x14ac:dyDescent="0.2">
      <c r="A1477" s="2" t="str">
        <f ca="1">IFERROR(__xludf.DUMMYFUNCTION("""COMPUTED_VALUE"""),"https://www.facebook.com/sham.city")</f>
        <v>https://www.facebook.com/sham.city</v>
      </c>
      <c r="B1477" s="1" t="str">
        <f ca="1">IFERROR(__xludf.DUMMYFUNCTION("""COMPUTED_VALUE"""),"Richie Gaviola Olita")</f>
        <v>Richie Gaviola Olita</v>
      </c>
      <c r="C1477" s="1" t="str">
        <f ca="1">IFERROR(__xludf.DUMMYFUNCTION("""COMPUTED_VALUE"""),"Richie")</f>
        <v>Richie</v>
      </c>
      <c r="D1477" s="1" t="str">
        <f ca="1">IFERROR(__xludf.DUMMYFUNCTION("""COMPUTED_VALUE"""),"Gaviola Olita")</f>
        <v>Gaviola Olita</v>
      </c>
      <c r="E1477" s="1" t="str">
        <f ca="1">IFERROR(__xludf.DUMMYFUNCTION("""COMPUTED_VALUE"""),"Itulog mo yan")</f>
        <v>Itulog mo yan</v>
      </c>
      <c r="F1477" s="1"/>
      <c r="G1477" s="1" t="str">
        <f ca="1">IFERROR(__xludf.DUMMYFUNCTION("""COMPUTED_VALUE"""),"3 mos")</f>
        <v>3 mos</v>
      </c>
      <c r="H1477" s="1" t="str">
        <f ca="1">IFERROR(__xludf.DUMMYFUNCTION("""COMPUTED_VALUE"""),"reply")</f>
        <v>reply</v>
      </c>
      <c r="I1477" s="2" t="str">
        <f ca="1">IFERROR(__xludf.DUMMYFUNCTION("""COMPUTED_VALUE"""),"https://www.facebook.com/watch/live/?ref=watch_permalink&amp;v=360307549312104")</f>
        <v>https://www.facebook.com/watch/live/?ref=watch_permalink&amp;v=360307549312104</v>
      </c>
      <c r="J1477" s="1" t="str">
        <f ca="1">IFERROR(__xludf.DUMMYFUNCTION("""COMPUTED_VALUE"""),"2022-07-04T15:42:44.433Z")</f>
        <v>2022-07-04T15:42:44.433Z</v>
      </c>
    </row>
    <row r="1478" spans="1:10" x14ac:dyDescent="0.2">
      <c r="A1478" s="2" t="str">
        <f ca="1">IFERROR(__xludf.DUMMYFUNCTION("""COMPUTED_VALUE"""),"https://www.facebook.com/kimashley.simbillo")</f>
        <v>https://www.facebook.com/kimashley.simbillo</v>
      </c>
      <c r="B1478" s="1" t="str">
        <f ca="1">IFERROR(__xludf.DUMMYFUNCTION("""COMPUTED_VALUE"""),"Khris Thel")</f>
        <v>Khris Thel</v>
      </c>
      <c r="C1478" s="1" t="str">
        <f ca="1">IFERROR(__xludf.DUMMYFUNCTION("""COMPUTED_VALUE"""),"Khris")</f>
        <v>Khris</v>
      </c>
      <c r="D1478" s="1" t="str">
        <f ca="1">IFERROR(__xludf.DUMMYFUNCTION("""COMPUTED_VALUE"""),"Thel")</f>
        <v>Thel</v>
      </c>
      <c r="E1478" s="1" t="str">
        <f ca="1">IFERROR(__xludf.DUMMYFUNCTION("""COMPUTED_VALUE"""),"No thanks simple nga lang cnbi n jesica describe d picture in one word d nya nga Msgot ng Tama  Maging president p Kaya ng bansa...")</f>
        <v>No thanks simple nga lang cnbi n jesica describe d picture in one word d nya nga Msgot ng Tama  Maging president p Kaya ng bansa...</v>
      </c>
      <c r="F1478" s="1"/>
      <c r="G1478" s="1" t="str">
        <f ca="1">IFERROR(__xludf.DUMMYFUNCTION("""COMPUTED_VALUE"""),"3 mos")</f>
        <v>3 mos</v>
      </c>
      <c r="H1478" s="1" t="str">
        <f ca="1">IFERROR(__xludf.DUMMYFUNCTION("""COMPUTED_VALUE"""),"reply")</f>
        <v>reply</v>
      </c>
      <c r="I1478" s="2" t="str">
        <f ca="1">IFERROR(__xludf.DUMMYFUNCTION("""COMPUTED_VALUE"""),"https://www.facebook.com/watch/live/?ref=watch_permalink&amp;v=360307549312104")</f>
        <v>https://www.facebook.com/watch/live/?ref=watch_permalink&amp;v=360307549312104</v>
      </c>
      <c r="J1478" s="1" t="str">
        <f ca="1">IFERROR(__xludf.DUMMYFUNCTION("""COMPUTED_VALUE"""),"2022-07-04T15:42:44.433Z")</f>
        <v>2022-07-04T15:42:44.433Z</v>
      </c>
    </row>
    <row r="1479" spans="1:10" x14ac:dyDescent="0.2">
      <c r="A1479" s="2" t="str">
        <f ca="1">IFERROR(__xludf.DUMMYFUNCTION("""COMPUTED_VALUE"""),"https://www.facebook.com/debrah.wasay")</f>
        <v>https://www.facebook.com/debrah.wasay</v>
      </c>
      <c r="B1479" s="1" t="str">
        <f ca="1">IFERROR(__xludf.DUMMYFUNCTION("""COMPUTED_VALUE"""),"Debralyn Layugan Wasay Matulin")</f>
        <v>Debralyn Layugan Wasay Matulin</v>
      </c>
      <c r="C1479" s="1" t="str">
        <f ca="1">IFERROR(__xludf.DUMMYFUNCTION("""COMPUTED_VALUE"""),"Debralyn")</f>
        <v>Debralyn</v>
      </c>
      <c r="D1479" s="1" t="str">
        <f ca="1">IFERROR(__xludf.DUMMYFUNCTION("""COMPUTED_VALUE"""),"Layugan Wasay Matulin")</f>
        <v>Layugan Wasay Matulin</v>
      </c>
      <c r="E1479" s="1" t="str">
        <f ca="1">IFERROR(__xludf.DUMMYFUNCTION("""COMPUTED_VALUE"""),"Watching from ilocos norte eheyyy #BBM😝")</f>
        <v>Watching from ilocos norte eheyyy #BBM😝</v>
      </c>
      <c r="F1479" s="1">
        <f ca="1">IFERROR(__xludf.DUMMYFUNCTION("""COMPUTED_VALUE"""),2)</f>
        <v>2</v>
      </c>
      <c r="G1479" s="1" t="str">
        <f ca="1">IFERROR(__xludf.DUMMYFUNCTION("""COMPUTED_VALUE"""),"3 mos")</f>
        <v>3 mos</v>
      </c>
      <c r="H1479" s="1" t="str">
        <f ca="1">IFERROR(__xludf.DUMMYFUNCTION("""COMPUTED_VALUE"""),"comment")</f>
        <v>comment</v>
      </c>
      <c r="I1479" s="2" t="str">
        <f ca="1">IFERROR(__xludf.DUMMYFUNCTION("""COMPUTED_VALUE"""),"https://www.facebook.com/watch/live/?ref=watch_permalink&amp;v=360307549312104")</f>
        <v>https://www.facebook.com/watch/live/?ref=watch_permalink&amp;v=360307549312104</v>
      </c>
      <c r="J1479" s="1" t="str">
        <f ca="1">IFERROR(__xludf.DUMMYFUNCTION("""COMPUTED_VALUE"""),"2022-07-04T15:42:44.433Z")</f>
        <v>2022-07-04T15:42:44.433Z</v>
      </c>
    </row>
    <row r="1480" spans="1:10" x14ac:dyDescent="0.2">
      <c r="A1480" s="2" t="str">
        <f ca="1">IFERROR(__xludf.DUMMYFUNCTION("""COMPUTED_VALUE"""),"https://www.facebook.com/Stain0826")</f>
        <v>https://www.facebook.com/Stain0826</v>
      </c>
      <c r="B1480" s="1" t="str">
        <f ca="1">IFERROR(__xludf.DUMMYFUNCTION("""COMPUTED_VALUE"""),"John Iris Sales")</f>
        <v>John Iris Sales</v>
      </c>
      <c r="C1480" s="1" t="str">
        <f ca="1">IFERROR(__xludf.DUMMYFUNCTION("""COMPUTED_VALUE"""),"John")</f>
        <v>John</v>
      </c>
      <c r="D1480" s="1" t="str">
        <f ca="1">IFERROR(__xludf.DUMMYFUNCTION("""COMPUTED_VALUE"""),"Iris Sales")</f>
        <v>Iris Sales</v>
      </c>
      <c r="E1480" s="1" t="str">
        <f ca="1">IFERROR(__xludf.DUMMYFUNCTION("""COMPUTED_VALUE"""),"Enjoy po..😊💗 and Good night na din..enjoy po From a Kakampink")</f>
        <v>Enjoy po..😊💗 and Good night na din..enjoy po From a Kakampink</v>
      </c>
      <c r="F1480" s="1">
        <f ca="1">IFERROR(__xludf.DUMMYFUNCTION("""COMPUTED_VALUE"""),2)</f>
        <v>2</v>
      </c>
      <c r="G1480" s="1" t="str">
        <f ca="1">IFERROR(__xludf.DUMMYFUNCTION("""COMPUTED_VALUE"""),"3 mos")</f>
        <v>3 mos</v>
      </c>
      <c r="H1480" s="1" t="str">
        <f ca="1">IFERROR(__xludf.DUMMYFUNCTION("""COMPUTED_VALUE"""),"reply")</f>
        <v>reply</v>
      </c>
      <c r="I1480" s="2" t="str">
        <f ca="1">IFERROR(__xludf.DUMMYFUNCTION("""COMPUTED_VALUE"""),"https://www.facebook.com/watch/live/?ref=watch_permalink&amp;v=360307549312104")</f>
        <v>https://www.facebook.com/watch/live/?ref=watch_permalink&amp;v=360307549312104</v>
      </c>
      <c r="J1480" s="1" t="str">
        <f ca="1">IFERROR(__xludf.DUMMYFUNCTION("""COMPUTED_VALUE"""),"2022-07-04T15:42:44.433Z")</f>
        <v>2022-07-04T15:42:44.433Z</v>
      </c>
    </row>
    <row r="1481" spans="1:10" x14ac:dyDescent="0.2">
      <c r="A1481" s="2" t="str">
        <f ca="1">IFERROR(__xludf.DUMMYFUNCTION("""COMPUTED_VALUE"""),"https://www.facebook.com/jeannalyn.f.concepcion")</f>
        <v>https://www.facebook.com/jeannalyn.f.concepcion</v>
      </c>
      <c r="B1481" s="1" t="str">
        <f ca="1">IFERROR(__xludf.DUMMYFUNCTION("""COMPUTED_VALUE"""),"Concepcion Jhean")</f>
        <v>Concepcion Jhean</v>
      </c>
      <c r="C1481" s="1" t="str">
        <f ca="1">IFERROR(__xludf.DUMMYFUNCTION("""COMPUTED_VALUE"""),"Concepcion")</f>
        <v>Concepcion</v>
      </c>
      <c r="D1481" s="1" t="str">
        <f ca="1">IFERROR(__xludf.DUMMYFUNCTION("""COMPUTED_VALUE"""),"Jhean")</f>
        <v>Jhean</v>
      </c>
      <c r="E1481" s="1" t="str">
        <f ca="1">IFERROR(__xludf.DUMMYFUNCTION("""COMPUTED_VALUE"""),"sana nag eenjoy kayo sa kakampik rally")</f>
        <v>sana nag eenjoy kayo sa kakampik rally</v>
      </c>
      <c r="F1481" s="1"/>
      <c r="G1481" s="1" t="str">
        <f ca="1">IFERROR(__xludf.DUMMYFUNCTION("""COMPUTED_VALUE"""),"3 mos")</f>
        <v>3 mos</v>
      </c>
      <c r="H1481" s="1" t="str">
        <f ca="1">IFERROR(__xludf.DUMMYFUNCTION("""COMPUTED_VALUE"""),"reply")</f>
        <v>reply</v>
      </c>
      <c r="I1481" s="2" t="str">
        <f ca="1">IFERROR(__xludf.DUMMYFUNCTION("""COMPUTED_VALUE"""),"https://www.facebook.com/watch/live/?ref=watch_permalink&amp;v=360307549312104")</f>
        <v>https://www.facebook.com/watch/live/?ref=watch_permalink&amp;v=360307549312104</v>
      </c>
      <c r="J1481" s="1" t="str">
        <f ca="1">IFERROR(__xludf.DUMMYFUNCTION("""COMPUTED_VALUE"""),"2022-07-04T15:42:44.433Z")</f>
        <v>2022-07-04T15:42:44.433Z</v>
      </c>
    </row>
    <row r="1482" spans="1:10" x14ac:dyDescent="0.2">
      <c r="A1482" s="2" t="str">
        <f ca="1">IFERROR(__xludf.DUMMYFUNCTION("""COMPUTED_VALUE"""),"https://www.facebook.com/metchroa")</f>
        <v>https://www.facebook.com/metchroa</v>
      </c>
      <c r="B1482" s="1" t="str">
        <f ca="1">IFERROR(__xludf.DUMMYFUNCTION("""COMPUTED_VALUE"""),"Metchie Ligan Roa")</f>
        <v>Metchie Ligan Roa</v>
      </c>
      <c r="C1482" s="1" t="str">
        <f ca="1">IFERROR(__xludf.DUMMYFUNCTION("""COMPUTED_VALUE"""),"Metchie")</f>
        <v>Metchie</v>
      </c>
      <c r="D1482" s="1" t="str">
        <f ca="1">IFERROR(__xludf.DUMMYFUNCTION("""COMPUTED_VALUE"""),"Ligan Roa")</f>
        <v>Ligan Roa</v>
      </c>
      <c r="E1482" s="1" t="str">
        <f ca="1">IFERROR(__xludf.DUMMYFUNCTION("""COMPUTED_VALUE"""),"Enjoy po... Wla pa nman ganyan sa inyo..")</f>
        <v>Enjoy po... Wla pa nman ganyan sa inyo..</v>
      </c>
      <c r="F1482" s="1">
        <f ca="1">IFERROR(__xludf.DUMMYFUNCTION("""COMPUTED_VALUE"""),3)</f>
        <v>3</v>
      </c>
      <c r="G1482" s="1" t="str">
        <f ca="1">IFERROR(__xludf.DUMMYFUNCTION("""COMPUTED_VALUE"""),"3 mos")</f>
        <v>3 mos</v>
      </c>
      <c r="H1482" s="1" t="str">
        <f ca="1">IFERROR(__xludf.DUMMYFUNCTION("""COMPUTED_VALUE"""),"reply")</f>
        <v>reply</v>
      </c>
      <c r="I1482" s="2" t="str">
        <f ca="1">IFERROR(__xludf.DUMMYFUNCTION("""COMPUTED_VALUE"""),"https://www.facebook.com/watch/live/?ref=watch_permalink&amp;v=360307549312104")</f>
        <v>https://www.facebook.com/watch/live/?ref=watch_permalink&amp;v=360307549312104</v>
      </c>
      <c r="J1482" s="1" t="str">
        <f ca="1">IFERROR(__xludf.DUMMYFUNCTION("""COMPUTED_VALUE"""),"2022-07-04T15:42:44.433Z")</f>
        <v>2022-07-04T15:42:44.433Z</v>
      </c>
    </row>
    <row r="1483" spans="1:10" x14ac:dyDescent="0.2">
      <c r="A1483" s="2" t="str">
        <f ca="1">IFERROR(__xludf.DUMMYFUNCTION("""COMPUTED_VALUE"""),"https://www.facebook.com/phoungchanh.nguyen")</f>
        <v>https://www.facebook.com/phoungchanh.nguyen</v>
      </c>
      <c r="B1483" s="1" t="str">
        <f ca="1">IFERROR(__xludf.DUMMYFUNCTION("""COMPUTED_VALUE"""),"Alexis Collins")</f>
        <v>Alexis Collins</v>
      </c>
      <c r="C1483" s="1" t="str">
        <f ca="1">IFERROR(__xludf.DUMMYFUNCTION("""COMPUTED_VALUE"""),"Alexis")</f>
        <v>Alexis</v>
      </c>
      <c r="D1483" s="1" t="str">
        <f ca="1">IFERROR(__xludf.DUMMYFUNCTION("""COMPUTED_VALUE"""),"Collins")</f>
        <v>Collins</v>
      </c>
      <c r="E1483" s="1" t="str">
        <f ca="1">IFERROR(__xludf.DUMMYFUNCTION("""COMPUTED_VALUE"""),"wala kasi mapanood sa side LBM")</f>
        <v>wala kasi mapanood sa side LBM</v>
      </c>
      <c r="F1483" s="1">
        <f ca="1">IFERROR(__xludf.DUMMYFUNCTION("""COMPUTED_VALUE"""),2)</f>
        <v>2</v>
      </c>
      <c r="G1483" s="1" t="str">
        <f ca="1">IFERROR(__xludf.DUMMYFUNCTION("""COMPUTED_VALUE"""),"3 mos")</f>
        <v>3 mos</v>
      </c>
      <c r="H1483" s="1" t="str">
        <f ca="1">IFERROR(__xludf.DUMMYFUNCTION("""COMPUTED_VALUE"""),"reply")</f>
        <v>reply</v>
      </c>
      <c r="I1483" s="2" t="str">
        <f ca="1">IFERROR(__xludf.DUMMYFUNCTION("""COMPUTED_VALUE"""),"https://www.facebook.com/watch/live/?ref=watch_permalink&amp;v=360307549312104")</f>
        <v>https://www.facebook.com/watch/live/?ref=watch_permalink&amp;v=360307549312104</v>
      </c>
      <c r="J1483" s="1" t="str">
        <f ca="1">IFERROR(__xludf.DUMMYFUNCTION("""COMPUTED_VALUE"""),"2022-07-04T15:42:44.433Z")</f>
        <v>2022-07-04T15:42:44.433Z</v>
      </c>
    </row>
    <row r="1484" spans="1:10" x14ac:dyDescent="0.2">
      <c r="A1484" s="2" t="str">
        <f ca="1">IFERROR(__xludf.DUMMYFUNCTION("""COMPUTED_VALUE"""),"https://www.facebook.com/aerol.plamenio")</f>
        <v>https://www.facebook.com/aerol.plamenio</v>
      </c>
      <c r="B1484" s="1" t="str">
        <f ca="1">IFERROR(__xludf.DUMMYFUNCTION("""COMPUTED_VALUE"""),"Aerol Plamenio")</f>
        <v>Aerol Plamenio</v>
      </c>
      <c r="C1484" s="1" t="str">
        <f ca="1">IFERROR(__xludf.DUMMYFUNCTION("""COMPUTED_VALUE"""),"Aerol")</f>
        <v>Aerol</v>
      </c>
      <c r="D1484" s="1" t="str">
        <f ca="1">IFERROR(__xludf.DUMMYFUNCTION("""COMPUTED_VALUE"""),"Plamenio")</f>
        <v>Plamenio</v>
      </c>
      <c r="E1484" s="1" t="str">
        <f ca="1">IFERROR(__xludf.DUMMYFUNCTION("""COMPUTED_VALUE"""),"Ganun na ba ka boring sa inyo?🤭")</f>
        <v>Ganun na ba ka boring sa inyo?🤭</v>
      </c>
      <c r="F1484" s="1">
        <f ca="1">IFERROR(__xludf.DUMMYFUNCTION("""COMPUTED_VALUE"""),1)</f>
        <v>1</v>
      </c>
      <c r="G1484" s="1" t="str">
        <f ca="1">IFERROR(__xludf.DUMMYFUNCTION("""COMPUTED_VALUE"""),"3 mos")</f>
        <v>3 mos</v>
      </c>
      <c r="H1484" s="1" t="str">
        <f ca="1">IFERROR(__xludf.DUMMYFUNCTION("""COMPUTED_VALUE"""),"reply")</f>
        <v>reply</v>
      </c>
      <c r="I1484" s="2" t="str">
        <f ca="1">IFERROR(__xludf.DUMMYFUNCTION("""COMPUTED_VALUE"""),"https://www.facebook.com/watch/live/?ref=watch_permalink&amp;v=360307549312104")</f>
        <v>https://www.facebook.com/watch/live/?ref=watch_permalink&amp;v=360307549312104</v>
      </c>
      <c r="J1484" s="1" t="str">
        <f ca="1">IFERROR(__xludf.DUMMYFUNCTION("""COMPUTED_VALUE"""),"2022-07-04T15:42:44.433Z")</f>
        <v>2022-07-04T15:42:44.433Z</v>
      </c>
    </row>
    <row r="1485" spans="1:10" x14ac:dyDescent="0.2">
      <c r="A1485" s="2" t="str">
        <f ca="1">IFERROR(__xludf.DUMMYFUNCTION("""COMPUTED_VALUE"""),"https://www.facebook.com/profile.php?id=100004812961576")</f>
        <v>https://www.facebook.com/profile.php?id=100004812961576</v>
      </c>
      <c r="B1485" s="1" t="str">
        <f ca="1">IFERROR(__xludf.DUMMYFUNCTION("""COMPUTED_VALUE"""),"Jayr-Bachicha Villarba")</f>
        <v>Jayr-Bachicha Villarba</v>
      </c>
      <c r="C1485" s="1" t="str">
        <f ca="1">IFERROR(__xludf.DUMMYFUNCTION("""COMPUTED_VALUE"""),"Jayr-Bachicha")</f>
        <v>Jayr-Bachicha</v>
      </c>
      <c r="D1485" s="1" t="str">
        <f ca="1">IFERROR(__xludf.DUMMYFUNCTION("""COMPUTED_VALUE"""),"Villarba")</f>
        <v>Villarba</v>
      </c>
      <c r="E1485" s="1" t="str">
        <f ca="1">IFERROR(__xludf.DUMMYFUNCTION("""COMPUTED_VALUE"""),"Umay knb kay toni 🤣🤣")</f>
        <v>Umay knb kay toni 🤣🤣</v>
      </c>
      <c r="F1485" s="1"/>
      <c r="G1485" s="1" t="str">
        <f ca="1">IFERROR(__xludf.DUMMYFUNCTION("""COMPUTED_VALUE"""),"3 mos")</f>
        <v>3 mos</v>
      </c>
      <c r="H1485" s="1" t="str">
        <f ca="1">IFERROR(__xludf.DUMMYFUNCTION("""COMPUTED_VALUE"""),"reply")</f>
        <v>reply</v>
      </c>
      <c r="I1485" s="2" t="str">
        <f ca="1">IFERROR(__xludf.DUMMYFUNCTION("""COMPUTED_VALUE"""),"https://www.facebook.com/watch/live/?ref=watch_permalink&amp;v=360307549312104")</f>
        <v>https://www.facebook.com/watch/live/?ref=watch_permalink&amp;v=360307549312104</v>
      </c>
      <c r="J1485" s="1" t="str">
        <f ca="1">IFERROR(__xludf.DUMMYFUNCTION("""COMPUTED_VALUE"""),"2022-07-04T15:42:44.433Z")</f>
        <v>2022-07-04T15:42:44.433Z</v>
      </c>
    </row>
    <row r="1486" spans="1:10" x14ac:dyDescent="0.2">
      <c r="A1486" s="2" t="str">
        <f ca="1">IFERROR(__xludf.DUMMYFUNCTION("""COMPUTED_VALUE"""),"https://www.facebook.com/cora.ropeta")</f>
        <v>https://www.facebook.com/cora.ropeta</v>
      </c>
      <c r="B1486" s="1" t="str">
        <f ca="1">IFERROR(__xludf.DUMMYFUNCTION("""COMPUTED_VALUE"""),"Cors M Ropeta")</f>
        <v>Cors M Ropeta</v>
      </c>
      <c r="C1486" s="1" t="str">
        <f ca="1">IFERROR(__xludf.DUMMYFUNCTION("""COMPUTED_VALUE"""),"Cors")</f>
        <v>Cors</v>
      </c>
      <c r="D1486" s="1" t="str">
        <f ca="1">IFERROR(__xludf.DUMMYFUNCTION("""COMPUTED_VALUE"""),"M Ropeta")</f>
        <v>M Ropeta</v>
      </c>
      <c r="E1486" s="1" t="str">
        <f ca="1">IFERROR(__xludf.DUMMYFUNCTION("""COMPUTED_VALUE"""),"The most qualified among the VP candidates 💖")</f>
        <v>The most qualified among the VP candidates 💖</v>
      </c>
      <c r="F1486" s="1">
        <f ca="1">IFERROR(__xludf.DUMMYFUNCTION("""COMPUTED_VALUE"""),9)</f>
        <v>9</v>
      </c>
      <c r="G1486" s="1" t="str">
        <f ca="1">IFERROR(__xludf.DUMMYFUNCTION("""COMPUTED_VALUE"""),"3 mos")</f>
        <v>3 mos</v>
      </c>
      <c r="H1486" s="1" t="str">
        <f ca="1">IFERROR(__xludf.DUMMYFUNCTION("""COMPUTED_VALUE"""),"comment")</f>
        <v>comment</v>
      </c>
      <c r="I1486" s="2" t="str">
        <f ca="1">IFERROR(__xludf.DUMMYFUNCTION("""COMPUTED_VALUE"""),"https://www.facebook.com/watch/live/?ref=watch_permalink&amp;v=360307549312104")</f>
        <v>https://www.facebook.com/watch/live/?ref=watch_permalink&amp;v=360307549312104</v>
      </c>
      <c r="J1486" s="1" t="str">
        <f ca="1">IFERROR(__xludf.DUMMYFUNCTION("""COMPUTED_VALUE"""),"2022-07-04T15:42:44.433Z")</f>
        <v>2022-07-04T15:42:44.433Z</v>
      </c>
    </row>
    <row r="1487" spans="1:10" x14ac:dyDescent="0.2">
      <c r="A1487" s="2" t="str">
        <f ca="1">IFERROR(__xludf.DUMMYFUNCTION("""COMPUTED_VALUE"""),"https://www.facebook.com/adelfa.abuda")</f>
        <v>https://www.facebook.com/adelfa.abuda</v>
      </c>
      <c r="B1487" s="1" t="str">
        <f ca="1">IFERROR(__xludf.DUMMYFUNCTION("""COMPUTED_VALUE"""),"Adelfa Abuda")</f>
        <v>Adelfa Abuda</v>
      </c>
      <c r="C1487" s="1" t="str">
        <f ca="1">IFERROR(__xludf.DUMMYFUNCTION("""COMPUTED_VALUE"""),"Adelfa")</f>
        <v>Adelfa</v>
      </c>
      <c r="D1487" s="1" t="str">
        <f ca="1">IFERROR(__xludf.DUMMYFUNCTION("""COMPUTED_VALUE"""),"Abuda")</f>
        <v>Abuda</v>
      </c>
      <c r="E1487" s="1" t="str">
        <f ca="1">IFERROR(__xludf.DUMMYFUNCTION("""COMPUTED_VALUE"""),"Here they are showing the crowd, walang daya. Sa iba nakatutok lang sa stage. Ayaw mabuko na konte lang ang attendees.")</f>
        <v>Here they are showing the crowd, walang daya. Sa iba nakatutok lang sa stage. Ayaw mabuko na konte lang ang attendees.</v>
      </c>
      <c r="F1487" s="1">
        <f ca="1">IFERROR(__xludf.DUMMYFUNCTION("""COMPUTED_VALUE"""),2)</f>
        <v>2</v>
      </c>
      <c r="G1487" s="1" t="str">
        <f ca="1">IFERROR(__xludf.DUMMYFUNCTION("""COMPUTED_VALUE"""),"3 mos")</f>
        <v>3 mos</v>
      </c>
      <c r="H1487" s="1" t="str">
        <f ca="1">IFERROR(__xludf.DUMMYFUNCTION("""COMPUTED_VALUE"""),"comment")</f>
        <v>comment</v>
      </c>
      <c r="I1487" s="2" t="str">
        <f ca="1">IFERROR(__xludf.DUMMYFUNCTION("""COMPUTED_VALUE"""),"https://www.facebook.com/watch/live/?ref=watch_permalink&amp;v=360307549312104")</f>
        <v>https://www.facebook.com/watch/live/?ref=watch_permalink&amp;v=360307549312104</v>
      </c>
      <c r="J1487" s="1" t="str">
        <f ca="1">IFERROR(__xludf.DUMMYFUNCTION("""COMPUTED_VALUE"""),"2022-07-04T15:42:44.433Z")</f>
        <v>2022-07-04T15:42:44.433Z</v>
      </c>
    </row>
    <row r="1488" spans="1:10" x14ac:dyDescent="0.2">
      <c r="A1488" s="2" t="str">
        <f ca="1">IFERROR(__xludf.DUMMYFUNCTION("""COMPUTED_VALUE"""),"https://www.facebook.com/jowel.geroy")</f>
        <v>https://www.facebook.com/jowel.geroy</v>
      </c>
      <c r="B1488" s="1" t="str">
        <f ca="1">IFERROR(__xludf.DUMMYFUNCTION("""COMPUTED_VALUE"""),"Jowel Geroy")</f>
        <v>Jowel Geroy</v>
      </c>
      <c r="C1488" s="1" t="str">
        <f ca="1">IFERROR(__xludf.DUMMYFUNCTION("""COMPUTED_VALUE"""),"Jowel")</f>
        <v>Jowel</v>
      </c>
      <c r="D1488" s="1" t="str">
        <f ca="1">IFERROR(__xludf.DUMMYFUNCTION("""COMPUTED_VALUE"""),"Geroy")</f>
        <v>Geroy</v>
      </c>
      <c r="E1488" s="1" t="str">
        <f ca="1">IFERROR(__xludf.DUMMYFUNCTION("""COMPUTED_VALUE"""),"I can feel it! GOD is working in this campaigns and in the coming election. I have high hopes and great faith that we will be able to elect a good leader for our nation this May.")</f>
        <v>I can feel it! GOD is working in this campaigns and in the coming election. I have high hopes and great faith that we will be able to elect a good leader for our nation this May.</v>
      </c>
      <c r="F1488" s="1">
        <f ca="1">IFERROR(__xludf.DUMMYFUNCTION("""COMPUTED_VALUE"""),7)</f>
        <v>7</v>
      </c>
      <c r="G1488" s="1" t="str">
        <f ca="1">IFERROR(__xludf.DUMMYFUNCTION("""COMPUTED_VALUE"""),"3 mos")</f>
        <v>3 mos</v>
      </c>
      <c r="H1488" s="1" t="str">
        <f ca="1">IFERROR(__xludf.DUMMYFUNCTION("""COMPUTED_VALUE"""),"comment")</f>
        <v>comment</v>
      </c>
      <c r="I1488" s="2" t="str">
        <f ca="1">IFERROR(__xludf.DUMMYFUNCTION("""COMPUTED_VALUE"""),"https://www.facebook.com/watch/live/?ref=watch_permalink&amp;v=360307549312104")</f>
        <v>https://www.facebook.com/watch/live/?ref=watch_permalink&amp;v=360307549312104</v>
      </c>
      <c r="J1488" s="1" t="str">
        <f ca="1">IFERROR(__xludf.DUMMYFUNCTION("""COMPUTED_VALUE"""),"2022-07-04T15:42:44.433Z")</f>
        <v>2022-07-04T15:42:44.433Z</v>
      </c>
    </row>
    <row r="1489" spans="1:10" x14ac:dyDescent="0.2">
      <c r="A1489" s="2" t="str">
        <f ca="1">IFERROR(__xludf.DUMMYFUNCTION("""COMPUTED_VALUE"""),"https://www.facebook.com/bong.umpa.1")</f>
        <v>https://www.facebook.com/bong.umpa.1</v>
      </c>
      <c r="B1489" s="1" t="str">
        <f ca="1">IFERROR(__xludf.DUMMYFUNCTION("""COMPUTED_VALUE"""),"Bong Umpa")</f>
        <v>Bong Umpa</v>
      </c>
      <c r="C1489" s="1" t="str">
        <f ca="1">IFERROR(__xludf.DUMMYFUNCTION("""COMPUTED_VALUE"""),"Bong")</f>
        <v>Bong</v>
      </c>
      <c r="D1489" s="1" t="str">
        <f ca="1">IFERROR(__xludf.DUMMYFUNCTION("""COMPUTED_VALUE"""),"Umpa")</f>
        <v>Umpa</v>
      </c>
      <c r="E1489" s="1" t="str">
        <f ca="1">IFERROR(__xludf.DUMMYFUNCTION("""COMPUTED_VALUE"""),"Mabuhay Sen Teddy Baguilat and thank you kaTropa Sir Nathan Figueroa. #GobyernongTapatAngatBuhayLahat")</f>
        <v>Mabuhay Sen Teddy Baguilat and thank you kaTropa Sir Nathan Figueroa. #GobyernongTapatAngatBuhayLahat</v>
      </c>
      <c r="F1489" s="1">
        <f ca="1">IFERROR(__xludf.DUMMYFUNCTION("""COMPUTED_VALUE"""),7)</f>
        <v>7</v>
      </c>
      <c r="G1489" s="1" t="str">
        <f ca="1">IFERROR(__xludf.DUMMYFUNCTION("""COMPUTED_VALUE"""),"3 mos")</f>
        <v>3 mos</v>
      </c>
      <c r="H1489" s="1" t="str">
        <f ca="1">IFERROR(__xludf.DUMMYFUNCTION("""COMPUTED_VALUE"""),"comment")</f>
        <v>comment</v>
      </c>
      <c r="I1489" s="2" t="str">
        <f ca="1">IFERROR(__xludf.DUMMYFUNCTION("""COMPUTED_VALUE"""),"https://www.facebook.com/watch/live/?ref=watch_permalink&amp;v=360307549312104")</f>
        <v>https://www.facebook.com/watch/live/?ref=watch_permalink&amp;v=360307549312104</v>
      </c>
      <c r="J1489" s="1" t="str">
        <f ca="1">IFERROR(__xludf.DUMMYFUNCTION("""COMPUTED_VALUE"""),"2022-07-04T15:42:44.433Z")</f>
        <v>2022-07-04T15:42:44.433Z</v>
      </c>
    </row>
    <row r="1490" spans="1:10" x14ac:dyDescent="0.2">
      <c r="A1490" s="2" t="str">
        <f ca="1">IFERROR(__xludf.DUMMYFUNCTION("""COMPUTED_VALUE"""),"https://www.facebook.com/antonette.fernandez.583")</f>
        <v>https://www.facebook.com/antonette.fernandez.583</v>
      </c>
      <c r="B1490" s="1" t="str">
        <f ca="1">IFERROR(__xludf.DUMMYFUNCTION("""COMPUTED_VALUE"""),"Antonette Fernandez")</f>
        <v>Antonette Fernandez</v>
      </c>
      <c r="C1490" s="1" t="str">
        <f ca="1">IFERROR(__xludf.DUMMYFUNCTION("""COMPUTED_VALUE"""),"Antonette")</f>
        <v>Antonette</v>
      </c>
      <c r="D1490" s="1" t="str">
        <f ca="1">IFERROR(__xludf.DUMMYFUNCTION("""COMPUTED_VALUE"""),"Fernandez")</f>
        <v>Fernandez</v>
      </c>
      <c r="E1490" s="1" t="str">
        <f ca="1">IFERROR(__xludf.DUMMYFUNCTION("""COMPUTED_VALUE"""),"Voting for you panyero Alex and the rest of the TEAM  ANGAT!!!👍👍👍#LeniKiko2022💕💕💕🌷🌷🌷")</f>
        <v>Voting for you panyero Alex and the rest of the TEAM  ANGAT!!!👍👍👍#LeniKiko2022💕💕💕🌷🌷🌷</v>
      </c>
      <c r="F1490" s="1">
        <f ca="1">IFERROR(__xludf.DUMMYFUNCTION("""COMPUTED_VALUE"""),3)</f>
        <v>3</v>
      </c>
      <c r="G1490" s="1" t="str">
        <f ca="1">IFERROR(__xludf.DUMMYFUNCTION("""COMPUTED_VALUE"""),"3 mos")</f>
        <v>3 mos</v>
      </c>
      <c r="H1490" s="1" t="str">
        <f ca="1">IFERROR(__xludf.DUMMYFUNCTION("""COMPUTED_VALUE"""),"comment")</f>
        <v>comment</v>
      </c>
      <c r="I1490" s="2" t="str">
        <f ca="1">IFERROR(__xludf.DUMMYFUNCTION("""COMPUTED_VALUE"""),"https://www.facebook.com/watch/live/?ref=watch_permalink&amp;v=360307549312104")</f>
        <v>https://www.facebook.com/watch/live/?ref=watch_permalink&amp;v=360307549312104</v>
      </c>
      <c r="J1490" s="1" t="str">
        <f ca="1">IFERROR(__xludf.DUMMYFUNCTION("""COMPUTED_VALUE"""),"2022-07-04T15:42:44.433Z")</f>
        <v>2022-07-04T15:42:44.433Z</v>
      </c>
    </row>
    <row r="1491" spans="1:10" x14ac:dyDescent="0.2">
      <c r="A1491" s="2" t="str">
        <f ca="1">IFERROR(__xludf.DUMMYFUNCTION("""COMPUTED_VALUE"""),"https://www.facebook.com/profile.php?id=100011473596628")</f>
        <v>https://www.facebook.com/profile.php?id=100011473596628</v>
      </c>
      <c r="B1491" s="1" t="str">
        <f ca="1">IFERROR(__xludf.DUMMYFUNCTION("""COMPUTED_VALUE"""),"Andressa Tandog")</f>
        <v>Andressa Tandog</v>
      </c>
      <c r="C1491" s="1" t="str">
        <f ca="1">IFERROR(__xludf.DUMMYFUNCTION("""COMPUTED_VALUE"""),"Andressa")</f>
        <v>Andressa</v>
      </c>
      <c r="D1491" s="1" t="str">
        <f ca="1">IFERROR(__xludf.DUMMYFUNCTION("""COMPUTED_VALUE"""),"Tandog")</f>
        <v>Tandog</v>
      </c>
      <c r="E1491" s="1" t="str">
        <f ca="1">IFERROR(__xludf.DUMMYFUNCTION("""COMPUTED_VALUE"""),"No matter what the caption is, what's important is we're SOLID ISKOWILLIE TANDEM AND TEAM! 🙏 💙☝️")</f>
        <v>No matter what the caption is, what's important is we're SOLID ISKOWILLIE TANDEM AND TEAM! 🙏 💙☝️</v>
      </c>
      <c r="F1491" s="1">
        <f ca="1">IFERROR(__xludf.DUMMYFUNCTION("""COMPUTED_VALUE"""),3)</f>
        <v>3</v>
      </c>
      <c r="G1491" s="1" t="str">
        <f ca="1">IFERROR(__xludf.DUMMYFUNCTION("""COMPUTED_VALUE"""),"3 mos")</f>
        <v>3 mos</v>
      </c>
      <c r="H1491" s="1" t="str">
        <f ca="1">IFERROR(__xludf.DUMMYFUNCTION("""COMPUTED_VALUE"""),"comment")</f>
        <v>comment</v>
      </c>
      <c r="I1491" s="2" t="str">
        <f ca="1">IFERROR(__xludf.DUMMYFUNCTION("""COMPUTED_VALUE"""),"https://www.facebook.com/watch/live/?ref=watch_permalink&amp;v=360307549312104")</f>
        <v>https://www.facebook.com/watch/live/?ref=watch_permalink&amp;v=360307549312104</v>
      </c>
      <c r="J1491" s="1" t="str">
        <f ca="1">IFERROR(__xludf.DUMMYFUNCTION("""COMPUTED_VALUE"""),"2022-07-04T15:42:44.434Z")</f>
        <v>2022-07-04T15:42:44.434Z</v>
      </c>
    </row>
    <row r="1492" spans="1:10" x14ac:dyDescent="0.2">
      <c r="A1492" s="2" t="str">
        <f ca="1">IFERROR(__xludf.DUMMYFUNCTION("""COMPUTED_VALUE"""),"https://www.facebook.com/jerry.deguzman1")</f>
        <v>https://www.facebook.com/jerry.deguzman1</v>
      </c>
      <c r="B1492" s="1" t="str">
        <f ca="1">IFERROR(__xludf.DUMMYFUNCTION("""COMPUTED_VALUE"""),"Jerry de Guzman")</f>
        <v>Jerry de Guzman</v>
      </c>
      <c r="C1492" s="1" t="str">
        <f ca="1">IFERROR(__xludf.DUMMYFUNCTION("""COMPUTED_VALUE"""),"Jerry")</f>
        <v>Jerry</v>
      </c>
      <c r="D1492" s="1" t="str">
        <f ca="1">IFERROR(__xludf.DUMMYFUNCTION("""COMPUTED_VALUE"""),"de Guzman")</f>
        <v>de Guzman</v>
      </c>
      <c r="E1492" s="1" t="str">
        <f ca="1">IFERROR(__xludf.DUMMYFUNCTION("""COMPUTED_VALUE"""),"May God bless all the trolls here. YOU ARE ALL WELCOME HERE!")</f>
        <v>May God bless all the trolls here. YOU ARE ALL WELCOME HERE!</v>
      </c>
      <c r="F1492" s="1">
        <f ca="1">IFERROR(__xludf.DUMMYFUNCTION("""COMPUTED_VALUE"""),2)</f>
        <v>2</v>
      </c>
      <c r="G1492" s="1" t="str">
        <f ca="1">IFERROR(__xludf.DUMMYFUNCTION("""COMPUTED_VALUE"""),"3 mos")</f>
        <v>3 mos</v>
      </c>
      <c r="H1492" s="1" t="str">
        <f ca="1">IFERROR(__xludf.DUMMYFUNCTION("""COMPUTED_VALUE"""),"comment")</f>
        <v>comment</v>
      </c>
      <c r="I1492" s="2" t="str">
        <f ca="1">IFERROR(__xludf.DUMMYFUNCTION("""COMPUTED_VALUE"""),"https://www.facebook.com/watch/live/?ref=watch_permalink&amp;v=360307549312104")</f>
        <v>https://www.facebook.com/watch/live/?ref=watch_permalink&amp;v=360307549312104</v>
      </c>
      <c r="J1492" s="1" t="str">
        <f ca="1">IFERROR(__xludf.DUMMYFUNCTION("""COMPUTED_VALUE"""),"2022-07-04T15:42:44.434Z")</f>
        <v>2022-07-04T15:42:44.434Z</v>
      </c>
    </row>
    <row r="1493" spans="1:10" x14ac:dyDescent="0.2">
      <c r="A1493" s="2" t="str">
        <f ca="1">IFERROR(__xludf.DUMMYFUNCTION("""COMPUTED_VALUE"""),"https://www.facebook.com/raul.dizon.5")</f>
        <v>https://www.facebook.com/raul.dizon.5</v>
      </c>
      <c r="B1493" s="1" t="str">
        <f ca="1">IFERROR(__xludf.DUMMYFUNCTION("""COMPUTED_VALUE"""),"Raul Dizon")</f>
        <v>Raul Dizon</v>
      </c>
      <c r="C1493" s="1" t="str">
        <f ca="1">IFERROR(__xludf.DUMMYFUNCTION("""COMPUTED_VALUE"""),"Raul")</f>
        <v>Raul</v>
      </c>
      <c r="D1493" s="1" t="str">
        <f ca="1">IFERROR(__xludf.DUMMYFUNCTION("""COMPUTED_VALUE"""),"Dizon")</f>
        <v>Dizon</v>
      </c>
      <c r="E1493" s="1" t="str">
        <f ca="1">IFERROR(__xludf.DUMMYFUNCTION("""COMPUTED_VALUE"""),"Mababait ang The Company! Sincerely hoping for good government!")</f>
        <v>Mababait ang The Company! Sincerely hoping for good government!</v>
      </c>
      <c r="F1493" s="1"/>
      <c r="G1493" s="1" t="str">
        <f ca="1">IFERROR(__xludf.DUMMYFUNCTION("""COMPUTED_VALUE"""),"3 mos")</f>
        <v>3 mos</v>
      </c>
      <c r="H1493" s="1" t="str">
        <f ca="1">IFERROR(__xludf.DUMMYFUNCTION("""COMPUTED_VALUE"""),"comment")</f>
        <v>comment</v>
      </c>
      <c r="I1493" s="2" t="str">
        <f ca="1">IFERROR(__xludf.DUMMYFUNCTION("""COMPUTED_VALUE"""),"https://www.facebook.com/watch/live/?ref=watch_permalink&amp;v=360307549312104")</f>
        <v>https://www.facebook.com/watch/live/?ref=watch_permalink&amp;v=360307549312104</v>
      </c>
      <c r="J1493" s="1" t="str">
        <f ca="1">IFERROR(__xludf.DUMMYFUNCTION("""COMPUTED_VALUE"""),"2022-07-04T15:42:44.434Z")</f>
        <v>2022-07-04T15:42:44.434Z</v>
      </c>
    </row>
    <row r="1494" spans="1:10" x14ac:dyDescent="0.2">
      <c r="A1494" s="2" t="str">
        <f ca="1">IFERROR(__xludf.DUMMYFUNCTION("""COMPUTED_VALUE"""),"https://www.facebook.com/rowena.o.alvarez")</f>
        <v>https://www.facebook.com/rowena.o.alvarez</v>
      </c>
      <c r="B1494" s="1" t="str">
        <f ca="1">IFERROR(__xludf.DUMMYFUNCTION("""COMPUTED_VALUE"""),"Rowena Ong Alvarez")</f>
        <v>Rowena Ong Alvarez</v>
      </c>
      <c r="C1494" s="1" t="str">
        <f ca="1">IFERROR(__xludf.DUMMYFUNCTION("""COMPUTED_VALUE"""),"Rowena")</f>
        <v>Rowena</v>
      </c>
      <c r="D1494" s="1" t="str">
        <f ca="1">IFERROR(__xludf.DUMMYFUNCTION("""COMPUTED_VALUE"""),"Ong Alvarez")</f>
        <v>Ong Alvarez</v>
      </c>
      <c r="E1494" s="1" t="str">
        <f ca="1">IFERROR(__xludf.DUMMYFUNCTION("""COMPUTED_VALUE"""),"Ayan ha LIVE drone shots streamed live dito sa FB. Hindi bawal ang drone shots kasi totoong maraming tao! 🌸")</f>
        <v>Ayan ha LIVE drone shots streamed live dito sa FB. Hindi bawal ang drone shots kasi totoong maraming tao! 🌸</v>
      </c>
      <c r="F1494" s="1">
        <f ca="1">IFERROR(__xludf.DUMMYFUNCTION("""COMPUTED_VALUE"""),2)</f>
        <v>2</v>
      </c>
      <c r="G1494" s="1" t="str">
        <f ca="1">IFERROR(__xludf.DUMMYFUNCTION("""COMPUTED_VALUE"""),"3 mos")</f>
        <v>3 mos</v>
      </c>
      <c r="H1494" s="1" t="str">
        <f ca="1">IFERROR(__xludf.DUMMYFUNCTION("""COMPUTED_VALUE"""),"comment")</f>
        <v>comment</v>
      </c>
      <c r="I1494" s="2" t="str">
        <f ca="1">IFERROR(__xludf.DUMMYFUNCTION("""COMPUTED_VALUE"""),"https://www.facebook.com/watch/live/?ref=watch_permalink&amp;v=360307549312104")</f>
        <v>https://www.facebook.com/watch/live/?ref=watch_permalink&amp;v=360307549312104</v>
      </c>
      <c r="J1494" s="1" t="str">
        <f ca="1">IFERROR(__xludf.DUMMYFUNCTION("""COMPUTED_VALUE"""),"2022-07-04T15:42:44.434Z")</f>
        <v>2022-07-04T15:42:44.434Z</v>
      </c>
    </row>
    <row r="1495" spans="1:10" x14ac:dyDescent="0.2">
      <c r="A1495" s="2" t="str">
        <f ca="1">IFERROR(__xludf.DUMMYFUNCTION("""COMPUTED_VALUE"""),"https://www.facebook.com/emily.c.luague")</f>
        <v>https://www.facebook.com/emily.c.luague</v>
      </c>
      <c r="B1495" s="1" t="str">
        <f ca="1">IFERROR(__xludf.DUMMYFUNCTION("""COMPUTED_VALUE"""),"Emily Cañares Luague")</f>
        <v>Emily Cañares Luague</v>
      </c>
      <c r="C1495" s="1" t="str">
        <f ca="1">IFERROR(__xludf.DUMMYFUNCTION("""COMPUTED_VALUE"""),"Emily")</f>
        <v>Emily</v>
      </c>
      <c r="D1495" s="1" t="str">
        <f ca="1">IFERROR(__xludf.DUMMYFUNCTION("""COMPUTED_VALUE"""),"Cañares Luague")</f>
        <v>Cañares Luague</v>
      </c>
      <c r="E1495" s="1" t="str">
        <f ca="1">IFERROR(__xludf.DUMMYFUNCTION("""COMPUTED_VALUE"""),"GO GO ATTY ALEX LACSON FORNATOR #AngatBuhayAngLahat")</f>
        <v>GO GO ATTY ALEX LACSON FORNATOR #AngatBuhayAngLahat</v>
      </c>
      <c r="F1495" s="1">
        <f ca="1">IFERROR(__xludf.DUMMYFUNCTION("""COMPUTED_VALUE"""),1)</f>
        <v>1</v>
      </c>
      <c r="G1495" s="1" t="str">
        <f ca="1">IFERROR(__xludf.DUMMYFUNCTION("""COMPUTED_VALUE"""),"3 mos")</f>
        <v>3 mos</v>
      </c>
      <c r="H1495" s="1" t="str">
        <f ca="1">IFERROR(__xludf.DUMMYFUNCTION("""COMPUTED_VALUE"""),"comment")</f>
        <v>comment</v>
      </c>
      <c r="I1495" s="2" t="str">
        <f ca="1">IFERROR(__xludf.DUMMYFUNCTION("""COMPUTED_VALUE"""),"https://www.facebook.com/watch/live/?ref=watch_permalink&amp;v=360307549312104")</f>
        <v>https://www.facebook.com/watch/live/?ref=watch_permalink&amp;v=360307549312104</v>
      </c>
      <c r="J1495" s="1" t="str">
        <f ca="1">IFERROR(__xludf.DUMMYFUNCTION("""COMPUTED_VALUE"""),"2022-07-04T15:42:44.434Z")</f>
        <v>2022-07-04T15:42:44.434Z</v>
      </c>
    </row>
    <row r="1496" spans="1:10" x14ac:dyDescent="0.2">
      <c r="A1496" s="2" t="str">
        <f ca="1">IFERROR(__xludf.DUMMYFUNCTION("""COMPUTED_VALUE"""),"https://www.facebook.com/babycoolette")</f>
        <v>https://www.facebook.com/babycoolette</v>
      </c>
      <c r="B1496" s="1" t="str">
        <f ca="1">IFERROR(__xludf.DUMMYFUNCTION("""COMPUTED_VALUE"""),"Babycool Penit Deduque")</f>
        <v>Babycool Penit Deduque</v>
      </c>
      <c r="C1496" s="1" t="str">
        <f ca="1">IFERROR(__xludf.DUMMYFUNCTION("""COMPUTED_VALUE"""),"Babycool")</f>
        <v>Babycool</v>
      </c>
      <c r="D1496" s="1" t="str">
        <f ca="1">IFERROR(__xludf.DUMMYFUNCTION("""COMPUTED_VALUE"""),"Penit Deduque")</f>
        <v>Penit Deduque</v>
      </c>
      <c r="E1496" s="1" t="str">
        <f ca="1">IFERROR(__xludf.DUMMYFUNCTION("""COMPUTED_VALUE"""),"Grave kau CAMANAVA.....PROUD OF YOU KAKAMPINKS....ANDAMI NIO.....💗🫰💗🫰 WATCHING FROM BACOLOD CITY")</f>
        <v>Grave kau CAMANAVA.....PROUD OF YOU KAKAMPINKS....ANDAMI NIO.....💗🫰💗🫰 WATCHING FROM BACOLOD CITY</v>
      </c>
      <c r="F1496" s="1">
        <f ca="1">IFERROR(__xludf.DUMMYFUNCTION("""COMPUTED_VALUE"""),5)</f>
        <v>5</v>
      </c>
      <c r="G1496" s="1" t="str">
        <f ca="1">IFERROR(__xludf.DUMMYFUNCTION("""COMPUTED_VALUE"""),"3 mos")</f>
        <v>3 mos</v>
      </c>
      <c r="H1496" s="1" t="str">
        <f ca="1">IFERROR(__xludf.DUMMYFUNCTION("""COMPUTED_VALUE"""),"comment")</f>
        <v>comment</v>
      </c>
      <c r="I1496" s="2" t="str">
        <f ca="1">IFERROR(__xludf.DUMMYFUNCTION("""COMPUTED_VALUE"""),"https://www.facebook.com/watch/live/?ref=watch_permalink&amp;v=360307549312104")</f>
        <v>https://www.facebook.com/watch/live/?ref=watch_permalink&amp;v=360307549312104</v>
      </c>
      <c r="J1496" s="1" t="str">
        <f ca="1">IFERROR(__xludf.DUMMYFUNCTION("""COMPUTED_VALUE"""),"2022-07-04T15:42:44.434Z")</f>
        <v>2022-07-04T15:42:44.434Z</v>
      </c>
    </row>
    <row r="1497" spans="1:10" x14ac:dyDescent="0.2">
      <c r="A1497" s="2" t="str">
        <f ca="1">IFERROR(__xludf.DUMMYFUNCTION("""COMPUTED_VALUE"""),"https://www.facebook.com/profile.php?id=100073807421844")</f>
        <v>https://www.facebook.com/profile.php?id=100073807421844</v>
      </c>
      <c r="B1497" s="1" t="str">
        <f ca="1">IFERROR(__xludf.DUMMYFUNCTION("""COMPUTED_VALUE"""),"Angeline Sison")</f>
        <v>Angeline Sison</v>
      </c>
      <c r="C1497" s="1" t="str">
        <f ca="1">IFERROR(__xludf.DUMMYFUNCTION("""COMPUTED_VALUE"""),"Angeline")</f>
        <v>Angeline</v>
      </c>
      <c r="D1497" s="1" t="str">
        <f ca="1">IFERROR(__xludf.DUMMYFUNCTION("""COMPUTED_VALUE"""),"Sison")</f>
        <v>Sison</v>
      </c>
      <c r="E1497" s="1" t="str">
        <f ca="1">IFERROR(__xludf.DUMMYFUNCTION("""COMPUTED_VALUE"""),"SEE, JUDGE AND ACT PROUD TO BE KAKAMPINK")</f>
        <v>SEE, JUDGE AND ACT PROUD TO BE KAKAMPINK</v>
      </c>
      <c r="F1497" s="1">
        <f ca="1">IFERROR(__xludf.DUMMYFUNCTION("""COMPUTED_VALUE"""),3)</f>
        <v>3</v>
      </c>
      <c r="G1497" s="1" t="str">
        <f ca="1">IFERROR(__xludf.DUMMYFUNCTION("""COMPUTED_VALUE"""),"3 mos")</f>
        <v>3 mos</v>
      </c>
      <c r="H1497" s="1" t="str">
        <f ca="1">IFERROR(__xludf.DUMMYFUNCTION("""COMPUTED_VALUE"""),"comment")</f>
        <v>comment</v>
      </c>
      <c r="I1497" s="2" t="str">
        <f ca="1">IFERROR(__xludf.DUMMYFUNCTION("""COMPUTED_VALUE"""),"https://www.facebook.com/watch/live/?ref=watch_permalink&amp;v=360307549312104")</f>
        <v>https://www.facebook.com/watch/live/?ref=watch_permalink&amp;v=360307549312104</v>
      </c>
      <c r="J1497" s="1" t="str">
        <f ca="1">IFERROR(__xludf.DUMMYFUNCTION("""COMPUTED_VALUE"""),"2022-07-04T15:42:44.434Z")</f>
        <v>2022-07-04T15:42:44.434Z</v>
      </c>
    </row>
    <row r="1498" spans="1:10" x14ac:dyDescent="0.2">
      <c r="A1498" s="2" t="str">
        <f ca="1">IFERROR(__xludf.DUMMYFUNCTION("""COMPUTED_VALUE"""),"https://www.facebook.com/sandra.siaton")</f>
        <v>https://www.facebook.com/sandra.siaton</v>
      </c>
      <c r="B1498" s="1" t="str">
        <f ca="1">IFERROR(__xludf.DUMMYFUNCTION("""COMPUTED_VALUE"""),"Sandra Siaton")</f>
        <v>Sandra Siaton</v>
      </c>
      <c r="C1498" s="1" t="str">
        <f ca="1">IFERROR(__xludf.DUMMYFUNCTION("""COMPUTED_VALUE"""),"Sandra")</f>
        <v>Sandra</v>
      </c>
      <c r="D1498" s="1" t="str">
        <f ca="1">IFERROR(__xludf.DUMMYFUNCTION("""COMPUTED_VALUE"""),"Siaton")</f>
        <v>Siaton</v>
      </c>
      <c r="E1498" s="1" t="str">
        <f ca="1">IFERROR(__xludf.DUMMYFUNCTION("""COMPUTED_VALUE"""),"Posting of good words is good for your health.")</f>
        <v>Posting of good words is good for your health.</v>
      </c>
      <c r="F1498" s="1"/>
      <c r="G1498" s="1" t="str">
        <f ca="1">IFERROR(__xludf.DUMMYFUNCTION("""COMPUTED_VALUE"""),"3 mos")</f>
        <v>3 mos</v>
      </c>
      <c r="H1498" s="1" t="str">
        <f ca="1">IFERROR(__xludf.DUMMYFUNCTION("""COMPUTED_VALUE"""),"comment")</f>
        <v>comment</v>
      </c>
      <c r="I1498" s="2" t="str">
        <f ca="1">IFERROR(__xludf.DUMMYFUNCTION("""COMPUTED_VALUE"""),"https://www.facebook.com/watch/live/?ref=watch_permalink&amp;v=360307549312104")</f>
        <v>https://www.facebook.com/watch/live/?ref=watch_permalink&amp;v=360307549312104</v>
      </c>
      <c r="J1498" s="1" t="str">
        <f ca="1">IFERROR(__xludf.DUMMYFUNCTION("""COMPUTED_VALUE"""),"2022-07-04T15:42:44.434Z")</f>
        <v>2022-07-04T15:42:44.434Z</v>
      </c>
    </row>
    <row r="1499" spans="1:10" x14ac:dyDescent="0.2">
      <c r="A1499" s="2" t="str">
        <f ca="1">IFERROR(__xludf.DUMMYFUNCTION("""COMPUTED_VALUE"""),"https://www.facebook.com/adelfa.abuda")</f>
        <v>https://www.facebook.com/adelfa.abuda</v>
      </c>
      <c r="B1499" s="1" t="str">
        <f ca="1">IFERROR(__xludf.DUMMYFUNCTION("""COMPUTED_VALUE"""),"Adelfa Abuda")</f>
        <v>Adelfa Abuda</v>
      </c>
      <c r="C1499" s="1" t="str">
        <f ca="1">IFERROR(__xludf.DUMMYFUNCTION("""COMPUTED_VALUE"""),"Adelfa")</f>
        <v>Adelfa</v>
      </c>
      <c r="D1499" s="1" t="str">
        <f ca="1">IFERROR(__xludf.DUMMYFUNCTION("""COMPUTED_VALUE"""),"Abuda")</f>
        <v>Abuda</v>
      </c>
      <c r="E1499" s="1" t="str">
        <f ca="1">IFERROR(__xludf.DUMMYFUNCTION("""COMPUTED_VALUE"""),"Ibig sabihin they have experience and they know what they need to continue to do and how they will do it.")</f>
        <v>Ibig sabihin they have experience and they know what they need to continue to do and how they will do it.</v>
      </c>
      <c r="F1499" s="1">
        <f ca="1">IFERROR(__xludf.DUMMYFUNCTION("""COMPUTED_VALUE"""),1)</f>
        <v>1</v>
      </c>
      <c r="G1499" s="1" t="str">
        <f ca="1">IFERROR(__xludf.DUMMYFUNCTION("""COMPUTED_VALUE"""),"3 mos")</f>
        <v>3 mos</v>
      </c>
      <c r="H1499" s="1" t="str">
        <f ca="1">IFERROR(__xludf.DUMMYFUNCTION("""COMPUTED_VALUE"""),"comment")</f>
        <v>comment</v>
      </c>
      <c r="I1499" s="2" t="str">
        <f ca="1">IFERROR(__xludf.DUMMYFUNCTION("""COMPUTED_VALUE"""),"https://www.facebook.com/watch/live/?ref=watch_permalink&amp;v=360307549312104")</f>
        <v>https://www.facebook.com/watch/live/?ref=watch_permalink&amp;v=360307549312104</v>
      </c>
      <c r="J1499" s="1" t="str">
        <f ca="1">IFERROR(__xludf.DUMMYFUNCTION("""COMPUTED_VALUE"""),"2022-07-04T15:42:44.434Z")</f>
        <v>2022-07-04T15:42:44.434Z</v>
      </c>
    </row>
    <row r="1500" spans="1:10" x14ac:dyDescent="0.2">
      <c r="A1500" s="2" t="str">
        <f ca="1">IFERROR(__xludf.DUMMYFUNCTION("""COMPUTED_VALUE"""),"https://www.facebook.com/sialexto")</f>
        <v>https://www.facebook.com/sialexto</v>
      </c>
      <c r="B1500" s="1" t="str">
        <f ca="1">IFERROR(__xludf.DUMMYFUNCTION("""COMPUTED_VALUE"""),"Alex Santos")</f>
        <v>Alex Santos</v>
      </c>
      <c r="C1500" s="1" t="str">
        <f ca="1">IFERROR(__xludf.DUMMYFUNCTION("""COMPUTED_VALUE"""),"Alex")</f>
        <v>Alex</v>
      </c>
      <c r="D1500" s="1" t="str">
        <f ca="1">IFERROR(__xludf.DUMMYFUNCTION("""COMPUTED_VALUE"""),"Santos")</f>
        <v>Santos</v>
      </c>
      <c r="E1500" s="1" t="str">
        <f ca="1">IFERROR(__xludf.DUMMYFUNCTION("""COMPUTED_VALUE"""),"WOW CAMANAVA!!!! Ang Daming Tao! 💗💗💗  Congrats Kakampink #LeniKiko2022 #AngatBuhayLahat  #sagobyernongtapatangatbuhaylahat")</f>
        <v>WOW CAMANAVA!!!! Ang Daming Tao! 💗💗💗  Congrats Kakampink #LeniKiko2022 #AngatBuhayLahat  #sagobyernongtapatangatbuhaylahat</v>
      </c>
      <c r="F1500" s="1">
        <f ca="1">IFERROR(__xludf.DUMMYFUNCTION("""COMPUTED_VALUE"""),2)</f>
        <v>2</v>
      </c>
      <c r="G1500" s="1" t="str">
        <f ca="1">IFERROR(__xludf.DUMMYFUNCTION("""COMPUTED_VALUE"""),"3 mos")</f>
        <v>3 mos</v>
      </c>
      <c r="H1500" s="1" t="str">
        <f ca="1">IFERROR(__xludf.DUMMYFUNCTION("""COMPUTED_VALUE"""),"comment")</f>
        <v>comment</v>
      </c>
      <c r="I1500" s="2" t="str">
        <f ca="1">IFERROR(__xludf.DUMMYFUNCTION("""COMPUTED_VALUE"""),"https://www.facebook.com/watch/live/?ref=watch_permalink&amp;v=360307549312104")</f>
        <v>https://www.facebook.com/watch/live/?ref=watch_permalink&amp;v=360307549312104</v>
      </c>
      <c r="J1500" s="1" t="str">
        <f ca="1">IFERROR(__xludf.DUMMYFUNCTION("""COMPUTED_VALUE"""),"2022-07-04T15:42:44.434Z")</f>
        <v>2022-07-04T15:42:44.434Z</v>
      </c>
    </row>
    <row r="1501" spans="1:10" x14ac:dyDescent="0.2">
      <c r="A1501" s="2" t="str">
        <f ca="1">IFERROR(__xludf.DUMMYFUNCTION("""COMPUTED_VALUE"""),"https://www.facebook.com/marygrace.bruma")</f>
        <v>https://www.facebook.com/marygrace.bruma</v>
      </c>
      <c r="B1501" s="1" t="str">
        <f ca="1">IFERROR(__xludf.DUMMYFUNCTION("""COMPUTED_VALUE"""),"Mary Grace Bruma-Fernandez")</f>
        <v>Mary Grace Bruma-Fernandez</v>
      </c>
      <c r="C1501" s="1" t="str">
        <f ca="1">IFERROR(__xludf.DUMMYFUNCTION("""COMPUTED_VALUE"""),"Mary")</f>
        <v>Mary</v>
      </c>
      <c r="D1501" s="1" t="str">
        <f ca="1">IFERROR(__xludf.DUMMYFUNCTION("""COMPUTED_VALUE"""),"Grace Bruma-Fernandez")</f>
        <v>Grace Bruma-Fernandez</v>
      </c>
      <c r="E1501" s="1" t="str">
        <f ca="1">IFERROR(__xludf.DUMMYFUNCTION("""COMPUTED_VALUE"""),"Watching here from caticlan boracay laban My president..ipanalo n ntin to🙏🙏")</f>
        <v>Watching here from caticlan boracay laban My president..ipanalo n ntin to🙏🙏</v>
      </c>
      <c r="F1501" s="1">
        <f ca="1">IFERROR(__xludf.DUMMYFUNCTION("""COMPUTED_VALUE"""),1)</f>
        <v>1</v>
      </c>
      <c r="G1501" s="1" t="str">
        <f ca="1">IFERROR(__xludf.DUMMYFUNCTION("""COMPUTED_VALUE"""),"3 mos")</f>
        <v>3 mos</v>
      </c>
      <c r="H1501" s="1" t="str">
        <f ca="1">IFERROR(__xludf.DUMMYFUNCTION("""COMPUTED_VALUE"""),"comment")</f>
        <v>comment</v>
      </c>
      <c r="I1501" s="2" t="str">
        <f ca="1">IFERROR(__xludf.DUMMYFUNCTION("""COMPUTED_VALUE"""),"https://www.facebook.com/watch/live/?ref=watch_permalink&amp;v=360307549312104")</f>
        <v>https://www.facebook.com/watch/live/?ref=watch_permalink&amp;v=360307549312104</v>
      </c>
      <c r="J1501" s="1" t="str">
        <f ca="1">IFERROR(__xludf.DUMMYFUNCTION("""COMPUTED_VALUE"""),"2022-07-04T15:42:44.434Z")</f>
        <v>2022-07-04T15:42:44.434Z</v>
      </c>
    </row>
    <row r="1502" spans="1:10" x14ac:dyDescent="0.2">
      <c r="A1502" s="2" t="str">
        <f ca="1">IFERROR(__xludf.DUMMYFUNCTION("""COMPUTED_VALUE"""),"https://www.facebook.com/pearl.a.pedroso")</f>
        <v>https://www.facebook.com/pearl.a.pedroso</v>
      </c>
      <c r="B1502" s="1" t="str">
        <f ca="1">IFERROR(__xludf.DUMMYFUNCTION("""COMPUTED_VALUE"""),"Pearl Angeli P. Pedroso")</f>
        <v>Pearl Angeli P. Pedroso</v>
      </c>
      <c r="C1502" s="1" t="str">
        <f ca="1">IFERROR(__xludf.DUMMYFUNCTION("""COMPUTED_VALUE"""),"Pearl")</f>
        <v>Pearl</v>
      </c>
      <c r="D1502" s="1" t="str">
        <f ca="1">IFERROR(__xludf.DUMMYFUNCTION("""COMPUTED_VALUE"""),"Angeli P. Pedroso")</f>
        <v>Angeli P. Pedroso</v>
      </c>
      <c r="E1502" s="1" t="str">
        <f ca="1">IFERROR(__xludf.DUMMYFUNCTION("""COMPUTED_VALUE"""),"Sending love to all fellow Kakampinks in CaMaNaVa!  #LetLeniKikoLead2022")</f>
        <v>Sending love to all fellow Kakampinks in CaMaNaVa!  #LetLeniKikoLead2022</v>
      </c>
      <c r="F1502" s="1">
        <f ca="1">IFERROR(__xludf.DUMMYFUNCTION("""COMPUTED_VALUE"""),3)</f>
        <v>3</v>
      </c>
      <c r="G1502" s="1" t="str">
        <f ca="1">IFERROR(__xludf.DUMMYFUNCTION("""COMPUTED_VALUE"""),"3 mos")</f>
        <v>3 mos</v>
      </c>
      <c r="H1502" s="1" t="str">
        <f ca="1">IFERROR(__xludf.DUMMYFUNCTION("""COMPUTED_VALUE"""),"comment")</f>
        <v>comment</v>
      </c>
      <c r="I1502" s="2" t="str">
        <f ca="1">IFERROR(__xludf.DUMMYFUNCTION("""COMPUTED_VALUE"""),"https://www.facebook.com/watch/live/?ref=watch_permalink&amp;v=360307549312104")</f>
        <v>https://www.facebook.com/watch/live/?ref=watch_permalink&amp;v=360307549312104</v>
      </c>
      <c r="J1502" s="1" t="str">
        <f ca="1">IFERROR(__xludf.DUMMYFUNCTION("""COMPUTED_VALUE"""),"2022-07-04T15:42:44.434Z")</f>
        <v>2022-07-04T15:42:44.434Z</v>
      </c>
    </row>
    <row r="1503" spans="1:10" x14ac:dyDescent="0.2">
      <c r="A1503" s="2" t="str">
        <f ca="1">IFERROR(__xludf.DUMMYFUNCTION("""COMPUTED_VALUE"""),"https://www.facebook.com/jowel.geroy")</f>
        <v>https://www.facebook.com/jowel.geroy</v>
      </c>
      <c r="B1503" s="1" t="str">
        <f ca="1">IFERROR(__xludf.DUMMYFUNCTION("""COMPUTED_VALUE"""),"Jowel Geroy")</f>
        <v>Jowel Geroy</v>
      </c>
      <c r="C1503" s="1" t="str">
        <f ca="1">IFERROR(__xludf.DUMMYFUNCTION("""COMPUTED_VALUE"""),"Jowel")</f>
        <v>Jowel</v>
      </c>
      <c r="D1503" s="1" t="str">
        <f ca="1">IFERROR(__xludf.DUMMYFUNCTION("""COMPUTED_VALUE"""),"Geroy")</f>
        <v>Geroy</v>
      </c>
      <c r="E1503" s="1" t="str">
        <f ca="1">IFERROR(__xludf.DUMMYFUNCTION("""COMPUTED_VALUE"""),"We Filipinos are environmental lovers kaya CLAYGO tayo mga kababayan sa mga venue natin ng mga sorties para maayos parin ang kapaligiran. #Mararangal tayong mga Pilipino.")</f>
        <v>We Filipinos are environmental lovers kaya CLAYGO tayo mga kababayan sa mga venue natin ng mga sorties para maayos parin ang kapaligiran. #Mararangal tayong mga Pilipino.</v>
      </c>
      <c r="F1503" s="1"/>
      <c r="G1503" s="1" t="str">
        <f ca="1">IFERROR(__xludf.DUMMYFUNCTION("""COMPUTED_VALUE"""),"3 mos")</f>
        <v>3 mos</v>
      </c>
      <c r="H1503" s="1" t="str">
        <f ca="1">IFERROR(__xludf.DUMMYFUNCTION("""COMPUTED_VALUE"""),"comment")</f>
        <v>comment</v>
      </c>
      <c r="I1503" s="2" t="str">
        <f ca="1">IFERROR(__xludf.DUMMYFUNCTION("""COMPUTED_VALUE"""),"https://www.facebook.com/watch/live/?ref=watch_permalink&amp;v=360307549312104")</f>
        <v>https://www.facebook.com/watch/live/?ref=watch_permalink&amp;v=360307549312104</v>
      </c>
      <c r="J1503" s="1" t="str">
        <f ca="1">IFERROR(__xludf.DUMMYFUNCTION("""COMPUTED_VALUE"""),"2022-07-04T15:42:44.434Z")</f>
        <v>2022-07-04T15:42:44.434Z</v>
      </c>
    </row>
    <row r="1504" spans="1:10" x14ac:dyDescent="0.2">
      <c r="A1504" s="2" t="str">
        <f ca="1">IFERROR(__xludf.DUMMYFUNCTION("""COMPUTED_VALUE"""),"https://www.facebook.com/silvana.kagura")</f>
        <v>https://www.facebook.com/silvana.kagura</v>
      </c>
      <c r="B1504" s="1" t="str">
        <f ca="1">IFERROR(__xludf.DUMMYFUNCTION("""COMPUTED_VALUE"""),"Silvana Kagura")</f>
        <v>Silvana Kagura</v>
      </c>
      <c r="C1504" s="1" t="str">
        <f ca="1">IFERROR(__xludf.DUMMYFUNCTION("""COMPUTED_VALUE"""),"Silvana")</f>
        <v>Silvana</v>
      </c>
      <c r="D1504" s="1" t="str">
        <f ca="1">IFERROR(__xludf.DUMMYFUNCTION("""COMPUTED_VALUE"""),"Kagura")</f>
        <v>Kagura</v>
      </c>
      <c r="E1504" s="1" t="str">
        <f ca="1">IFERROR(__xludf.DUMMYFUNCTION("""COMPUTED_VALUE"""),"🌷🌷🌷🌷🌷🌷good luck po atty. Chel Diokno 🌷🌷🌷🌷🌷🌷 my family votes for you")</f>
        <v>🌷🌷🌷🌷🌷🌷good luck po atty. Chel Diokno 🌷🌷🌷🌷🌷🌷 my family votes for you</v>
      </c>
      <c r="F1504" s="1">
        <f ca="1">IFERROR(__xludf.DUMMYFUNCTION("""COMPUTED_VALUE"""),4)</f>
        <v>4</v>
      </c>
      <c r="G1504" s="1" t="str">
        <f ca="1">IFERROR(__xludf.DUMMYFUNCTION("""COMPUTED_VALUE"""),"3 mos")</f>
        <v>3 mos</v>
      </c>
      <c r="H1504" s="1" t="str">
        <f ca="1">IFERROR(__xludf.DUMMYFUNCTION("""COMPUTED_VALUE"""),"comment")</f>
        <v>comment</v>
      </c>
      <c r="I1504" s="2" t="str">
        <f ca="1">IFERROR(__xludf.DUMMYFUNCTION("""COMPUTED_VALUE"""),"https://www.facebook.com/watch/live/?ref=watch_permalink&amp;v=360307549312104")</f>
        <v>https://www.facebook.com/watch/live/?ref=watch_permalink&amp;v=360307549312104</v>
      </c>
      <c r="J1504" s="1" t="str">
        <f ca="1">IFERROR(__xludf.DUMMYFUNCTION("""COMPUTED_VALUE"""),"2022-07-04T15:42:44.434Z")</f>
        <v>2022-07-04T15:42:44.434Z</v>
      </c>
    </row>
    <row r="1505" spans="1:10" x14ac:dyDescent="0.2">
      <c r="A1505" s="2" t="str">
        <f ca="1">IFERROR(__xludf.DUMMYFUNCTION("""COMPUTED_VALUE"""),"https://www.facebook.com/jowel.geroy")</f>
        <v>https://www.facebook.com/jowel.geroy</v>
      </c>
      <c r="B1505" s="1" t="str">
        <f ca="1">IFERROR(__xludf.DUMMYFUNCTION("""COMPUTED_VALUE"""),"Jowel Geroy")</f>
        <v>Jowel Geroy</v>
      </c>
      <c r="C1505" s="1" t="str">
        <f ca="1">IFERROR(__xludf.DUMMYFUNCTION("""COMPUTED_VALUE"""),"Jowel")</f>
        <v>Jowel</v>
      </c>
      <c r="D1505" s="1" t="str">
        <f ca="1">IFERROR(__xludf.DUMMYFUNCTION("""COMPUTED_VALUE"""),"Geroy")</f>
        <v>Geroy</v>
      </c>
      <c r="E1505" s="1" t="str">
        <f ca="1">IFERROR(__xludf.DUMMYFUNCTION("""COMPUTED_VALUE"""),"Yan lumalaganap na ang character change, ito yung positive character development na nangyayari on the ground! nakakahawa kayo! Maraming salamat!")</f>
        <v>Yan lumalaganap na ang character change, ito yung positive character development na nangyayari on the ground! nakakahawa kayo! Maraming salamat!</v>
      </c>
      <c r="F1505" s="1">
        <f ca="1">IFERROR(__xludf.DUMMYFUNCTION("""COMPUTED_VALUE"""),2)</f>
        <v>2</v>
      </c>
      <c r="G1505" s="1" t="str">
        <f ca="1">IFERROR(__xludf.DUMMYFUNCTION("""COMPUTED_VALUE"""),"3 mos")</f>
        <v>3 mos</v>
      </c>
      <c r="H1505" s="1" t="str">
        <f ca="1">IFERROR(__xludf.DUMMYFUNCTION("""COMPUTED_VALUE"""),"comment")</f>
        <v>comment</v>
      </c>
      <c r="I1505" s="2" t="str">
        <f ca="1">IFERROR(__xludf.DUMMYFUNCTION("""COMPUTED_VALUE"""),"https://www.facebook.com/watch/live/?ref=watch_permalink&amp;v=360307549312104")</f>
        <v>https://www.facebook.com/watch/live/?ref=watch_permalink&amp;v=360307549312104</v>
      </c>
      <c r="J1505" s="1" t="str">
        <f ca="1">IFERROR(__xludf.DUMMYFUNCTION("""COMPUTED_VALUE"""),"2022-07-04T15:42:44.434Z")</f>
        <v>2022-07-04T15:42:44.434Z</v>
      </c>
    </row>
    <row r="1506" spans="1:10" x14ac:dyDescent="0.2">
      <c r="A1506" s="2" t="str">
        <f ca="1">IFERROR(__xludf.DUMMYFUNCTION("""COMPUTED_VALUE"""),"https://www.facebook.com/rottenlittlecog")</f>
        <v>https://www.facebook.com/rottenlittlecog</v>
      </c>
      <c r="B1506" s="1" t="str">
        <f ca="1">IFERROR(__xludf.DUMMYFUNCTION("""COMPUTED_VALUE"""),"Elliana Rei Magnaye")</f>
        <v>Elliana Rei Magnaye</v>
      </c>
      <c r="C1506" s="1" t="str">
        <f ca="1">IFERROR(__xludf.DUMMYFUNCTION("""COMPUTED_VALUE"""),"Elliana")</f>
        <v>Elliana</v>
      </c>
      <c r="D1506" s="1" t="str">
        <f ca="1">IFERROR(__xludf.DUMMYFUNCTION("""COMPUTED_VALUE"""),"Rei Magnaye")</f>
        <v>Rei Magnaye</v>
      </c>
      <c r="E1506" s="1" t="str">
        <f ca="1">IFERROR(__xludf.DUMMYFUNCTION("""COMPUTED_VALUE"""),"“This is the revolution of the new generation.” 🌷🤩")</f>
        <v>“This is the revolution of the new generation.” 🌷🤩</v>
      </c>
      <c r="F1506" s="1">
        <f ca="1">IFERROR(__xludf.DUMMYFUNCTION("""COMPUTED_VALUE"""),1)</f>
        <v>1</v>
      </c>
      <c r="G1506" s="1" t="str">
        <f ca="1">IFERROR(__xludf.DUMMYFUNCTION("""COMPUTED_VALUE"""),"3 mos")</f>
        <v>3 mos</v>
      </c>
      <c r="H1506" s="1" t="str">
        <f ca="1">IFERROR(__xludf.DUMMYFUNCTION("""COMPUTED_VALUE"""),"comment")</f>
        <v>comment</v>
      </c>
      <c r="I1506" s="2" t="str">
        <f ca="1">IFERROR(__xludf.DUMMYFUNCTION("""COMPUTED_VALUE"""),"https://www.facebook.com/watch/live/?ref=watch_permalink&amp;v=360307549312104")</f>
        <v>https://www.facebook.com/watch/live/?ref=watch_permalink&amp;v=360307549312104</v>
      </c>
      <c r="J1506" s="1" t="str">
        <f ca="1">IFERROR(__xludf.DUMMYFUNCTION("""COMPUTED_VALUE"""),"2022-07-04T15:42:44.434Z")</f>
        <v>2022-07-04T15:42:44.434Z</v>
      </c>
    </row>
    <row r="1507" spans="1:10" x14ac:dyDescent="0.2">
      <c r="A1507" s="2" t="str">
        <f ca="1">IFERROR(__xludf.DUMMYFUNCTION("""COMPUTED_VALUE"""),"https://www.facebook.com/john.tayone.56")</f>
        <v>https://www.facebook.com/john.tayone.56</v>
      </c>
      <c r="B1507" s="1" t="str">
        <f ca="1">IFERROR(__xludf.DUMMYFUNCTION("""COMPUTED_VALUE"""),"John Tayone")</f>
        <v>John Tayone</v>
      </c>
      <c r="C1507" s="1" t="str">
        <f ca="1">IFERROR(__xludf.DUMMYFUNCTION("""COMPUTED_VALUE"""),"John")</f>
        <v>John</v>
      </c>
      <c r="D1507" s="1" t="str">
        <f ca="1">IFERROR(__xludf.DUMMYFUNCTION("""COMPUTED_VALUE"""),"Tayone")</f>
        <v>Tayone</v>
      </c>
      <c r="E1507" s="1" t="str">
        <f ca="1">IFERROR(__xludf.DUMMYFUNCTION("""COMPUTED_VALUE"""),"Guys dont drained your energy with bashers..enjoy the moment..")</f>
        <v>Guys dont drained your energy with bashers..enjoy the moment..</v>
      </c>
      <c r="F1507" s="1">
        <f ca="1">IFERROR(__xludf.DUMMYFUNCTION("""COMPUTED_VALUE"""),1)</f>
        <v>1</v>
      </c>
      <c r="G1507" s="1" t="str">
        <f ca="1">IFERROR(__xludf.DUMMYFUNCTION("""COMPUTED_VALUE"""),"3 mos")</f>
        <v>3 mos</v>
      </c>
      <c r="H1507" s="1" t="str">
        <f ca="1">IFERROR(__xludf.DUMMYFUNCTION("""COMPUTED_VALUE"""),"comment")</f>
        <v>comment</v>
      </c>
      <c r="I1507" s="2" t="str">
        <f ca="1">IFERROR(__xludf.DUMMYFUNCTION("""COMPUTED_VALUE"""),"https://www.facebook.com/watch/live/?ref=watch_permalink&amp;v=360307549312104")</f>
        <v>https://www.facebook.com/watch/live/?ref=watch_permalink&amp;v=360307549312104</v>
      </c>
      <c r="J1507" s="1" t="str">
        <f ca="1">IFERROR(__xludf.DUMMYFUNCTION("""COMPUTED_VALUE"""),"2022-07-04T15:42:44.434Z")</f>
        <v>2022-07-04T15:42:44.434Z</v>
      </c>
    </row>
    <row r="1508" spans="1:10" x14ac:dyDescent="0.2">
      <c r="A1508" s="2" t="str">
        <f ca="1">IFERROR(__xludf.DUMMYFUNCTION("""COMPUTED_VALUE"""),"https://www.facebook.com/samantha.luiz.92")</f>
        <v>https://www.facebook.com/samantha.luiz.92</v>
      </c>
      <c r="B1508" s="1" t="str">
        <f ca="1">IFERROR(__xludf.DUMMYFUNCTION("""COMPUTED_VALUE"""),"Jazmin R. Bereber")</f>
        <v>Jazmin R. Bereber</v>
      </c>
      <c r="C1508" s="1" t="str">
        <f ca="1">IFERROR(__xludf.DUMMYFUNCTION("""COMPUTED_VALUE"""),"Jazmin")</f>
        <v>Jazmin</v>
      </c>
      <c r="D1508" s="1" t="str">
        <f ca="1">IFERROR(__xludf.DUMMYFUNCTION("""COMPUTED_VALUE"""),"R. Bereber")</f>
        <v>R. Bereber</v>
      </c>
      <c r="E1508" s="1" t="str">
        <f ca="1">IFERROR(__xludf.DUMMYFUNCTION("""COMPUTED_VALUE"""),"Jazmin R. Bereber")</f>
        <v>Jazmin R. Bereber</v>
      </c>
      <c r="F1508" s="1"/>
      <c r="G1508" s="1" t="str">
        <f ca="1">IFERROR(__xludf.DUMMYFUNCTION("""COMPUTED_VALUE"""),"3 mos")</f>
        <v>3 mos</v>
      </c>
      <c r="H1508" s="1" t="str">
        <f ca="1">IFERROR(__xludf.DUMMYFUNCTION("""COMPUTED_VALUE"""),"comment")</f>
        <v>comment</v>
      </c>
      <c r="I1508" s="2" t="str">
        <f ca="1">IFERROR(__xludf.DUMMYFUNCTION("""COMPUTED_VALUE"""),"https://www.facebook.com/watch/live/?ref=watch_permalink&amp;v=360307549312104")</f>
        <v>https://www.facebook.com/watch/live/?ref=watch_permalink&amp;v=360307549312104</v>
      </c>
      <c r="J1508" s="1" t="str">
        <f ca="1">IFERROR(__xludf.DUMMYFUNCTION("""COMPUTED_VALUE"""),"2022-07-04T15:42:44.434Z")</f>
        <v>2022-07-04T15:42:44.434Z</v>
      </c>
    </row>
    <row r="1509" spans="1:10" x14ac:dyDescent="0.2">
      <c r="A1509" s="2" t="str">
        <f ca="1">IFERROR(__xludf.DUMMYFUNCTION("""COMPUTED_VALUE"""),"https://www.facebook.com/profile.php?id=100010223315744")</f>
        <v>https://www.facebook.com/profile.php?id=100010223315744</v>
      </c>
      <c r="B1509" s="1" t="str">
        <f ca="1">IFERROR(__xludf.DUMMYFUNCTION("""COMPUTED_VALUE"""),"Archival Santos")</f>
        <v>Archival Santos</v>
      </c>
      <c r="C1509" s="1" t="str">
        <f ca="1">IFERROR(__xludf.DUMMYFUNCTION("""COMPUTED_VALUE"""),"Archival")</f>
        <v>Archival</v>
      </c>
      <c r="D1509" s="1" t="str">
        <f ca="1">IFERROR(__xludf.DUMMYFUNCTION("""COMPUTED_VALUE"""),"Santos")</f>
        <v>Santos</v>
      </c>
      <c r="E1509" s="1" t="str">
        <f ca="1">IFERROR(__xludf.DUMMYFUNCTION("""COMPUTED_VALUE"""),"Archival Santos")</f>
        <v>Archival Santos</v>
      </c>
      <c r="F1509" s="1"/>
      <c r="G1509" s="1" t="str">
        <f ca="1">IFERROR(__xludf.DUMMYFUNCTION("""COMPUTED_VALUE"""),"3 mos")</f>
        <v>3 mos</v>
      </c>
      <c r="H1509" s="1" t="str">
        <f ca="1">IFERROR(__xludf.DUMMYFUNCTION("""COMPUTED_VALUE"""),"comment")</f>
        <v>comment</v>
      </c>
      <c r="I1509" s="2" t="str">
        <f ca="1">IFERROR(__xludf.DUMMYFUNCTION("""COMPUTED_VALUE"""),"https://www.facebook.com/watch/live/?ref=watch_permalink&amp;v=360307549312104")</f>
        <v>https://www.facebook.com/watch/live/?ref=watch_permalink&amp;v=360307549312104</v>
      </c>
      <c r="J1509" s="1" t="str">
        <f ca="1">IFERROR(__xludf.DUMMYFUNCTION("""COMPUTED_VALUE"""),"2022-07-04T15:42:44.435Z")</f>
        <v>2022-07-04T15:42:44.435Z</v>
      </c>
    </row>
    <row r="1510" spans="1:10" x14ac:dyDescent="0.2">
      <c r="A1510" s="2" t="str">
        <f ca="1">IFERROR(__xludf.DUMMYFUNCTION("""COMPUTED_VALUE"""),"https://www.facebook.com/nelia.alfonso")</f>
        <v>https://www.facebook.com/nelia.alfonso</v>
      </c>
      <c r="B1510" s="1" t="str">
        <f ca="1">IFERROR(__xludf.DUMMYFUNCTION("""COMPUTED_VALUE"""),"Nelia Alfonso")</f>
        <v>Nelia Alfonso</v>
      </c>
      <c r="C1510" s="1" t="str">
        <f ca="1">IFERROR(__xludf.DUMMYFUNCTION("""COMPUTED_VALUE"""),"Nelia")</f>
        <v>Nelia</v>
      </c>
      <c r="D1510" s="1" t="str">
        <f ca="1">IFERROR(__xludf.DUMMYFUNCTION("""COMPUTED_VALUE"""),"Alfonso")</f>
        <v>Alfonso</v>
      </c>
      <c r="E1510" s="1" t="str">
        <f ca="1">IFERROR(__xludf.DUMMYFUNCTION("""COMPUTED_VALUE"""),"Nelia Alfonso")</f>
        <v>Nelia Alfonso</v>
      </c>
      <c r="F1510" s="1">
        <f ca="1">IFERROR(__xludf.DUMMYFUNCTION("""COMPUTED_VALUE"""),3)</f>
        <v>3</v>
      </c>
      <c r="G1510" s="1" t="str">
        <f ca="1">IFERROR(__xludf.DUMMYFUNCTION("""COMPUTED_VALUE"""),"3 mos")</f>
        <v>3 mos</v>
      </c>
      <c r="H1510" s="1" t="str">
        <f ca="1">IFERROR(__xludf.DUMMYFUNCTION("""COMPUTED_VALUE"""),"comment")</f>
        <v>comment</v>
      </c>
      <c r="I1510" s="2" t="str">
        <f ca="1">IFERROR(__xludf.DUMMYFUNCTION("""COMPUTED_VALUE"""),"https://www.facebook.com/watch/live/?ref=watch_permalink&amp;v=360307549312104")</f>
        <v>https://www.facebook.com/watch/live/?ref=watch_permalink&amp;v=360307549312104</v>
      </c>
      <c r="J1510" s="1" t="str">
        <f ca="1">IFERROR(__xludf.DUMMYFUNCTION("""COMPUTED_VALUE"""),"2022-07-04T15:42:44.435Z")</f>
        <v>2022-07-04T15:42:44.435Z</v>
      </c>
    </row>
    <row r="1511" spans="1:10" x14ac:dyDescent="0.2">
      <c r="A1511" s="2" t="str">
        <f ca="1">IFERROR(__xludf.DUMMYFUNCTION("""COMPUTED_VALUE"""),"https://www.facebook.com/riooochaaan")</f>
        <v>https://www.facebook.com/riooochaaan</v>
      </c>
      <c r="B1511" s="1" t="str">
        <f ca="1">IFERROR(__xludf.DUMMYFUNCTION("""COMPUTED_VALUE"""),"Rio Chan")</f>
        <v>Rio Chan</v>
      </c>
      <c r="C1511" s="1" t="str">
        <f ca="1">IFERROR(__xludf.DUMMYFUNCTION("""COMPUTED_VALUE"""),"Rio")</f>
        <v>Rio</v>
      </c>
      <c r="D1511" s="1" t="str">
        <f ca="1">IFERROR(__xludf.DUMMYFUNCTION("""COMPUTED_VALUE"""),"Chan")</f>
        <v>Chan</v>
      </c>
      <c r="E1511" s="1" t="str">
        <f ca="1">IFERROR(__xludf.DUMMYFUNCTION("""COMPUTED_VALUE"""),"#LetLeniLead2022")</f>
        <v>#LetLeniLead2022</v>
      </c>
      <c r="F1511" s="1"/>
      <c r="G1511" s="1" t="str">
        <f ca="1">IFERROR(__xludf.DUMMYFUNCTION("""COMPUTED_VALUE"""),"3 mos")</f>
        <v>3 mos</v>
      </c>
      <c r="H1511" s="1" t="str">
        <f ca="1">IFERROR(__xludf.DUMMYFUNCTION("""COMPUTED_VALUE"""),"comment")</f>
        <v>comment</v>
      </c>
      <c r="I1511" s="2" t="str">
        <f ca="1">IFERROR(__xludf.DUMMYFUNCTION("""COMPUTED_VALUE"""),"https://www.facebook.com/watch/live/?ref=watch_permalink&amp;v=360307549312104")</f>
        <v>https://www.facebook.com/watch/live/?ref=watch_permalink&amp;v=360307549312104</v>
      </c>
      <c r="J1511" s="1" t="str">
        <f ca="1">IFERROR(__xludf.DUMMYFUNCTION("""COMPUTED_VALUE"""),"2022-07-04T15:42:44.435Z")</f>
        <v>2022-07-04T15:42:44.435Z</v>
      </c>
    </row>
    <row r="1512" spans="1:10" x14ac:dyDescent="0.2">
      <c r="A1512" s="2" t="str">
        <f ca="1">IFERROR(__xludf.DUMMYFUNCTION("""COMPUTED_VALUE"""),"https://www.facebook.com/albert.erebito")</f>
        <v>https://www.facebook.com/albert.erebito</v>
      </c>
      <c r="B1512" s="1" t="str">
        <f ca="1">IFERROR(__xludf.DUMMYFUNCTION("""COMPUTED_VALUE"""),"Albert Erebito")</f>
        <v>Albert Erebito</v>
      </c>
      <c r="C1512" s="1" t="str">
        <f ca="1">IFERROR(__xludf.DUMMYFUNCTION("""COMPUTED_VALUE"""),"Albert")</f>
        <v>Albert</v>
      </c>
      <c r="D1512" s="1" t="str">
        <f ca="1">IFERROR(__xludf.DUMMYFUNCTION("""COMPUTED_VALUE"""),"Erebito")</f>
        <v>Erebito</v>
      </c>
      <c r="E1512" s="1" t="str">
        <f ca="1">IFERROR(__xludf.DUMMYFUNCTION("""COMPUTED_VALUE"""),"Albert Erebito")</f>
        <v>Albert Erebito</v>
      </c>
      <c r="F1512" s="1"/>
      <c r="G1512" s="1" t="str">
        <f ca="1">IFERROR(__xludf.DUMMYFUNCTION("""COMPUTED_VALUE"""),"3 mos")</f>
        <v>3 mos</v>
      </c>
      <c r="H1512" s="1" t="str">
        <f ca="1">IFERROR(__xludf.DUMMYFUNCTION("""COMPUTED_VALUE"""),"comment")</f>
        <v>comment</v>
      </c>
      <c r="I1512" s="2" t="str">
        <f ca="1">IFERROR(__xludf.DUMMYFUNCTION("""COMPUTED_VALUE"""),"https://www.facebook.com/watch/live/?ref=watch_permalink&amp;v=360307549312104")</f>
        <v>https://www.facebook.com/watch/live/?ref=watch_permalink&amp;v=360307549312104</v>
      </c>
      <c r="J1512" s="1" t="str">
        <f ca="1">IFERROR(__xludf.DUMMYFUNCTION("""COMPUTED_VALUE"""),"2022-07-04T15:42:44.435Z")</f>
        <v>2022-07-04T15:42:44.435Z</v>
      </c>
    </row>
    <row r="1513" spans="1:10" x14ac:dyDescent="0.2">
      <c r="A1513" s="2" t="str">
        <f ca="1">IFERROR(__xludf.DUMMYFUNCTION("""COMPUTED_VALUE"""),"https://www.facebook.com/deth.mamaclay")</f>
        <v>https://www.facebook.com/deth.mamaclay</v>
      </c>
      <c r="B1513" s="1" t="str">
        <f ca="1">IFERROR(__xludf.DUMMYFUNCTION("""COMPUTED_VALUE"""),"Deth Mamaclay")</f>
        <v>Deth Mamaclay</v>
      </c>
      <c r="C1513" s="1" t="str">
        <f ca="1">IFERROR(__xludf.DUMMYFUNCTION("""COMPUTED_VALUE"""),"Deth")</f>
        <v>Deth</v>
      </c>
      <c r="D1513" s="1" t="str">
        <f ca="1">IFERROR(__xludf.DUMMYFUNCTION("""COMPUTED_VALUE"""),"Mamaclay")</f>
        <v>Mamaclay</v>
      </c>
      <c r="E1513" s="1" t="str">
        <f ca="1">IFERROR(__xludf.DUMMYFUNCTION("""COMPUTED_VALUE"""),"Deth Mamaclay")</f>
        <v>Deth Mamaclay</v>
      </c>
      <c r="F1513" s="1"/>
      <c r="G1513" s="1" t="str">
        <f ca="1">IFERROR(__xludf.DUMMYFUNCTION("""COMPUTED_VALUE"""),"3 mos")</f>
        <v>3 mos</v>
      </c>
      <c r="H1513" s="1" t="str">
        <f ca="1">IFERROR(__xludf.DUMMYFUNCTION("""COMPUTED_VALUE"""),"comment")</f>
        <v>comment</v>
      </c>
      <c r="I1513" s="2" t="str">
        <f ca="1">IFERROR(__xludf.DUMMYFUNCTION("""COMPUTED_VALUE"""),"https://www.facebook.com/watch/live/?ref=watch_permalink&amp;v=360307549312104")</f>
        <v>https://www.facebook.com/watch/live/?ref=watch_permalink&amp;v=360307549312104</v>
      </c>
      <c r="J1513" s="1" t="str">
        <f ca="1">IFERROR(__xludf.DUMMYFUNCTION("""COMPUTED_VALUE"""),"2022-07-04T15:42:44.435Z")</f>
        <v>2022-07-04T15:42:44.435Z</v>
      </c>
    </row>
    <row r="1514" spans="1:10" x14ac:dyDescent="0.2">
      <c r="A1514" s="2" t="str">
        <f ca="1">IFERROR(__xludf.DUMMYFUNCTION("""COMPUTED_VALUE"""),"https://www.facebook.com/jazzminelouisse.agudo.3")</f>
        <v>https://www.facebook.com/jazzminelouisse.agudo.3</v>
      </c>
      <c r="B1514" s="1" t="str">
        <f ca="1">IFERROR(__xludf.DUMMYFUNCTION("""COMPUTED_VALUE"""),"Louisse Momshie")</f>
        <v>Louisse Momshie</v>
      </c>
      <c r="C1514" s="1" t="str">
        <f ca="1">IFERROR(__xludf.DUMMYFUNCTION("""COMPUTED_VALUE"""),"Louisse")</f>
        <v>Louisse</v>
      </c>
      <c r="D1514" s="1" t="str">
        <f ca="1">IFERROR(__xludf.DUMMYFUNCTION("""COMPUTED_VALUE"""),"Momshie")</f>
        <v>Momshie</v>
      </c>
      <c r="E1514" s="1" t="str">
        <f ca="1">IFERROR(__xludf.DUMMYFUNCTION("""COMPUTED_VALUE"""),"Louisse Momshie")</f>
        <v>Louisse Momshie</v>
      </c>
      <c r="F1514" s="1"/>
      <c r="G1514" s="1" t="str">
        <f ca="1">IFERROR(__xludf.DUMMYFUNCTION("""COMPUTED_VALUE"""),"3 mos")</f>
        <v>3 mos</v>
      </c>
      <c r="H1514" s="1" t="str">
        <f ca="1">IFERROR(__xludf.DUMMYFUNCTION("""COMPUTED_VALUE"""),"comment")</f>
        <v>comment</v>
      </c>
      <c r="I1514" s="2" t="str">
        <f ca="1">IFERROR(__xludf.DUMMYFUNCTION("""COMPUTED_VALUE"""),"https://www.facebook.com/watch/live/?ref=watch_permalink&amp;v=360307549312104")</f>
        <v>https://www.facebook.com/watch/live/?ref=watch_permalink&amp;v=360307549312104</v>
      </c>
      <c r="J1514" s="1" t="str">
        <f ca="1">IFERROR(__xludf.DUMMYFUNCTION("""COMPUTED_VALUE"""),"2022-07-04T15:42:44.435Z")</f>
        <v>2022-07-04T15:42:44.435Z</v>
      </c>
    </row>
    <row r="1515" spans="1:10" x14ac:dyDescent="0.2">
      <c r="A1515" s="2" t="str">
        <f ca="1">IFERROR(__xludf.DUMMYFUNCTION("""COMPUTED_VALUE"""),"https://www.facebook.com/profile.php?id=100071111743897")</f>
        <v>https://www.facebook.com/profile.php?id=100071111743897</v>
      </c>
      <c r="B1515" s="1" t="str">
        <f ca="1">IFERROR(__xludf.DUMMYFUNCTION("""COMPUTED_VALUE"""),"Marie Balmaceda")</f>
        <v>Marie Balmaceda</v>
      </c>
      <c r="C1515" s="1" t="str">
        <f ca="1">IFERROR(__xludf.DUMMYFUNCTION("""COMPUTED_VALUE"""),"Marie")</f>
        <v>Marie</v>
      </c>
      <c r="D1515" s="1" t="str">
        <f ca="1">IFERROR(__xludf.DUMMYFUNCTION("""COMPUTED_VALUE"""),"Balmaceda")</f>
        <v>Balmaceda</v>
      </c>
      <c r="E1515" s="1" t="str">
        <f ca="1">IFERROR(__xludf.DUMMYFUNCTION("""COMPUTED_VALUE"""),"Marie Balmaceda")</f>
        <v>Marie Balmaceda</v>
      </c>
      <c r="F1515" s="1"/>
      <c r="G1515" s="1" t="str">
        <f ca="1">IFERROR(__xludf.DUMMYFUNCTION("""COMPUTED_VALUE"""),"3 mos")</f>
        <v>3 mos</v>
      </c>
      <c r="H1515" s="1" t="str">
        <f ca="1">IFERROR(__xludf.DUMMYFUNCTION("""COMPUTED_VALUE"""),"comment")</f>
        <v>comment</v>
      </c>
      <c r="I1515" s="2" t="str">
        <f ca="1">IFERROR(__xludf.DUMMYFUNCTION("""COMPUTED_VALUE"""),"https://www.facebook.com/watch/live/?ref=watch_permalink&amp;v=360307549312104")</f>
        <v>https://www.facebook.com/watch/live/?ref=watch_permalink&amp;v=360307549312104</v>
      </c>
      <c r="J1515" s="1" t="str">
        <f ca="1">IFERROR(__xludf.DUMMYFUNCTION("""COMPUTED_VALUE"""),"2022-07-04T15:42:44.435Z")</f>
        <v>2022-07-04T15:42:44.435Z</v>
      </c>
    </row>
    <row r="1516" spans="1:10" x14ac:dyDescent="0.2">
      <c r="A1516" s="2" t="str">
        <f ca="1">IFERROR(__xludf.DUMMYFUNCTION("""COMPUTED_VALUE"""),"https://www.facebook.com/gin.elle.100")</f>
        <v>https://www.facebook.com/gin.elle.100</v>
      </c>
      <c r="B1516" s="1" t="str">
        <f ca="1">IFERROR(__xludf.DUMMYFUNCTION("""COMPUTED_VALUE"""),"Gin Elle")</f>
        <v>Gin Elle</v>
      </c>
      <c r="C1516" s="1" t="str">
        <f ca="1">IFERROR(__xludf.DUMMYFUNCTION("""COMPUTED_VALUE"""),"Gin")</f>
        <v>Gin</v>
      </c>
      <c r="D1516" s="1" t="str">
        <f ca="1">IFERROR(__xludf.DUMMYFUNCTION("""COMPUTED_VALUE"""),"Elle")</f>
        <v>Elle</v>
      </c>
      <c r="E1516" s="1" t="str">
        <f ca="1">IFERROR(__xludf.DUMMYFUNCTION("""COMPUTED_VALUE"""),"Gin Elle")</f>
        <v>Gin Elle</v>
      </c>
      <c r="F1516" s="1"/>
      <c r="G1516" s="1" t="str">
        <f ca="1">IFERROR(__xludf.DUMMYFUNCTION("""COMPUTED_VALUE"""),"3 mos")</f>
        <v>3 mos</v>
      </c>
      <c r="H1516" s="1" t="str">
        <f ca="1">IFERROR(__xludf.DUMMYFUNCTION("""COMPUTED_VALUE"""),"comment")</f>
        <v>comment</v>
      </c>
      <c r="I1516" s="2" t="str">
        <f ca="1">IFERROR(__xludf.DUMMYFUNCTION("""COMPUTED_VALUE"""),"https://www.facebook.com/watch/live/?ref=watch_permalink&amp;v=360307549312104")</f>
        <v>https://www.facebook.com/watch/live/?ref=watch_permalink&amp;v=360307549312104</v>
      </c>
      <c r="J1516" s="1" t="str">
        <f ca="1">IFERROR(__xludf.DUMMYFUNCTION("""COMPUTED_VALUE"""),"2022-07-04T15:42:44.435Z")</f>
        <v>2022-07-04T15:42:44.435Z</v>
      </c>
    </row>
    <row r="1517" spans="1:10" x14ac:dyDescent="0.2">
      <c r="A1517" s="2" t="str">
        <f ca="1">IFERROR(__xludf.DUMMYFUNCTION("""COMPUTED_VALUE"""),"https://www.facebook.com/wilma.remobautista.9")</f>
        <v>https://www.facebook.com/wilma.remobautista.9</v>
      </c>
      <c r="B1517" s="1" t="str">
        <f ca="1">IFERROR(__xludf.DUMMYFUNCTION("""COMPUTED_VALUE"""),"Wilma Remo Bautista")</f>
        <v>Wilma Remo Bautista</v>
      </c>
      <c r="C1517" s="1" t="str">
        <f ca="1">IFERROR(__xludf.DUMMYFUNCTION("""COMPUTED_VALUE"""),"Wilma")</f>
        <v>Wilma</v>
      </c>
      <c r="D1517" s="1" t="str">
        <f ca="1">IFERROR(__xludf.DUMMYFUNCTION("""COMPUTED_VALUE"""),"Remo Bautista")</f>
        <v>Remo Bautista</v>
      </c>
      <c r="E1517" s="1" t="str">
        <f ca="1">IFERROR(__xludf.DUMMYFUNCTION("""COMPUTED_VALUE"""),"Wilma Remo Bautista")</f>
        <v>Wilma Remo Bautista</v>
      </c>
      <c r="F1517" s="1"/>
      <c r="G1517" s="1" t="str">
        <f ca="1">IFERROR(__xludf.DUMMYFUNCTION("""COMPUTED_VALUE"""),"3 mos")</f>
        <v>3 mos</v>
      </c>
      <c r="H1517" s="1" t="str">
        <f ca="1">IFERROR(__xludf.DUMMYFUNCTION("""COMPUTED_VALUE"""),"comment")</f>
        <v>comment</v>
      </c>
      <c r="I1517" s="2" t="str">
        <f ca="1">IFERROR(__xludf.DUMMYFUNCTION("""COMPUTED_VALUE"""),"https://www.facebook.com/watch/live/?ref=watch_permalink&amp;v=360307549312104")</f>
        <v>https://www.facebook.com/watch/live/?ref=watch_permalink&amp;v=360307549312104</v>
      </c>
      <c r="J1517" s="1" t="str">
        <f ca="1">IFERROR(__xludf.DUMMYFUNCTION("""COMPUTED_VALUE"""),"2022-07-04T15:42:44.435Z")</f>
        <v>2022-07-04T15:42:44.435Z</v>
      </c>
    </row>
    <row r="1518" spans="1:10" x14ac:dyDescent="0.2">
      <c r="A1518" s="2" t="str">
        <f ca="1">IFERROR(__xludf.DUMMYFUNCTION("""COMPUTED_VALUE"""),"https://www.facebook.com/titorobert.piansay.12")</f>
        <v>https://www.facebook.com/titorobert.piansay.12</v>
      </c>
      <c r="B1518" s="1" t="str">
        <f ca="1">IFERROR(__xludf.DUMMYFUNCTION("""COMPUTED_VALUE"""),"Tito Robert Piansay")</f>
        <v>Tito Robert Piansay</v>
      </c>
      <c r="C1518" s="1" t="str">
        <f ca="1">IFERROR(__xludf.DUMMYFUNCTION("""COMPUTED_VALUE"""),"Tito")</f>
        <v>Tito</v>
      </c>
      <c r="D1518" s="1" t="str">
        <f ca="1">IFERROR(__xludf.DUMMYFUNCTION("""COMPUTED_VALUE"""),"Robert Piansay")</f>
        <v>Robert Piansay</v>
      </c>
      <c r="E1518" s="1" t="str">
        <f ca="1">IFERROR(__xludf.DUMMYFUNCTION("""COMPUTED_VALUE"""),"Tito Robert Piansay")</f>
        <v>Tito Robert Piansay</v>
      </c>
      <c r="F1518" s="1"/>
      <c r="G1518" s="1" t="str">
        <f ca="1">IFERROR(__xludf.DUMMYFUNCTION("""COMPUTED_VALUE"""),"3 mos")</f>
        <v>3 mos</v>
      </c>
      <c r="H1518" s="1" t="str">
        <f ca="1">IFERROR(__xludf.DUMMYFUNCTION("""COMPUTED_VALUE"""),"comment")</f>
        <v>comment</v>
      </c>
      <c r="I1518" s="2" t="str">
        <f ca="1">IFERROR(__xludf.DUMMYFUNCTION("""COMPUTED_VALUE"""),"https://www.facebook.com/watch/live/?ref=watch_permalink&amp;v=360307549312104")</f>
        <v>https://www.facebook.com/watch/live/?ref=watch_permalink&amp;v=360307549312104</v>
      </c>
      <c r="J1518" s="1" t="str">
        <f ca="1">IFERROR(__xludf.DUMMYFUNCTION("""COMPUTED_VALUE"""),"2022-07-04T15:42:44.435Z")</f>
        <v>2022-07-04T15:42:44.435Z</v>
      </c>
    </row>
    <row r="1519" spans="1:10" x14ac:dyDescent="0.2">
      <c r="A1519" s="2" t="str">
        <f ca="1">IFERROR(__xludf.DUMMYFUNCTION("""COMPUTED_VALUE"""),"https://www.facebook.com/ester.manlisic")</f>
        <v>https://www.facebook.com/ester.manlisic</v>
      </c>
      <c r="B1519" s="1" t="str">
        <f ca="1">IFERROR(__xludf.DUMMYFUNCTION("""COMPUTED_VALUE"""),"Ester Larga Manlisic")</f>
        <v>Ester Larga Manlisic</v>
      </c>
      <c r="C1519" s="1" t="str">
        <f ca="1">IFERROR(__xludf.DUMMYFUNCTION("""COMPUTED_VALUE"""),"Ester")</f>
        <v>Ester</v>
      </c>
      <c r="D1519" s="1" t="str">
        <f ca="1">IFERROR(__xludf.DUMMYFUNCTION("""COMPUTED_VALUE"""),"Larga Manlisic")</f>
        <v>Larga Manlisic</v>
      </c>
      <c r="E1519" s="1" t="str">
        <f ca="1">IFERROR(__xludf.DUMMYFUNCTION("""COMPUTED_VALUE"""),"Ester Larga Manlisic")</f>
        <v>Ester Larga Manlisic</v>
      </c>
      <c r="F1519" s="1"/>
      <c r="G1519" s="1" t="str">
        <f ca="1">IFERROR(__xludf.DUMMYFUNCTION("""COMPUTED_VALUE"""),"3 mos")</f>
        <v>3 mos</v>
      </c>
      <c r="H1519" s="1" t="str">
        <f ca="1">IFERROR(__xludf.DUMMYFUNCTION("""COMPUTED_VALUE"""),"comment")</f>
        <v>comment</v>
      </c>
      <c r="I1519" s="2" t="str">
        <f ca="1">IFERROR(__xludf.DUMMYFUNCTION("""COMPUTED_VALUE"""),"https://www.facebook.com/watch/live/?ref=watch_permalink&amp;v=360307549312104")</f>
        <v>https://www.facebook.com/watch/live/?ref=watch_permalink&amp;v=360307549312104</v>
      </c>
      <c r="J1519" s="1" t="str">
        <f ca="1">IFERROR(__xludf.DUMMYFUNCTION("""COMPUTED_VALUE"""),"2022-07-04T15:42:44.435Z")</f>
        <v>2022-07-04T15:42:44.435Z</v>
      </c>
    </row>
    <row r="1520" spans="1:10" x14ac:dyDescent="0.2">
      <c r="A1520" s="2" t="str">
        <f ca="1">IFERROR(__xludf.DUMMYFUNCTION("""COMPUTED_VALUE"""),"https://www.facebook.com/maryjean.larion")</f>
        <v>https://www.facebook.com/maryjean.larion</v>
      </c>
      <c r="B1520" s="1" t="str">
        <f ca="1">IFERROR(__xludf.DUMMYFUNCTION("""COMPUTED_VALUE"""),"Mary Jean A. Larion")</f>
        <v>Mary Jean A. Larion</v>
      </c>
      <c r="C1520" s="1" t="str">
        <f ca="1">IFERROR(__xludf.DUMMYFUNCTION("""COMPUTED_VALUE"""),"Mary")</f>
        <v>Mary</v>
      </c>
      <c r="D1520" s="1" t="str">
        <f ca="1">IFERROR(__xludf.DUMMYFUNCTION("""COMPUTED_VALUE"""),"Jean A. Larion")</f>
        <v>Jean A. Larion</v>
      </c>
      <c r="E1520" s="1" t="str">
        <f ca="1">IFERROR(__xludf.DUMMYFUNCTION("""COMPUTED_VALUE"""),"Mary Jean A. Larion")</f>
        <v>Mary Jean A. Larion</v>
      </c>
      <c r="F1520" s="1"/>
      <c r="G1520" s="1" t="str">
        <f ca="1">IFERROR(__xludf.DUMMYFUNCTION("""COMPUTED_VALUE"""),"3 mos")</f>
        <v>3 mos</v>
      </c>
      <c r="H1520" s="1" t="str">
        <f ca="1">IFERROR(__xludf.DUMMYFUNCTION("""COMPUTED_VALUE"""),"comment")</f>
        <v>comment</v>
      </c>
      <c r="I1520" s="2" t="str">
        <f ca="1">IFERROR(__xludf.DUMMYFUNCTION("""COMPUTED_VALUE"""),"https://www.facebook.com/watch/live/?ref=watch_permalink&amp;v=360307549312104")</f>
        <v>https://www.facebook.com/watch/live/?ref=watch_permalink&amp;v=360307549312104</v>
      </c>
      <c r="J1520" s="1" t="str">
        <f ca="1">IFERROR(__xludf.DUMMYFUNCTION("""COMPUTED_VALUE"""),"2022-07-04T15:42:44.435Z")</f>
        <v>2022-07-04T15:42:44.435Z</v>
      </c>
    </row>
    <row r="1521" spans="1:10" x14ac:dyDescent="0.2">
      <c r="A1521" s="2" t="str">
        <f ca="1">IFERROR(__xludf.DUMMYFUNCTION("""COMPUTED_VALUE"""),"https://www.facebook.com/madonna.bagalayfulgar.3")</f>
        <v>https://www.facebook.com/madonna.bagalayfulgar.3</v>
      </c>
      <c r="B1521" s="1" t="str">
        <f ca="1">IFERROR(__xludf.DUMMYFUNCTION("""COMPUTED_VALUE"""),"Madonna Bagalay Fulgar")</f>
        <v>Madonna Bagalay Fulgar</v>
      </c>
      <c r="C1521" s="1" t="str">
        <f ca="1">IFERROR(__xludf.DUMMYFUNCTION("""COMPUTED_VALUE"""),"Madonna")</f>
        <v>Madonna</v>
      </c>
      <c r="D1521" s="1" t="str">
        <f ca="1">IFERROR(__xludf.DUMMYFUNCTION("""COMPUTED_VALUE"""),"Bagalay Fulgar")</f>
        <v>Bagalay Fulgar</v>
      </c>
      <c r="E1521" s="1" t="str">
        <f ca="1">IFERROR(__xludf.DUMMYFUNCTION("""COMPUTED_VALUE"""),"Madonna Bagalay Fulgar")</f>
        <v>Madonna Bagalay Fulgar</v>
      </c>
      <c r="F1521" s="1"/>
      <c r="G1521" s="1" t="str">
        <f ca="1">IFERROR(__xludf.DUMMYFUNCTION("""COMPUTED_VALUE"""),"3 mos")</f>
        <v>3 mos</v>
      </c>
      <c r="H1521" s="1" t="str">
        <f ca="1">IFERROR(__xludf.DUMMYFUNCTION("""COMPUTED_VALUE"""),"comment")</f>
        <v>comment</v>
      </c>
      <c r="I1521" s="2" t="str">
        <f ca="1">IFERROR(__xludf.DUMMYFUNCTION("""COMPUTED_VALUE"""),"https://www.facebook.com/watch/live/?ref=watch_permalink&amp;v=360307549312104")</f>
        <v>https://www.facebook.com/watch/live/?ref=watch_permalink&amp;v=360307549312104</v>
      </c>
      <c r="J1521" s="1" t="str">
        <f ca="1">IFERROR(__xludf.DUMMYFUNCTION("""COMPUTED_VALUE"""),"2022-07-04T15:42:44.435Z")</f>
        <v>2022-07-04T15:42:44.435Z</v>
      </c>
    </row>
    <row r="1522" spans="1:10" x14ac:dyDescent="0.2">
      <c r="A1522" s="2" t="str">
        <f ca="1">IFERROR(__xludf.DUMMYFUNCTION("""COMPUTED_VALUE"""),"https://www.facebook.com/cora.ropeta")</f>
        <v>https://www.facebook.com/cora.ropeta</v>
      </c>
      <c r="B1522" s="1" t="str">
        <f ca="1">IFERROR(__xludf.DUMMYFUNCTION("""COMPUTED_VALUE"""),"Cors M Ropeta")</f>
        <v>Cors M Ropeta</v>
      </c>
      <c r="C1522" s="1" t="str">
        <f ca="1">IFERROR(__xludf.DUMMYFUNCTION("""COMPUTED_VALUE"""),"Cors")</f>
        <v>Cors</v>
      </c>
      <c r="D1522" s="1" t="str">
        <f ca="1">IFERROR(__xludf.DUMMYFUNCTION("""COMPUTED_VALUE"""),"M Ropeta")</f>
        <v>M Ropeta</v>
      </c>
      <c r="E1522" s="1" t="str">
        <f ca="1">IFERROR(__xludf.DUMMYFUNCTION("""COMPUTED_VALUE"""),"#KikoPangilinan2022")</f>
        <v>#KikoPangilinan2022</v>
      </c>
      <c r="F1522" s="1"/>
      <c r="G1522" s="1" t="str">
        <f ca="1">IFERROR(__xludf.DUMMYFUNCTION("""COMPUTED_VALUE"""),"3 mos")</f>
        <v>3 mos</v>
      </c>
      <c r="H1522" s="1" t="str">
        <f ca="1">IFERROR(__xludf.DUMMYFUNCTION("""COMPUTED_VALUE"""),"comment")</f>
        <v>comment</v>
      </c>
      <c r="I1522" s="2" t="str">
        <f ca="1">IFERROR(__xludf.DUMMYFUNCTION("""COMPUTED_VALUE"""),"https://www.facebook.com/watch/live/?ref=watch_permalink&amp;v=360307549312104")</f>
        <v>https://www.facebook.com/watch/live/?ref=watch_permalink&amp;v=360307549312104</v>
      </c>
      <c r="J1522" s="1" t="str">
        <f ca="1">IFERROR(__xludf.DUMMYFUNCTION("""COMPUTED_VALUE"""),"2022-07-04T15:42:44.435Z")</f>
        <v>2022-07-04T15:42:44.435Z</v>
      </c>
    </row>
    <row r="1523" spans="1:10" x14ac:dyDescent="0.2">
      <c r="A1523" s="2" t="str">
        <f ca="1">IFERROR(__xludf.DUMMYFUNCTION("""COMPUTED_VALUE"""),"https://www.facebook.com/profile.php?id=100070893796485")</f>
        <v>https://www.facebook.com/profile.php?id=100070893796485</v>
      </c>
      <c r="B1523" s="1" t="str">
        <f ca="1">IFERROR(__xludf.DUMMYFUNCTION("""COMPUTED_VALUE"""),"Andigerg Adp")</f>
        <v>Andigerg Adp</v>
      </c>
      <c r="C1523" s="1" t="str">
        <f ca="1">IFERROR(__xludf.DUMMYFUNCTION("""COMPUTED_VALUE"""),"Andigerg")</f>
        <v>Andigerg</v>
      </c>
      <c r="D1523" s="1" t="str">
        <f ca="1">IFERROR(__xludf.DUMMYFUNCTION("""COMPUTED_VALUE"""),"Adp")</f>
        <v>Adp</v>
      </c>
      <c r="E1523" s="1" t="str">
        <f ca="1">IFERROR(__xludf.DUMMYFUNCTION("""COMPUTED_VALUE"""),"Andigerg Adp")</f>
        <v>Andigerg Adp</v>
      </c>
      <c r="F1523" s="1"/>
      <c r="G1523" s="1" t="str">
        <f ca="1">IFERROR(__xludf.DUMMYFUNCTION("""COMPUTED_VALUE"""),"3 mos")</f>
        <v>3 mos</v>
      </c>
      <c r="H1523" s="1" t="str">
        <f ca="1">IFERROR(__xludf.DUMMYFUNCTION("""COMPUTED_VALUE"""),"comment")</f>
        <v>comment</v>
      </c>
      <c r="I1523" s="2" t="str">
        <f ca="1">IFERROR(__xludf.DUMMYFUNCTION("""COMPUTED_VALUE"""),"https://www.facebook.com/watch/live/?ref=watch_permalink&amp;v=360307549312104")</f>
        <v>https://www.facebook.com/watch/live/?ref=watch_permalink&amp;v=360307549312104</v>
      </c>
      <c r="J1523" s="1" t="str">
        <f ca="1">IFERROR(__xludf.DUMMYFUNCTION("""COMPUTED_VALUE"""),"2022-07-04T15:42:44.435Z")</f>
        <v>2022-07-04T15:42:44.435Z</v>
      </c>
    </row>
    <row r="1524" spans="1:10" x14ac:dyDescent="0.2">
      <c r="A1524" s="2" t="str">
        <f ca="1">IFERROR(__xludf.DUMMYFUNCTION("""COMPUTED_VALUE"""),"https://www.facebook.com/dollysampane")</f>
        <v>https://www.facebook.com/dollysampane</v>
      </c>
      <c r="B1524" s="1" t="str">
        <f ca="1">IFERROR(__xludf.DUMMYFUNCTION("""COMPUTED_VALUE"""),"Dolly James")</f>
        <v>Dolly James</v>
      </c>
      <c r="C1524" s="1" t="str">
        <f ca="1">IFERROR(__xludf.DUMMYFUNCTION("""COMPUTED_VALUE"""),"Dolly")</f>
        <v>Dolly</v>
      </c>
      <c r="D1524" s="1" t="str">
        <f ca="1">IFERROR(__xludf.DUMMYFUNCTION("""COMPUTED_VALUE"""),"James")</f>
        <v>James</v>
      </c>
      <c r="E1524" s="1" t="str">
        <f ca="1">IFERROR(__xludf.DUMMYFUNCTION("""COMPUTED_VALUE"""),"Dolly James")</f>
        <v>Dolly James</v>
      </c>
      <c r="F1524" s="1"/>
      <c r="G1524" s="1" t="str">
        <f ca="1">IFERROR(__xludf.DUMMYFUNCTION("""COMPUTED_VALUE"""),"3 mos")</f>
        <v>3 mos</v>
      </c>
      <c r="H1524" s="1" t="str">
        <f ca="1">IFERROR(__xludf.DUMMYFUNCTION("""COMPUTED_VALUE"""),"comment")</f>
        <v>comment</v>
      </c>
      <c r="I1524" s="2" t="str">
        <f ca="1">IFERROR(__xludf.DUMMYFUNCTION("""COMPUTED_VALUE"""),"https://www.facebook.com/watch/live/?ref=watch_permalink&amp;v=360307549312104")</f>
        <v>https://www.facebook.com/watch/live/?ref=watch_permalink&amp;v=360307549312104</v>
      </c>
      <c r="J1524" s="1" t="str">
        <f ca="1">IFERROR(__xludf.DUMMYFUNCTION("""COMPUTED_VALUE"""),"2022-07-04T15:42:44.435Z")</f>
        <v>2022-07-04T15:42:44.435Z</v>
      </c>
    </row>
    <row r="1525" spans="1:10" x14ac:dyDescent="0.2">
      <c r="A1525" s="2" t="str">
        <f ca="1">IFERROR(__xludf.DUMMYFUNCTION("""COMPUTED_VALUE"""),"https://www.facebook.com/ayen.francisco.927")</f>
        <v>https://www.facebook.com/ayen.francisco.927</v>
      </c>
      <c r="B1525" s="1" t="str">
        <f ca="1">IFERROR(__xludf.DUMMYFUNCTION("""COMPUTED_VALUE"""),"Ayen Francisco")</f>
        <v>Ayen Francisco</v>
      </c>
      <c r="C1525" s="1" t="str">
        <f ca="1">IFERROR(__xludf.DUMMYFUNCTION("""COMPUTED_VALUE"""),"Ayen")</f>
        <v>Ayen</v>
      </c>
      <c r="D1525" s="1" t="str">
        <f ca="1">IFERROR(__xludf.DUMMYFUNCTION("""COMPUTED_VALUE"""),"Francisco")</f>
        <v>Francisco</v>
      </c>
      <c r="E1525" s="1" t="str">
        <f ca="1">IFERROR(__xludf.DUMMYFUNCTION("""COMPUTED_VALUE"""),"Ayen Francisco")</f>
        <v>Ayen Francisco</v>
      </c>
      <c r="F1525" s="1"/>
      <c r="G1525" s="1" t="str">
        <f ca="1">IFERROR(__xludf.DUMMYFUNCTION("""COMPUTED_VALUE"""),"3 mos")</f>
        <v>3 mos</v>
      </c>
      <c r="H1525" s="1" t="str">
        <f ca="1">IFERROR(__xludf.DUMMYFUNCTION("""COMPUTED_VALUE"""),"comment")</f>
        <v>comment</v>
      </c>
      <c r="I1525" s="2" t="str">
        <f ca="1">IFERROR(__xludf.DUMMYFUNCTION("""COMPUTED_VALUE"""),"https://www.facebook.com/watch/live/?ref=watch_permalink&amp;v=360307549312104")</f>
        <v>https://www.facebook.com/watch/live/?ref=watch_permalink&amp;v=360307549312104</v>
      </c>
      <c r="J1525" s="1" t="str">
        <f ca="1">IFERROR(__xludf.DUMMYFUNCTION("""COMPUTED_VALUE"""),"2022-07-04T15:42:44.435Z")</f>
        <v>2022-07-04T15:42:44.435Z</v>
      </c>
    </row>
    <row r="1526" spans="1:10" x14ac:dyDescent="0.2">
      <c r="A1526" s="2" t="str">
        <f ca="1">IFERROR(__xludf.DUMMYFUNCTION("""COMPUTED_VALUE"""),"https://www.facebook.com/mariane.mangubat")</f>
        <v>https://www.facebook.com/mariane.mangubat</v>
      </c>
      <c r="B1526" s="1" t="str">
        <f ca="1">IFERROR(__xludf.DUMMYFUNCTION("""COMPUTED_VALUE"""),"Mariane Mangubat")</f>
        <v>Mariane Mangubat</v>
      </c>
      <c r="C1526" s="1" t="str">
        <f ca="1">IFERROR(__xludf.DUMMYFUNCTION("""COMPUTED_VALUE"""),"Mariane")</f>
        <v>Mariane</v>
      </c>
      <c r="D1526" s="1" t="str">
        <f ca="1">IFERROR(__xludf.DUMMYFUNCTION("""COMPUTED_VALUE"""),"Mangubat")</f>
        <v>Mangubat</v>
      </c>
      <c r="E1526" s="1" t="str">
        <f ca="1">IFERROR(__xludf.DUMMYFUNCTION("""COMPUTED_VALUE"""),"#LeniKiko2022")</f>
        <v>#LeniKiko2022</v>
      </c>
      <c r="F1526" s="1"/>
      <c r="G1526" s="1" t="str">
        <f ca="1">IFERROR(__xludf.DUMMYFUNCTION("""COMPUTED_VALUE"""),"3 mos")</f>
        <v>3 mos</v>
      </c>
      <c r="H1526" s="1" t="str">
        <f ca="1">IFERROR(__xludf.DUMMYFUNCTION("""COMPUTED_VALUE"""),"comment")</f>
        <v>comment</v>
      </c>
      <c r="I1526" s="2" t="str">
        <f ca="1">IFERROR(__xludf.DUMMYFUNCTION("""COMPUTED_VALUE"""),"https://www.facebook.com/watch/live/?ref=watch_permalink&amp;v=360307549312104")</f>
        <v>https://www.facebook.com/watch/live/?ref=watch_permalink&amp;v=360307549312104</v>
      </c>
      <c r="J1526" s="1" t="str">
        <f ca="1">IFERROR(__xludf.DUMMYFUNCTION("""COMPUTED_VALUE"""),"2022-07-04T15:42:44.435Z")</f>
        <v>2022-07-04T15:42:44.435Z</v>
      </c>
    </row>
    <row r="1527" spans="1:10" x14ac:dyDescent="0.2">
      <c r="A1527" s="2" t="str">
        <f ca="1">IFERROR(__xludf.DUMMYFUNCTION("""COMPUTED_VALUE"""),"https://www.facebook.com/elanie.berou.3")</f>
        <v>https://www.facebook.com/elanie.berou.3</v>
      </c>
      <c r="B1527" s="1" t="str">
        <f ca="1">IFERROR(__xludf.DUMMYFUNCTION("""COMPUTED_VALUE"""),"Elanie Abonales Berou")</f>
        <v>Elanie Abonales Berou</v>
      </c>
      <c r="C1527" s="1" t="str">
        <f ca="1">IFERROR(__xludf.DUMMYFUNCTION("""COMPUTED_VALUE"""),"Elanie")</f>
        <v>Elanie</v>
      </c>
      <c r="D1527" s="1" t="str">
        <f ca="1">IFERROR(__xludf.DUMMYFUNCTION("""COMPUTED_VALUE"""),"Abonales Berou")</f>
        <v>Abonales Berou</v>
      </c>
      <c r="E1527" s="1" t="str">
        <f ca="1">IFERROR(__xludf.DUMMYFUNCTION("""COMPUTED_VALUE"""),"Elanie Abonales Berou")</f>
        <v>Elanie Abonales Berou</v>
      </c>
      <c r="F1527" s="1"/>
      <c r="G1527" s="1" t="str">
        <f ca="1">IFERROR(__xludf.DUMMYFUNCTION("""COMPUTED_VALUE"""),"3 mos")</f>
        <v>3 mos</v>
      </c>
      <c r="H1527" s="1" t="str">
        <f ca="1">IFERROR(__xludf.DUMMYFUNCTION("""COMPUTED_VALUE"""),"comment")</f>
        <v>comment</v>
      </c>
      <c r="I1527" s="2" t="str">
        <f ca="1">IFERROR(__xludf.DUMMYFUNCTION("""COMPUTED_VALUE"""),"https://www.facebook.com/watch/live/?ref=watch_permalink&amp;v=360307549312104")</f>
        <v>https://www.facebook.com/watch/live/?ref=watch_permalink&amp;v=360307549312104</v>
      </c>
      <c r="J1527" s="1" t="str">
        <f ca="1">IFERROR(__xludf.DUMMYFUNCTION("""COMPUTED_VALUE"""),"2022-07-04T15:42:44.435Z")</f>
        <v>2022-07-04T15:42:44.435Z</v>
      </c>
    </row>
    <row r="1528" spans="1:10" x14ac:dyDescent="0.2">
      <c r="A1528" s="2" t="str">
        <f ca="1">IFERROR(__xludf.DUMMYFUNCTION("""COMPUTED_VALUE"""),"https://www.facebook.com/arnold.alam.12")</f>
        <v>https://www.facebook.com/arnold.alam.12</v>
      </c>
      <c r="B1528" s="1" t="str">
        <f ca="1">IFERROR(__xludf.DUMMYFUNCTION("""COMPUTED_VALUE"""),"Arnold Alam")</f>
        <v>Arnold Alam</v>
      </c>
      <c r="C1528" s="1" t="str">
        <f ca="1">IFERROR(__xludf.DUMMYFUNCTION("""COMPUTED_VALUE"""),"Arnold")</f>
        <v>Arnold</v>
      </c>
      <c r="D1528" s="1" t="str">
        <f ca="1">IFERROR(__xludf.DUMMYFUNCTION("""COMPUTED_VALUE"""),"Alam")</f>
        <v>Alam</v>
      </c>
      <c r="E1528" s="1" t="str">
        <f ca="1">IFERROR(__xludf.DUMMYFUNCTION("""COMPUTED_VALUE"""),"Arnold Alam")</f>
        <v>Arnold Alam</v>
      </c>
      <c r="F1528" s="1"/>
      <c r="G1528" s="1" t="str">
        <f ca="1">IFERROR(__xludf.DUMMYFUNCTION("""COMPUTED_VALUE"""),"3 mos")</f>
        <v>3 mos</v>
      </c>
      <c r="H1528" s="1" t="str">
        <f ca="1">IFERROR(__xludf.DUMMYFUNCTION("""COMPUTED_VALUE"""),"comment")</f>
        <v>comment</v>
      </c>
      <c r="I1528" s="2" t="str">
        <f ca="1">IFERROR(__xludf.DUMMYFUNCTION("""COMPUTED_VALUE"""),"https://www.facebook.com/watch/live/?ref=watch_permalink&amp;v=360307549312104")</f>
        <v>https://www.facebook.com/watch/live/?ref=watch_permalink&amp;v=360307549312104</v>
      </c>
      <c r="J1528" s="1" t="str">
        <f ca="1">IFERROR(__xludf.DUMMYFUNCTION("""COMPUTED_VALUE"""),"2022-07-04T15:42:44.435Z")</f>
        <v>2022-07-04T15:42:44.435Z</v>
      </c>
    </row>
    <row r="1529" spans="1:10" x14ac:dyDescent="0.2">
      <c r="A1529" s="2" t="str">
        <f ca="1">IFERROR(__xludf.DUMMYFUNCTION("""COMPUTED_VALUE"""),"https://www.facebook.com/jingjing.abellana")</f>
        <v>https://www.facebook.com/jingjing.abellana</v>
      </c>
      <c r="B1529" s="1" t="str">
        <f ca="1">IFERROR(__xludf.DUMMYFUNCTION("""COMPUTED_VALUE"""),"JingJing Abellana")</f>
        <v>JingJing Abellana</v>
      </c>
      <c r="C1529" s="1" t="str">
        <f ca="1">IFERROR(__xludf.DUMMYFUNCTION("""COMPUTED_VALUE"""),"JingJing")</f>
        <v>JingJing</v>
      </c>
      <c r="D1529" s="1" t="str">
        <f ca="1">IFERROR(__xludf.DUMMYFUNCTION("""COMPUTED_VALUE"""),"Abellana")</f>
        <v>Abellana</v>
      </c>
      <c r="E1529" s="1" t="str">
        <f ca="1">IFERROR(__xludf.DUMMYFUNCTION("""COMPUTED_VALUE"""),"#45SonnyMatula")</f>
        <v>#45SonnyMatula</v>
      </c>
      <c r="F1529" s="1"/>
      <c r="G1529" s="1" t="str">
        <f ca="1">IFERROR(__xludf.DUMMYFUNCTION("""COMPUTED_VALUE"""),"3 mos")</f>
        <v>3 mos</v>
      </c>
      <c r="H1529" s="1" t="str">
        <f ca="1">IFERROR(__xludf.DUMMYFUNCTION("""COMPUTED_VALUE"""),"comment")</f>
        <v>comment</v>
      </c>
      <c r="I1529" s="2" t="str">
        <f ca="1">IFERROR(__xludf.DUMMYFUNCTION("""COMPUTED_VALUE"""),"https://www.facebook.com/watch/live/?ref=watch_permalink&amp;v=360307549312104")</f>
        <v>https://www.facebook.com/watch/live/?ref=watch_permalink&amp;v=360307549312104</v>
      </c>
      <c r="J1529" s="1" t="str">
        <f ca="1">IFERROR(__xludf.DUMMYFUNCTION("""COMPUTED_VALUE"""),"2022-07-04T15:42:44.435Z")</f>
        <v>2022-07-04T15:42:44.435Z</v>
      </c>
    </row>
    <row r="1530" spans="1:10" x14ac:dyDescent="0.2">
      <c r="A1530" s="2" t="str">
        <f ca="1">IFERROR(__xludf.DUMMYFUNCTION("""COMPUTED_VALUE"""),"https://www.facebook.com/maryjean.larion")</f>
        <v>https://www.facebook.com/maryjean.larion</v>
      </c>
      <c r="B1530" s="1" t="str">
        <f ca="1">IFERROR(__xludf.DUMMYFUNCTION("""COMPUTED_VALUE"""),"Mary Jean A. Larion")</f>
        <v>Mary Jean A. Larion</v>
      </c>
      <c r="C1530" s="1" t="str">
        <f ca="1">IFERROR(__xludf.DUMMYFUNCTION("""COMPUTED_VALUE"""),"Mary")</f>
        <v>Mary</v>
      </c>
      <c r="D1530" s="1" t="str">
        <f ca="1">IFERROR(__xludf.DUMMYFUNCTION("""COMPUTED_VALUE"""),"Jean A. Larion")</f>
        <v>Jean A. Larion</v>
      </c>
      <c r="E1530" s="1" t="str">
        <f ca="1">IFERROR(__xludf.DUMMYFUNCTION("""COMPUTED_VALUE"""),"Mary Jean A. Larion")</f>
        <v>Mary Jean A. Larion</v>
      </c>
      <c r="F1530" s="1"/>
      <c r="G1530" s="1" t="str">
        <f ca="1">IFERROR(__xludf.DUMMYFUNCTION("""COMPUTED_VALUE"""),"3 mos")</f>
        <v>3 mos</v>
      </c>
      <c r="H1530" s="1" t="str">
        <f ca="1">IFERROR(__xludf.DUMMYFUNCTION("""COMPUTED_VALUE"""),"comment")</f>
        <v>comment</v>
      </c>
      <c r="I1530" s="2" t="str">
        <f ca="1">IFERROR(__xludf.DUMMYFUNCTION("""COMPUTED_VALUE"""),"https://www.facebook.com/watch/live/?ref=watch_permalink&amp;v=360307549312104")</f>
        <v>https://www.facebook.com/watch/live/?ref=watch_permalink&amp;v=360307549312104</v>
      </c>
      <c r="J1530" s="1" t="str">
        <f ca="1">IFERROR(__xludf.DUMMYFUNCTION("""COMPUTED_VALUE"""),"2022-07-04T15:42:44.435Z")</f>
        <v>2022-07-04T15:42:44.435Z</v>
      </c>
    </row>
    <row r="1531" spans="1:10" x14ac:dyDescent="0.2">
      <c r="A1531" s="2" t="str">
        <f ca="1">IFERROR(__xludf.DUMMYFUNCTION("""COMPUTED_VALUE"""),"https://www.facebook.com/siguenza.med96")</f>
        <v>https://www.facebook.com/siguenza.med96</v>
      </c>
      <c r="B1531" s="1" t="str">
        <f ca="1">IFERROR(__xludf.DUMMYFUNCTION("""COMPUTED_VALUE"""),"Siguenza Med")</f>
        <v>Siguenza Med</v>
      </c>
      <c r="C1531" s="1" t="str">
        <f ca="1">IFERROR(__xludf.DUMMYFUNCTION("""COMPUTED_VALUE"""),"Siguenza")</f>
        <v>Siguenza</v>
      </c>
      <c r="D1531" s="1" t="str">
        <f ca="1">IFERROR(__xludf.DUMMYFUNCTION("""COMPUTED_VALUE"""),"Med")</f>
        <v>Med</v>
      </c>
      <c r="E1531" s="1" t="str">
        <f ca="1">IFERROR(__xludf.DUMMYFUNCTION("""COMPUTED_VALUE"""),"#GobyernongTapatAngatBuhayLahat")</f>
        <v>#GobyernongTapatAngatBuhayLahat</v>
      </c>
      <c r="F1531" s="1"/>
      <c r="G1531" s="1" t="str">
        <f ca="1">IFERROR(__xludf.DUMMYFUNCTION("""COMPUTED_VALUE"""),"3 mos")</f>
        <v>3 mos</v>
      </c>
      <c r="H1531" s="1" t="str">
        <f ca="1">IFERROR(__xludf.DUMMYFUNCTION("""COMPUTED_VALUE"""),"comment")</f>
        <v>comment</v>
      </c>
      <c r="I1531" s="2" t="str">
        <f ca="1">IFERROR(__xludf.DUMMYFUNCTION("""COMPUTED_VALUE"""),"https://www.facebook.com/watch/live/?ref=watch_permalink&amp;v=360307549312104")</f>
        <v>https://www.facebook.com/watch/live/?ref=watch_permalink&amp;v=360307549312104</v>
      </c>
      <c r="J1531" s="1" t="str">
        <f ca="1">IFERROR(__xludf.DUMMYFUNCTION("""COMPUTED_VALUE"""),"2022-07-04T15:42:44.435Z")</f>
        <v>2022-07-04T15:42:44.435Z</v>
      </c>
    </row>
    <row r="1532" spans="1:10" x14ac:dyDescent="0.2">
      <c r="A1532" s="2" t="str">
        <f ca="1">IFERROR(__xludf.DUMMYFUNCTION("""COMPUTED_VALUE"""),"https://www.facebook.com/annalyn.patayan")</f>
        <v>https://www.facebook.com/annalyn.patayan</v>
      </c>
      <c r="B1532" s="1" t="str">
        <f ca="1">IFERROR(__xludf.DUMMYFUNCTION("""COMPUTED_VALUE"""),"Annalyn P. Mangubat")</f>
        <v>Annalyn P. Mangubat</v>
      </c>
      <c r="C1532" s="1" t="str">
        <f ca="1">IFERROR(__xludf.DUMMYFUNCTION("""COMPUTED_VALUE"""),"Annalyn")</f>
        <v>Annalyn</v>
      </c>
      <c r="D1532" s="1" t="str">
        <f ca="1">IFERROR(__xludf.DUMMYFUNCTION("""COMPUTED_VALUE"""),"P. Mangubat")</f>
        <v>P. Mangubat</v>
      </c>
      <c r="E1532" s="1" t="str">
        <f ca="1">IFERROR(__xludf.DUMMYFUNCTION("""COMPUTED_VALUE"""),"Annalyn P. Mangubat")</f>
        <v>Annalyn P. Mangubat</v>
      </c>
      <c r="F1532" s="1"/>
      <c r="G1532" s="1" t="str">
        <f ca="1">IFERROR(__xludf.DUMMYFUNCTION("""COMPUTED_VALUE"""),"3 mos")</f>
        <v>3 mos</v>
      </c>
      <c r="H1532" s="1" t="str">
        <f ca="1">IFERROR(__xludf.DUMMYFUNCTION("""COMPUTED_VALUE"""),"comment")</f>
        <v>comment</v>
      </c>
      <c r="I1532" s="2" t="str">
        <f ca="1">IFERROR(__xludf.DUMMYFUNCTION("""COMPUTED_VALUE"""),"https://www.facebook.com/watch/live/?ref=watch_permalink&amp;v=360307549312104")</f>
        <v>https://www.facebook.com/watch/live/?ref=watch_permalink&amp;v=360307549312104</v>
      </c>
      <c r="J1532" s="1" t="str">
        <f ca="1">IFERROR(__xludf.DUMMYFUNCTION("""COMPUTED_VALUE"""),"2022-07-04T15:42:44.435Z")</f>
        <v>2022-07-04T15:42:44.435Z</v>
      </c>
    </row>
    <row r="1533" spans="1:10" x14ac:dyDescent="0.2">
      <c r="A1533" s="2" t="str">
        <f ca="1">IFERROR(__xludf.DUMMYFUNCTION("""COMPUTED_VALUE"""),"https://www.facebook.com/ayen.francisco.927")</f>
        <v>https://www.facebook.com/ayen.francisco.927</v>
      </c>
      <c r="B1533" s="1" t="str">
        <f ca="1">IFERROR(__xludf.DUMMYFUNCTION("""COMPUTED_VALUE"""),"Ayen Francisco")</f>
        <v>Ayen Francisco</v>
      </c>
      <c r="C1533" s="1" t="str">
        <f ca="1">IFERROR(__xludf.DUMMYFUNCTION("""COMPUTED_VALUE"""),"Ayen")</f>
        <v>Ayen</v>
      </c>
      <c r="D1533" s="1" t="str">
        <f ca="1">IFERROR(__xludf.DUMMYFUNCTION("""COMPUTED_VALUE"""),"Francisco")</f>
        <v>Francisco</v>
      </c>
      <c r="E1533" s="1" t="str">
        <f ca="1">IFERROR(__xludf.DUMMYFUNCTION("""COMPUTED_VALUE"""),"Ayen Francisco")</f>
        <v>Ayen Francisco</v>
      </c>
      <c r="F1533" s="1"/>
      <c r="G1533" s="1" t="str">
        <f ca="1">IFERROR(__xludf.DUMMYFUNCTION("""COMPUTED_VALUE"""),"3 mos")</f>
        <v>3 mos</v>
      </c>
      <c r="H1533" s="1" t="str">
        <f ca="1">IFERROR(__xludf.DUMMYFUNCTION("""COMPUTED_VALUE"""),"comment")</f>
        <v>comment</v>
      </c>
      <c r="I1533" s="2" t="str">
        <f ca="1">IFERROR(__xludf.DUMMYFUNCTION("""COMPUTED_VALUE"""),"https://www.facebook.com/watch/live/?ref=watch_permalink&amp;v=360307549312104")</f>
        <v>https://www.facebook.com/watch/live/?ref=watch_permalink&amp;v=360307549312104</v>
      </c>
      <c r="J1533" s="1" t="str">
        <f ca="1">IFERROR(__xludf.DUMMYFUNCTION("""COMPUTED_VALUE"""),"2022-07-04T15:42:44.435Z")</f>
        <v>2022-07-04T15:42:44.435Z</v>
      </c>
    </row>
    <row r="1534" spans="1:10" x14ac:dyDescent="0.2">
      <c r="A1534" s="2" t="str">
        <f ca="1">IFERROR(__xludf.DUMMYFUNCTION("""COMPUTED_VALUE"""),"https://www.facebook.com/ayen.francisco.927")</f>
        <v>https://www.facebook.com/ayen.francisco.927</v>
      </c>
      <c r="B1534" s="1" t="str">
        <f ca="1">IFERROR(__xludf.DUMMYFUNCTION("""COMPUTED_VALUE"""),"Ayen Francisco")</f>
        <v>Ayen Francisco</v>
      </c>
      <c r="C1534" s="1" t="str">
        <f ca="1">IFERROR(__xludf.DUMMYFUNCTION("""COMPUTED_VALUE"""),"Ayen")</f>
        <v>Ayen</v>
      </c>
      <c r="D1534" s="1" t="str">
        <f ca="1">IFERROR(__xludf.DUMMYFUNCTION("""COMPUTED_VALUE"""),"Francisco")</f>
        <v>Francisco</v>
      </c>
      <c r="E1534" s="1" t="str">
        <f ca="1">IFERROR(__xludf.DUMMYFUNCTION("""COMPUTED_VALUE"""),"Ayen Francisco")</f>
        <v>Ayen Francisco</v>
      </c>
      <c r="F1534" s="1"/>
      <c r="G1534" s="1" t="str">
        <f ca="1">IFERROR(__xludf.DUMMYFUNCTION("""COMPUTED_VALUE"""),"3 mos")</f>
        <v>3 mos</v>
      </c>
      <c r="H1534" s="1" t="str">
        <f ca="1">IFERROR(__xludf.DUMMYFUNCTION("""COMPUTED_VALUE"""),"comment")</f>
        <v>comment</v>
      </c>
      <c r="I1534" s="2" t="str">
        <f ca="1">IFERROR(__xludf.DUMMYFUNCTION("""COMPUTED_VALUE"""),"https://www.facebook.com/watch/live/?ref=watch_permalink&amp;v=360307549312104")</f>
        <v>https://www.facebook.com/watch/live/?ref=watch_permalink&amp;v=360307549312104</v>
      </c>
      <c r="J1534" s="1" t="str">
        <f ca="1">IFERROR(__xludf.DUMMYFUNCTION("""COMPUTED_VALUE"""),"2022-07-04T15:42:44.435Z")</f>
        <v>2022-07-04T15:42:44.435Z</v>
      </c>
    </row>
    <row r="1535" spans="1:10" x14ac:dyDescent="0.2">
      <c r="A1535" s="2" t="str">
        <f ca="1">IFERROR(__xludf.DUMMYFUNCTION("""COMPUTED_VALUE"""),"https://www.facebook.com/ayen.francisco.927")</f>
        <v>https://www.facebook.com/ayen.francisco.927</v>
      </c>
      <c r="B1535" s="1" t="str">
        <f ca="1">IFERROR(__xludf.DUMMYFUNCTION("""COMPUTED_VALUE"""),"Ayen Francisco")</f>
        <v>Ayen Francisco</v>
      </c>
      <c r="C1535" s="1" t="str">
        <f ca="1">IFERROR(__xludf.DUMMYFUNCTION("""COMPUTED_VALUE"""),"Ayen")</f>
        <v>Ayen</v>
      </c>
      <c r="D1535" s="1" t="str">
        <f ca="1">IFERROR(__xludf.DUMMYFUNCTION("""COMPUTED_VALUE"""),"Francisco")</f>
        <v>Francisco</v>
      </c>
      <c r="E1535" s="1" t="str">
        <f ca="1">IFERROR(__xludf.DUMMYFUNCTION("""COMPUTED_VALUE"""),"Ayen Francisco")</f>
        <v>Ayen Francisco</v>
      </c>
      <c r="F1535" s="1"/>
      <c r="G1535" s="1" t="str">
        <f ca="1">IFERROR(__xludf.DUMMYFUNCTION("""COMPUTED_VALUE"""),"3 mos")</f>
        <v>3 mos</v>
      </c>
      <c r="H1535" s="1" t="str">
        <f ca="1">IFERROR(__xludf.DUMMYFUNCTION("""COMPUTED_VALUE"""),"comment")</f>
        <v>comment</v>
      </c>
      <c r="I1535" s="2" t="str">
        <f ca="1">IFERROR(__xludf.DUMMYFUNCTION("""COMPUTED_VALUE"""),"https://www.facebook.com/watch/live/?ref=watch_permalink&amp;v=360307549312104")</f>
        <v>https://www.facebook.com/watch/live/?ref=watch_permalink&amp;v=360307549312104</v>
      </c>
      <c r="J1535" s="1" t="str">
        <f ca="1">IFERROR(__xludf.DUMMYFUNCTION("""COMPUTED_VALUE"""),"2022-07-04T15:42:44.435Z")</f>
        <v>2022-07-04T15:42:44.435Z</v>
      </c>
    </row>
    <row r="1536" spans="1:10" x14ac:dyDescent="0.2">
      <c r="A1536" s="2" t="str">
        <f ca="1">IFERROR(__xludf.DUMMYFUNCTION("""COMPUTED_VALUE"""),"https://www.facebook.com/ayen.francisco.927")</f>
        <v>https://www.facebook.com/ayen.francisco.927</v>
      </c>
      <c r="B1536" s="1" t="str">
        <f ca="1">IFERROR(__xludf.DUMMYFUNCTION("""COMPUTED_VALUE"""),"Ayen Francisco")</f>
        <v>Ayen Francisco</v>
      </c>
      <c r="C1536" s="1" t="str">
        <f ca="1">IFERROR(__xludf.DUMMYFUNCTION("""COMPUTED_VALUE"""),"Ayen")</f>
        <v>Ayen</v>
      </c>
      <c r="D1536" s="1" t="str">
        <f ca="1">IFERROR(__xludf.DUMMYFUNCTION("""COMPUTED_VALUE"""),"Francisco")</f>
        <v>Francisco</v>
      </c>
      <c r="E1536" s="1" t="str">
        <f ca="1">IFERROR(__xludf.DUMMYFUNCTION("""COMPUTED_VALUE"""),"Ayen Francisco")</f>
        <v>Ayen Francisco</v>
      </c>
      <c r="F1536" s="1"/>
      <c r="G1536" s="1" t="str">
        <f ca="1">IFERROR(__xludf.DUMMYFUNCTION("""COMPUTED_VALUE"""),"3 mos")</f>
        <v>3 mos</v>
      </c>
      <c r="H1536" s="1" t="str">
        <f ca="1">IFERROR(__xludf.DUMMYFUNCTION("""COMPUTED_VALUE"""),"comment")</f>
        <v>comment</v>
      </c>
      <c r="I1536" s="2" t="str">
        <f ca="1">IFERROR(__xludf.DUMMYFUNCTION("""COMPUTED_VALUE"""),"https://www.facebook.com/watch/live/?ref=watch_permalink&amp;v=360307549312104")</f>
        <v>https://www.facebook.com/watch/live/?ref=watch_permalink&amp;v=360307549312104</v>
      </c>
      <c r="J1536" s="1" t="str">
        <f ca="1">IFERROR(__xludf.DUMMYFUNCTION("""COMPUTED_VALUE"""),"2022-07-04T15:42:44.435Z")</f>
        <v>2022-07-04T15:42:44.435Z</v>
      </c>
    </row>
    <row r="1537" spans="1:10" x14ac:dyDescent="0.2">
      <c r="A1537" s="2" t="str">
        <f ca="1">IFERROR(__xludf.DUMMYFUNCTION("""COMPUTED_VALUE"""),"https://www.facebook.com/ayen.francisco.927")</f>
        <v>https://www.facebook.com/ayen.francisco.927</v>
      </c>
      <c r="B1537" s="1" t="str">
        <f ca="1">IFERROR(__xludf.DUMMYFUNCTION("""COMPUTED_VALUE"""),"Ayen Francisco")</f>
        <v>Ayen Francisco</v>
      </c>
      <c r="C1537" s="1" t="str">
        <f ca="1">IFERROR(__xludf.DUMMYFUNCTION("""COMPUTED_VALUE"""),"Ayen")</f>
        <v>Ayen</v>
      </c>
      <c r="D1537" s="1" t="str">
        <f ca="1">IFERROR(__xludf.DUMMYFUNCTION("""COMPUTED_VALUE"""),"Francisco")</f>
        <v>Francisco</v>
      </c>
      <c r="E1537" s="1" t="str">
        <f ca="1">IFERROR(__xludf.DUMMYFUNCTION("""COMPUTED_VALUE"""),"Ayen Francisco")</f>
        <v>Ayen Francisco</v>
      </c>
      <c r="F1537" s="1"/>
      <c r="G1537" s="1" t="str">
        <f ca="1">IFERROR(__xludf.DUMMYFUNCTION("""COMPUTED_VALUE"""),"3 mos")</f>
        <v>3 mos</v>
      </c>
      <c r="H1537" s="1" t="str">
        <f ca="1">IFERROR(__xludf.DUMMYFUNCTION("""COMPUTED_VALUE"""),"comment")</f>
        <v>comment</v>
      </c>
      <c r="I1537" s="2" t="str">
        <f ca="1">IFERROR(__xludf.DUMMYFUNCTION("""COMPUTED_VALUE"""),"https://www.facebook.com/watch/live/?ref=watch_permalink&amp;v=360307549312104")</f>
        <v>https://www.facebook.com/watch/live/?ref=watch_permalink&amp;v=360307549312104</v>
      </c>
      <c r="J1537" s="1" t="str">
        <f ca="1">IFERROR(__xludf.DUMMYFUNCTION("""COMPUTED_VALUE"""),"2022-07-04T15:42:44.435Z")</f>
        <v>2022-07-04T15:42:44.435Z</v>
      </c>
    </row>
    <row r="1538" spans="1:10" x14ac:dyDescent="0.2">
      <c r="A1538" s="2" t="str">
        <f ca="1">IFERROR(__xludf.DUMMYFUNCTION("""COMPUTED_VALUE"""),"https://www.facebook.com/ayen.francisco.927")</f>
        <v>https://www.facebook.com/ayen.francisco.927</v>
      </c>
      <c r="B1538" s="1" t="str">
        <f ca="1">IFERROR(__xludf.DUMMYFUNCTION("""COMPUTED_VALUE"""),"Ayen Francisco")</f>
        <v>Ayen Francisco</v>
      </c>
      <c r="C1538" s="1" t="str">
        <f ca="1">IFERROR(__xludf.DUMMYFUNCTION("""COMPUTED_VALUE"""),"Ayen")</f>
        <v>Ayen</v>
      </c>
      <c r="D1538" s="1" t="str">
        <f ca="1">IFERROR(__xludf.DUMMYFUNCTION("""COMPUTED_VALUE"""),"Francisco")</f>
        <v>Francisco</v>
      </c>
      <c r="E1538" s="1" t="str">
        <f ca="1">IFERROR(__xludf.DUMMYFUNCTION("""COMPUTED_VALUE"""),"Ayen Francisco")</f>
        <v>Ayen Francisco</v>
      </c>
      <c r="F1538" s="1"/>
      <c r="G1538" s="1" t="str">
        <f ca="1">IFERROR(__xludf.DUMMYFUNCTION("""COMPUTED_VALUE"""),"3 mos")</f>
        <v>3 mos</v>
      </c>
      <c r="H1538" s="1" t="str">
        <f ca="1">IFERROR(__xludf.DUMMYFUNCTION("""COMPUTED_VALUE"""),"comment")</f>
        <v>comment</v>
      </c>
      <c r="I1538" s="2" t="str">
        <f ca="1">IFERROR(__xludf.DUMMYFUNCTION("""COMPUTED_VALUE"""),"https://www.facebook.com/watch/live/?ref=watch_permalink&amp;v=360307549312104")</f>
        <v>https://www.facebook.com/watch/live/?ref=watch_permalink&amp;v=360307549312104</v>
      </c>
      <c r="J1538" s="1" t="str">
        <f ca="1">IFERROR(__xludf.DUMMYFUNCTION("""COMPUTED_VALUE"""),"2022-07-04T15:42:44.435Z")</f>
        <v>2022-07-04T15:42:44.435Z</v>
      </c>
    </row>
    <row r="1539" spans="1:10" x14ac:dyDescent="0.2">
      <c r="A1539" s="2" t="str">
        <f ca="1">IFERROR(__xludf.DUMMYFUNCTION("""COMPUTED_VALUE"""),"https://www.facebook.com/ayen.francisco.927")</f>
        <v>https://www.facebook.com/ayen.francisco.927</v>
      </c>
      <c r="B1539" s="1" t="str">
        <f ca="1">IFERROR(__xludf.DUMMYFUNCTION("""COMPUTED_VALUE"""),"Ayen Francisco")</f>
        <v>Ayen Francisco</v>
      </c>
      <c r="C1539" s="1" t="str">
        <f ca="1">IFERROR(__xludf.DUMMYFUNCTION("""COMPUTED_VALUE"""),"Ayen")</f>
        <v>Ayen</v>
      </c>
      <c r="D1539" s="1" t="str">
        <f ca="1">IFERROR(__xludf.DUMMYFUNCTION("""COMPUTED_VALUE"""),"Francisco")</f>
        <v>Francisco</v>
      </c>
      <c r="E1539" s="1" t="str">
        <f ca="1">IFERROR(__xludf.DUMMYFUNCTION("""COMPUTED_VALUE"""),"Ayen Francisco")</f>
        <v>Ayen Francisco</v>
      </c>
      <c r="F1539" s="1"/>
      <c r="G1539" s="1" t="str">
        <f ca="1">IFERROR(__xludf.DUMMYFUNCTION("""COMPUTED_VALUE"""),"3 mos")</f>
        <v>3 mos</v>
      </c>
      <c r="H1539" s="1" t="str">
        <f ca="1">IFERROR(__xludf.DUMMYFUNCTION("""COMPUTED_VALUE"""),"comment")</f>
        <v>comment</v>
      </c>
      <c r="I1539" s="2" t="str">
        <f ca="1">IFERROR(__xludf.DUMMYFUNCTION("""COMPUTED_VALUE"""),"https://www.facebook.com/watch/live/?ref=watch_permalink&amp;v=360307549312104")</f>
        <v>https://www.facebook.com/watch/live/?ref=watch_permalink&amp;v=360307549312104</v>
      </c>
      <c r="J1539" s="1" t="str">
        <f ca="1">IFERROR(__xludf.DUMMYFUNCTION("""COMPUTED_VALUE"""),"2022-07-04T15:42:44.435Z")</f>
        <v>2022-07-04T15:42:44.435Z</v>
      </c>
    </row>
    <row r="1540" spans="1:10" x14ac:dyDescent="0.2">
      <c r="A1540" s="2" t="str">
        <f ca="1">IFERROR(__xludf.DUMMYFUNCTION("""COMPUTED_VALUE"""),"https://www.facebook.com/ayen.francisco.927")</f>
        <v>https://www.facebook.com/ayen.francisco.927</v>
      </c>
      <c r="B1540" s="1" t="str">
        <f ca="1">IFERROR(__xludf.DUMMYFUNCTION("""COMPUTED_VALUE"""),"Ayen Francisco")</f>
        <v>Ayen Francisco</v>
      </c>
      <c r="C1540" s="1" t="str">
        <f ca="1">IFERROR(__xludf.DUMMYFUNCTION("""COMPUTED_VALUE"""),"Ayen")</f>
        <v>Ayen</v>
      </c>
      <c r="D1540" s="1" t="str">
        <f ca="1">IFERROR(__xludf.DUMMYFUNCTION("""COMPUTED_VALUE"""),"Francisco")</f>
        <v>Francisco</v>
      </c>
      <c r="E1540" s="1" t="str">
        <f ca="1">IFERROR(__xludf.DUMMYFUNCTION("""COMPUTED_VALUE"""),"Ayen Francisco")</f>
        <v>Ayen Francisco</v>
      </c>
      <c r="F1540" s="1"/>
      <c r="G1540" s="1" t="str">
        <f ca="1">IFERROR(__xludf.DUMMYFUNCTION("""COMPUTED_VALUE"""),"3 mos")</f>
        <v>3 mos</v>
      </c>
      <c r="H1540" s="1" t="str">
        <f ca="1">IFERROR(__xludf.DUMMYFUNCTION("""COMPUTED_VALUE"""),"comment")</f>
        <v>comment</v>
      </c>
      <c r="I1540" s="2" t="str">
        <f ca="1">IFERROR(__xludf.DUMMYFUNCTION("""COMPUTED_VALUE"""),"https://www.facebook.com/watch/live/?ref=watch_permalink&amp;v=360307549312104")</f>
        <v>https://www.facebook.com/watch/live/?ref=watch_permalink&amp;v=360307549312104</v>
      </c>
      <c r="J1540" s="1" t="str">
        <f ca="1">IFERROR(__xludf.DUMMYFUNCTION("""COMPUTED_VALUE"""),"2022-07-04T15:42:44.435Z")</f>
        <v>2022-07-04T15:42:44.435Z</v>
      </c>
    </row>
    <row r="1541" spans="1:10" x14ac:dyDescent="0.2">
      <c r="A1541" s="2" t="str">
        <f ca="1">IFERROR(__xludf.DUMMYFUNCTION("""COMPUTED_VALUE"""),"https://www.facebook.com/materesa.villa.9")</f>
        <v>https://www.facebook.com/materesa.villa.9</v>
      </c>
      <c r="B1541" s="1" t="str">
        <f ca="1">IFERROR(__xludf.DUMMYFUNCTION("""COMPUTED_VALUE"""),"Ma Teresa Villa")</f>
        <v>Ma Teresa Villa</v>
      </c>
      <c r="C1541" s="1" t="str">
        <f ca="1">IFERROR(__xludf.DUMMYFUNCTION("""COMPUTED_VALUE"""),"Ma")</f>
        <v>Ma</v>
      </c>
      <c r="D1541" s="1" t="str">
        <f ca="1">IFERROR(__xludf.DUMMYFUNCTION("""COMPUTED_VALUE"""),"Teresa Villa")</f>
        <v>Teresa Villa</v>
      </c>
      <c r="E1541" s="1" t="str">
        <f ca="1">IFERROR(__xludf.DUMMYFUNCTION("""COMPUTED_VALUE"""),"Ma Teresa Villa")</f>
        <v>Ma Teresa Villa</v>
      </c>
      <c r="F1541" s="1"/>
      <c r="G1541" s="1" t="str">
        <f ca="1">IFERROR(__xludf.DUMMYFUNCTION("""COMPUTED_VALUE"""),"3 mos")</f>
        <v>3 mos</v>
      </c>
      <c r="H1541" s="1" t="str">
        <f ca="1">IFERROR(__xludf.DUMMYFUNCTION("""COMPUTED_VALUE"""),"comment")</f>
        <v>comment</v>
      </c>
      <c r="I1541" s="2" t="str">
        <f ca="1">IFERROR(__xludf.DUMMYFUNCTION("""COMPUTED_VALUE"""),"https://www.facebook.com/watch/live/?ref=watch_permalink&amp;v=360307549312104")</f>
        <v>https://www.facebook.com/watch/live/?ref=watch_permalink&amp;v=360307549312104</v>
      </c>
      <c r="J1541" s="1" t="str">
        <f ca="1">IFERROR(__xludf.DUMMYFUNCTION("""COMPUTED_VALUE"""),"2022-07-04T15:42:44.435Z")</f>
        <v>2022-07-04T15:42:44.435Z</v>
      </c>
    </row>
    <row r="1542" spans="1:10" x14ac:dyDescent="0.2">
      <c r="A1542" s="2" t="str">
        <f ca="1">IFERROR(__xludf.DUMMYFUNCTION("""COMPUTED_VALUE"""),"https://www.facebook.com/ayen.francisco.927")</f>
        <v>https://www.facebook.com/ayen.francisco.927</v>
      </c>
      <c r="B1542" s="1" t="str">
        <f ca="1">IFERROR(__xludf.DUMMYFUNCTION("""COMPUTED_VALUE"""),"Ayen Francisco")</f>
        <v>Ayen Francisco</v>
      </c>
      <c r="C1542" s="1" t="str">
        <f ca="1">IFERROR(__xludf.DUMMYFUNCTION("""COMPUTED_VALUE"""),"Ayen")</f>
        <v>Ayen</v>
      </c>
      <c r="D1542" s="1" t="str">
        <f ca="1">IFERROR(__xludf.DUMMYFUNCTION("""COMPUTED_VALUE"""),"Francisco")</f>
        <v>Francisco</v>
      </c>
      <c r="E1542" s="1" t="str">
        <f ca="1">IFERROR(__xludf.DUMMYFUNCTION("""COMPUTED_VALUE"""),"Ayen Francisco")</f>
        <v>Ayen Francisco</v>
      </c>
      <c r="F1542" s="1"/>
      <c r="G1542" s="1" t="str">
        <f ca="1">IFERROR(__xludf.DUMMYFUNCTION("""COMPUTED_VALUE"""),"3 mos")</f>
        <v>3 mos</v>
      </c>
      <c r="H1542" s="1" t="str">
        <f ca="1">IFERROR(__xludf.DUMMYFUNCTION("""COMPUTED_VALUE"""),"comment")</f>
        <v>comment</v>
      </c>
      <c r="I1542" s="2" t="str">
        <f ca="1">IFERROR(__xludf.DUMMYFUNCTION("""COMPUTED_VALUE"""),"https://www.facebook.com/watch/live/?ref=watch_permalink&amp;v=360307549312104")</f>
        <v>https://www.facebook.com/watch/live/?ref=watch_permalink&amp;v=360307549312104</v>
      </c>
      <c r="J1542" s="1" t="str">
        <f ca="1">IFERROR(__xludf.DUMMYFUNCTION("""COMPUTED_VALUE"""),"2022-07-04T15:42:44.435Z")</f>
        <v>2022-07-04T15:42:44.435Z</v>
      </c>
    </row>
    <row r="1543" spans="1:10" x14ac:dyDescent="0.2">
      <c r="A1543" s="2" t="str">
        <f ca="1">IFERROR(__xludf.DUMMYFUNCTION("""COMPUTED_VALUE"""),"https://www.facebook.com/profile.php?id=100071111743897")</f>
        <v>https://www.facebook.com/profile.php?id=100071111743897</v>
      </c>
      <c r="B1543" s="1" t="str">
        <f ca="1">IFERROR(__xludf.DUMMYFUNCTION("""COMPUTED_VALUE"""),"Marie Balmaceda")</f>
        <v>Marie Balmaceda</v>
      </c>
      <c r="C1543" s="1" t="str">
        <f ca="1">IFERROR(__xludf.DUMMYFUNCTION("""COMPUTED_VALUE"""),"Marie")</f>
        <v>Marie</v>
      </c>
      <c r="D1543" s="1" t="str">
        <f ca="1">IFERROR(__xludf.DUMMYFUNCTION("""COMPUTED_VALUE"""),"Balmaceda")</f>
        <v>Balmaceda</v>
      </c>
      <c r="E1543" s="1" t="str">
        <f ca="1">IFERROR(__xludf.DUMMYFUNCTION("""COMPUTED_VALUE"""),"Marie Balmaceda")</f>
        <v>Marie Balmaceda</v>
      </c>
      <c r="F1543" s="1"/>
      <c r="G1543" s="1" t="str">
        <f ca="1">IFERROR(__xludf.DUMMYFUNCTION("""COMPUTED_VALUE"""),"3 mos")</f>
        <v>3 mos</v>
      </c>
      <c r="H1543" s="1" t="str">
        <f ca="1">IFERROR(__xludf.DUMMYFUNCTION("""COMPUTED_VALUE"""),"comment")</f>
        <v>comment</v>
      </c>
      <c r="I1543" s="2" t="str">
        <f ca="1">IFERROR(__xludf.DUMMYFUNCTION("""COMPUTED_VALUE"""),"https://www.facebook.com/watch/live/?ref=watch_permalink&amp;v=360307549312104")</f>
        <v>https://www.facebook.com/watch/live/?ref=watch_permalink&amp;v=360307549312104</v>
      </c>
      <c r="J1543" s="1" t="str">
        <f ca="1">IFERROR(__xludf.DUMMYFUNCTION("""COMPUTED_VALUE"""),"2022-07-04T15:42:44.435Z")</f>
        <v>2022-07-04T15:42:44.435Z</v>
      </c>
    </row>
    <row r="1544" spans="1:10" x14ac:dyDescent="0.2">
      <c r="A1544" s="2" t="str">
        <f ca="1">IFERROR(__xludf.DUMMYFUNCTION("""COMPUTED_VALUE"""),"https://www.facebook.com/nenita.nino.37")</f>
        <v>https://www.facebook.com/nenita.nino.37</v>
      </c>
      <c r="B1544" s="1" t="str">
        <f ca="1">IFERROR(__xludf.DUMMYFUNCTION("""COMPUTED_VALUE"""),"Nenita Niño")</f>
        <v>Nenita Niño</v>
      </c>
      <c r="C1544" s="1" t="str">
        <f ca="1">IFERROR(__xludf.DUMMYFUNCTION("""COMPUTED_VALUE"""),"Nenita")</f>
        <v>Nenita</v>
      </c>
      <c r="D1544" s="1" t="str">
        <f ca="1">IFERROR(__xludf.DUMMYFUNCTION("""COMPUTED_VALUE"""),"Niño")</f>
        <v>Niño</v>
      </c>
      <c r="E1544" s="1" t="str">
        <f ca="1">IFERROR(__xludf.DUMMYFUNCTION("""COMPUTED_VALUE"""),"Nenita Niño")</f>
        <v>Nenita Niño</v>
      </c>
      <c r="F1544" s="1"/>
      <c r="G1544" s="1" t="str">
        <f ca="1">IFERROR(__xludf.DUMMYFUNCTION("""COMPUTED_VALUE"""),"3 mos")</f>
        <v>3 mos</v>
      </c>
      <c r="H1544" s="1" t="str">
        <f ca="1">IFERROR(__xludf.DUMMYFUNCTION("""COMPUTED_VALUE"""),"comment")</f>
        <v>comment</v>
      </c>
      <c r="I1544" s="2" t="str">
        <f ca="1">IFERROR(__xludf.DUMMYFUNCTION("""COMPUTED_VALUE"""),"https://www.facebook.com/watch/live/?ref=watch_permalink&amp;v=360307549312104")</f>
        <v>https://www.facebook.com/watch/live/?ref=watch_permalink&amp;v=360307549312104</v>
      </c>
      <c r="J1544" s="1" t="str">
        <f ca="1">IFERROR(__xludf.DUMMYFUNCTION("""COMPUTED_VALUE"""),"2022-07-04T15:42:44.435Z")</f>
        <v>2022-07-04T15:42:44.435Z</v>
      </c>
    </row>
    <row r="1545" spans="1:10" x14ac:dyDescent="0.2">
      <c r="A1545" s="2" t="str">
        <f ca="1">IFERROR(__xludf.DUMMYFUNCTION("""COMPUTED_VALUE"""),"https://www.facebook.com/gin.elle.100")</f>
        <v>https://www.facebook.com/gin.elle.100</v>
      </c>
      <c r="B1545" s="1" t="str">
        <f ca="1">IFERROR(__xludf.DUMMYFUNCTION("""COMPUTED_VALUE"""),"Gin Elle")</f>
        <v>Gin Elle</v>
      </c>
      <c r="C1545" s="1" t="str">
        <f ca="1">IFERROR(__xludf.DUMMYFUNCTION("""COMPUTED_VALUE"""),"Gin")</f>
        <v>Gin</v>
      </c>
      <c r="D1545" s="1" t="str">
        <f ca="1">IFERROR(__xludf.DUMMYFUNCTION("""COMPUTED_VALUE"""),"Elle")</f>
        <v>Elle</v>
      </c>
      <c r="E1545" s="1" t="str">
        <f ca="1">IFERROR(__xludf.DUMMYFUNCTION("""COMPUTED_VALUE"""),"Gin Elle")</f>
        <v>Gin Elle</v>
      </c>
      <c r="F1545" s="1"/>
      <c r="G1545" s="1" t="str">
        <f ca="1">IFERROR(__xludf.DUMMYFUNCTION("""COMPUTED_VALUE"""),"3 mos")</f>
        <v>3 mos</v>
      </c>
      <c r="H1545" s="1" t="str">
        <f ca="1">IFERROR(__xludf.DUMMYFUNCTION("""COMPUTED_VALUE"""),"comment")</f>
        <v>comment</v>
      </c>
      <c r="I1545" s="2" t="str">
        <f ca="1">IFERROR(__xludf.DUMMYFUNCTION("""COMPUTED_VALUE"""),"https://www.facebook.com/watch/live/?ref=watch_permalink&amp;v=360307549312104")</f>
        <v>https://www.facebook.com/watch/live/?ref=watch_permalink&amp;v=360307549312104</v>
      </c>
      <c r="J1545" s="1" t="str">
        <f ca="1">IFERROR(__xludf.DUMMYFUNCTION("""COMPUTED_VALUE"""),"2022-07-04T15:42:44.435Z")</f>
        <v>2022-07-04T15:42:44.435Z</v>
      </c>
    </row>
    <row r="1546" spans="1:10" x14ac:dyDescent="0.2">
      <c r="A1546" s="2" t="str">
        <f ca="1">IFERROR(__xludf.DUMMYFUNCTION("""COMPUTED_VALUE"""),"https://www.facebook.com/samantha.luiz.92")</f>
        <v>https://www.facebook.com/samantha.luiz.92</v>
      </c>
      <c r="B1546" s="1" t="str">
        <f ca="1">IFERROR(__xludf.DUMMYFUNCTION("""COMPUTED_VALUE"""),"Jazmin R. Bereber")</f>
        <v>Jazmin R. Bereber</v>
      </c>
      <c r="C1546" s="1" t="str">
        <f ca="1">IFERROR(__xludf.DUMMYFUNCTION("""COMPUTED_VALUE"""),"Jazmin")</f>
        <v>Jazmin</v>
      </c>
      <c r="D1546" s="1" t="str">
        <f ca="1">IFERROR(__xludf.DUMMYFUNCTION("""COMPUTED_VALUE"""),"R. Bereber")</f>
        <v>R. Bereber</v>
      </c>
      <c r="E1546" s="1" t="str">
        <f ca="1">IFERROR(__xludf.DUMMYFUNCTION("""COMPUTED_VALUE"""),"Jazmin R. Bereber")</f>
        <v>Jazmin R. Bereber</v>
      </c>
      <c r="F1546" s="1"/>
      <c r="G1546" s="1" t="str">
        <f ca="1">IFERROR(__xludf.DUMMYFUNCTION("""COMPUTED_VALUE"""),"3 mos")</f>
        <v>3 mos</v>
      </c>
      <c r="H1546" s="1" t="str">
        <f ca="1">IFERROR(__xludf.DUMMYFUNCTION("""COMPUTED_VALUE"""),"comment")</f>
        <v>comment</v>
      </c>
      <c r="I1546" s="2" t="str">
        <f ca="1">IFERROR(__xludf.DUMMYFUNCTION("""COMPUTED_VALUE"""),"https://www.facebook.com/watch/live/?ref=watch_permalink&amp;v=360307549312104")</f>
        <v>https://www.facebook.com/watch/live/?ref=watch_permalink&amp;v=360307549312104</v>
      </c>
      <c r="J1546" s="1" t="str">
        <f ca="1">IFERROR(__xludf.DUMMYFUNCTION("""COMPUTED_VALUE"""),"2022-07-04T15:42:44.435Z")</f>
        <v>2022-07-04T15:42:44.435Z</v>
      </c>
    </row>
    <row r="1547" spans="1:10" x14ac:dyDescent="0.2">
      <c r="A1547" s="2" t="str">
        <f ca="1">IFERROR(__xludf.DUMMYFUNCTION("""COMPUTED_VALUE"""),"https://www.facebook.com/wilma.remobautista.9")</f>
        <v>https://www.facebook.com/wilma.remobautista.9</v>
      </c>
      <c r="B1547" s="1" t="str">
        <f ca="1">IFERROR(__xludf.DUMMYFUNCTION("""COMPUTED_VALUE"""),"Wilma Remo Bautista")</f>
        <v>Wilma Remo Bautista</v>
      </c>
      <c r="C1547" s="1" t="str">
        <f ca="1">IFERROR(__xludf.DUMMYFUNCTION("""COMPUTED_VALUE"""),"Wilma")</f>
        <v>Wilma</v>
      </c>
      <c r="D1547" s="1" t="str">
        <f ca="1">IFERROR(__xludf.DUMMYFUNCTION("""COMPUTED_VALUE"""),"Remo Bautista")</f>
        <v>Remo Bautista</v>
      </c>
      <c r="E1547" s="1" t="str">
        <f ca="1">IFERROR(__xludf.DUMMYFUNCTION("""COMPUTED_VALUE"""),"Wilma Remo Bautista")</f>
        <v>Wilma Remo Bautista</v>
      </c>
      <c r="F1547" s="1"/>
      <c r="G1547" s="1" t="str">
        <f ca="1">IFERROR(__xludf.DUMMYFUNCTION("""COMPUTED_VALUE"""),"3 mos")</f>
        <v>3 mos</v>
      </c>
      <c r="H1547" s="1" t="str">
        <f ca="1">IFERROR(__xludf.DUMMYFUNCTION("""COMPUTED_VALUE"""),"comment")</f>
        <v>comment</v>
      </c>
      <c r="I1547" s="2" t="str">
        <f ca="1">IFERROR(__xludf.DUMMYFUNCTION("""COMPUTED_VALUE"""),"https://www.facebook.com/watch/live/?ref=watch_permalink&amp;v=360307549312104")</f>
        <v>https://www.facebook.com/watch/live/?ref=watch_permalink&amp;v=360307549312104</v>
      </c>
      <c r="J1547" s="1" t="str">
        <f ca="1">IFERROR(__xludf.DUMMYFUNCTION("""COMPUTED_VALUE"""),"2022-07-04T15:42:44.436Z")</f>
        <v>2022-07-04T15:42:44.436Z</v>
      </c>
    </row>
    <row r="1548" spans="1:10" x14ac:dyDescent="0.2">
      <c r="A1548" s="2" t="str">
        <f ca="1">IFERROR(__xludf.DUMMYFUNCTION("""COMPUTED_VALUE"""),"https://www.facebook.com/romer.carredo")</f>
        <v>https://www.facebook.com/romer.carredo</v>
      </c>
      <c r="B1548" s="1" t="str">
        <f ca="1">IFERROR(__xludf.DUMMYFUNCTION("""COMPUTED_VALUE"""),"Reg Leceña Chua")</f>
        <v>Reg Leceña Chua</v>
      </c>
      <c r="C1548" s="1" t="str">
        <f ca="1">IFERROR(__xludf.DUMMYFUNCTION("""COMPUTED_VALUE"""),"Reg")</f>
        <v>Reg</v>
      </c>
      <c r="D1548" s="1" t="str">
        <f ca="1">IFERROR(__xludf.DUMMYFUNCTION("""COMPUTED_VALUE"""),"Leceña Chua")</f>
        <v>Leceña Chua</v>
      </c>
      <c r="E1548" s="1" t="str">
        <f ca="1">IFERROR(__xludf.DUMMYFUNCTION("""COMPUTED_VALUE"""),"#CaMaNaVaIsPink🙏💕🎀🇵🇭❗️📌")</f>
        <v>#CaMaNaVaIsPink🙏💕🎀🇵🇭❗️📌</v>
      </c>
      <c r="F1548" s="1"/>
      <c r="G1548" s="1" t="str">
        <f ca="1">IFERROR(__xludf.DUMMYFUNCTION("""COMPUTED_VALUE"""),"3 mos")</f>
        <v>3 mos</v>
      </c>
      <c r="H1548" s="1" t="str">
        <f ca="1">IFERROR(__xludf.DUMMYFUNCTION("""COMPUTED_VALUE"""),"comment")</f>
        <v>comment</v>
      </c>
      <c r="I1548" s="2" t="str">
        <f ca="1">IFERROR(__xludf.DUMMYFUNCTION("""COMPUTED_VALUE"""),"https://www.facebook.com/watch/live/?ref=watch_permalink&amp;v=360307549312104")</f>
        <v>https://www.facebook.com/watch/live/?ref=watch_permalink&amp;v=360307549312104</v>
      </c>
      <c r="J1548" s="1" t="str">
        <f ca="1">IFERROR(__xludf.DUMMYFUNCTION("""COMPUTED_VALUE"""),"2022-07-04T15:42:44.436Z")</f>
        <v>2022-07-04T15:42:44.436Z</v>
      </c>
    </row>
    <row r="1549" spans="1:10" x14ac:dyDescent="0.2">
      <c r="A1549" s="2" t="str">
        <f ca="1">IFERROR(__xludf.DUMMYFUNCTION("""COMPUTED_VALUE"""),"https://www.facebook.com/yhel.domingo.9")</f>
        <v>https://www.facebook.com/yhel.domingo.9</v>
      </c>
      <c r="B1549" s="1" t="str">
        <f ca="1">IFERROR(__xludf.DUMMYFUNCTION("""COMPUTED_VALUE"""),"Elysa Domingo")</f>
        <v>Elysa Domingo</v>
      </c>
      <c r="C1549" s="1" t="str">
        <f ca="1">IFERROR(__xludf.DUMMYFUNCTION("""COMPUTED_VALUE"""),"Elysa")</f>
        <v>Elysa</v>
      </c>
      <c r="D1549" s="1" t="str">
        <f ca="1">IFERROR(__xludf.DUMMYFUNCTION("""COMPUTED_VALUE"""),"Domingo")</f>
        <v>Domingo</v>
      </c>
      <c r="E1549" s="1" t="str">
        <f ca="1">IFERROR(__xludf.DUMMYFUNCTION("""COMPUTED_VALUE"""),"#CaMaNaVaIsPink")</f>
        <v>#CaMaNaVaIsPink</v>
      </c>
      <c r="F1549" s="1">
        <f ca="1">IFERROR(__xludf.DUMMYFUNCTION("""COMPUTED_VALUE"""),1)</f>
        <v>1</v>
      </c>
      <c r="G1549" s="1" t="str">
        <f ca="1">IFERROR(__xludf.DUMMYFUNCTION("""COMPUTED_VALUE"""),"3 mos")</f>
        <v>3 mos</v>
      </c>
      <c r="H1549" s="1" t="str">
        <f ca="1">IFERROR(__xludf.DUMMYFUNCTION("""COMPUTED_VALUE"""),"comment")</f>
        <v>comment</v>
      </c>
      <c r="I1549" s="2" t="str">
        <f ca="1">IFERROR(__xludf.DUMMYFUNCTION("""COMPUTED_VALUE"""),"https://www.facebook.com/watch/live/?ref=watch_permalink&amp;v=360307549312104")</f>
        <v>https://www.facebook.com/watch/live/?ref=watch_permalink&amp;v=360307549312104</v>
      </c>
      <c r="J1549" s="1" t="str">
        <f ca="1">IFERROR(__xludf.DUMMYFUNCTION("""COMPUTED_VALUE"""),"2022-07-04T15:42:44.436Z")</f>
        <v>2022-07-04T15:42:44.436Z</v>
      </c>
    </row>
    <row r="1550" spans="1:10" x14ac:dyDescent="0.2">
      <c r="A1550" s="2" t="str">
        <f ca="1">IFERROR(__xludf.DUMMYFUNCTION("""COMPUTED_VALUE"""),"https://www.facebook.com/gin.elle.100")</f>
        <v>https://www.facebook.com/gin.elle.100</v>
      </c>
      <c r="B1550" s="1" t="str">
        <f ca="1">IFERROR(__xludf.DUMMYFUNCTION("""COMPUTED_VALUE"""),"Gin Elle")</f>
        <v>Gin Elle</v>
      </c>
      <c r="C1550" s="1" t="str">
        <f ca="1">IFERROR(__xludf.DUMMYFUNCTION("""COMPUTED_VALUE"""),"Gin")</f>
        <v>Gin</v>
      </c>
      <c r="D1550" s="1" t="str">
        <f ca="1">IFERROR(__xludf.DUMMYFUNCTION("""COMPUTED_VALUE"""),"Elle")</f>
        <v>Elle</v>
      </c>
      <c r="E1550" s="1" t="str">
        <f ca="1">IFERROR(__xludf.DUMMYFUNCTION("""COMPUTED_VALUE"""),"Gin Elle")</f>
        <v>Gin Elle</v>
      </c>
      <c r="F1550" s="1"/>
      <c r="G1550" s="1" t="str">
        <f ca="1">IFERROR(__xludf.DUMMYFUNCTION("""COMPUTED_VALUE"""),"3 mos")</f>
        <v>3 mos</v>
      </c>
      <c r="H1550" s="1" t="str">
        <f ca="1">IFERROR(__xludf.DUMMYFUNCTION("""COMPUTED_VALUE"""),"comment")</f>
        <v>comment</v>
      </c>
      <c r="I1550" s="2" t="str">
        <f ca="1">IFERROR(__xludf.DUMMYFUNCTION("""COMPUTED_VALUE"""),"https://www.facebook.com/watch/live/?ref=watch_permalink&amp;v=360307549312104")</f>
        <v>https://www.facebook.com/watch/live/?ref=watch_permalink&amp;v=360307549312104</v>
      </c>
      <c r="J1550" s="1" t="str">
        <f ca="1">IFERROR(__xludf.DUMMYFUNCTION("""COMPUTED_VALUE"""),"2022-07-04T15:42:44.436Z")</f>
        <v>2022-07-04T15:42:44.436Z</v>
      </c>
    </row>
    <row r="1551" spans="1:10" x14ac:dyDescent="0.2">
      <c r="A1551" s="2" t="str">
        <f ca="1">IFERROR(__xludf.DUMMYFUNCTION("""COMPUTED_VALUE"""),"https://www.facebook.com/rona.baltazar.16")</f>
        <v>https://www.facebook.com/rona.baltazar.16</v>
      </c>
      <c r="B1551" s="1" t="str">
        <f ca="1">IFERROR(__xludf.DUMMYFUNCTION("""COMPUTED_VALUE"""),"Rona Javier Baltazar")</f>
        <v>Rona Javier Baltazar</v>
      </c>
      <c r="C1551" s="1" t="str">
        <f ca="1">IFERROR(__xludf.DUMMYFUNCTION("""COMPUTED_VALUE"""),"Rona")</f>
        <v>Rona</v>
      </c>
      <c r="D1551" s="1" t="str">
        <f ca="1">IFERROR(__xludf.DUMMYFUNCTION("""COMPUTED_VALUE"""),"Javier Baltazar")</f>
        <v>Javier Baltazar</v>
      </c>
      <c r="E1551" s="1" t="str">
        <f ca="1">IFERROR(__xludf.DUMMYFUNCTION("""COMPUTED_VALUE"""),"#KakamPinkSa2022")</f>
        <v>#KakamPinkSa2022</v>
      </c>
      <c r="F1551" s="1">
        <f ca="1">IFERROR(__xludf.DUMMYFUNCTION("""COMPUTED_VALUE"""),2)</f>
        <v>2</v>
      </c>
      <c r="G1551" s="1" t="str">
        <f ca="1">IFERROR(__xludf.DUMMYFUNCTION("""COMPUTED_VALUE"""),"3 mos")</f>
        <v>3 mos</v>
      </c>
      <c r="H1551" s="1" t="str">
        <f ca="1">IFERROR(__xludf.DUMMYFUNCTION("""COMPUTED_VALUE"""),"comment")</f>
        <v>comment</v>
      </c>
      <c r="I1551" s="2" t="str">
        <f ca="1">IFERROR(__xludf.DUMMYFUNCTION("""COMPUTED_VALUE"""),"https://www.facebook.com/watch/live/?ref=watch_permalink&amp;v=360307549312104")</f>
        <v>https://www.facebook.com/watch/live/?ref=watch_permalink&amp;v=360307549312104</v>
      </c>
      <c r="J1551" s="1" t="str">
        <f ca="1">IFERROR(__xludf.DUMMYFUNCTION("""COMPUTED_VALUE"""),"2022-07-04T15:42:44.436Z")</f>
        <v>2022-07-04T15:42:44.436Z</v>
      </c>
    </row>
    <row r="1552" spans="1:10" x14ac:dyDescent="0.2">
      <c r="A1552" s="2" t="str">
        <f ca="1">IFERROR(__xludf.DUMMYFUNCTION("""COMPUTED_VALUE"""),"https://www.facebook.com/elanie.berou.3")</f>
        <v>https://www.facebook.com/elanie.berou.3</v>
      </c>
      <c r="B1552" s="1" t="str">
        <f ca="1">IFERROR(__xludf.DUMMYFUNCTION("""COMPUTED_VALUE"""),"Elanie Abonales Berou")</f>
        <v>Elanie Abonales Berou</v>
      </c>
      <c r="C1552" s="1" t="str">
        <f ca="1">IFERROR(__xludf.DUMMYFUNCTION("""COMPUTED_VALUE"""),"Elanie")</f>
        <v>Elanie</v>
      </c>
      <c r="D1552" s="1" t="str">
        <f ca="1">IFERROR(__xludf.DUMMYFUNCTION("""COMPUTED_VALUE"""),"Abonales Berou")</f>
        <v>Abonales Berou</v>
      </c>
      <c r="E1552" s="1" t="str">
        <f ca="1">IFERROR(__xludf.DUMMYFUNCTION("""COMPUTED_VALUE"""),"Elanie Abonales Berou")</f>
        <v>Elanie Abonales Berou</v>
      </c>
      <c r="F1552" s="1"/>
      <c r="G1552" s="1" t="str">
        <f ca="1">IFERROR(__xludf.DUMMYFUNCTION("""COMPUTED_VALUE"""),"3 mos")</f>
        <v>3 mos</v>
      </c>
      <c r="H1552" s="1" t="str">
        <f ca="1">IFERROR(__xludf.DUMMYFUNCTION("""COMPUTED_VALUE"""),"comment")</f>
        <v>comment</v>
      </c>
      <c r="I1552" s="2" t="str">
        <f ca="1">IFERROR(__xludf.DUMMYFUNCTION("""COMPUTED_VALUE"""),"https://www.facebook.com/watch/live/?ref=watch_permalink&amp;v=360307549312104")</f>
        <v>https://www.facebook.com/watch/live/?ref=watch_permalink&amp;v=360307549312104</v>
      </c>
      <c r="J1552" s="1" t="str">
        <f ca="1">IFERROR(__xludf.DUMMYFUNCTION("""COMPUTED_VALUE"""),"2022-07-04T15:42:44.436Z")</f>
        <v>2022-07-04T15:42:44.436Z</v>
      </c>
    </row>
    <row r="1553" spans="1:10" x14ac:dyDescent="0.2">
      <c r="A1553" s="2" t="str">
        <f ca="1">IFERROR(__xludf.DUMMYFUNCTION("""COMPUTED_VALUE"""),"https://www.facebook.com/ophelia.villapando")</f>
        <v>https://www.facebook.com/ophelia.villapando</v>
      </c>
      <c r="B1553" s="1" t="str">
        <f ca="1">IFERROR(__xludf.DUMMYFUNCTION("""COMPUTED_VALUE"""),"Ophelia Villapando")</f>
        <v>Ophelia Villapando</v>
      </c>
      <c r="C1553" s="1" t="str">
        <f ca="1">IFERROR(__xludf.DUMMYFUNCTION("""COMPUTED_VALUE"""),"Ophelia")</f>
        <v>Ophelia</v>
      </c>
      <c r="D1553" s="1" t="str">
        <f ca="1">IFERROR(__xludf.DUMMYFUNCTION("""COMPUTED_VALUE"""),"Villapando")</f>
        <v>Villapando</v>
      </c>
      <c r="E1553" s="1" t="str">
        <f ca="1">IFERROR(__xludf.DUMMYFUNCTION("""COMPUTED_VALUE"""),"#IpanaloNaNa10To")</f>
        <v>#IpanaloNaNa10To</v>
      </c>
      <c r="F1553" s="1"/>
      <c r="G1553" s="1" t="str">
        <f ca="1">IFERROR(__xludf.DUMMYFUNCTION("""COMPUTED_VALUE"""),"3 mos")</f>
        <v>3 mos</v>
      </c>
      <c r="H1553" s="1" t="str">
        <f ca="1">IFERROR(__xludf.DUMMYFUNCTION("""COMPUTED_VALUE"""),"comment")</f>
        <v>comment</v>
      </c>
      <c r="I1553" s="2" t="str">
        <f ca="1">IFERROR(__xludf.DUMMYFUNCTION("""COMPUTED_VALUE"""),"https://www.facebook.com/watch/live/?ref=watch_permalink&amp;v=360307549312104")</f>
        <v>https://www.facebook.com/watch/live/?ref=watch_permalink&amp;v=360307549312104</v>
      </c>
      <c r="J1553" s="1" t="str">
        <f ca="1">IFERROR(__xludf.DUMMYFUNCTION("""COMPUTED_VALUE"""),"2022-07-04T15:42:44.436Z")</f>
        <v>2022-07-04T15:42:44.436Z</v>
      </c>
    </row>
    <row r="1554" spans="1:10" x14ac:dyDescent="0.2">
      <c r="A1554" s="2" t="str">
        <f ca="1">IFERROR(__xludf.DUMMYFUNCTION("""COMPUTED_VALUE"""),"https://www.facebook.com/madonna.bagalayfulgar.3")</f>
        <v>https://www.facebook.com/madonna.bagalayfulgar.3</v>
      </c>
      <c r="B1554" s="1" t="str">
        <f ca="1">IFERROR(__xludf.DUMMYFUNCTION("""COMPUTED_VALUE"""),"Madonna Bagalay Fulgar")</f>
        <v>Madonna Bagalay Fulgar</v>
      </c>
      <c r="C1554" s="1" t="str">
        <f ca="1">IFERROR(__xludf.DUMMYFUNCTION("""COMPUTED_VALUE"""),"Madonna")</f>
        <v>Madonna</v>
      </c>
      <c r="D1554" s="1" t="str">
        <f ca="1">IFERROR(__xludf.DUMMYFUNCTION("""COMPUTED_VALUE"""),"Bagalay Fulgar")</f>
        <v>Bagalay Fulgar</v>
      </c>
      <c r="E1554" s="1" t="str">
        <f ca="1">IFERROR(__xludf.DUMMYFUNCTION("""COMPUTED_VALUE"""),"Madonna Bagalay Fulgar")</f>
        <v>Madonna Bagalay Fulgar</v>
      </c>
      <c r="F1554" s="1"/>
      <c r="G1554" s="1" t="str">
        <f ca="1">IFERROR(__xludf.DUMMYFUNCTION("""COMPUTED_VALUE"""),"3 mos")</f>
        <v>3 mos</v>
      </c>
      <c r="H1554" s="1" t="str">
        <f ca="1">IFERROR(__xludf.DUMMYFUNCTION("""COMPUTED_VALUE"""),"comment")</f>
        <v>comment</v>
      </c>
      <c r="I1554" s="2" t="str">
        <f ca="1">IFERROR(__xludf.DUMMYFUNCTION("""COMPUTED_VALUE"""),"https://www.facebook.com/watch/live/?ref=watch_permalink&amp;v=360307549312104")</f>
        <v>https://www.facebook.com/watch/live/?ref=watch_permalink&amp;v=360307549312104</v>
      </c>
      <c r="J1554" s="1" t="str">
        <f ca="1">IFERROR(__xludf.DUMMYFUNCTION("""COMPUTED_VALUE"""),"2022-07-04T15:42:44.436Z")</f>
        <v>2022-07-04T15:42:44.436Z</v>
      </c>
    </row>
    <row r="1555" spans="1:10" x14ac:dyDescent="0.2">
      <c r="A1555" s="2" t="str">
        <f ca="1">IFERROR(__xludf.DUMMYFUNCTION("""COMPUTED_VALUE"""),"https://www.facebook.com/profile.php?id=100071047785780")</f>
        <v>https://www.facebook.com/profile.php?id=100071047785780</v>
      </c>
      <c r="B1555" s="1" t="str">
        <f ca="1">IFERROR(__xludf.DUMMYFUNCTION("""COMPUTED_VALUE"""),"Eugenio Nicol")</f>
        <v>Eugenio Nicol</v>
      </c>
      <c r="C1555" s="1" t="str">
        <f ca="1">IFERROR(__xludf.DUMMYFUNCTION("""COMPUTED_VALUE"""),"Eugenio")</f>
        <v>Eugenio</v>
      </c>
      <c r="D1555" s="1" t="str">
        <f ca="1">IFERROR(__xludf.DUMMYFUNCTION("""COMPUTED_VALUE"""),"Nicol")</f>
        <v>Nicol</v>
      </c>
      <c r="E1555" s="1" t="str">
        <f ca="1">IFERROR(__xludf.DUMMYFUNCTION("""COMPUTED_VALUE"""),"Eugenio Nicol")</f>
        <v>Eugenio Nicol</v>
      </c>
      <c r="F1555" s="1"/>
      <c r="G1555" s="1" t="str">
        <f ca="1">IFERROR(__xludf.DUMMYFUNCTION("""COMPUTED_VALUE"""),"3 mos")</f>
        <v>3 mos</v>
      </c>
      <c r="H1555" s="1" t="str">
        <f ca="1">IFERROR(__xludf.DUMMYFUNCTION("""COMPUTED_VALUE"""),"comment")</f>
        <v>comment</v>
      </c>
      <c r="I1555" s="2" t="str">
        <f ca="1">IFERROR(__xludf.DUMMYFUNCTION("""COMPUTED_VALUE"""),"https://www.facebook.com/watch/live/?ref=watch_permalink&amp;v=360307549312104")</f>
        <v>https://www.facebook.com/watch/live/?ref=watch_permalink&amp;v=360307549312104</v>
      </c>
      <c r="J1555" s="1" t="str">
        <f ca="1">IFERROR(__xludf.DUMMYFUNCTION("""COMPUTED_VALUE"""),"2022-07-04T15:42:44.436Z")</f>
        <v>2022-07-04T15:42:44.436Z</v>
      </c>
    </row>
    <row r="1556" spans="1:10" x14ac:dyDescent="0.2">
      <c r="A1556" s="2" t="str">
        <f ca="1">IFERROR(__xludf.DUMMYFUNCTION("""COMPUTED_VALUE"""),"https://www.facebook.com/maryjean.larion")</f>
        <v>https://www.facebook.com/maryjean.larion</v>
      </c>
      <c r="B1556" s="1" t="str">
        <f ca="1">IFERROR(__xludf.DUMMYFUNCTION("""COMPUTED_VALUE"""),"Mary Jean A. Larion")</f>
        <v>Mary Jean A. Larion</v>
      </c>
      <c r="C1556" s="1" t="str">
        <f ca="1">IFERROR(__xludf.DUMMYFUNCTION("""COMPUTED_VALUE"""),"Mary")</f>
        <v>Mary</v>
      </c>
      <c r="D1556" s="1" t="str">
        <f ca="1">IFERROR(__xludf.DUMMYFUNCTION("""COMPUTED_VALUE"""),"Jean A. Larion")</f>
        <v>Jean A. Larion</v>
      </c>
      <c r="E1556" s="1" t="str">
        <f ca="1">IFERROR(__xludf.DUMMYFUNCTION("""COMPUTED_VALUE"""),"Mary Jean A. Larion")</f>
        <v>Mary Jean A. Larion</v>
      </c>
      <c r="F1556" s="1"/>
      <c r="G1556" s="1" t="str">
        <f ca="1">IFERROR(__xludf.DUMMYFUNCTION("""COMPUTED_VALUE"""),"3 mos")</f>
        <v>3 mos</v>
      </c>
      <c r="H1556" s="1" t="str">
        <f ca="1">IFERROR(__xludf.DUMMYFUNCTION("""COMPUTED_VALUE"""),"comment")</f>
        <v>comment</v>
      </c>
      <c r="I1556" s="2" t="str">
        <f ca="1">IFERROR(__xludf.DUMMYFUNCTION("""COMPUTED_VALUE"""),"https://www.facebook.com/watch/live/?ref=watch_permalink&amp;v=360307549312104")</f>
        <v>https://www.facebook.com/watch/live/?ref=watch_permalink&amp;v=360307549312104</v>
      </c>
      <c r="J1556" s="1" t="str">
        <f ca="1">IFERROR(__xludf.DUMMYFUNCTION("""COMPUTED_VALUE"""),"2022-07-04T15:42:44.436Z")</f>
        <v>2022-07-04T15:42:44.436Z</v>
      </c>
    </row>
    <row r="1557" spans="1:10" x14ac:dyDescent="0.2">
      <c r="A1557" s="2" t="str">
        <f ca="1">IFERROR(__xludf.DUMMYFUNCTION("""COMPUTED_VALUE"""),"https://www.facebook.com/maryjean.larion")</f>
        <v>https://www.facebook.com/maryjean.larion</v>
      </c>
      <c r="B1557" s="1" t="str">
        <f ca="1">IFERROR(__xludf.DUMMYFUNCTION("""COMPUTED_VALUE"""),"Mary Jean A. Larion")</f>
        <v>Mary Jean A. Larion</v>
      </c>
      <c r="C1557" s="1" t="str">
        <f ca="1">IFERROR(__xludf.DUMMYFUNCTION("""COMPUTED_VALUE"""),"Mary")</f>
        <v>Mary</v>
      </c>
      <c r="D1557" s="1" t="str">
        <f ca="1">IFERROR(__xludf.DUMMYFUNCTION("""COMPUTED_VALUE"""),"Jean A. Larion")</f>
        <v>Jean A. Larion</v>
      </c>
      <c r="E1557" s="1" t="str">
        <f ca="1">IFERROR(__xludf.DUMMYFUNCTION("""COMPUTED_VALUE"""),"Mary Jean A. Larion")</f>
        <v>Mary Jean A. Larion</v>
      </c>
      <c r="F1557" s="1"/>
      <c r="G1557" s="1" t="str">
        <f ca="1">IFERROR(__xludf.DUMMYFUNCTION("""COMPUTED_VALUE"""),"3 mos")</f>
        <v>3 mos</v>
      </c>
      <c r="H1557" s="1" t="str">
        <f ca="1">IFERROR(__xludf.DUMMYFUNCTION("""COMPUTED_VALUE"""),"comment")</f>
        <v>comment</v>
      </c>
      <c r="I1557" s="2" t="str">
        <f ca="1">IFERROR(__xludf.DUMMYFUNCTION("""COMPUTED_VALUE"""),"https://www.facebook.com/watch/live/?ref=watch_permalink&amp;v=360307549312104")</f>
        <v>https://www.facebook.com/watch/live/?ref=watch_permalink&amp;v=360307549312104</v>
      </c>
      <c r="J1557" s="1" t="str">
        <f ca="1">IFERROR(__xludf.DUMMYFUNCTION("""COMPUTED_VALUE"""),"2022-07-04T15:42:44.436Z")</f>
        <v>2022-07-04T15:42:44.436Z</v>
      </c>
    </row>
    <row r="1558" spans="1:10" x14ac:dyDescent="0.2">
      <c r="A1558" s="2" t="str">
        <f ca="1">IFERROR(__xludf.DUMMYFUNCTION("""COMPUTED_VALUE"""),"https://www.facebook.com/profile.php?id=100070893796485")</f>
        <v>https://www.facebook.com/profile.php?id=100070893796485</v>
      </c>
      <c r="B1558" s="1" t="str">
        <f ca="1">IFERROR(__xludf.DUMMYFUNCTION("""COMPUTED_VALUE"""),"Andigerg Adp")</f>
        <v>Andigerg Adp</v>
      </c>
      <c r="C1558" s="1" t="str">
        <f ca="1">IFERROR(__xludf.DUMMYFUNCTION("""COMPUTED_VALUE"""),"Andigerg")</f>
        <v>Andigerg</v>
      </c>
      <c r="D1558" s="1" t="str">
        <f ca="1">IFERROR(__xludf.DUMMYFUNCTION("""COMPUTED_VALUE"""),"Adp")</f>
        <v>Adp</v>
      </c>
      <c r="E1558" s="1" t="str">
        <f ca="1">IFERROR(__xludf.DUMMYFUNCTION("""COMPUTED_VALUE"""),"Andigerg Adp")</f>
        <v>Andigerg Adp</v>
      </c>
      <c r="F1558" s="1"/>
      <c r="G1558" s="1" t="str">
        <f ca="1">IFERROR(__xludf.DUMMYFUNCTION("""COMPUTED_VALUE"""),"3 mos")</f>
        <v>3 mos</v>
      </c>
      <c r="H1558" s="1" t="str">
        <f ca="1">IFERROR(__xludf.DUMMYFUNCTION("""COMPUTED_VALUE"""),"comment")</f>
        <v>comment</v>
      </c>
      <c r="I1558" s="2" t="str">
        <f ca="1">IFERROR(__xludf.DUMMYFUNCTION("""COMPUTED_VALUE"""),"https://www.facebook.com/watch/live/?ref=watch_permalink&amp;v=360307549312104")</f>
        <v>https://www.facebook.com/watch/live/?ref=watch_permalink&amp;v=360307549312104</v>
      </c>
      <c r="J1558" s="1" t="str">
        <f ca="1">IFERROR(__xludf.DUMMYFUNCTION("""COMPUTED_VALUE"""),"2022-07-04T15:42:44.436Z")</f>
        <v>2022-07-04T15:42:44.436Z</v>
      </c>
    </row>
    <row r="1559" spans="1:10" x14ac:dyDescent="0.2">
      <c r="A1559" s="2" t="str">
        <f ca="1">IFERROR(__xludf.DUMMYFUNCTION("""COMPUTED_VALUE"""),"https://www.facebook.com/materesa.villa.9")</f>
        <v>https://www.facebook.com/materesa.villa.9</v>
      </c>
      <c r="B1559" s="1" t="str">
        <f ca="1">IFERROR(__xludf.DUMMYFUNCTION("""COMPUTED_VALUE"""),"Ma Teresa Villa")</f>
        <v>Ma Teresa Villa</v>
      </c>
      <c r="C1559" s="1" t="str">
        <f ca="1">IFERROR(__xludf.DUMMYFUNCTION("""COMPUTED_VALUE"""),"Ma")</f>
        <v>Ma</v>
      </c>
      <c r="D1559" s="1" t="str">
        <f ca="1">IFERROR(__xludf.DUMMYFUNCTION("""COMPUTED_VALUE"""),"Teresa Villa")</f>
        <v>Teresa Villa</v>
      </c>
      <c r="E1559" s="1" t="str">
        <f ca="1">IFERROR(__xludf.DUMMYFUNCTION("""COMPUTED_VALUE"""),"Ma Teresa Villa")</f>
        <v>Ma Teresa Villa</v>
      </c>
      <c r="F1559" s="1"/>
      <c r="G1559" s="1" t="str">
        <f ca="1">IFERROR(__xludf.DUMMYFUNCTION("""COMPUTED_VALUE"""),"3 mos")</f>
        <v>3 mos</v>
      </c>
      <c r="H1559" s="1" t="str">
        <f ca="1">IFERROR(__xludf.DUMMYFUNCTION("""COMPUTED_VALUE"""),"comment")</f>
        <v>comment</v>
      </c>
      <c r="I1559" s="2" t="str">
        <f ca="1">IFERROR(__xludf.DUMMYFUNCTION("""COMPUTED_VALUE"""),"https://www.facebook.com/watch/live/?ref=watch_permalink&amp;v=360307549312104")</f>
        <v>https://www.facebook.com/watch/live/?ref=watch_permalink&amp;v=360307549312104</v>
      </c>
      <c r="J1559" s="1" t="str">
        <f ca="1">IFERROR(__xludf.DUMMYFUNCTION("""COMPUTED_VALUE"""),"2022-07-04T15:42:44.436Z")</f>
        <v>2022-07-04T15:42:44.436Z</v>
      </c>
    </row>
    <row r="1560" spans="1:10" x14ac:dyDescent="0.2">
      <c r="A1560" s="2" t="str">
        <f ca="1">IFERROR(__xludf.DUMMYFUNCTION("""COMPUTED_VALUE"""),"https://www.facebook.com/maryjean.larion")</f>
        <v>https://www.facebook.com/maryjean.larion</v>
      </c>
      <c r="B1560" s="1" t="str">
        <f ca="1">IFERROR(__xludf.DUMMYFUNCTION("""COMPUTED_VALUE"""),"Mary Jean A. Larion")</f>
        <v>Mary Jean A. Larion</v>
      </c>
      <c r="C1560" s="1" t="str">
        <f ca="1">IFERROR(__xludf.DUMMYFUNCTION("""COMPUTED_VALUE"""),"Mary")</f>
        <v>Mary</v>
      </c>
      <c r="D1560" s="1" t="str">
        <f ca="1">IFERROR(__xludf.DUMMYFUNCTION("""COMPUTED_VALUE"""),"Jean A. Larion")</f>
        <v>Jean A. Larion</v>
      </c>
      <c r="E1560" s="1" t="str">
        <f ca="1">IFERROR(__xludf.DUMMYFUNCTION("""COMPUTED_VALUE"""),"Mary Jean A. Larion")</f>
        <v>Mary Jean A. Larion</v>
      </c>
      <c r="F1560" s="1"/>
      <c r="G1560" s="1" t="str">
        <f ca="1">IFERROR(__xludf.DUMMYFUNCTION("""COMPUTED_VALUE"""),"3 mos")</f>
        <v>3 mos</v>
      </c>
      <c r="H1560" s="1" t="str">
        <f ca="1">IFERROR(__xludf.DUMMYFUNCTION("""COMPUTED_VALUE"""),"comment")</f>
        <v>comment</v>
      </c>
      <c r="I1560" s="2" t="str">
        <f ca="1">IFERROR(__xludf.DUMMYFUNCTION("""COMPUTED_VALUE"""),"https://www.facebook.com/watch/live/?ref=watch_permalink&amp;v=360307549312104")</f>
        <v>https://www.facebook.com/watch/live/?ref=watch_permalink&amp;v=360307549312104</v>
      </c>
      <c r="J1560" s="1" t="str">
        <f ca="1">IFERROR(__xludf.DUMMYFUNCTION("""COMPUTED_VALUE"""),"2022-07-04T15:42:44.436Z")</f>
        <v>2022-07-04T15:42:44.436Z</v>
      </c>
    </row>
    <row r="1561" spans="1:10" x14ac:dyDescent="0.2">
      <c r="A1561" s="2" t="str">
        <f ca="1">IFERROR(__xludf.DUMMYFUNCTION("""COMPUTED_VALUE"""),"https://www.facebook.com/madonna.bagalayfulgar.3")</f>
        <v>https://www.facebook.com/madonna.bagalayfulgar.3</v>
      </c>
      <c r="B1561" s="1" t="str">
        <f ca="1">IFERROR(__xludf.DUMMYFUNCTION("""COMPUTED_VALUE"""),"Madonna Bagalay Fulgar")</f>
        <v>Madonna Bagalay Fulgar</v>
      </c>
      <c r="C1561" s="1" t="str">
        <f ca="1">IFERROR(__xludf.DUMMYFUNCTION("""COMPUTED_VALUE"""),"Madonna")</f>
        <v>Madonna</v>
      </c>
      <c r="D1561" s="1" t="str">
        <f ca="1">IFERROR(__xludf.DUMMYFUNCTION("""COMPUTED_VALUE"""),"Bagalay Fulgar")</f>
        <v>Bagalay Fulgar</v>
      </c>
      <c r="E1561" s="1" t="str">
        <f ca="1">IFERROR(__xludf.DUMMYFUNCTION("""COMPUTED_VALUE"""),"Madonna Bagalay Fulgar")</f>
        <v>Madonna Bagalay Fulgar</v>
      </c>
      <c r="F1561" s="1"/>
      <c r="G1561" s="1" t="str">
        <f ca="1">IFERROR(__xludf.DUMMYFUNCTION("""COMPUTED_VALUE"""),"3 mos")</f>
        <v>3 mos</v>
      </c>
      <c r="H1561" s="1" t="str">
        <f ca="1">IFERROR(__xludf.DUMMYFUNCTION("""COMPUTED_VALUE"""),"comment")</f>
        <v>comment</v>
      </c>
      <c r="I1561" s="2" t="str">
        <f ca="1">IFERROR(__xludf.DUMMYFUNCTION("""COMPUTED_VALUE"""),"https://www.facebook.com/watch/live/?ref=watch_permalink&amp;v=360307549312104")</f>
        <v>https://www.facebook.com/watch/live/?ref=watch_permalink&amp;v=360307549312104</v>
      </c>
      <c r="J1561" s="1" t="str">
        <f ca="1">IFERROR(__xludf.DUMMYFUNCTION("""COMPUTED_VALUE"""),"2022-07-04T15:42:44.436Z")</f>
        <v>2022-07-04T15:42:44.436Z</v>
      </c>
    </row>
    <row r="1562" spans="1:10" x14ac:dyDescent="0.2">
      <c r="A1562" s="2" t="str">
        <f ca="1">IFERROR(__xludf.DUMMYFUNCTION("""COMPUTED_VALUE"""),"https://www.facebook.com/profile.php?id=100070669880767")</f>
        <v>https://www.facebook.com/profile.php?id=100070669880767</v>
      </c>
      <c r="B1562" s="1" t="str">
        <f ca="1">IFERROR(__xludf.DUMMYFUNCTION("""COMPUTED_VALUE"""),"Danilo Punay")</f>
        <v>Danilo Punay</v>
      </c>
      <c r="C1562" s="1" t="str">
        <f ca="1">IFERROR(__xludf.DUMMYFUNCTION("""COMPUTED_VALUE"""),"Danilo")</f>
        <v>Danilo</v>
      </c>
      <c r="D1562" s="1" t="str">
        <f ca="1">IFERROR(__xludf.DUMMYFUNCTION("""COMPUTED_VALUE"""),"Punay")</f>
        <v>Punay</v>
      </c>
      <c r="E1562" s="1" t="str">
        <f ca="1">IFERROR(__xludf.DUMMYFUNCTION("""COMPUTED_VALUE"""),"Danilo Punay")</f>
        <v>Danilo Punay</v>
      </c>
      <c r="F1562" s="1"/>
      <c r="G1562" s="1" t="str">
        <f ca="1">IFERROR(__xludf.DUMMYFUNCTION("""COMPUTED_VALUE"""),"3 mos")</f>
        <v>3 mos</v>
      </c>
      <c r="H1562" s="1" t="str">
        <f ca="1">IFERROR(__xludf.DUMMYFUNCTION("""COMPUTED_VALUE"""),"comment")</f>
        <v>comment</v>
      </c>
      <c r="I1562" s="2" t="str">
        <f ca="1">IFERROR(__xludf.DUMMYFUNCTION("""COMPUTED_VALUE"""),"https://www.facebook.com/watch/live/?ref=watch_permalink&amp;v=360307549312104")</f>
        <v>https://www.facebook.com/watch/live/?ref=watch_permalink&amp;v=360307549312104</v>
      </c>
      <c r="J1562" s="1" t="str">
        <f ca="1">IFERROR(__xludf.DUMMYFUNCTION("""COMPUTED_VALUE"""),"2022-07-04T15:42:44.436Z")</f>
        <v>2022-07-04T15:42:44.436Z</v>
      </c>
    </row>
    <row r="1563" spans="1:10" x14ac:dyDescent="0.2">
      <c r="A1563" s="2" t="str">
        <f ca="1">IFERROR(__xludf.DUMMYFUNCTION("""COMPUTED_VALUE"""),"https://www.facebook.com/madonna.bagalayfulgar.3")</f>
        <v>https://www.facebook.com/madonna.bagalayfulgar.3</v>
      </c>
      <c r="B1563" s="1" t="str">
        <f ca="1">IFERROR(__xludf.DUMMYFUNCTION("""COMPUTED_VALUE"""),"Madonna Bagalay Fulgar")</f>
        <v>Madonna Bagalay Fulgar</v>
      </c>
      <c r="C1563" s="1" t="str">
        <f ca="1">IFERROR(__xludf.DUMMYFUNCTION("""COMPUTED_VALUE"""),"Madonna")</f>
        <v>Madonna</v>
      </c>
      <c r="D1563" s="1" t="str">
        <f ca="1">IFERROR(__xludf.DUMMYFUNCTION("""COMPUTED_VALUE"""),"Bagalay Fulgar")</f>
        <v>Bagalay Fulgar</v>
      </c>
      <c r="E1563" s="1" t="str">
        <f ca="1">IFERROR(__xludf.DUMMYFUNCTION("""COMPUTED_VALUE"""),"Madonna Bagalay Fulgar")</f>
        <v>Madonna Bagalay Fulgar</v>
      </c>
      <c r="F1563" s="1"/>
      <c r="G1563" s="1" t="str">
        <f ca="1">IFERROR(__xludf.DUMMYFUNCTION("""COMPUTED_VALUE"""),"3 mos")</f>
        <v>3 mos</v>
      </c>
      <c r="H1563" s="1" t="str">
        <f ca="1">IFERROR(__xludf.DUMMYFUNCTION("""COMPUTED_VALUE"""),"comment")</f>
        <v>comment</v>
      </c>
      <c r="I1563" s="2" t="str">
        <f ca="1">IFERROR(__xludf.DUMMYFUNCTION("""COMPUTED_VALUE"""),"https://www.facebook.com/watch/live/?ref=watch_permalink&amp;v=360307549312104")</f>
        <v>https://www.facebook.com/watch/live/?ref=watch_permalink&amp;v=360307549312104</v>
      </c>
      <c r="J1563" s="1" t="str">
        <f ca="1">IFERROR(__xludf.DUMMYFUNCTION("""COMPUTED_VALUE"""),"2022-07-04T15:42:44.436Z")</f>
        <v>2022-07-04T15:42:44.436Z</v>
      </c>
    </row>
    <row r="1564" spans="1:10" x14ac:dyDescent="0.2">
      <c r="A1564" s="2" t="str">
        <f ca="1">IFERROR(__xludf.DUMMYFUNCTION("""COMPUTED_VALUE"""),"https://www.facebook.com/madonna.bagalayfulgar.3")</f>
        <v>https://www.facebook.com/madonna.bagalayfulgar.3</v>
      </c>
      <c r="B1564" s="1" t="str">
        <f ca="1">IFERROR(__xludf.DUMMYFUNCTION("""COMPUTED_VALUE"""),"Madonna Bagalay Fulgar")</f>
        <v>Madonna Bagalay Fulgar</v>
      </c>
      <c r="C1564" s="1" t="str">
        <f ca="1">IFERROR(__xludf.DUMMYFUNCTION("""COMPUTED_VALUE"""),"Madonna")</f>
        <v>Madonna</v>
      </c>
      <c r="D1564" s="1" t="str">
        <f ca="1">IFERROR(__xludf.DUMMYFUNCTION("""COMPUTED_VALUE"""),"Bagalay Fulgar")</f>
        <v>Bagalay Fulgar</v>
      </c>
      <c r="E1564" s="1" t="str">
        <f ca="1">IFERROR(__xludf.DUMMYFUNCTION("""COMPUTED_VALUE"""),"Madonna Bagalay Fulgar")</f>
        <v>Madonna Bagalay Fulgar</v>
      </c>
      <c r="F1564" s="1"/>
      <c r="G1564" s="1" t="str">
        <f ca="1">IFERROR(__xludf.DUMMYFUNCTION("""COMPUTED_VALUE"""),"3 mos")</f>
        <v>3 mos</v>
      </c>
      <c r="H1564" s="1" t="str">
        <f ca="1">IFERROR(__xludf.DUMMYFUNCTION("""COMPUTED_VALUE"""),"comment")</f>
        <v>comment</v>
      </c>
      <c r="I1564" s="2" t="str">
        <f ca="1">IFERROR(__xludf.DUMMYFUNCTION("""COMPUTED_VALUE"""),"https://www.facebook.com/watch/live/?ref=watch_permalink&amp;v=360307549312104")</f>
        <v>https://www.facebook.com/watch/live/?ref=watch_permalink&amp;v=360307549312104</v>
      </c>
      <c r="J1564" s="1" t="str">
        <f ca="1">IFERROR(__xludf.DUMMYFUNCTION("""COMPUTED_VALUE"""),"2022-07-04T15:42:44.436Z")</f>
        <v>2022-07-04T15:42:44.436Z</v>
      </c>
    </row>
    <row r="1565" spans="1:10" x14ac:dyDescent="0.2">
      <c r="A1565" s="2" t="str">
        <f ca="1">IFERROR(__xludf.DUMMYFUNCTION("""COMPUTED_VALUE"""),"https://www.facebook.com/madonna.bagalayfulgar.3")</f>
        <v>https://www.facebook.com/madonna.bagalayfulgar.3</v>
      </c>
      <c r="B1565" s="1" t="str">
        <f ca="1">IFERROR(__xludf.DUMMYFUNCTION("""COMPUTED_VALUE"""),"Madonna Bagalay Fulgar")</f>
        <v>Madonna Bagalay Fulgar</v>
      </c>
      <c r="C1565" s="1" t="str">
        <f ca="1">IFERROR(__xludf.DUMMYFUNCTION("""COMPUTED_VALUE"""),"Madonna")</f>
        <v>Madonna</v>
      </c>
      <c r="D1565" s="1" t="str">
        <f ca="1">IFERROR(__xludf.DUMMYFUNCTION("""COMPUTED_VALUE"""),"Bagalay Fulgar")</f>
        <v>Bagalay Fulgar</v>
      </c>
      <c r="E1565" s="1" t="str">
        <f ca="1">IFERROR(__xludf.DUMMYFUNCTION("""COMPUTED_VALUE"""),"Madonna Bagalay Fulgar")</f>
        <v>Madonna Bagalay Fulgar</v>
      </c>
      <c r="F1565" s="1"/>
      <c r="G1565" s="1" t="str">
        <f ca="1">IFERROR(__xludf.DUMMYFUNCTION("""COMPUTED_VALUE"""),"3 mos")</f>
        <v>3 mos</v>
      </c>
      <c r="H1565" s="1" t="str">
        <f ca="1">IFERROR(__xludf.DUMMYFUNCTION("""COMPUTED_VALUE"""),"comment")</f>
        <v>comment</v>
      </c>
      <c r="I1565" s="2" t="str">
        <f ca="1">IFERROR(__xludf.DUMMYFUNCTION("""COMPUTED_VALUE"""),"https://www.facebook.com/watch/live/?ref=watch_permalink&amp;v=360307549312104")</f>
        <v>https://www.facebook.com/watch/live/?ref=watch_permalink&amp;v=360307549312104</v>
      </c>
      <c r="J1565" s="1" t="str">
        <f ca="1">IFERROR(__xludf.DUMMYFUNCTION("""COMPUTED_VALUE"""),"2022-07-04T15:42:44.436Z")</f>
        <v>2022-07-04T15:42:44.436Z</v>
      </c>
    </row>
    <row r="1566" spans="1:10" x14ac:dyDescent="0.2">
      <c r="A1566" s="2" t="str">
        <f ca="1">IFERROR(__xludf.DUMMYFUNCTION("""COMPUTED_VALUE"""),"https://www.facebook.com/madonna.bagalayfulgar.3")</f>
        <v>https://www.facebook.com/madonna.bagalayfulgar.3</v>
      </c>
      <c r="B1566" s="1" t="str">
        <f ca="1">IFERROR(__xludf.DUMMYFUNCTION("""COMPUTED_VALUE"""),"Madonna Bagalay Fulgar")</f>
        <v>Madonna Bagalay Fulgar</v>
      </c>
      <c r="C1566" s="1" t="str">
        <f ca="1">IFERROR(__xludf.DUMMYFUNCTION("""COMPUTED_VALUE"""),"Madonna")</f>
        <v>Madonna</v>
      </c>
      <c r="D1566" s="1" t="str">
        <f ca="1">IFERROR(__xludf.DUMMYFUNCTION("""COMPUTED_VALUE"""),"Bagalay Fulgar")</f>
        <v>Bagalay Fulgar</v>
      </c>
      <c r="E1566" s="1" t="str">
        <f ca="1">IFERROR(__xludf.DUMMYFUNCTION("""COMPUTED_VALUE"""),"Madonna Bagalay Fulgar")</f>
        <v>Madonna Bagalay Fulgar</v>
      </c>
      <c r="F1566" s="1"/>
      <c r="G1566" s="1" t="str">
        <f ca="1">IFERROR(__xludf.DUMMYFUNCTION("""COMPUTED_VALUE"""),"3 mos")</f>
        <v>3 mos</v>
      </c>
      <c r="H1566" s="1" t="str">
        <f ca="1">IFERROR(__xludf.DUMMYFUNCTION("""COMPUTED_VALUE"""),"comment")</f>
        <v>comment</v>
      </c>
      <c r="I1566" s="2" t="str">
        <f ca="1">IFERROR(__xludf.DUMMYFUNCTION("""COMPUTED_VALUE"""),"https://www.facebook.com/watch/live/?ref=watch_permalink&amp;v=360307549312104")</f>
        <v>https://www.facebook.com/watch/live/?ref=watch_permalink&amp;v=360307549312104</v>
      </c>
      <c r="J1566" s="1" t="str">
        <f ca="1">IFERROR(__xludf.DUMMYFUNCTION("""COMPUTED_VALUE"""),"2022-07-04T15:42:44.436Z")</f>
        <v>2022-07-04T15:42:44.436Z</v>
      </c>
    </row>
    <row r="1567" spans="1:10" x14ac:dyDescent="0.2">
      <c r="A1567" s="2" t="str">
        <f ca="1">IFERROR(__xludf.DUMMYFUNCTION("""COMPUTED_VALUE"""),"https://www.facebook.com/madonna.bagalayfulgar.3")</f>
        <v>https://www.facebook.com/madonna.bagalayfulgar.3</v>
      </c>
      <c r="B1567" s="1" t="str">
        <f ca="1">IFERROR(__xludf.DUMMYFUNCTION("""COMPUTED_VALUE"""),"Madonna Bagalay Fulgar")</f>
        <v>Madonna Bagalay Fulgar</v>
      </c>
      <c r="C1567" s="1" t="str">
        <f ca="1">IFERROR(__xludf.DUMMYFUNCTION("""COMPUTED_VALUE"""),"Madonna")</f>
        <v>Madonna</v>
      </c>
      <c r="D1567" s="1" t="str">
        <f ca="1">IFERROR(__xludf.DUMMYFUNCTION("""COMPUTED_VALUE"""),"Bagalay Fulgar")</f>
        <v>Bagalay Fulgar</v>
      </c>
      <c r="E1567" s="1" t="str">
        <f ca="1">IFERROR(__xludf.DUMMYFUNCTION("""COMPUTED_VALUE"""),"Madonna Bagalay Fulgar")</f>
        <v>Madonna Bagalay Fulgar</v>
      </c>
      <c r="F1567" s="1"/>
      <c r="G1567" s="1" t="str">
        <f ca="1">IFERROR(__xludf.DUMMYFUNCTION("""COMPUTED_VALUE"""),"3 mos")</f>
        <v>3 mos</v>
      </c>
      <c r="H1567" s="1" t="str">
        <f ca="1">IFERROR(__xludf.DUMMYFUNCTION("""COMPUTED_VALUE"""),"comment")</f>
        <v>comment</v>
      </c>
      <c r="I1567" s="2" t="str">
        <f ca="1">IFERROR(__xludf.DUMMYFUNCTION("""COMPUTED_VALUE"""),"https://www.facebook.com/watch/live/?ref=watch_permalink&amp;v=360307549312104")</f>
        <v>https://www.facebook.com/watch/live/?ref=watch_permalink&amp;v=360307549312104</v>
      </c>
      <c r="J1567" s="1" t="str">
        <f ca="1">IFERROR(__xludf.DUMMYFUNCTION("""COMPUTED_VALUE"""),"2022-07-04T15:42:44.436Z")</f>
        <v>2022-07-04T15:42:44.436Z</v>
      </c>
    </row>
    <row r="1568" spans="1:10" x14ac:dyDescent="0.2">
      <c r="A1568" s="2" t="str">
        <f ca="1">IFERROR(__xludf.DUMMYFUNCTION("""COMPUTED_VALUE"""),"https://www.facebook.com/madonna.bagalayfulgar.3")</f>
        <v>https://www.facebook.com/madonna.bagalayfulgar.3</v>
      </c>
      <c r="B1568" s="1" t="str">
        <f ca="1">IFERROR(__xludf.DUMMYFUNCTION("""COMPUTED_VALUE"""),"Madonna Bagalay Fulgar")</f>
        <v>Madonna Bagalay Fulgar</v>
      </c>
      <c r="C1568" s="1" t="str">
        <f ca="1">IFERROR(__xludf.DUMMYFUNCTION("""COMPUTED_VALUE"""),"Madonna")</f>
        <v>Madonna</v>
      </c>
      <c r="D1568" s="1" t="str">
        <f ca="1">IFERROR(__xludf.DUMMYFUNCTION("""COMPUTED_VALUE"""),"Bagalay Fulgar")</f>
        <v>Bagalay Fulgar</v>
      </c>
      <c r="E1568" s="1" t="str">
        <f ca="1">IFERROR(__xludf.DUMMYFUNCTION("""COMPUTED_VALUE"""),"Madonna Bagalay Fulgar")</f>
        <v>Madonna Bagalay Fulgar</v>
      </c>
      <c r="F1568" s="1"/>
      <c r="G1568" s="1" t="str">
        <f ca="1">IFERROR(__xludf.DUMMYFUNCTION("""COMPUTED_VALUE"""),"3 mos")</f>
        <v>3 mos</v>
      </c>
      <c r="H1568" s="1" t="str">
        <f ca="1">IFERROR(__xludf.DUMMYFUNCTION("""COMPUTED_VALUE"""),"comment")</f>
        <v>comment</v>
      </c>
      <c r="I1568" s="2" t="str">
        <f ca="1">IFERROR(__xludf.DUMMYFUNCTION("""COMPUTED_VALUE"""),"https://www.facebook.com/watch/live/?ref=watch_permalink&amp;v=360307549312104")</f>
        <v>https://www.facebook.com/watch/live/?ref=watch_permalink&amp;v=360307549312104</v>
      </c>
      <c r="J1568" s="1" t="str">
        <f ca="1">IFERROR(__xludf.DUMMYFUNCTION("""COMPUTED_VALUE"""),"2022-07-04T15:42:44.436Z")</f>
        <v>2022-07-04T15:42:44.436Z</v>
      </c>
    </row>
    <row r="1569" spans="1:10" x14ac:dyDescent="0.2">
      <c r="A1569" s="2" t="str">
        <f ca="1">IFERROR(__xludf.DUMMYFUNCTION("""COMPUTED_VALUE"""),"https://www.facebook.com/madonna.bagalayfulgar.3")</f>
        <v>https://www.facebook.com/madonna.bagalayfulgar.3</v>
      </c>
      <c r="B1569" s="1" t="str">
        <f ca="1">IFERROR(__xludf.DUMMYFUNCTION("""COMPUTED_VALUE"""),"Madonna Bagalay Fulgar")</f>
        <v>Madonna Bagalay Fulgar</v>
      </c>
      <c r="C1569" s="1" t="str">
        <f ca="1">IFERROR(__xludf.DUMMYFUNCTION("""COMPUTED_VALUE"""),"Madonna")</f>
        <v>Madonna</v>
      </c>
      <c r="D1569" s="1" t="str">
        <f ca="1">IFERROR(__xludf.DUMMYFUNCTION("""COMPUTED_VALUE"""),"Bagalay Fulgar")</f>
        <v>Bagalay Fulgar</v>
      </c>
      <c r="E1569" s="1" t="str">
        <f ca="1">IFERROR(__xludf.DUMMYFUNCTION("""COMPUTED_VALUE"""),"Madonna Bagalay Fulgar")</f>
        <v>Madonna Bagalay Fulgar</v>
      </c>
      <c r="F1569" s="1"/>
      <c r="G1569" s="1" t="str">
        <f ca="1">IFERROR(__xludf.DUMMYFUNCTION("""COMPUTED_VALUE"""),"3 mos")</f>
        <v>3 mos</v>
      </c>
      <c r="H1569" s="1" t="str">
        <f ca="1">IFERROR(__xludf.DUMMYFUNCTION("""COMPUTED_VALUE"""),"comment")</f>
        <v>comment</v>
      </c>
      <c r="I1569" s="2" t="str">
        <f ca="1">IFERROR(__xludf.DUMMYFUNCTION("""COMPUTED_VALUE"""),"https://www.facebook.com/watch/live/?ref=watch_permalink&amp;v=360307549312104")</f>
        <v>https://www.facebook.com/watch/live/?ref=watch_permalink&amp;v=360307549312104</v>
      </c>
      <c r="J1569" s="1" t="str">
        <f ca="1">IFERROR(__xludf.DUMMYFUNCTION("""COMPUTED_VALUE"""),"2022-07-04T15:42:44.436Z")</f>
        <v>2022-07-04T15:42:44.436Z</v>
      </c>
    </row>
    <row r="1570" spans="1:10" x14ac:dyDescent="0.2">
      <c r="A1570" s="2" t="str">
        <f ca="1">IFERROR(__xludf.DUMMYFUNCTION("""COMPUTED_VALUE"""),"https://www.facebook.com/madonna.bagalayfulgar.3")</f>
        <v>https://www.facebook.com/madonna.bagalayfulgar.3</v>
      </c>
      <c r="B1570" s="1" t="str">
        <f ca="1">IFERROR(__xludf.DUMMYFUNCTION("""COMPUTED_VALUE"""),"Madonna Bagalay Fulgar")</f>
        <v>Madonna Bagalay Fulgar</v>
      </c>
      <c r="C1570" s="1" t="str">
        <f ca="1">IFERROR(__xludf.DUMMYFUNCTION("""COMPUTED_VALUE"""),"Madonna")</f>
        <v>Madonna</v>
      </c>
      <c r="D1570" s="1" t="str">
        <f ca="1">IFERROR(__xludf.DUMMYFUNCTION("""COMPUTED_VALUE"""),"Bagalay Fulgar")</f>
        <v>Bagalay Fulgar</v>
      </c>
      <c r="E1570" s="1" t="str">
        <f ca="1">IFERROR(__xludf.DUMMYFUNCTION("""COMPUTED_VALUE"""),"Madonna Bagalay Fulgar")</f>
        <v>Madonna Bagalay Fulgar</v>
      </c>
      <c r="F1570" s="1"/>
      <c r="G1570" s="1" t="str">
        <f ca="1">IFERROR(__xludf.DUMMYFUNCTION("""COMPUTED_VALUE"""),"3 mos")</f>
        <v>3 mos</v>
      </c>
      <c r="H1570" s="1" t="str">
        <f ca="1">IFERROR(__xludf.DUMMYFUNCTION("""COMPUTED_VALUE"""),"comment")</f>
        <v>comment</v>
      </c>
      <c r="I1570" s="2" t="str">
        <f ca="1">IFERROR(__xludf.DUMMYFUNCTION("""COMPUTED_VALUE"""),"https://www.facebook.com/watch/live/?ref=watch_permalink&amp;v=360307549312104")</f>
        <v>https://www.facebook.com/watch/live/?ref=watch_permalink&amp;v=360307549312104</v>
      </c>
      <c r="J1570" s="1" t="str">
        <f ca="1">IFERROR(__xludf.DUMMYFUNCTION("""COMPUTED_VALUE"""),"2022-07-04T15:42:44.436Z")</f>
        <v>2022-07-04T15:42:44.436Z</v>
      </c>
    </row>
    <row r="1571" spans="1:10" x14ac:dyDescent="0.2">
      <c r="A1571" s="2" t="str">
        <f ca="1">IFERROR(__xludf.DUMMYFUNCTION("""COMPUTED_VALUE"""),"https://www.facebook.com/hannah.2793")</f>
        <v>https://www.facebook.com/hannah.2793</v>
      </c>
      <c r="B1571" s="1" t="str">
        <f ca="1">IFERROR(__xludf.DUMMYFUNCTION("""COMPUTED_VALUE"""),"Hannah Patricia Alcancia")</f>
        <v>Hannah Patricia Alcancia</v>
      </c>
      <c r="C1571" s="1" t="str">
        <f ca="1">IFERROR(__xludf.DUMMYFUNCTION("""COMPUTED_VALUE"""),"Hannah")</f>
        <v>Hannah</v>
      </c>
      <c r="D1571" s="1" t="str">
        <f ca="1">IFERROR(__xludf.DUMMYFUNCTION("""COMPUTED_VALUE"""),"Patricia Alcancia")</f>
        <v>Patricia Alcancia</v>
      </c>
      <c r="E1571" s="1" t="str">
        <f ca="1">IFERROR(__xludf.DUMMYFUNCTION("""COMPUTED_VALUE"""),"Hannah Patricia Alcancia")</f>
        <v>Hannah Patricia Alcancia</v>
      </c>
      <c r="F1571" s="1"/>
      <c r="G1571" s="1" t="str">
        <f ca="1">IFERROR(__xludf.DUMMYFUNCTION("""COMPUTED_VALUE"""),"3 mos")</f>
        <v>3 mos</v>
      </c>
      <c r="H1571" s="1" t="str">
        <f ca="1">IFERROR(__xludf.DUMMYFUNCTION("""COMPUTED_VALUE"""),"comment")</f>
        <v>comment</v>
      </c>
      <c r="I1571" s="2" t="str">
        <f ca="1">IFERROR(__xludf.DUMMYFUNCTION("""COMPUTED_VALUE"""),"https://www.facebook.com/watch/live/?ref=watch_permalink&amp;v=360307549312104")</f>
        <v>https://www.facebook.com/watch/live/?ref=watch_permalink&amp;v=360307549312104</v>
      </c>
      <c r="J1571" s="1" t="str">
        <f ca="1">IFERROR(__xludf.DUMMYFUNCTION("""COMPUTED_VALUE"""),"2022-07-04T15:42:44.436Z")</f>
        <v>2022-07-04T15:42:44.436Z</v>
      </c>
    </row>
    <row r="1572" spans="1:10" x14ac:dyDescent="0.2">
      <c r="A1572" s="2" t="str">
        <f ca="1">IFERROR(__xludf.DUMMYFUNCTION("""COMPUTED_VALUE"""),"https://www.facebook.com/clifordjay.infante")</f>
        <v>https://www.facebook.com/clifordjay.infante</v>
      </c>
      <c r="B1572" s="1" t="str">
        <f ca="1">IFERROR(__xludf.DUMMYFUNCTION("""COMPUTED_VALUE"""),"Clifford Jay Allam Infante")</f>
        <v>Clifford Jay Allam Infante</v>
      </c>
      <c r="C1572" s="1" t="str">
        <f ca="1">IFERROR(__xludf.DUMMYFUNCTION("""COMPUTED_VALUE"""),"Clifford")</f>
        <v>Clifford</v>
      </c>
      <c r="D1572" s="1" t="str">
        <f ca="1">IFERROR(__xludf.DUMMYFUNCTION("""COMPUTED_VALUE"""),"Jay Allam Infante")</f>
        <v>Jay Allam Infante</v>
      </c>
      <c r="E1572" s="1" t="str">
        <f ca="1">IFERROR(__xludf.DUMMYFUNCTION("""COMPUTED_VALUE"""),"#BBMSARAtandem2022")</f>
        <v>#BBMSARAtandem2022</v>
      </c>
      <c r="F1572" s="1"/>
      <c r="G1572" s="1" t="str">
        <f ca="1">IFERROR(__xludf.DUMMYFUNCTION("""COMPUTED_VALUE"""),"3 mos")</f>
        <v>3 mos</v>
      </c>
      <c r="H1572" s="1" t="str">
        <f ca="1">IFERROR(__xludf.DUMMYFUNCTION("""COMPUTED_VALUE"""),"comment")</f>
        <v>comment</v>
      </c>
      <c r="I1572" s="2" t="str">
        <f ca="1">IFERROR(__xludf.DUMMYFUNCTION("""COMPUTED_VALUE"""),"https://www.facebook.com/watch/live/?ref=watch_permalink&amp;v=360307549312104")</f>
        <v>https://www.facebook.com/watch/live/?ref=watch_permalink&amp;v=360307549312104</v>
      </c>
      <c r="J1572" s="1" t="str">
        <f ca="1">IFERROR(__xludf.DUMMYFUNCTION("""COMPUTED_VALUE"""),"2022-07-04T15:42:44.436Z")</f>
        <v>2022-07-04T15:42:44.436Z</v>
      </c>
    </row>
    <row r="1573" spans="1:10" x14ac:dyDescent="0.2">
      <c r="A1573" s="2" t="str">
        <f ca="1">IFERROR(__xludf.DUMMYFUNCTION("""COMPUTED_VALUE"""),"https://www.facebook.com/ae.aebcd.71")</f>
        <v>https://www.facebook.com/ae.aebcd.71</v>
      </c>
      <c r="B1573" s="1" t="str">
        <f ca="1">IFERROR(__xludf.DUMMYFUNCTION("""COMPUTED_VALUE"""),"Vanna")</f>
        <v>Vanna</v>
      </c>
      <c r="C1573" s="1" t="str">
        <f ca="1">IFERROR(__xludf.DUMMYFUNCTION("""COMPUTED_VALUE"""),"Vanna")</f>
        <v>Vanna</v>
      </c>
      <c r="D1573" s="1"/>
      <c r="E1573" s="1" t="str">
        <f ca="1">IFERROR(__xludf.DUMMYFUNCTION("""COMPUTED_VALUE"""),"#LeniKikoAllTheWay")</f>
        <v>#LeniKikoAllTheWay</v>
      </c>
      <c r="F1573" s="1"/>
      <c r="G1573" s="1" t="str">
        <f ca="1">IFERROR(__xludf.DUMMYFUNCTION("""COMPUTED_VALUE"""),"3 mos")</f>
        <v>3 mos</v>
      </c>
      <c r="H1573" s="1" t="str">
        <f ca="1">IFERROR(__xludf.DUMMYFUNCTION("""COMPUTED_VALUE"""),"comment")</f>
        <v>comment</v>
      </c>
      <c r="I1573" s="2" t="str">
        <f ca="1">IFERROR(__xludf.DUMMYFUNCTION("""COMPUTED_VALUE"""),"https://www.facebook.com/watch/live/?ref=watch_permalink&amp;v=360307549312104")</f>
        <v>https://www.facebook.com/watch/live/?ref=watch_permalink&amp;v=360307549312104</v>
      </c>
      <c r="J1573" s="1" t="str">
        <f ca="1">IFERROR(__xludf.DUMMYFUNCTION("""COMPUTED_VALUE"""),"2022-07-04T15:42:44.436Z")</f>
        <v>2022-07-04T15:42:44.436Z</v>
      </c>
    </row>
    <row r="1574" spans="1:10" x14ac:dyDescent="0.2">
      <c r="A1574" s="2" t="str">
        <f ca="1">IFERROR(__xludf.DUMMYFUNCTION("""COMPUTED_VALUE"""),"https://www.facebook.com/gin.elle.100")</f>
        <v>https://www.facebook.com/gin.elle.100</v>
      </c>
      <c r="B1574" s="1" t="str">
        <f ca="1">IFERROR(__xludf.DUMMYFUNCTION("""COMPUTED_VALUE"""),"Gin Elle")</f>
        <v>Gin Elle</v>
      </c>
      <c r="C1574" s="1" t="str">
        <f ca="1">IFERROR(__xludf.DUMMYFUNCTION("""COMPUTED_VALUE"""),"Gin")</f>
        <v>Gin</v>
      </c>
      <c r="D1574" s="1" t="str">
        <f ca="1">IFERROR(__xludf.DUMMYFUNCTION("""COMPUTED_VALUE"""),"Elle")</f>
        <v>Elle</v>
      </c>
      <c r="E1574" s="1" t="str">
        <f ca="1">IFERROR(__xludf.DUMMYFUNCTION("""COMPUTED_VALUE"""),"Gin Elle")</f>
        <v>Gin Elle</v>
      </c>
      <c r="F1574" s="1"/>
      <c r="G1574" s="1" t="str">
        <f ca="1">IFERROR(__xludf.DUMMYFUNCTION("""COMPUTED_VALUE"""),"3 mos")</f>
        <v>3 mos</v>
      </c>
      <c r="H1574" s="1" t="str">
        <f ca="1">IFERROR(__xludf.DUMMYFUNCTION("""COMPUTED_VALUE"""),"comment")</f>
        <v>comment</v>
      </c>
      <c r="I1574" s="2" t="str">
        <f ca="1">IFERROR(__xludf.DUMMYFUNCTION("""COMPUTED_VALUE"""),"https://www.facebook.com/watch/live/?ref=watch_permalink&amp;v=360307549312104")</f>
        <v>https://www.facebook.com/watch/live/?ref=watch_permalink&amp;v=360307549312104</v>
      </c>
      <c r="J1574" s="1" t="str">
        <f ca="1">IFERROR(__xludf.DUMMYFUNCTION("""COMPUTED_VALUE"""),"2022-07-04T15:42:44.436Z")</f>
        <v>2022-07-04T15:42:44.436Z</v>
      </c>
    </row>
    <row r="1575" spans="1:10" x14ac:dyDescent="0.2">
      <c r="A1575" s="2" t="str">
        <f ca="1">IFERROR(__xludf.DUMMYFUNCTION("""COMPUTED_VALUE"""),"https://www.facebook.com/elanie.berou.3")</f>
        <v>https://www.facebook.com/elanie.berou.3</v>
      </c>
      <c r="B1575" s="1" t="str">
        <f ca="1">IFERROR(__xludf.DUMMYFUNCTION("""COMPUTED_VALUE"""),"Elanie Abonales Berou")</f>
        <v>Elanie Abonales Berou</v>
      </c>
      <c r="C1575" s="1" t="str">
        <f ca="1">IFERROR(__xludf.DUMMYFUNCTION("""COMPUTED_VALUE"""),"Elanie")</f>
        <v>Elanie</v>
      </c>
      <c r="D1575" s="1" t="str">
        <f ca="1">IFERROR(__xludf.DUMMYFUNCTION("""COMPUTED_VALUE"""),"Abonales Berou")</f>
        <v>Abonales Berou</v>
      </c>
      <c r="E1575" s="1" t="str">
        <f ca="1">IFERROR(__xludf.DUMMYFUNCTION("""COMPUTED_VALUE"""),"Elanie Abonales Berou")</f>
        <v>Elanie Abonales Berou</v>
      </c>
      <c r="F1575" s="1"/>
      <c r="G1575" s="1" t="str">
        <f ca="1">IFERROR(__xludf.DUMMYFUNCTION("""COMPUTED_VALUE"""),"3 mos")</f>
        <v>3 mos</v>
      </c>
      <c r="H1575" s="1" t="str">
        <f ca="1">IFERROR(__xludf.DUMMYFUNCTION("""COMPUTED_VALUE"""),"comment")</f>
        <v>comment</v>
      </c>
      <c r="I1575" s="2" t="str">
        <f ca="1">IFERROR(__xludf.DUMMYFUNCTION("""COMPUTED_VALUE"""),"https://www.facebook.com/watch/live/?ref=watch_permalink&amp;v=360307549312104")</f>
        <v>https://www.facebook.com/watch/live/?ref=watch_permalink&amp;v=360307549312104</v>
      </c>
      <c r="J1575" s="1" t="str">
        <f ca="1">IFERROR(__xludf.DUMMYFUNCTION("""COMPUTED_VALUE"""),"2022-07-04T15:42:44.436Z")</f>
        <v>2022-07-04T15:42:44.436Z</v>
      </c>
    </row>
    <row r="1576" spans="1:10" x14ac:dyDescent="0.2">
      <c r="A1576" s="2" t="str">
        <f ca="1">IFERROR(__xludf.DUMMYFUNCTION("""COMPUTED_VALUE"""),"https://www.facebook.com/jingjing.abellana")</f>
        <v>https://www.facebook.com/jingjing.abellana</v>
      </c>
      <c r="B1576" s="1" t="str">
        <f ca="1">IFERROR(__xludf.DUMMYFUNCTION("""COMPUTED_VALUE"""),"JingJing Abellana")</f>
        <v>JingJing Abellana</v>
      </c>
      <c r="C1576" s="1" t="str">
        <f ca="1">IFERROR(__xludf.DUMMYFUNCTION("""COMPUTED_VALUE"""),"JingJing")</f>
        <v>JingJing</v>
      </c>
      <c r="D1576" s="1" t="str">
        <f ca="1">IFERROR(__xludf.DUMMYFUNCTION("""COMPUTED_VALUE"""),"Abellana")</f>
        <v>Abellana</v>
      </c>
      <c r="E1576" s="1" t="str">
        <f ca="1">IFERROR(__xludf.DUMMYFUNCTION("""COMPUTED_VALUE"""),"#LeniKikoAllTheWay")</f>
        <v>#LeniKikoAllTheWay</v>
      </c>
      <c r="F1576" s="1"/>
      <c r="G1576" s="1" t="str">
        <f ca="1">IFERROR(__xludf.DUMMYFUNCTION("""COMPUTED_VALUE"""),"3 mos")</f>
        <v>3 mos</v>
      </c>
      <c r="H1576" s="1" t="str">
        <f ca="1">IFERROR(__xludf.DUMMYFUNCTION("""COMPUTED_VALUE"""),"comment")</f>
        <v>comment</v>
      </c>
      <c r="I1576" s="2" t="str">
        <f ca="1">IFERROR(__xludf.DUMMYFUNCTION("""COMPUTED_VALUE"""),"https://www.facebook.com/watch/live/?ref=watch_permalink&amp;v=360307549312104")</f>
        <v>https://www.facebook.com/watch/live/?ref=watch_permalink&amp;v=360307549312104</v>
      </c>
      <c r="J1576" s="1" t="str">
        <f ca="1">IFERROR(__xludf.DUMMYFUNCTION("""COMPUTED_VALUE"""),"2022-07-04T15:42:44.436Z")</f>
        <v>2022-07-04T15:42:44.436Z</v>
      </c>
    </row>
    <row r="1577" spans="1:10" x14ac:dyDescent="0.2">
      <c r="A1577" s="2" t="str">
        <f ca="1">IFERROR(__xludf.DUMMYFUNCTION("""COMPUTED_VALUE"""),"https://www.facebook.com/gin.elle.100")</f>
        <v>https://www.facebook.com/gin.elle.100</v>
      </c>
      <c r="B1577" s="1" t="str">
        <f ca="1">IFERROR(__xludf.DUMMYFUNCTION("""COMPUTED_VALUE"""),"Gin Elle")</f>
        <v>Gin Elle</v>
      </c>
      <c r="C1577" s="1" t="str">
        <f ca="1">IFERROR(__xludf.DUMMYFUNCTION("""COMPUTED_VALUE"""),"Gin")</f>
        <v>Gin</v>
      </c>
      <c r="D1577" s="1" t="str">
        <f ca="1">IFERROR(__xludf.DUMMYFUNCTION("""COMPUTED_VALUE"""),"Elle")</f>
        <v>Elle</v>
      </c>
      <c r="E1577" s="1" t="str">
        <f ca="1">IFERROR(__xludf.DUMMYFUNCTION("""COMPUTED_VALUE"""),"Gin Elle")</f>
        <v>Gin Elle</v>
      </c>
      <c r="F1577" s="1"/>
      <c r="G1577" s="1" t="str">
        <f ca="1">IFERROR(__xludf.DUMMYFUNCTION("""COMPUTED_VALUE"""),"3 mos")</f>
        <v>3 mos</v>
      </c>
      <c r="H1577" s="1" t="str">
        <f ca="1">IFERROR(__xludf.DUMMYFUNCTION("""COMPUTED_VALUE"""),"comment")</f>
        <v>comment</v>
      </c>
      <c r="I1577" s="2" t="str">
        <f ca="1">IFERROR(__xludf.DUMMYFUNCTION("""COMPUTED_VALUE"""),"https://www.facebook.com/watch/live/?ref=watch_permalink&amp;v=360307549312104")</f>
        <v>https://www.facebook.com/watch/live/?ref=watch_permalink&amp;v=360307549312104</v>
      </c>
      <c r="J1577" s="1" t="str">
        <f ca="1">IFERROR(__xludf.DUMMYFUNCTION("""COMPUTED_VALUE"""),"2022-07-04T15:42:44.436Z")</f>
        <v>2022-07-04T15:42:44.436Z</v>
      </c>
    </row>
    <row r="1578" spans="1:10" x14ac:dyDescent="0.2">
      <c r="A1578" s="2" t="str">
        <f ca="1">IFERROR(__xludf.DUMMYFUNCTION("""COMPUTED_VALUE"""),"https://www.facebook.com/lito.ramos.14")</f>
        <v>https://www.facebook.com/lito.ramos.14</v>
      </c>
      <c r="B1578" s="1" t="str">
        <f ca="1">IFERROR(__xludf.DUMMYFUNCTION("""COMPUTED_VALUE"""),"Lito G Ramos")</f>
        <v>Lito G Ramos</v>
      </c>
      <c r="C1578" s="1" t="str">
        <f ca="1">IFERROR(__xludf.DUMMYFUNCTION("""COMPUTED_VALUE"""),"Lito")</f>
        <v>Lito</v>
      </c>
      <c r="D1578" s="1" t="str">
        <f ca="1">IFERROR(__xludf.DUMMYFUNCTION("""COMPUTED_VALUE"""),"G Ramos")</f>
        <v>G Ramos</v>
      </c>
      <c r="E1578" s="1" t="str">
        <f ca="1">IFERROR(__xludf.DUMMYFUNCTION("""COMPUTED_VALUE"""),"She is on her way up to presidency. God will make our country great again.")</f>
        <v>She is on her way up to presidency. God will make our country great again.</v>
      </c>
      <c r="F1578" s="1">
        <f ca="1">IFERROR(__xludf.DUMMYFUNCTION("""COMPUTED_VALUE"""),136)</f>
        <v>136</v>
      </c>
      <c r="G1578" s="1" t="str">
        <f ca="1">IFERROR(__xludf.DUMMYFUNCTION("""COMPUTED_VALUE"""),"3 mos")</f>
        <v>3 mos</v>
      </c>
      <c r="H1578" s="1" t="str">
        <f ca="1">IFERROR(__xludf.DUMMYFUNCTION("""COMPUTED_VALUE"""),"comment")</f>
        <v>comment</v>
      </c>
      <c r="I1578" s="2" t="str">
        <f ca="1">IFERROR(__xludf.DUMMYFUNCTION("""COMPUTED_VALUE"""),"https://www.facebook.com/watch/live/?ref=watch_permalink&amp;v=332681445500650")</f>
        <v>https://www.facebook.com/watch/live/?ref=watch_permalink&amp;v=332681445500650</v>
      </c>
      <c r="J1578" s="1" t="str">
        <f ca="1">IFERROR(__xludf.DUMMYFUNCTION("""COMPUTED_VALUE"""),"2022-07-04T15:43:23.768Z")</f>
        <v>2022-07-04T15:43:23.768Z</v>
      </c>
    </row>
    <row r="1579" spans="1:10" x14ac:dyDescent="0.2">
      <c r="A1579" s="2" t="str">
        <f ca="1">IFERROR(__xludf.DUMMYFUNCTION("""COMPUTED_VALUE"""),"https://www.facebook.com/janicetsotto")</f>
        <v>https://www.facebook.com/janicetsotto</v>
      </c>
      <c r="B1579" s="1" t="str">
        <f ca="1">IFERROR(__xludf.DUMMYFUNCTION("""COMPUTED_VALUE"""),"Janice Sotto")</f>
        <v>Janice Sotto</v>
      </c>
      <c r="C1579" s="1" t="str">
        <f ca="1">IFERROR(__xludf.DUMMYFUNCTION("""COMPUTED_VALUE"""),"Janice")</f>
        <v>Janice</v>
      </c>
      <c r="D1579" s="1" t="str">
        <f ca="1">IFERROR(__xludf.DUMMYFUNCTION("""COMPUTED_VALUE"""),"Sotto")</f>
        <v>Sotto</v>
      </c>
      <c r="E1579" s="1" t="str">
        <f ca="1">IFERROR(__xludf.DUMMYFUNCTION("""COMPUTED_VALUE"""),"Lito G Ramos yes!!!")</f>
        <v>Lito G Ramos yes!!!</v>
      </c>
      <c r="F1579" s="1">
        <f ca="1">IFERROR(__xludf.DUMMYFUNCTION("""COMPUTED_VALUE"""),2)</f>
        <v>2</v>
      </c>
      <c r="G1579" s="1" t="str">
        <f ca="1">IFERROR(__xludf.DUMMYFUNCTION("""COMPUTED_VALUE"""),"3 mos")</f>
        <v>3 mos</v>
      </c>
      <c r="H1579" s="1" t="str">
        <f ca="1">IFERROR(__xludf.DUMMYFUNCTION("""COMPUTED_VALUE"""),"reply")</f>
        <v>reply</v>
      </c>
      <c r="I1579" s="2" t="str">
        <f ca="1">IFERROR(__xludf.DUMMYFUNCTION("""COMPUTED_VALUE"""),"https://www.facebook.com/watch/live/?ref=watch_permalink&amp;v=332681445500650")</f>
        <v>https://www.facebook.com/watch/live/?ref=watch_permalink&amp;v=332681445500650</v>
      </c>
      <c r="J1579" s="1" t="str">
        <f ca="1">IFERROR(__xludf.DUMMYFUNCTION("""COMPUTED_VALUE"""),"2022-07-04T15:43:23.768Z")</f>
        <v>2022-07-04T15:43:23.768Z</v>
      </c>
    </row>
    <row r="1580" spans="1:10" x14ac:dyDescent="0.2">
      <c r="A1580" s="2" t="str">
        <f ca="1">IFERROR(__xludf.DUMMYFUNCTION("""COMPUTED_VALUE"""),"https://www.facebook.com/profile.php?id=100008524260472")</f>
        <v>https://www.facebook.com/profile.php?id=100008524260472</v>
      </c>
      <c r="B1580" s="1" t="str">
        <f ca="1">IFERROR(__xludf.DUMMYFUNCTION("""COMPUTED_VALUE"""),"Jesus Vicente")</f>
        <v>Jesus Vicente</v>
      </c>
      <c r="C1580" s="1" t="str">
        <f ca="1">IFERROR(__xludf.DUMMYFUNCTION("""COMPUTED_VALUE"""),"Jesus")</f>
        <v>Jesus</v>
      </c>
      <c r="D1580" s="1" t="str">
        <f ca="1">IFERROR(__xludf.DUMMYFUNCTION("""COMPUTED_VALUE"""),"Vicente")</f>
        <v>Vicente</v>
      </c>
      <c r="E1580" s="1" t="str">
        <f ca="1">IFERROR(__xludf.DUMMYFUNCTION("""COMPUTED_VALUE"""),"🙏🙏🙏")</f>
        <v>🙏🙏🙏</v>
      </c>
      <c r="F1580" s="1">
        <f ca="1">IFERROR(__xludf.DUMMYFUNCTION("""COMPUTED_VALUE"""),1)</f>
        <v>1</v>
      </c>
      <c r="G1580" s="1" t="str">
        <f ca="1">IFERROR(__xludf.DUMMYFUNCTION("""COMPUTED_VALUE"""),"3 mos")</f>
        <v>3 mos</v>
      </c>
      <c r="H1580" s="1" t="str">
        <f ca="1">IFERROR(__xludf.DUMMYFUNCTION("""COMPUTED_VALUE"""),"reply")</f>
        <v>reply</v>
      </c>
      <c r="I1580" s="2" t="str">
        <f ca="1">IFERROR(__xludf.DUMMYFUNCTION("""COMPUTED_VALUE"""),"https://www.facebook.com/watch/live/?ref=watch_permalink&amp;v=332681445500650")</f>
        <v>https://www.facebook.com/watch/live/?ref=watch_permalink&amp;v=332681445500650</v>
      </c>
      <c r="J1580" s="1" t="str">
        <f ca="1">IFERROR(__xludf.DUMMYFUNCTION("""COMPUTED_VALUE"""),"2022-07-04T15:43:23.768Z")</f>
        <v>2022-07-04T15:43:23.768Z</v>
      </c>
    </row>
    <row r="1581" spans="1:10" x14ac:dyDescent="0.2">
      <c r="A1581" s="2" t="str">
        <f ca="1">IFERROR(__xludf.DUMMYFUNCTION("""COMPUTED_VALUE"""),"https://www.facebook.com/anabell.macalisang")</f>
        <v>https://www.facebook.com/anabell.macalisang</v>
      </c>
      <c r="B1581" s="1" t="str">
        <f ca="1">IFERROR(__xludf.DUMMYFUNCTION("""COMPUTED_VALUE"""),"Anabell Macalisang")</f>
        <v>Anabell Macalisang</v>
      </c>
      <c r="C1581" s="1" t="str">
        <f ca="1">IFERROR(__xludf.DUMMYFUNCTION("""COMPUTED_VALUE"""),"Anabell")</f>
        <v>Anabell</v>
      </c>
      <c r="D1581" s="1" t="str">
        <f ca="1">IFERROR(__xludf.DUMMYFUNCTION("""COMPUTED_VALUE"""),"Macalisang")</f>
        <v>Macalisang</v>
      </c>
      <c r="E1581" s="1" t="str">
        <f ca="1">IFERROR(__xludf.DUMMYFUNCTION("""COMPUTED_VALUE"""),"GLORY TO GOD!!!!")</f>
        <v>GLORY TO GOD!!!!</v>
      </c>
      <c r="F1581" s="1">
        <f ca="1">IFERROR(__xludf.DUMMYFUNCTION("""COMPUTED_VALUE"""),1)</f>
        <v>1</v>
      </c>
      <c r="G1581" s="1" t="str">
        <f ca="1">IFERROR(__xludf.DUMMYFUNCTION("""COMPUTED_VALUE"""),"3 mos")</f>
        <v>3 mos</v>
      </c>
      <c r="H1581" s="1" t="str">
        <f ca="1">IFERROR(__xludf.DUMMYFUNCTION("""COMPUTED_VALUE"""),"reply")</f>
        <v>reply</v>
      </c>
      <c r="I1581" s="2" t="str">
        <f ca="1">IFERROR(__xludf.DUMMYFUNCTION("""COMPUTED_VALUE"""),"https://www.facebook.com/watch/live/?ref=watch_permalink&amp;v=332681445500650")</f>
        <v>https://www.facebook.com/watch/live/?ref=watch_permalink&amp;v=332681445500650</v>
      </c>
      <c r="J1581" s="1" t="str">
        <f ca="1">IFERROR(__xludf.DUMMYFUNCTION("""COMPUTED_VALUE"""),"2022-07-04T15:43:23.768Z")</f>
        <v>2022-07-04T15:43:23.768Z</v>
      </c>
    </row>
    <row r="1582" spans="1:10" x14ac:dyDescent="0.2">
      <c r="A1582" s="2" t="str">
        <f ca="1">IFERROR(__xludf.DUMMYFUNCTION("""COMPUTED_VALUE"""),"https://www.facebook.com/profile.php?id=100011366202531")</f>
        <v>https://www.facebook.com/profile.php?id=100011366202531</v>
      </c>
      <c r="B1582" s="1" t="str">
        <f ca="1">IFERROR(__xludf.DUMMYFUNCTION("""COMPUTED_VALUE"""),"Francis Abel")</f>
        <v>Francis Abel</v>
      </c>
      <c r="C1582" s="1" t="str">
        <f ca="1">IFERROR(__xludf.DUMMYFUNCTION("""COMPUTED_VALUE"""),"Francis")</f>
        <v>Francis</v>
      </c>
      <c r="D1582" s="1" t="str">
        <f ca="1">IFERROR(__xludf.DUMMYFUNCTION("""COMPUTED_VALUE"""),"Abel")</f>
        <v>Abel</v>
      </c>
      <c r="E1582" s="1" t="str">
        <f ca="1">IFERROR(__xludf.DUMMYFUNCTION("""COMPUTED_VALUE"""),"She doesn't believe in Cancel Culture because everyone is important to her regardless of ones belief. She's a real public servant.")</f>
        <v>She doesn't believe in Cancel Culture because everyone is important to her regardless of ones belief. She's a real public servant.</v>
      </c>
      <c r="F1582" s="1">
        <f ca="1">IFERROR(__xludf.DUMMYFUNCTION("""COMPUTED_VALUE"""),111)</f>
        <v>111</v>
      </c>
      <c r="G1582" s="1" t="str">
        <f ca="1">IFERROR(__xludf.DUMMYFUNCTION("""COMPUTED_VALUE"""),"3 mos")</f>
        <v>3 mos</v>
      </c>
      <c r="H1582" s="1" t="str">
        <f ca="1">IFERROR(__xludf.DUMMYFUNCTION("""COMPUTED_VALUE"""),"comment")</f>
        <v>comment</v>
      </c>
      <c r="I1582" s="2" t="str">
        <f ca="1">IFERROR(__xludf.DUMMYFUNCTION("""COMPUTED_VALUE"""),"https://www.facebook.com/watch/live/?ref=watch_permalink&amp;v=332681445500650")</f>
        <v>https://www.facebook.com/watch/live/?ref=watch_permalink&amp;v=332681445500650</v>
      </c>
      <c r="J1582" s="1" t="str">
        <f ca="1">IFERROR(__xludf.DUMMYFUNCTION("""COMPUTED_VALUE"""),"2022-07-04T15:43:23.768Z")</f>
        <v>2022-07-04T15:43:23.768Z</v>
      </c>
    </row>
    <row r="1583" spans="1:10" x14ac:dyDescent="0.2">
      <c r="A1583" s="2" t="str">
        <f ca="1">IFERROR(__xludf.DUMMYFUNCTION("""COMPUTED_VALUE"""),"https://www.facebook.com/khlaire.pioquinto")</f>
        <v>https://www.facebook.com/khlaire.pioquinto</v>
      </c>
      <c r="B1583" s="1" t="str">
        <f ca="1">IFERROR(__xludf.DUMMYFUNCTION("""COMPUTED_VALUE"""),"Khlaire Pioquinto-Doble")</f>
        <v>Khlaire Pioquinto-Doble</v>
      </c>
      <c r="C1583" s="1" t="str">
        <f ca="1">IFERROR(__xludf.DUMMYFUNCTION("""COMPUTED_VALUE"""),"Khlaire")</f>
        <v>Khlaire</v>
      </c>
      <c r="D1583" s="1" t="str">
        <f ca="1">IFERROR(__xludf.DUMMYFUNCTION("""COMPUTED_VALUE"""),"Pioquinto-Doble")</f>
        <v>Pioquinto-Doble</v>
      </c>
      <c r="E1583" s="1" t="str">
        <f ca="1">IFERROR(__xludf.DUMMYFUNCTION("""COMPUTED_VALUE"""),"Francis Abel that’s right!")</f>
        <v>Francis Abel that’s right!</v>
      </c>
      <c r="F1583" s="1">
        <f ca="1">IFERROR(__xludf.DUMMYFUNCTION("""COMPUTED_VALUE"""),6)</f>
        <v>6</v>
      </c>
      <c r="G1583" s="1" t="str">
        <f ca="1">IFERROR(__xludf.DUMMYFUNCTION("""COMPUTED_VALUE"""),"3 mos")</f>
        <v>3 mos</v>
      </c>
      <c r="H1583" s="1" t="str">
        <f ca="1">IFERROR(__xludf.DUMMYFUNCTION("""COMPUTED_VALUE"""),"reply")</f>
        <v>reply</v>
      </c>
      <c r="I1583" s="2" t="str">
        <f ca="1">IFERROR(__xludf.DUMMYFUNCTION("""COMPUTED_VALUE"""),"https://www.facebook.com/watch/live/?ref=watch_permalink&amp;v=332681445500650")</f>
        <v>https://www.facebook.com/watch/live/?ref=watch_permalink&amp;v=332681445500650</v>
      </c>
      <c r="J1583" s="1" t="str">
        <f ca="1">IFERROR(__xludf.DUMMYFUNCTION("""COMPUTED_VALUE"""),"2022-07-04T15:43:23.768Z")</f>
        <v>2022-07-04T15:43:23.768Z</v>
      </c>
    </row>
    <row r="1584" spans="1:10" x14ac:dyDescent="0.2">
      <c r="A1584" s="2" t="str">
        <f ca="1">IFERROR(__xludf.DUMMYFUNCTION("""COMPUTED_VALUE"""),"https://www.facebook.com/marjorie.santillan.31")</f>
        <v>https://www.facebook.com/marjorie.santillan.31</v>
      </c>
      <c r="B1584" s="1" t="str">
        <f ca="1">IFERROR(__xludf.DUMMYFUNCTION("""COMPUTED_VALUE"""),"Marjorie Santillan")</f>
        <v>Marjorie Santillan</v>
      </c>
      <c r="C1584" s="1" t="str">
        <f ca="1">IFERROR(__xludf.DUMMYFUNCTION("""COMPUTED_VALUE"""),"Marjorie")</f>
        <v>Marjorie</v>
      </c>
      <c r="D1584" s="1" t="str">
        <f ca="1">IFERROR(__xludf.DUMMYFUNCTION("""COMPUTED_VALUE"""),"Santillan")</f>
        <v>Santillan</v>
      </c>
      <c r="E1584" s="1" t="str">
        <f ca="1">IFERROR(__xludf.DUMMYFUNCTION("""COMPUTED_VALUE"""),"YESSS...sana mapanood to ni Tony ROAR..🥰")</f>
        <v>YESSS...sana mapanood to ni Tony ROAR..🥰</v>
      </c>
      <c r="F1584" s="1">
        <f ca="1">IFERROR(__xludf.DUMMYFUNCTION("""COMPUTED_VALUE"""),4)</f>
        <v>4</v>
      </c>
      <c r="G1584" s="1" t="str">
        <f ca="1">IFERROR(__xludf.DUMMYFUNCTION("""COMPUTED_VALUE"""),"3 mos")</f>
        <v>3 mos</v>
      </c>
      <c r="H1584" s="1" t="str">
        <f ca="1">IFERROR(__xludf.DUMMYFUNCTION("""COMPUTED_VALUE"""),"reply")</f>
        <v>reply</v>
      </c>
      <c r="I1584" s="2" t="str">
        <f ca="1">IFERROR(__xludf.DUMMYFUNCTION("""COMPUTED_VALUE"""),"https://www.facebook.com/watch/live/?ref=watch_permalink&amp;v=332681445500650")</f>
        <v>https://www.facebook.com/watch/live/?ref=watch_permalink&amp;v=332681445500650</v>
      </c>
      <c r="J1584" s="1" t="str">
        <f ca="1">IFERROR(__xludf.DUMMYFUNCTION("""COMPUTED_VALUE"""),"2022-07-04T15:43:23.769Z")</f>
        <v>2022-07-04T15:43:23.769Z</v>
      </c>
    </row>
    <row r="1585" spans="1:10" x14ac:dyDescent="0.2">
      <c r="A1585" s="2" t="str">
        <f ca="1">IFERROR(__xludf.DUMMYFUNCTION("""COMPUTED_VALUE"""),"https://www.facebook.com/williambilly.kwong")</f>
        <v>https://www.facebook.com/williambilly.kwong</v>
      </c>
      <c r="B1585" s="1" t="str">
        <f ca="1">IFERROR(__xludf.DUMMYFUNCTION("""COMPUTED_VALUE"""),"William Billy Kwong")</f>
        <v>William Billy Kwong</v>
      </c>
      <c r="C1585" s="1" t="str">
        <f ca="1">IFERROR(__xludf.DUMMYFUNCTION("""COMPUTED_VALUE"""),"William")</f>
        <v>William</v>
      </c>
      <c r="D1585" s="1" t="str">
        <f ca="1">IFERROR(__xludf.DUMMYFUNCTION("""COMPUTED_VALUE"""),"Billy Kwong")</f>
        <v>Billy Kwong</v>
      </c>
      <c r="E1585" s="1" t="str">
        <f ca="1">IFERROR(__xludf.DUMMYFUNCTION("""COMPUTED_VALUE"""),"My and my family President Lenei Robredo.")</f>
        <v>My and my family President Lenei Robredo.</v>
      </c>
      <c r="F1585" s="1">
        <f ca="1">IFERROR(__xludf.DUMMYFUNCTION("""COMPUTED_VALUE"""),24)</f>
        <v>24</v>
      </c>
      <c r="G1585" s="1" t="str">
        <f ca="1">IFERROR(__xludf.DUMMYFUNCTION("""COMPUTED_VALUE"""),"3 mos")</f>
        <v>3 mos</v>
      </c>
      <c r="H1585" s="1" t="str">
        <f ca="1">IFERROR(__xludf.DUMMYFUNCTION("""COMPUTED_VALUE"""),"comment")</f>
        <v>comment</v>
      </c>
      <c r="I1585" s="2" t="str">
        <f ca="1">IFERROR(__xludf.DUMMYFUNCTION("""COMPUTED_VALUE"""),"https://www.facebook.com/watch/live/?ref=watch_permalink&amp;v=332681445500650")</f>
        <v>https://www.facebook.com/watch/live/?ref=watch_permalink&amp;v=332681445500650</v>
      </c>
      <c r="J1585" s="1" t="str">
        <f ca="1">IFERROR(__xludf.DUMMYFUNCTION("""COMPUTED_VALUE"""),"2022-07-04T15:43:23.769Z")</f>
        <v>2022-07-04T15:43:23.769Z</v>
      </c>
    </row>
    <row r="1586" spans="1:10" x14ac:dyDescent="0.2">
      <c r="A1586" s="2" t="str">
        <f ca="1">IFERROR(__xludf.DUMMYFUNCTION("""COMPUTED_VALUE"""),"https://www.facebook.com/madz.flores.18")</f>
        <v>https://www.facebook.com/madz.flores.18</v>
      </c>
      <c r="B1586" s="1" t="str">
        <f ca="1">IFERROR(__xludf.DUMMYFUNCTION("""COMPUTED_VALUE"""),"Madz Flores")</f>
        <v>Madz Flores</v>
      </c>
      <c r="C1586" s="1" t="str">
        <f ca="1">IFERROR(__xludf.DUMMYFUNCTION("""COMPUTED_VALUE"""),"Madz")</f>
        <v>Madz</v>
      </c>
      <c r="D1586" s="1" t="str">
        <f ca="1">IFERROR(__xludf.DUMMYFUNCTION("""COMPUTED_VALUE"""),"Flores")</f>
        <v>Flores</v>
      </c>
      <c r="E1586" s="1" t="str">
        <f ca="1">IFERROR(__xludf.DUMMYFUNCTION("""COMPUTED_VALUE"""),"I quote “ the most important ingredient of a leader is character.”")</f>
        <v>I quote “ the most important ingredient of a leader is character.”</v>
      </c>
      <c r="F1586" s="1">
        <f ca="1">IFERROR(__xludf.DUMMYFUNCTION("""COMPUTED_VALUE"""),143)</f>
        <v>143</v>
      </c>
      <c r="G1586" s="1" t="str">
        <f ca="1">IFERROR(__xludf.DUMMYFUNCTION("""COMPUTED_VALUE"""),"3 mos")</f>
        <v>3 mos</v>
      </c>
      <c r="H1586" s="1" t="str">
        <f ca="1">IFERROR(__xludf.DUMMYFUNCTION("""COMPUTED_VALUE"""),"comment")</f>
        <v>comment</v>
      </c>
      <c r="I1586" s="2" t="str">
        <f ca="1">IFERROR(__xludf.DUMMYFUNCTION("""COMPUTED_VALUE"""),"https://www.facebook.com/watch/live/?ref=watch_permalink&amp;v=332681445500650")</f>
        <v>https://www.facebook.com/watch/live/?ref=watch_permalink&amp;v=332681445500650</v>
      </c>
      <c r="J1586" s="1" t="str">
        <f ca="1">IFERROR(__xludf.DUMMYFUNCTION("""COMPUTED_VALUE"""),"2022-07-04T15:43:23.769Z")</f>
        <v>2022-07-04T15:43:23.769Z</v>
      </c>
    </row>
    <row r="1587" spans="1:10" x14ac:dyDescent="0.2">
      <c r="A1587" s="2" t="str">
        <f ca="1">IFERROR(__xludf.DUMMYFUNCTION("""COMPUTED_VALUE"""),"https://www.facebook.com/germie.arandia")</f>
        <v>https://www.facebook.com/germie.arandia</v>
      </c>
      <c r="B1587" s="1" t="str">
        <f ca="1">IFERROR(__xludf.DUMMYFUNCTION("""COMPUTED_VALUE"""),"Germie Arandia")</f>
        <v>Germie Arandia</v>
      </c>
      <c r="C1587" s="1" t="str">
        <f ca="1">IFERROR(__xludf.DUMMYFUNCTION("""COMPUTED_VALUE"""),"Germie")</f>
        <v>Germie</v>
      </c>
      <c r="D1587" s="1" t="str">
        <f ca="1">IFERROR(__xludf.DUMMYFUNCTION("""COMPUTED_VALUE"""),"Arandia")</f>
        <v>Arandia</v>
      </c>
      <c r="E1587" s="1" t="str">
        <f ca="1">IFERROR(__xludf.DUMMYFUNCTION("""COMPUTED_VALUE"""),"Madz Flores  and moral principles")</f>
        <v>Madz Flores  and moral principles</v>
      </c>
      <c r="F1587" s="1">
        <f ca="1">IFERROR(__xludf.DUMMYFUNCTION("""COMPUTED_VALUE"""),12)</f>
        <v>12</v>
      </c>
      <c r="G1587" s="1" t="str">
        <f ca="1">IFERROR(__xludf.DUMMYFUNCTION("""COMPUTED_VALUE"""),"3 mos")</f>
        <v>3 mos</v>
      </c>
      <c r="H1587" s="1" t="str">
        <f ca="1">IFERROR(__xludf.DUMMYFUNCTION("""COMPUTED_VALUE"""),"reply")</f>
        <v>reply</v>
      </c>
      <c r="I1587" s="2" t="str">
        <f ca="1">IFERROR(__xludf.DUMMYFUNCTION("""COMPUTED_VALUE"""),"https://www.facebook.com/watch/live/?ref=watch_permalink&amp;v=332681445500650")</f>
        <v>https://www.facebook.com/watch/live/?ref=watch_permalink&amp;v=332681445500650</v>
      </c>
      <c r="J1587" s="1" t="str">
        <f ca="1">IFERROR(__xludf.DUMMYFUNCTION("""COMPUTED_VALUE"""),"2022-07-04T15:43:23.769Z")</f>
        <v>2022-07-04T15:43:23.769Z</v>
      </c>
    </row>
    <row r="1588" spans="1:10" x14ac:dyDescent="0.2">
      <c r="A1588" s="2" t="str">
        <f ca="1">IFERROR(__xludf.DUMMYFUNCTION("""COMPUTED_VALUE"""),"https://www.facebook.com/profile.php?id=100078433647836")</f>
        <v>https://www.facebook.com/profile.php?id=100078433647836</v>
      </c>
      <c r="B1588" s="1" t="str">
        <f ca="1">IFERROR(__xludf.DUMMYFUNCTION("""COMPUTED_VALUE"""),"Melinda Rosario")</f>
        <v>Melinda Rosario</v>
      </c>
      <c r="C1588" s="1" t="str">
        <f ca="1">IFERROR(__xludf.DUMMYFUNCTION("""COMPUTED_VALUE"""),"Melinda")</f>
        <v>Melinda</v>
      </c>
      <c r="D1588" s="1" t="str">
        <f ca="1">IFERROR(__xludf.DUMMYFUNCTION("""COMPUTED_VALUE"""),"Rosario")</f>
        <v>Rosario</v>
      </c>
      <c r="E1588" s="1" t="str">
        <f ca="1">IFERROR(__xludf.DUMMYFUNCTION("""COMPUTED_VALUE"""),"Madz Flores agree!!! #LetLeniLead")</f>
        <v>Madz Flores agree!!! #LetLeniLead</v>
      </c>
      <c r="F1588" s="1">
        <f ca="1">IFERROR(__xludf.DUMMYFUNCTION("""COMPUTED_VALUE"""),1)</f>
        <v>1</v>
      </c>
      <c r="G1588" s="1" t="str">
        <f ca="1">IFERROR(__xludf.DUMMYFUNCTION("""COMPUTED_VALUE"""),"3 mos")</f>
        <v>3 mos</v>
      </c>
      <c r="H1588" s="1" t="str">
        <f ca="1">IFERROR(__xludf.DUMMYFUNCTION("""COMPUTED_VALUE"""),"reply")</f>
        <v>reply</v>
      </c>
      <c r="I1588" s="2" t="str">
        <f ca="1">IFERROR(__xludf.DUMMYFUNCTION("""COMPUTED_VALUE"""),"https://www.facebook.com/watch/live/?ref=watch_permalink&amp;v=332681445500650")</f>
        <v>https://www.facebook.com/watch/live/?ref=watch_permalink&amp;v=332681445500650</v>
      </c>
      <c r="J1588" s="1" t="str">
        <f ca="1">IFERROR(__xludf.DUMMYFUNCTION("""COMPUTED_VALUE"""),"2022-07-04T15:43:23.769Z")</f>
        <v>2022-07-04T15:43:23.769Z</v>
      </c>
    </row>
    <row r="1589" spans="1:10" x14ac:dyDescent="0.2">
      <c r="A1589" s="2" t="str">
        <f ca="1">IFERROR(__xludf.DUMMYFUNCTION("""COMPUTED_VALUE"""),"https://www.facebook.com/profile.php?id=100077975515176")</f>
        <v>https://www.facebook.com/profile.php?id=100077975515176</v>
      </c>
      <c r="B1589" s="1" t="str">
        <f ca="1">IFERROR(__xludf.DUMMYFUNCTION("""COMPUTED_VALUE"""),"David Yulinco")</f>
        <v>David Yulinco</v>
      </c>
      <c r="C1589" s="1" t="str">
        <f ca="1">IFERROR(__xludf.DUMMYFUNCTION("""COMPUTED_VALUE"""),"David")</f>
        <v>David</v>
      </c>
      <c r="D1589" s="1" t="str">
        <f ca="1">IFERROR(__xludf.DUMMYFUNCTION("""COMPUTED_VALUE"""),"Yulinco")</f>
        <v>Yulinco</v>
      </c>
      <c r="E1589" s="1" t="str">
        <f ca="1">IFERROR(__xludf.DUMMYFUNCTION("""COMPUTED_VALUE"""),"Madz Flores tamaaa!! #10RobredoPresident")</f>
        <v>Madz Flores tamaaa!! #10RobredoPresident</v>
      </c>
      <c r="F1589" s="1">
        <f ca="1">IFERROR(__xludf.DUMMYFUNCTION("""COMPUTED_VALUE"""),2)</f>
        <v>2</v>
      </c>
      <c r="G1589" s="1" t="str">
        <f ca="1">IFERROR(__xludf.DUMMYFUNCTION("""COMPUTED_VALUE"""),"3 mos")</f>
        <v>3 mos</v>
      </c>
      <c r="H1589" s="1" t="str">
        <f ca="1">IFERROR(__xludf.DUMMYFUNCTION("""COMPUTED_VALUE"""),"reply")</f>
        <v>reply</v>
      </c>
      <c r="I1589" s="2" t="str">
        <f ca="1">IFERROR(__xludf.DUMMYFUNCTION("""COMPUTED_VALUE"""),"https://www.facebook.com/watch/live/?ref=watch_permalink&amp;v=332681445500650")</f>
        <v>https://www.facebook.com/watch/live/?ref=watch_permalink&amp;v=332681445500650</v>
      </c>
      <c r="J1589" s="1" t="str">
        <f ca="1">IFERROR(__xludf.DUMMYFUNCTION("""COMPUTED_VALUE"""),"2022-07-04T15:43:23.769Z")</f>
        <v>2022-07-04T15:43:23.769Z</v>
      </c>
    </row>
    <row r="1590" spans="1:10" x14ac:dyDescent="0.2">
      <c r="A1590" s="2" t="str">
        <f ca="1">IFERROR(__xludf.DUMMYFUNCTION("""COMPUTED_VALUE"""),"https://www.facebook.com/marela.alinea")</f>
        <v>https://www.facebook.com/marela.alinea</v>
      </c>
      <c r="B1590" s="1" t="str">
        <f ca="1">IFERROR(__xludf.DUMMYFUNCTION("""COMPUTED_VALUE"""),"Marela Reyes Alinea")</f>
        <v>Marela Reyes Alinea</v>
      </c>
      <c r="C1590" s="1" t="str">
        <f ca="1">IFERROR(__xludf.DUMMYFUNCTION("""COMPUTED_VALUE"""),"Marela")</f>
        <v>Marela</v>
      </c>
      <c r="D1590" s="1" t="str">
        <f ca="1">IFERROR(__xludf.DUMMYFUNCTION("""COMPUTED_VALUE"""),"Reyes Alinea")</f>
        <v>Reyes Alinea</v>
      </c>
      <c r="E1590" s="1" t="str">
        <f ca="1">IFERROR(__xludf.DUMMYFUNCTION("""COMPUTED_VALUE"""),"Thank you Mara for the interesting questions ;)#LetLeniLead #IpanaloNa10To  #LeniKiko2022")</f>
        <v>Thank you Mara for the interesting questions ;)#LetLeniLead #IpanaloNa10To  #LeniKiko2022</v>
      </c>
      <c r="F1590" s="1">
        <f ca="1">IFERROR(__xludf.DUMMYFUNCTION("""COMPUTED_VALUE"""),12)</f>
        <v>12</v>
      </c>
      <c r="G1590" s="1" t="str">
        <f ca="1">IFERROR(__xludf.DUMMYFUNCTION("""COMPUTED_VALUE"""),"3 mos")</f>
        <v>3 mos</v>
      </c>
      <c r="H1590" s="1" t="str">
        <f ca="1">IFERROR(__xludf.DUMMYFUNCTION("""COMPUTED_VALUE"""),"comment")</f>
        <v>comment</v>
      </c>
      <c r="I1590" s="2" t="str">
        <f ca="1">IFERROR(__xludf.DUMMYFUNCTION("""COMPUTED_VALUE"""),"https://www.facebook.com/watch/live/?ref=watch_permalink&amp;v=332681445500650")</f>
        <v>https://www.facebook.com/watch/live/?ref=watch_permalink&amp;v=332681445500650</v>
      </c>
      <c r="J1590" s="1" t="str">
        <f ca="1">IFERROR(__xludf.DUMMYFUNCTION("""COMPUTED_VALUE"""),"2022-07-04T15:43:23.769Z")</f>
        <v>2022-07-04T15:43:23.769Z</v>
      </c>
    </row>
    <row r="1591" spans="1:10" x14ac:dyDescent="0.2">
      <c r="A1591" s="2" t="str">
        <f ca="1">IFERROR(__xludf.DUMMYFUNCTION("""COMPUTED_VALUE"""),"https://www.facebook.com/mutia.joyce.1")</f>
        <v>https://www.facebook.com/mutia.joyce.1</v>
      </c>
      <c r="B1591" s="1" t="str">
        <f ca="1">IFERROR(__xludf.DUMMYFUNCTION("""COMPUTED_VALUE"""),"Mutia Joyce")</f>
        <v>Mutia Joyce</v>
      </c>
      <c r="C1591" s="1" t="str">
        <f ca="1">IFERROR(__xludf.DUMMYFUNCTION("""COMPUTED_VALUE"""),"Mutia")</f>
        <v>Mutia</v>
      </c>
      <c r="D1591" s="1" t="str">
        <f ca="1">IFERROR(__xludf.DUMMYFUNCTION("""COMPUTED_VALUE"""),"Joyce")</f>
        <v>Joyce</v>
      </c>
      <c r="E1591" s="1" t="str">
        <f ca="1">IFERROR(__xludf.DUMMYFUNCTION("""COMPUTED_VALUE"""),"God bless and protect you always VPLeni,our next President! 💗💗💗💗💗💗💗💗")</f>
        <v>God bless and protect you always VPLeni,our next President! 💗💗💗💗💗💗💗💗</v>
      </c>
      <c r="F1591" s="1">
        <f ca="1">IFERROR(__xludf.DUMMYFUNCTION("""COMPUTED_VALUE"""),2)</f>
        <v>2</v>
      </c>
      <c r="G1591" s="1" t="str">
        <f ca="1">IFERROR(__xludf.DUMMYFUNCTION("""COMPUTED_VALUE"""),"3 mos")</f>
        <v>3 mos</v>
      </c>
      <c r="H1591" s="1" t="str">
        <f ca="1">IFERROR(__xludf.DUMMYFUNCTION("""COMPUTED_VALUE"""),"comment")</f>
        <v>comment</v>
      </c>
      <c r="I1591" s="2" t="str">
        <f ca="1">IFERROR(__xludf.DUMMYFUNCTION("""COMPUTED_VALUE"""),"https://www.facebook.com/watch/live/?ref=watch_permalink&amp;v=332681445500650")</f>
        <v>https://www.facebook.com/watch/live/?ref=watch_permalink&amp;v=332681445500650</v>
      </c>
      <c r="J1591" s="1" t="str">
        <f ca="1">IFERROR(__xludf.DUMMYFUNCTION("""COMPUTED_VALUE"""),"2022-07-04T15:43:23.769Z")</f>
        <v>2022-07-04T15:43:23.769Z</v>
      </c>
    </row>
    <row r="1592" spans="1:10" x14ac:dyDescent="0.2">
      <c r="A1592" s="2" t="str">
        <f ca="1">IFERROR(__xludf.DUMMYFUNCTION("""COMPUTED_VALUE"""),"https://www.facebook.com/tammy.aldezaafrica")</f>
        <v>https://www.facebook.com/tammy.aldezaafrica</v>
      </c>
      <c r="B1592" s="1" t="str">
        <f ca="1">IFERROR(__xludf.DUMMYFUNCTION("""COMPUTED_VALUE"""),"Tammy AAfrica")</f>
        <v>Tammy AAfrica</v>
      </c>
      <c r="C1592" s="1" t="str">
        <f ca="1">IFERROR(__xludf.DUMMYFUNCTION("""COMPUTED_VALUE"""),"Tammy")</f>
        <v>Tammy</v>
      </c>
      <c r="D1592" s="1" t="str">
        <f ca="1">IFERROR(__xludf.DUMMYFUNCTION("""COMPUTED_VALUE"""),"AAfrica")</f>
        <v>AAfrica</v>
      </c>
      <c r="E1592" s="1" t="str">
        <f ca="1">IFERROR(__xludf.DUMMYFUNCTION("""COMPUTED_VALUE"""),"Praying for your health and safety always po my President 💗💗💗")</f>
        <v>Praying for your health and safety always po my President 💗💗💗</v>
      </c>
      <c r="F1592" s="1">
        <f ca="1">IFERROR(__xludf.DUMMYFUNCTION("""COMPUTED_VALUE"""),65)</f>
        <v>65</v>
      </c>
      <c r="G1592" s="1" t="str">
        <f ca="1">IFERROR(__xludf.DUMMYFUNCTION("""COMPUTED_VALUE"""),"3 mos")</f>
        <v>3 mos</v>
      </c>
      <c r="H1592" s="1" t="str">
        <f ca="1">IFERROR(__xludf.DUMMYFUNCTION("""COMPUTED_VALUE"""),"comment")</f>
        <v>comment</v>
      </c>
      <c r="I1592" s="2" t="str">
        <f ca="1">IFERROR(__xludf.DUMMYFUNCTION("""COMPUTED_VALUE"""),"https://www.facebook.com/watch/live/?ref=watch_permalink&amp;v=332681445500650")</f>
        <v>https://www.facebook.com/watch/live/?ref=watch_permalink&amp;v=332681445500650</v>
      </c>
      <c r="J1592" s="1" t="str">
        <f ca="1">IFERROR(__xludf.DUMMYFUNCTION("""COMPUTED_VALUE"""),"2022-07-04T15:43:23.769Z")</f>
        <v>2022-07-04T15:43:23.769Z</v>
      </c>
    </row>
    <row r="1593" spans="1:10" x14ac:dyDescent="0.2">
      <c r="A1593" s="2" t="str">
        <f ca="1">IFERROR(__xludf.DUMMYFUNCTION("""COMPUTED_VALUE"""),"https://www.facebook.com/steph.dannugcadelina")</f>
        <v>https://www.facebook.com/steph.dannugcadelina</v>
      </c>
      <c r="B1593" s="1" t="str">
        <f ca="1">IFERROR(__xludf.DUMMYFUNCTION("""COMPUTED_VALUE"""),"Ñalideca Dannug Stephanie")</f>
        <v>Ñalideca Dannug Stephanie</v>
      </c>
      <c r="C1593" s="1" t="str">
        <f ca="1">IFERROR(__xludf.DUMMYFUNCTION("""COMPUTED_VALUE"""),"Ñalideca")</f>
        <v>Ñalideca</v>
      </c>
      <c r="D1593" s="1" t="str">
        <f ca="1">IFERROR(__xludf.DUMMYFUNCTION("""COMPUTED_VALUE"""),"Dannug Stephanie")</f>
        <v>Dannug Stephanie</v>
      </c>
      <c r="E1593" s="1" t="str">
        <f ca="1">IFERROR(__xludf.DUMMYFUNCTION("""COMPUTED_VALUE"""),"Tammy AAfrica Amen🙏💕")</f>
        <v>Tammy AAfrica Amen🙏💕</v>
      </c>
      <c r="F1593" s="1">
        <f ca="1">IFERROR(__xludf.DUMMYFUNCTION("""COMPUTED_VALUE"""),5)</f>
        <v>5</v>
      </c>
      <c r="G1593" s="1" t="str">
        <f ca="1">IFERROR(__xludf.DUMMYFUNCTION("""COMPUTED_VALUE"""),"3 mos")</f>
        <v>3 mos</v>
      </c>
      <c r="H1593" s="1" t="str">
        <f ca="1">IFERROR(__xludf.DUMMYFUNCTION("""COMPUTED_VALUE"""),"reply")</f>
        <v>reply</v>
      </c>
      <c r="I1593" s="2" t="str">
        <f ca="1">IFERROR(__xludf.DUMMYFUNCTION("""COMPUTED_VALUE"""),"https://www.facebook.com/watch/live/?ref=watch_permalink&amp;v=332681445500650")</f>
        <v>https://www.facebook.com/watch/live/?ref=watch_permalink&amp;v=332681445500650</v>
      </c>
      <c r="J1593" s="1" t="str">
        <f ca="1">IFERROR(__xludf.DUMMYFUNCTION("""COMPUTED_VALUE"""),"2022-07-04T15:43:23.769Z")</f>
        <v>2022-07-04T15:43:23.769Z</v>
      </c>
    </row>
    <row r="1594" spans="1:10" x14ac:dyDescent="0.2">
      <c r="A1594" s="2" t="str">
        <f ca="1">IFERROR(__xludf.DUMMYFUNCTION("""COMPUTED_VALUE"""),"https://www.facebook.com/mar.freedom.35")</f>
        <v>https://www.facebook.com/mar.freedom.35</v>
      </c>
      <c r="B1594" s="1" t="str">
        <f ca="1">IFERROR(__xludf.DUMMYFUNCTION("""COMPUTED_VALUE"""),"Mar Freebie")</f>
        <v>Mar Freebie</v>
      </c>
      <c r="C1594" s="1" t="str">
        <f ca="1">IFERROR(__xludf.DUMMYFUNCTION("""COMPUTED_VALUE"""),"Mar")</f>
        <v>Mar</v>
      </c>
      <c r="D1594" s="1" t="str">
        <f ca="1">IFERROR(__xludf.DUMMYFUNCTION("""COMPUTED_VALUE"""),"Freebie")</f>
        <v>Freebie</v>
      </c>
      <c r="E1594" s="1" t="str">
        <f ca="1">IFERROR(__xludf.DUMMYFUNCTION("""COMPUTED_VALUE"""),"We are very proud you, Madam President.")</f>
        <v>We are very proud you, Madam President.</v>
      </c>
      <c r="F1594" s="1">
        <f ca="1">IFERROR(__xludf.DUMMYFUNCTION("""COMPUTED_VALUE"""),45)</f>
        <v>45</v>
      </c>
      <c r="G1594" s="1" t="str">
        <f ca="1">IFERROR(__xludf.DUMMYFUNCTION("""COMPUTED_VALUE"""),"3 mos")</f>
        <v>3 mos</v>
      </c>
      <c r="H1594" s="1" t="str">
        <f ca="1">IFERROR(__xludf.DUMMYFUNCTION("""COMPUTED_VALUE"""),"comment")</f>
        <v>comment</v>
      </c>
      <c r="I1594" s="2" t="str">
        <f ca="1">IFERROR(__xludf.DUMMYFUNCTION("""COMPUTED_VALUE"""),"https://www.facebook.com/watch/live/?ref=watch_permalink&amp;v=332681445500650")</f>
        <v>https://www.facebook.com/watch/live/?ref=watch_permalink&amp;v=332681445500650</v>
      </c>
      <c r="J1594" s="1" t="str">
        <f ca="1">IFERROR(__xludf.DUMMYFUNCTION("""COMPUTED_VALUE"""),"2022-07-04T15:43:23.769Z")</f>
        <v>2022-07-04T15:43:23.769Z</v>
      </c>
    </row>
    <row r="1595" spans="1:10" x14ac:dyDescent="0.2">
      <c r="A1595" s="2" t="str">
        <f ca="1">IFERROR(__xludf.DUMMYFUNCTION("""COMPUTED_VALUE"""),"https://www.facebook.com/profile.php?id=100011416980940")</f>
        <v>https://www.facebook.com/profile.php?id=100011416980940</v>
      </c>
      <c r="B1595" s="1" t="str">
        <f ca="1">IFERROR(__xludf.DUMMYFUNCTION("""COMPUTED_VALUE"""),"Daday DL")</f>
        <v>Daday DL</v>
      </c>
      <c r="C1595" s="1" t="str">
        <f ca="1">IFERROR(__xludf.DUMMYFUNCTION("""COMPUTED_VALUE"""),"Daday")</f>
        <v>Daday</v>
      </c>
      <c r="D1595" s="1" t="str">
        <f ca="1">IFERROR(__xludf.DUMMYFUNCTION("""COMPUTED_VALUE"""),"DL")</f>
        <v>DL</v>
      </c>
      <c r="E1595" s="1" t="str">
        <f ca="1">IFERROR(__xludf.DUMMYFUNCTION("""COMPUTED_VALUE"""),"Namamalantsa! Hindi sya senyorita! She is as ordinary as any of us yet she can give the right leadership that inspires people to follow . Because she leads by example")</f>
        <v>Namamalantsa! Hindi sya senyorita! She is as ordinary as any of us yet she can give the right leadership that inspires people to follow . Because she leads by example</v>
      </c>
      <c r="F1595" s="1">
        <f ca="1">IFERROR(__xludf.DUMMYFUNCTION("""COMPUTED_VALUE"""),35)</f>
        <v>35</v>
      </c>
      <c r="G1595" s="1" t="str">
        <f ca="1">IFERROR(__xludf.DUMMYFUNCTION("""COMPUTED_VALUE"""),"3 mos")</f>
        <v>3 mos</v>
      </c>
      <c r="H1595" s="1" t="str">
        <f ca="1">IFERROR(__xludf.DUMMYFUNCTION("""COMPUTED_VALUE"""),"comment")</f>
        <v>comment</v>
      </c>
      <c r="I1595" s="2" t="str">
        <f ca="1">IFERROR(__xludf.DUMMYFUNCTION("""COMPUTED_VALUE"""),"https://www.facebook.com/watch/live/?ref=watch_permalink&amp;v=332681445500650")</f>
        <v>https://www.facebook.com/watch/live/?ref=watch_permalink&amp;v=332681445500650</v>
      </c>
      <c r="J1595" s="1" t="str">
        <f ca="1">IFERROR(__xludf.DUMMYFUNCTION("""COMPUTED_VALUE"""),"2022-07-04T15:43:23.769Z")</f>
        <v>2022-07-04T15:43:23.769Z</v>
      </c>
    </row>
    <row r="1596" spans="1:10" x14ac:dyDescent="0.2">
      <c r="A1596" s="2" t="str">
        <f ca="1">IFERROR(__xludf.DUMMYFUNCTION("""COMPUTED_VALUE"""),"https://www.facebook.com/profile.php?id=100018941223924")</f>
        <v>https://www.facebook.com/profile.php?id=100018941223924</v>
      </c>
      <c r="B1596" s="1" t="str">
        <f ca="1">IFERROR(__xludf.DUMMYFUNCTION("""COMPUTED_VALUE"""),"Ad Majorem Dei Gloriam")</f>
        <v>Ad Majorem Dei Gloriam</v>
      </c>
      <c r="C1596" s="1" t="str">
        <f ca="1">IFERROR(__xludf.DUMMYFUNCTION("""COMPUTED_VALUE"""),"Ad")</f>
        <v>Ad</v>
      </c>
      <c r="D1596" s="1" t="str">
        <f ca="1">IFERROR(__xludf.DUMMYFUNCTION("""COMPUTED_VALUE"""),"Majorem Dei Gloriam")</f>
        <v>Majorem Dei Gloriam</v>
      </c>
      <c r="E1596" s="1" t="str">
        <f ca="1">IFERROR(__xludf.DUMMYFUNCTION("""COMPUTED_VALUE"""),"I’m thirsting to bring back DECENCY, TRANSPARENCY, GOOD GOVERNANCE , ACCOUNTABILITY and DEMOCRACY , let LENIKIKO 2022 lead watching from Anchorage, Alaska USA")</f>
        <v>I’m thirsting to bring back DECENCY, TRANSPARENCY, GOOD GOVERNANCE , ACCOUNTABILITY and DEMOCRACY , let LENIKIKO 2022 lead watching from Anchorage, Alaska USA</v>
      </c>
      <c r="F1596" s="1">
        <f ca="1">IFERROR(__xludf.DUMMYFUNCTION("""COMPUTED_VALUE"""),7)</f>
        <v>7</v>
      </c>
      <c r="G1596" s="1" t="str">
        <f ca="1">IFERROR(__xludf.DUMMYFUNCTION("""COMPUTED_VALUE"""),"3 mos")</f>
        <v>3 mos</v>
      </c>
      <c r="H1596" s="1" t="str">
        <f ca="1">IFERROR(__xludf.DUMMYFUNCTION("""COMPUTED_VALUE"""),"comment")</f>
        <v>comment</v>
      </c>
      <c r="I1596" s="2" t="str">
        <f ca="1">IFERROR(__xludf.DUMMYFUNCTION("""COMPUTED_VALUE"""),"https://www.facebook.com/watch/live/?ref=watch_permalink&amp;v=332681445500650")</f>
        <v>https://www.facebook.com/watch/live/?ref=watch_permalink&amp;v=332681445500650</v>
      </c>
      <c r="J1596" s="1" t="str">
        <f ca="1">IFERROR(__xludf.DUMMYFUNCTION("""COMPUTED_VALUE"""),"2022-07-04T15:43:23.769Z")</f>
        <v>2022-07-04T15:43:23.769Z</v>
      </c>
    </row>
    <row r="1597" spans="1:10" x14ac:dyDescent="0.2">
      <c r="A1597" s="2" t="str">
        <f ca="1">IFERROR(__xludf.DUMMYFUNCTION("""COMPUTED_VALUE"""),"https://www.facebook.com/nikka.santos")</f>
        <v>https://www.facebook.com/nikka.santos</v>
      </c>
      <c r="B1597" s="1" t="str">
        <f ca="1">IFERROR(__xludf.DUMMYFUNCTION("""COMPUTED_VALUE"""),"Nikka Santos")</f>
        <v>Nikka Santos</v>
      </c>
      <c r="C1597" s="1" t="str">
        <f ca="1">IFERROR(__xludf.DUMMYFUNCTION("""COMPUTED_VALUE"""),"Nikka")</f>
        <v>Nikka</v>
      </c>
      <c r="D1597" s="1" t="str">
        <f ca="1">IFERROR(__xludf.DUMMYFUNCTION("""COMPUTED_VALUE"""),"Santos")</f>
        <v>Santos</v>
      </c>
      <c r="E1597" s="1" t="str">
        <f ca="1">IFERROR(__xludf.DUMMYFUNCTION("""COMPUTED_VALUE"""),"Leadership personified 💖 #LeniKiko2022 #AngatBuhayLahat #LeniRobredo")</f>
        <v>Leadership personified 💖 #LeniKiko2022 #AngatBuhayLahat #LeniRobredo</v>
      </c>
      <c r="F1597" s="1">
        <f ca="1">IFERROR(__xludf.DUMMYFUNCTION("""COMPUTED_VALUE"""),7)</f>
        <v>7</v>
      </c>
      <c r="G1597" s="1" t="str">
        <f ca="1">IFERROR(__xludf.DUMMYFUNCTION("""COMPUTED_VALUE"""),"3 mos")</f>
        <v>3 mos</v>
      </c>
      <c r="H1597" s="1" t="str">
        <f ca="1">IFERROR(__xludf.DUMMYFUNCTION("""COMPUTED_VALUE"""),"comment")</f>
        <v>comment</v>
      </c>
      <c r="I1597" s="2" t="str">
        <f ca="1">IFERROR(__xludf.DUMMYFUNCTION("""COMPUTED_VALUE"""),"https://www.facebook.com/watch/live/?ref=watch_permalink&amp;v=332681445500650")</f>
        <v>https://www.facebook.com/watch/live/?ref=watch_permalink&amp;v=332681445500650</v>
      </c>
      <c r="J1597" s="1" t="str">
        <f ca="1">IFERROR(__xludf.DUMMYFUNCTION("""COMPUTED_VALUE"""),"2022-07-04T15:43:23.769Z")</f>
        <v>2022-07-04T15:43:23.769Z</v>
      </c>
    </row>
    <row r="1598" spans="1:10" x14ac:dyDescent="0.2">
      <c r="A1598" s="2" t="str">
        <f ca="1">IFERROR(__xludf.DUMMYFUNCTION("""COMPUTED_VALUE"""),"https://www.facebook.com/vito.bose.5")</f>
        <v>https://www.facebook.com/vito.bose.5</v>
      </c>
      <c r="B1598" s="1" t="str">
        <f ca="1">IFERROR(__xludf.DUMMYFUNCTION("""COMPUTED_VALUE"""),"Vito Bose")</f>
        <v>Vito Bose</v>
      </c>
      <c r="C1598" s="1" t="str">
        <f ca="1">IFERROR(__xludf.DUMMYFUNCTION("""COMPUTED_VALUE"""),"Vito")</f>
        <v>Vito</v>
      </c>
      <c r="D1598" s="1" t="str">
        <f ca="1">IFERROR(__xludf.DUMMYFUNCTION("""COMPUTED_VALUE"""),"Bose")</f>
        <v>Bose</v>
      </c>
      <c r="E1598" s="1" t="str">
        <f ca="1">IFERROR(__xludf.DUMMYFUNCTION("""COMPUTED_VALUE"""),"I feel great helping VPLeni &amp; Kiko financially or otherwise  in their campaign to be our next President and Vice President comes May 2022! 💗💗💗🇵🇭")</f>
        <v>I feel great helping VPLeni &amp; Kiko financially or otherwise  in their campaign to be our next President and Vice President comes May 2022! 💗💗💗🇵🇭</v>
      </c>
      <c r="F1598" s="1">
        <f ca="1">IFERROR(__xludf.DUMMYFUNCTION("""COMPUTED_VALUE"""),10)</f>
        <v>10</v>
      </c>
      <c r="G1598" s="1" t="str">
        <f ca="1">IFERROR(__xludf.DUMMYFUNCTION("""COMPUTED_VALUE"""),"3 mos")</f>
        <v>3 mos</v>
      </c>
      <c r="H1598" s="1" t="str">
        <f ca="1">IFERROR(__xludf.DUMMYFUNCTION("""COMPUTED_VALUE"""),"comment")</f>
        <v>comment</v>
      </c>
      <c r="I1598" s="2" t="str">
        <f ca="1">IFERROR(__xludf.DUMMYFUNCTION("""COMPUTED_VALUE"""),"https://www.facebook.com/watch/live/?ref=watch_permalink&amp;v=332681445500650")</f>
        <v>https://www.facebook.com/watch/live/?ref=watch_permalink&amp;v=332681445500650</v>
      </c>
      <c r="J1598" s="1" t="str">
        <f ca="1">IFERROR(__xludf.DUMMYFUNCTION("""COMPUTED_VALUE"""),"2022-07-04T15:43:23.769Z")</f>
        <v>2022-07-04T15:43:23.769Z</v>
      </c>
    </row>
    <row r="1599" spans="1:10" x14ac:dyDescent="0.2">
      <c r="A1599" s="2" t="str">
        <f ca="1">IFERROR(__xludf.DUMMYFUNCTION("""COMPUTED_VALUE"""),"https://www.facebook.com/del.ching")</f>
        <v>https://www.facebook.com/del.ching</v>
      </c>
      <c r="B1599" s="1" t="str">
        <f ca="1">IFERROR(__xludf.DUMMYFUNCTION("""COMPUTED_VALUE"""),"MaDelia Cching")</f>
        <v>MaDelia Cching</v>
      </c>
      <c r="C1599" s="1" t="str">
        <f ca="1">IFERROR(__xludf.DUMMYFUNCTION("""COMPUTED_VALUE"""),"MaDelia")</f>
        <v>MaDelia</v>
      </c>
      <c r="D1599" s="1" t="str">
        <f ca="1">IFERROR(__xludf.DUMMYFUNCTION("""COMPUTED_VALUE"""),"Cching")</f>
        <v>Cching</v>
      </c>
      <c r="E1599" s="1" t="str">
        <f ca="1">IFERROR(__xludf.DUMMYFUNCTION("""COMPUTED_VALUE"""),"I 💗 LENI2022 GOD cover you always from all evils of this earth🙏🙏🙏")</f>
        <v>I 💗 LENI2022 GOD cover you always from all evils of this earth🙏🙏🙏</v>
      </c>
      <c r="F1599" s="1">
        <f ca="1">IFERROR(__xludf.DUMMYFUNCTION("""COMPUTED_VALUE"""),5)</f>
        <v>5</v>
      </c>
      <c r="G1599" s="1" t="str">
        <f ca="1">IFERROR(__xludf.DUMMYFUNCTION("""COMPUTED_VALUE"""),"3 mos")</f>
        <v>3 mos</v>
      </c>
      <c r="H1599" s="1" t="str">
        <f ca="1">IFERROR(__xludf.DUMMYFUNCTION("""COMPUTED_VALUE"""),"comment")</f>
        <v>comment</v>
      </c>
      <c r="I1599" s="2" t="str">
        <f ca="1">IFERROR(__xludf.DUMMYFUNCTION("""COMPUTED_VALUE"""),"https://www.facebook.com/watch/live/?ref=watch_permalink&amp;v=332681445500650")</f>
        <v>https://www.facebook.com/watch/live/?ref=watch_permalink&amp;v=332681445500650</v>
      </c>
      <c r="J1599" s="1" t="str">
        <f ca="1">IFERROR(__xludf.DUMMYFUNCTION("""COMPUTED_VALUE"""),"2022-07-04T15:43:23.769Z")</f>
        <v>2022-07-04T15:43:23.769Z</v>
      </c>
    </row>
    <row r="1600" spans="1:10" x14ac:dyDescent="0.2">
      <c r="A1600" s="2" t="str">
        <f ca="1">IFERROR(__xludf.DUMMYFUNCTION("""COMPUTED_VALUE"""),"https://www.facebook.com/profile.php?id=100007491668111")</f>
        <v>https://www.facebook.com/profile.php?id=100007491668111</v>
      </c>
      <c r="B1600" s="1" t="str">
        <f ca="1">IFERROR(__xludf.DUMMYFUNCTION("""COMPUTED_VALUE"""),"Ross Lind")</f>
        <v>Ross Lind</v>
      </c>
      <c r="C1600" s="1" t="str">
        <f ca="1">IFERROR(__xludf.DUMMYFUNCTION("""COMPUTED_VALUE"""),"Ross")</f>
        <v>Ross</v>
      </c>
      <c r="D1600" s="1" t="str">
        <f ca="1">IFERROR(__xludf.DUMMYFUNCTION("""COMPUTED_VALUE"""),"Lind")</f>
        <v>Lind</v>
      </c>
      <c r="E1600" s="1" t="str">
        <f ca="1">IFERROR(__xludf.DUMMYFUNCTION("""COMPUTED_VALUE"""),"God bless you Madam VP #LeniAngatBuhayLahat")</f>
        <v>God bless you Madam VP #LeniAngatBuhayLahat</v>
      </c>
      <c r="F1600" s="1">
        <f ca="1">IFERROR(__xludf.DUMMYFUNCTION("""COMPUTED_VALUE"""),16)</f>
        <v>16</v>
      </c>
      <c r="G1600" s="1" t="str">
        <f ca="1">IFERROR(__xludf.DUMMYFUNCTION("""COMPUTED_VALUE"""),"3 mos")</f>
        <v>3 mos</v>
      </c>
      <c r="H1600" s="1" t="str">
        <f ca="1">IFERROR(__xludf.DUMMYFUNCTION("""COMPUTED_VALUE"""),"comment")</f>
        <v>comment</v>
      </c>
      <c r="I1600" s="2" t="str">
        <f ca="1">IFERROR(__xludf.DUMMYFUNCTION("""COMPUTED_VALUE"""),"https://www.facebook.com/watch/live/?ref=watch_permalink&amp;v=332681445500650")</f>
        <v>https://www.facebook.com/watch/live/?ref=watch_permalink&amp;v=332681445500650</v>
      </c>
      <c r="J1600" s="1" t="str">
        <f ca="1">IFERROR(__xludf.DUMMYFUNCTION("""COMPUTED_VALUE"""),"2022-07-04T15:43:23.769Z")</f>
        <v>2022-07-04T15:43:23.769Z</v>
      </c>
    </row>
    <row r="1601" spans="1:10" x14ac:dyDescent="0.2">
      <c r="A1601" s="2" t="str">
        <f ca="1">IFERROR(__xludf.DUMMYFUNCTION("""COMPUTED_VALUE"""),"https://www.facebook.com/melpcatre")</f>
        <v>https://www.facebook.com/melpcatre</v>
      </c>
      <c r="B1601" s="1" t="str">
        <f ca="1">IFERROR(__xludf.DUMMYFUNCTION("""COMPUTED_VALUE"""),"Lanlan Ertac")</f>
        <v>Lanlan Ertac</v>
      </c>
      <c r="C1601" s="1" t="str">
        <f ca="1">IFERROR(__xludf.DUMMYFUNCTION("""COMPUTED_VALUE"""),"Lanlan")</f>
        <v>Lanlan</v>
      </c>
      <c r="D1601" s="1" t="str">
        <f ca="1">IFERROR(__xludf.DUMMYFUNCTION("""COMPUTED_VALUE"""),"Ertac")</f>
        <v>Ertac</v>
      </c>
      <c r="E1601" s="1" t="str">
        <f ca="1">IFERROR(__xludf.DUMMYFUNCTION("""COMPUTED_VALUE"""),"The true good influencer to every Pilipino. An inspiration to everyone to strive harder to remain good despite of negativity around us. A true Leader! Ipanalo na natin ito! #LeniRobredoForPresident2022")</f>
        <v>The true good influencer to every Pilipino. An inspiration to everyone to strive harder to remain good despite of negativity around us. A true Leader! Ipanalo na natin ito! #LeniRobredoForPresident2022</v>
      </c>
      <c r="F1601" s="1">
        <f ca="1">IFERROR(__xludf.DUMMYFUNCTION("""COMPUTED_VALUE"""),20)</f>
        <v>20</v>
      </c>
      <c r="G1601" s="1" t="str">
        <f ca="1">IFERROR(__xludf.DUMMYFUNCTION("""COMPUTED_VALUE"""),"3 mos")</f>
        <v>3 mos</v>
      </c>
      <c r="H1601" s="1" t="str">
        <f ca="1">IFERROR(__xludf.DUMMYFUNCTION("""COMPUTED_VALUE"""),"comment")</f>
        <v>comment</v>
      </c>
      <c r="I1601" s="2" t="str">
        <f ca="1">IFERROR(__xludf.DUMMYFUNCTION("""COMPUTED_VALUE"""),"https://www.facebook.com/watch/live/?ref=watch_permalink&amp;v=332681445500650")</f>
        <v>https://www.facebook.com/watch/live/?ref=watch_permalink&amp;v=332681445500650</v>
      </c>
      <c r="J1601" s="1" t="str">
        <f ca="1">IFERROR(__xludf.DUMMYFUNCTION("""COMPUTED_VALUE"""),"2022-07-04T15:43:23.769Z")</f>
        <v>2022-07-04T15:43:23.769Z</v>
      </c>
    </row>
    <row r="1602" spans="1:10" x14ac:dyDescent="0.2">
      <c r="A1602" s="2" t="str">
        <f ca="1">IFERROR(__xludf.DUMMYFUNCTION("""COMPUTED_VALUE"""),"https://www.facebook.com/miki.iida1")</f>
        <v>https://www.facebook.com/miki.iida1</v>
      </c>
      <c r="B1602" s="1" t="str">
        <f ca="1">IFERROR(__xludf.DUMMYFUNCTION("""COMPUTED_VALUE"""),"Miki Iida")</f>
        <v>Miki Iida</v>
      </c>
      <c r="C1602" s="1" t="str">
        <f ca="1">IFERROR(__xludf.DUMMYFUNCTION("""COMPUTED_VALUE"""),"Miki")</f>
        <v>Miki</v>
      </c>
      <c r="D1602" s="1" t="str">
        <f ca="1">IFERROR(__xludf.DUMMYFUNCTION("""COMPUTED_VALUE"""),"Iida")</f>
        <v>Iida</v>
      </c>
      <c r="E1602" s="1" t="str">
        <f ca="1">IFERROR(__xludf.DUMMYFUNCTION("""COMPUTED_VALUE"""),"Lanlan Ertac What are you proud of her, she will not win her Smartmagic ay buking na.")</f>
        <v>Lanlan Ertac What are you proud of her, she will not win her Smartmagic ay buking na.</v>
      </c>
      <c r="F1602" s="1">
        <f ca="1">IFERROR(__xludf.DUMMYFUNCTION("""COMPUTED_VALUE"""),1)</f>
        <v>1</v>
      </c>
      <c r="G1602" s="1" t="str">
        <f ca="1">IFERROR(__xludf.DUMMYFUNCTION("""COMPUTED_VALUE"""),"3 mos")</f>
        <v>3 mos</v>
      </c>
      <c r="H1602" s="1" t="str">
        <f ca="1">IFERROR(__xludf.DUMMYFUNCTION("""COMPUTED_VALUE"""),"reply")</f>
        <v>reply</v>
      </c>
      <c r="I1602" s="2" t="str">
        <f ca="1">IFERROR(__xludf.DUMMYFUNCTION("""COMPUTED_VALUE"""),"https://www.facebook.com/watch/live/?ref=watch_permalink&amp;v=332681445500650")</f>
        <v>https://www.facebook.com/watch/live/?ref=watch_permalink&amp;v=332681445500650</v>
      </c>
      <c r="J1602" s="1" t="str">
        <f ca="1">IFERROR(__xludf.DUMMYFUNCTION("""COMPUTED_VALUE"""),"2022-07-04T15:43:23.769Z")</f>
        <v>2022-07-04T15:43:23.769Z</v>
      </c>
    </row>
    <row r="1603" spans="1:10" x14ac:dyDescent="0.2">
      <c r="A1603" s="2" t="str">
        <f ca="1">IFERROR(__xludf.DUMMYFUNCTION("""COMPUTED_VALUE"""),"https://www.facebook.com/paz.gerero.1")</f>
        <v>https://www.facebook.com/paz.gerero.1</v>
      </c>
      <c r="B1603" s="1" t="str">
        <f ca="1">IFERROR(__xludf.DUMMYFUNCTION("""COMPUTED_VALUE"""),"Paz Gerero")</f>
        <v>Paz Gerero</v>
      </c>
      <c r="C1603" s="1" t="str">
        <f ca="1">IFERROR(__xludf.DUMMYFUNCTION("""COMPUTED_VALUE"""),"Paz")</f>
        <v>Paz</v>
      </c>
      <c r="D1603" s="1" t="str">
        <f ca="1">IFERROR(__xludf.DUMMYFUNCTION("""COMPUTED_VALUE"""),"Gerero")</f>
        <v>Gerero</v>
      </c>
      <c r="E1603" s="1" t="str">
        <f ca="1">IFERROR(__xludf.DUMMYFUNCTION("""COMPUTED_VALUE"""),"Miki Iida bka gusto mo recount namn ulit .wag nasilaw sa kinang nasilaw sa character &amp; gud performance given by her in the early days before she became a public servant .may God bless us all")</f>
        <v>Miki Iida bka gusto mo recount namn ulit .wag nasilaw sa kinang nasilaw sa character &amp; gud performance given by her in the early days before she became a public servant .may God bless us all</v>
      </c>
      <c r="F1603" s="1"/>
      <c r="G1603" s="1" t="str">
        <f ca="1">IFERROR(__xludf.DUMMYFUNCTION("""COMPUTED_VALUE"""),"3 mos")</f>
        <v>3 mos</v>
      </c>
      <c r="H1603" s="1" t="str">
        <f ca="1">IFERROR(__xludf.DUMMYFUNCTION("""COMPUTED_VALUE"""),"reply")</f>
        <v>reply</v>
      </c>
      <c r="I1603" s="2" t="str">
        <f ca="1">IFERROR(__xludf.DUMMYFUNCTION("""COMPUTED_VALUE"""),"https://www.facebook.com/watch/live/?ref=watch_permalink&amp;v=332681445500650")</f>
        <v>https://www.facebook.com/watch/live/?ref=watch_permalink&amp;v=332681445500650</v>
      </c>
      <c r="J1603" s="1" t="str">
        <f ca="1">IFERROR(__xludf.DUMMYFUNCTION("""COMPUTED_VALUE"""),"2022-07-04T15:43:23.770Z")</f>
        <v>2022-07-04T15:43:23.770Z</v>
      </c>
    </row>
    <row r="1604" spans="1:10" x14ac:dyDescent="0.2">
      <c r="A1604" s="2" t="str">
        <f ca="1">IFERROR(__xludf.DUMMYFUNCTION("""COMPUTED_VALUE"""),"https://www.facebook.com/profile.php?id=100007622536597")</f>
        <v>https://www.facebook.com/profile.php?id=100007622536597</v>
      </c>
      <c r="B1604" s="1" t="str">
        <f ca="1">IFERROR(__xludf.DUMMYFUNCTION("""COMPUTED_VALUE"""),"Rose Jacob Parilla Lumancas")</f>
        <v>Rose Jacob Parilla Lumancas</v>
      </c>
      <c r="C1604" s="1" t="str">
        <f ca="1">IFERROR(__xludf.DUMMYFUNCTION("""COMPUTED_VALUE"""),"Rose")</f>
        <v>Rose</v>
      </c>
      <c r="D1604" s="1" t="str">
        <f ca="1">IFERROR(__xludf.DUMMYFUNCTION("""COMPUTED_VALUE"""),"Jacob Parilla Lumancas")</f>
        <v>Jacob Parilla Lumancas</v>
      </c>
      <c r="E1604" s="1" t="str">
        <f ca="1">IFERROR(__xludf.DUMMYFUNCTION("""COMPUTED_VALUE"""),"More Power to our dear vice soon to be the president of the Philippine Republic Stay safe always God bless you")</f>
        <v>More Power to our dear vice soon to be the president of the Philippine Republic Stay safe always God bless you</v>
      </c>
      <c r="F1604" s="1">
        <f ca="1">IFERROR(__xludf.DUMMYFUNCTION("""COMPUTED_VALUE"""),47)</f>
        <v>47</v>
      </c>
      <c r="G1604" s="1" t="str">
        <f ca="1">IFERROR(__xludf.DUMMYFUNCTION("""COMPUTED_VALUE"""),"3 mos")</f>
        <v>3 mos</v>
      </c>
      <c r="H1604" s="1" t="str">
        <f ca="1">IFERROR(__xludf.DUMMYFUNCTION("""COMPUTED_VALUE"""),"comment")</f>
        <v>comment</v>
      </c>
      <c r="I1604" s="2" t="str">
        <f ca="1">IFERROR(__xludf.DUMMYFUNCTION("""COMPUTED_VALUE"""),"https://www.facebook.com/watch/live/?ref=watch_permalink&amp;v=332681445500650")</f>
        <v>https://www.facebook.com/watch/live/?ref=watch_permalink&amp;v=332681445500650</v>
      </c>
      <c r="J1604" s="1" t="str">
        <f ca="1">IFERROR(__xludf.DUMMYFUNCTION("""COMPUTED_VALUE"""),"2022-07-04T15:43:23.770Z")</f>
        <v>2022-07-04T15:43:23.770Z</v>
      </c>
    </row>
    <row r="1605" spans="1:10" x14ac:dyDescent="0.2">
      <c r="A1605" s="2" t="str">
        <f ca="1">IFERROR(__xludf.DUMMYFUNCTION("""COMPUTED_VALUE"""),"https://www.facebook.com/istib.sabater.3")</f>
        <v>https://www.facebook.com/istib.sabater.3</v>
      </c>
      <c r="B1605" s="1" t="str">
        <f ca="1">IFERROR(__xludf.DUMMYFUNCTION("""COMPUTED_VALUE"""),"Istib Sabater")</f>
        <v>Istib Sabater</v>
      </c>
      <c r="C1605" s="1" t="str">
        <f ca="1">IFERROR(__xludf.DUMMYFUNCTION("""COMPUTED_VALUE"""),"Istib")</f>
        <v>Istib</v>
      </c>
      <c r="D1605" s="1" t="str">
        <f ca="1">IFERROR(__xludf.DUMMYFUNCTION("""COMPUTED_VALUE"""),"Sabater")</f>
        <v>Sabater</v>
      </c>
      <c r="E1605" s="1" t="str">
        <f ca="1">IFERROR(__xludf.DUMMYFUNCTION("""COMPUTED_VALUE"""),"Stay safe and healthy my future President Godbless always madam.")</f>
        <v>Stay safe and healthy my future President Godbless always madam.</v>
      </c>
      <c r="F1605" s="1">
        <f ca="1">IFERROR(__xludf.DUMMYFUNCTION("""COMPUTED_VALUE"""),8)</f>
        <v>8</v>
      </c>
      <c r="G1605" s="1" t="str">
        <f ca="1">IFERROR(__xludf.DUMMYFUNCTION("""COMPUTED_VALUE"""),"3 mos")</f>
        <v>3 mos</v>
      </c>
      <c r="H1605" s="1" t="str">
        <f ca="1">IFERROR(__xludf.DUMMYFUNCTION("""COMPUTED_VALUE"""),"comment")</f>
        <v>comment</v>
      </c>
      <c r="I1605" s="2" t="str">
        <f ca="1">IFERROR(__xludf.DUMMYFUNCTION("""COMPUTED_VALUE"""),"https://www.facebook.com/watch/live/?ref=watch_permalink&amp;v=332681445500650")</f>
        <v>https://www.facebook.com/watch/live/?ref=watch_permalink&amp;v=332681445500650</v>
      </c>
      <c r="J1605" s="1" t="str">
        <f ca="1">IFERROR(__xludf.DUMMYFUNCTION("""COMPUTED_VALUE"""),"2022-07-04T15:43:23.770Z")</f>
        <v>2022-07-04T15:43:23.770Z</v>
      </c>
    </row>
    <row r="1606" spans="1:10" x14ac:dyDescent="0.2">
      <c r="A1606" s="2" t="str">
        <f ca="1">IFERROR(__xludf.DUMMYFUNCTION("""COMPUTED_VALUE"""),"https://www.facebook.com/erlindaonaalbofera")</f>
        <v>https://www.facebook.com/erlindaonaalbofera</v>
      </c>
      <c r="B1606" s="1" t="str">
        <f ca="1">IFERROR(__xludf.DUMMYFUNCTION("""COMPUTED_VALUE"""),"Erlinda Albofera")</f>
        <v>Erlinda Albofera</v>
      </c>
      <c r="C1606" s="1" t="str">
        <f ca="1">IFERROR(__xludf.DUMMYFUNCTION("""COMPUTED_VALUE"""),"Erlinda")</f>
        <v>Erlinda</v>
      </c>
      <c r="D1606" s="1" t="str">
        <f ca="1">IFERROR(__xludf.DUMMYFUNCTION("""COMPUTED_VALUE"""),"Albofera")</f>
        <v>Albofera</v>
      </c>
      <c r="E1606" s="1" t="str">
        <f ca="1">IFERROR(__xludf.DUMMYFUNCTION("""COMPUTED_VALUE"""),"May God protect you and your team during your campaign rallies. 🙏🙏🙏")</f>
        <v>May God protect you and your team during your campaign rallies. 🙏🙏🙏</v>
      </c>
      <c r="F1606" s="1">
        <f ca="1">IFERROR(__xludf.DUMMYFUNCTION("""COMPUTED_VALUE"""),10)</f>
        <v>10</v>
      </c>
      <c r="G1606" s="1" t="str">
        <f ca="1">IFERROR(__xludf.DUMMYFUNCTION("""COMPUTED_VALUE"""),"3 mos")</f>
        <v>3 mos</v>
      </c>
      <c r="H1606" s="1" t="str">
        <f ca="1">IFERROR(__xludf.DUMMYFUNCTION("""COMPUTED_VALUE"""),"comment")</f>
        <v>comment</v>
      </c>
      <c r="I1606" s="2" t="str">
        <f ca="1">IFERROR(__xludf.DUMMYFUNCTION("""COMPUTED_VALUE"""),"https://www.facebook.com/watch/live/?ref=watch_permalink&amp;v=332681445500650")</f>
        <v>https://www.facebook.com/watch/live/?ref=watch_permalink&amp;v=332681445500650</v>
      </c>
      <c r="J1606" s="1" t="str">
        <f ca="1">IFERROR(__xludf.DUMMYFUNCTION("""COMPUTED_VALUE"""),"2022-07-04T15:43:23.770Z")</f>
        <v>2022-07-04T15:43:23.770Z</v>
      </c>
    </row>
    <row r="1607" spans="1:10" x14ac:dyDescent="0.2">
      <c r="A1607" s="2" t="str">
        <f ca="1">IFERROR(__xludf.DUMMYFUNCTION("""COMPUTED_VALUE"""),"https://www.facebook.com/viamarcelo")</f>
        <v>https://www.facebook.com/viamarcelo</v>
      </c>
      <c r="B1607" s="1" t="str">
        <f ca="1">IFERROR(__xludf.DUMMYFUNCTION("""COMPUTED_VALUE"""),"Elvie Marcelo")</f>
        <v>Elvie Marcelo</v>
      </c>
      <c r="C1607" s="1" t="str">
        <f ca="1">IFERROR(__xludf.DUMMYFUNCTION("""COMPUTED_VALUE"""),"Elvie")</f>
        <v>Elvie</v>
      </c>
      <c r="D1607" s="1" t="str">
        <f ca="1">IFERROR(__xludf.DUMMYFUNCTION("""COMPUTED_VALUE"""),"Marcelo")</f>
        <v>Marcelo</v>
      </c>
      <c r="E1607" s="1" t="str">
        <f ca="1">IFERROR(__xludf.DUMMYFUNCTION("""COMPUTED_VALUE"""),"God bless &amp; protect our future President")</f>
        <v>God bless &amp; protect our future President</v>
      </c>
      <c r="F1607" s="1">
        <f ca="1">IFERROR(__xludf.DUMMYFUNCTION("""COMPUTED_VALUE"""),15)</f>
        <v>15</v>
      </c>
      <c r="G1607" s="1" t="str">
        <f ca="1">IFERROR(__xludf.DUMMYFUNCTION("""COMPUTED_VALUE"""),"3 mos")</f>
        <v>3 mos</v>
      </c>
      <c r="H1607" s="1" t="str">
        <f ca="1">IFERROR(__xludf.DUMMYFUNCTION("""COMPUTED_VALUE"""),"comment")</f>
        <v>comment</v>
      </c>
      <c r="I1607" s="2" t="str">
        <f ca="1">IFERROR(__xludf.DUMMYFUNCTION("""COMPUTED_VALUE"""),"https://www.facebook.com/watch/live/?ref=watch_permalink&amp;v=332681445500650")</f>
        <v>https://www.facebook.com/watch/live/?ref=watch_permalink&amp;v=332681445500650</v>
      </c>
      <c r="J1607" s="1" t="str">
        <f ca="1">IFERROR(__xludf.DUMMYFUNCTION("""COMPUTED_VALUE"""),"2022-07-04T15:43:23.770Z")</f>
        <v>2022-07-04T15:43:23.770Z</v>
      </c>
    </row>
    <row r="1608" spans="1:10" x14ac:dyDescent="0.2">
      <c r="A1608" s="2" t="str">
        <f ca="1">IFERROR(__xludf.DUMMYFUNCTION("""COMPUTED_VALUE"""),"https://www.facebook.com/sonia.t.cruz")</f>
        <v>https://www.facebook.com/sonia.t.cruz</v>
      </c>
      <c r="B1608" s="1" t="str">
        <f ca="1">IFERROR(__xludf.DUMMYFUNCTION("""COMPUTED_VALUE"""),"Sonia T. Cruz")</f>
        <v>Sonia T. Cruz</v>
      </c>
      <c r="C1608" s="1" t="str">
        <f ca="1">IFERROR(__xludf.DUMMYFUNCTION("""COMPUTED_VALUE"""),"Sonia")</f>
        <v>Sonia</v>
      </c>
      <c r="D1608" s="1" t="str">
        <f ca="1">IFERROR(__xludf.DUMMYFUNCTION("""COMPUTED_VALUE"""),"T. Cruz")</f>
        <v>T. Cruz</v>
      </c>
      <c r="E1608" s="1" t="str">
        <f ca="1">IFERROR(__xludf.DUMMYFUNCTION("""COMPUTED_VALUE"""),"Stay safe and healthy, Madam President. May God bless you and protect you always! ✨🌸💖")</f>
        <v>Stay safe and healthy, Madam President. May God bless you and protect you always! ✨🌸💖</v>
      </c>
      <c r="F1608" s="1">
        <f ca="1">IFERROR(__xludf.DUMMYFUNCTION("""COMPUTED_VALUE"""),16)</f>
        <v>16</v>
      </c>
      <c r="G1608" s="1" t="str">
        <f ca="1">IFERROR(__xludf.DUMMYFUNCTION("""COMPUTED_VALUE"""),"3 mos")</f>
        <v>3 mos</v>
      </c>
      <c r="H1608" s="1" t="str">
        <f ca="1">IFERROR(__xludf.DUMMYFUNCTION("""COMPUTED_VALUE"""),"comment")</f>
        <v>comment</v>
      </c>
      <c r="I1608" s="2" t="str">
        <f ca="1">IFERROR(__xludf.DUMMYFUNCTION("""COMPUTED_VALUE"""),"https://www.facebook.com/watch/live/?ref=watch_permalink&amp;v=332681445500650")</f>
        <v>https://www.facebook.com/watch/live/?ref=watch_permalink&amp;v=332681445500650</v>
      </c>
      <c r="J1608" s="1" t="str">
        <f ca="1">IFERROR(__xludf.DUMMYFUNCTION("""COMPUTED_VALUE"""),"2022-07-04T15:43:23.770Z")</f>
        <v>2022-07-04T15:43:23.770Z</v>
      </c>
    </row>
    <row r="1609" spans="1:10" x14ac:dyDescent="0.2">
      <c r="A1609" s="2" t="str">
        <f ca="1">IFERROR(__xludf.DUMMYFUNCTION("""COMPUTED_VALUE"""),"https://www.facebook.com/ryutuc")</f>
        <v>https://www.facebook.com/ryutuc</v>
      </c>
      <c r="B1609" s="1" t="str">
        <f ca="1">IFERROR(__xludf.DUMMYFUNCTION("""COMPUTED_VALUE"""),"Yor Y Yut")</f>
        <v>Yor Y Yut</v>
      </c>
      <c r="C1609" s="1" t="str">
        <f ca="1">IFERROR(__xludf.DUMMYFUNCTION("""COMPUTED_VALUE"""),"Yor")</f>
        <v>Yor</v>
      </c>
      <c r="D1609" s="1" t="str">
        <f ca="1">IFERROR(__xludf.DUMMYFUNCTION("""COMPUTED_VALUE"""),"Y Yut")</f>
        <v>Y Yut</v>
      </c>
      <c r="E1609" s="1" t="str">
        <f ca="1">IFERROR(__xludf.DUMMYFUNCTION("""COMPUTED_VALUE"""),"My family's proud choice to be the next President of the Philippines!💕👌🏼")</f>
        <v>My family's proud choice to be the next President of the Philippines!💕👌🏼</v>
      </c>
      <c r="F1609" s="1">
        <f ca="1">IFERROR(__xludf.DUMMYFUNCTION("""COMPUTED_VALUE"""),30)</f>
        <v>30</v>
      </c>
      <c r="G1609" s="1" t="str">
        <f ca="1">IFERROR(__xludf.DUMMYFUNCTION("""COMPUTED_VALUE"""),"3 mos")</f>
        <v>3 mos</v>
      </c>
      <c r="H1609" s="1" t="str">
        <f ca="1">IFERROR(__xludf.DUMMYFUNCTION("""COMPUTED_VALUE"""),"comment")</f>
        <v>comment</v>
      </c>
      <c r="I1609" s="2" t="str">
        <f ca="1">IFERROR(__xludf.DUMMYFUNCTION("""COMPUTED_VALUE"""),"https://www.facebook.com/watch/live/?ref=watch_permalink&amp;v=332681445500650")</f>
        <v>https://www.facebook.com/watch/live/?ref=watch_permalink&amp;v=332681445500650</v>
      </c>
      <c r="J1609" s="1" t="str">
        <f ca="1">IFERROR(__xludf.DUMMYFUNCTION("""COMPUTED_VALUE"""),"2022-07-04T15:43:23.770Z")</f>
        <v>2022-07-04T15:43:23.770Z</v>
      </c>
    </row>
    <row r="1610" spans="1:10" x14ac:dyDescent="0.2">
      <c r="A1610" s="2" t="str">
        <f ca="1">IFERROR(__xludf.DUMMYFUNCTION("""COMPUTED_VALUE"""),"https://www.facebook.com/paul.balite")</f>
        <v>https://www.facebook.com/paul.balite</v>
      </c>
      <c r="B1610" s="1" t="str">
        <f ca="1">IFERROR(__xludf.DUMMYFUNCTION("""COMPUTED_VALUE"""),"Paul Heherson M. Balite")</f>
        <v>Paul Heherson M. Balite</v>
      </c>
      <c r="C1610" s="1" t="str">
        <f ca="1">IFERROR(__xludf.DUMMYFUNCTION("""COMPUTED_VALUE"""),"Paul")</f>
        <v>Paul</v>
      </c>
      <c r="D1610" s="1" t="str">
        <f ca="1">IFERROR(__xludf.DUMMYFUNCTION("""COMPUTED_VALUE"""),"Heherson M. Balite")</f>
        <v>Heherson M. Balite</v>
      </c>
      <c r="E1610" s="1" t="str">
        <f ca="1">IFERROR(__xludf.DUMMYFUNCTION("""COMPUTED_VALUE"""),"Thank you for your tireless work for the people, my Madam President! 🌸💯💪")</f>
        <v>Thank you for your tireless work for the people, my Madam President! 🌸💯💪</v>
      </c>
      <c r="F1610" s="1">
        <f ca="1">IFERROR(__xludf.DUMMYFUNCTION("""COMPUTED_VALUE"""),13)</f>
        <v>13</v>
      </c>
      <c r="G1610" s="1" t="str">
        <f ca="1">IFERROR(__xludf.DUMMYFUNCTION("""COMPUTED_VALUE"""),"3 mos")</f>
        <v>3 mos</v>
      </c>
      <c r="H1610" s="1" t="str">
        <f ca="1">IFERROR(__xludf.DUMMYFUNCTION("""COMPUTED_VALUE"""),"comment")</f>
        <v>comment</v>
      </c>
      <c r="I1610" s="2" t="str">
        <f ca="1">IFERROR(__xludf.DUMMYFUNCTION("""COMPUTED_VALUE"""),"https://www.facebook.com/watch/live/?ref=watch_permalink&amp;v=332681445500650")</f>
        <v>https://www.facebook.com/watch/live/?ref=watch_permalink&amp;v=332681445500650</v>
      </c>
      <c r="J1610" s="1" t="str">
        <f ca="1">IFERROR(__xludf.DUMMYFUNCTION("""COMPUTED_VALUE"""),"2022-07-04T15:43:23.770Z")</f>
        <v>2022-07-04T15:43:23.770Z</v>
      </c>
    </row>
    <row r="1611" spans="1:10" x14ac:dyDescent="0.2">
      <c r="A1611" s="2" t="str">
        <f ca="1">IFERROR(__xludf.DUMMYFUNCTION("""COMPUTED_VALUE"""),"https://www.facebook.com/paz.gerero.1")</f>
        <v>https://www.facebook.com/paz.gerero.1</v>
      </c>
      <c r="B1611" s="1" t="str">
        <f ca="1">IFERROR(__xludf.DUMMYFUNCTION("""COMPUTED_VALUE"""),"Paz Gerero")</f>
        <v>Paz Gerero</v>
      </c>
      <c r="C1611" s="1" t="str">
        <f ca="1">IFERROR(__xludf.DUMMYFUNCTION("""COMPUTED_VALUE"""),"Paz")</f>
        <v>Paz</v>
      </c>
      <c r="D1611" s="1" t="str">
        <f ca="1">IFERROR(__xludf.DUMMYFUNCTION("""COMPUTED_VALUE"""),"Gerero")</f>
        <v>Gerero</v>
      </c>
      <c r="E1611" s="1" t="str">
        <f ca="1">IFERROR(__xludf.DUMMYFUNCTION("""COMPUTED_VALUE"""),"Paul Heherson M. Balite sanay na nuon pa mn workaholic siya")</f>
        <v>Paul Heherson M. Balite sanay na nuon pa mn workaholic siya</v>
      </c>
      <c r="F1611" s="1">
        <f ca="1">IFERROR(__xludf.DUMMYFUNCTION("""COMPUTED_VALUE"""),1)</f>
        <v>1</v>
      </c>
      <c r="G1611" s="1" t="str">
        <f ca="1">IFERROR(__xludf.DUMMYFUNCTION("""COMPUTED_VALUE"""),"3 mos")</f>
        <v>3 mos</v>
      </c>
      <c r="H1611" s="1" t="str">
        <f ca="1">IFERROR(__xludf.DUMMYFUNCTION("""COMPUTED_VALUE"""),"reply")</f>
        <v>reply</v>
      </c>
      <c r="I1611" s="2" t="str">
        <f ca="1">IFERROR(__xludf.DUMMYFUNCTION("""COMPUTED_VALUE"""),"https://www.facebook.com/watch/live/?ref=watch_permalink&amp;v=332681445500650")</f>
        <v>https://www.facebook.com/watch/live/?ref=watch_permalink&amp;v=332681445500650</v>
      </c>
      <c r="J1611" s="1" t="str">
        <f ca="1">IFERROR(__xludf.DUMMYFUNCTION("""COMPUTED_VALUE"""),"2022-07-04T15:43:23.770Z")</f>
        <v>2022-07-04T15:43:23.770Z</v>
      </c>
    </row>
    <row r="1612" spans="1:10" x14ac:dyDescent="0.2">
      <c r="A1612" s="2" t="str">
        <f ca="1">IFERROR(__xludf.DUMMYFUNCTION("""COMPUTED_VALUE"""),"https://www.facebook.com/danielle.reyeshabla")</f>
        <v>https://www.facebook.com/danielle.reyeshabla</v>
      </c>
      <c r="B1612" s="1" t="str">
        <f ca="1">IFERROR(__xludf.DUMMYFUNCTION("""COMPUTED_VALUE"""),"Elsie Reyes-Habla")</f>
        <v>Elsie Reyes-Habla</v>
      </c>
      <c r="C1612" s="1" t="str">
        <f ca="1">IFERROR(__xludf.DUMMYFUNCTION("""COMPUTED_VALUE"""),"Elsie")</f>
        <v>Elsie</v>
      </c>
      <c r="D1612" s="1" t="str">
        <f ca="1">IFERROR(__xludf.DUMMYFUNCTION("""COMPUTED_VALUE"""),"Reyes-Habla")</f>
        <v>Reyes-Habla</v>
      </c>
      <c r="E1612" s="1" t="str">
        <f ca="1">IFERROR(__xludf.DUMMYFUNCTION("""COMPUTED_VALUE"""),"Wow! Kulay Rosas ka talaga madam VP#LeniRobredoForPresident2022  God bless you po always And good health po. ❤️💕💕💕💕")</f>
        <v>Wow! Kulay Rosas ka talaga madam VP#LeniRobredoForPresident2022  God bless you po always And good health po. ❤️💕💕💕💕</v>
      </c>
      <c r="F1612" s="1">
        <f ca="1">IFERROR(__xludf.DUMMYFUNCTION("""COMPUTED_VALUE"""),3)</f>
        <v>3</v>
      </c>
      <c r="G1612" s="1" t="str">
        <f ca="1">IFERROR(__xludf.DUMMYFUNCTION("""COMPUTED_VALUE"""),"3 mos")</f>
        <v>3 mos</v>
      </c>
      <c r="H1612" s="1" t="str">
        <f ca="1">IFERROR(__xludf.DUMMYFUNCTION("""COMPUTED_VALUE"""),"comment")</f>
        <v>comment</v>
      </c>
      <c r="I1612" s="2" t="str">
        <f ca="1">IFERROR(__xludf.DUMMYFUNCTION("""COMPUTED_VALUE"""),"https://www.facebook.com/watch/live/?ref=watch_permalink&amp;v=332681445500650")</f>
        <v>https://www.facebook.com/watch/live/?ref=watch_permalink&amp;v=332681445500650</v>
      </c>
      <c r="J1612" s="1" t="str">
        <f ca="1">IFERROR(__xludf.DUMMYFUNCTION("""COMPUTED_VALUE"""),"2022-07-04T15:43:23.770Z")</f>
        <v>2022-07-04T15:43:23.770Z</v>
      </c>
    </row>
    <row r="1613" spans="1:10" x14ac:dyDescent="0.2">
      <c r="A1613" s="2" t="str">
        <f ca="1">IFERROR(__xludf.DUMMYFUNCTION("""COMPUTED_VALUE"""),"https://www.facebook.com/melanie.diomampo.7")</f>
        <v>https://www.facebook.com/melanie.diomampo.7</v>
      </c>
      <c r="B1613" s="1" t="str">
        <f ca="1">IFERROR(__xludf.DUMMYFUNCTION("""COMPUTED_VALUE"""),"Melanie Diomampo")</f>
        <v>Melanie Diomampo</v>
      </c>
      <c r="C1613" s="1" t="str">
        <f ca="1">IFERROR(__xludf.DUMMYFUNCTION("""COMPUTED_VALUE"""),"Melanie")</f>
        <v>Melanie</v>
      </c>
      <c r="D1613" s="1" t="str">
        <f ca="1">IFERROR(__xludf.DUMMYFUNCTION("""COMPUTED_VALUE"""),"Diomampo")</f>
        <v>Diomampo</v>
      </c>
      <c r="E1613" s="1" t="str">
        <f ca="1">IFERROR(__xludf.DUMMYFUNCTION("""COMPUTED_VALUE"""),"Inspired, because like most of us love Philippines.")</f>
        <v>Inspired, because like most of us love Philippines.</v>
      </c>
      <c r="F1613" s="1">
        <f ca="1">IFERROR(__xludf.DUMMYFUNCTION("""COMPUTED_VALUE"""),5)</f>
        <v>5</v>
      </c>
      <c r="G1613" s="1" t="str">
        <f ca="1">IFERROR(__xludf.DUMMYFUNCTION("""COMPUTED_VALUE"""),"3 mos")</f>
        <v>3 mos</v>
      </c>
      <c r="H1613" s="1" t="str">
        <f ca="1">IFERROR(__xludf.DUMMYFUNCTION("""COMPUTED_VALUE"""),"comment")</f>
        <v>comment</v>
      </c>
      <c r="I1613" s="2" t="str">
        <f ca="1">IFERROR(__xludf.DUMMYFUNCTION("""COMPUTED_VALUE"""),"https://www.facebook.com/watch/live/?ref=watch_permalink&amp;v=332681445500650")</f>
        <v>https://www.facebook.com/watch/live/?ref=watch_permalink&amp;v=332681445500650</v>
      </c>
      <c r="J1613" s="1" t="str">
        <f ca="1">IFERROR(__xludf.DUMMYFUNCTION("""COMPUTED_VALUE"""),"2022-07-04T15:43:23.770Z")</f>
        <v>2022-07-04T15:43:23.770Z</v>
      </c>
    </row>
    <row r="1614" spans="1:10" x14ac:dyDescent="0.2">
      <c r="A1614" s="2" t="str">
        <f ca="1">IFERROR(__xludf.DUMMYFUNCTION("""COMPUTED_VALUE"""),"https://www.facebook.com/profile.php?id=100071843274449")</f>
        <v>https://www.facebook.com/profile.php?id=100071843274449</v>
      </c>
      <c r="B1614" s="1" t="str">
        <f ca="1">IFERROR(__xludf.DUMMYFUNCTION("""COMPUTED_VALUE"""),"Remedios Baldoza Hallare")</f>
        <v>Remedios Baldoza Hallare</v>
      </c>
      <c r="C1614" s="1" t="str">
        <f ca="1">IFERROR(__xludf.DUMMYFUNCTION("""COMPUTED_VALUE"""),"Remedios")</f>
        <v>Remedios</v>
      </c>
      <c r="D1614" s="1" t="str">
        <f ca="1">IFERROR(__xludf.DUMMYFUNCTION("""COMPUTED_VALUE"""),"Baldoza Hallare")</f>
        <v>Baldoza Hallare</v>
      </c>
      <c r="E1614" s="1" t="str">
        <f ca="1">IFERROR(__xludf.DUMMYFUNCTION("""COMPUTED_VALUE"""),"Do take care of your health Madam VPLENI🇵🇭💗🙏")</f>
        <v>Do take care of your health Madam VPLENI🇵🇭💗🙏</v>
      </c>
      <c r="F1614" s="1">
        <f ca="1">IFERROR(__xludf.DUMMYFUNCTION("""COMPUTED_VALUE"""),4)</f>
        <v>4</v>
      </c>
      <c r="G1614" s="1" t="str">
        <f ca="1">IFERROR(__xludf.DUMMYFUNCTION("""COMPUTED_VALUE"""),"3 mos")</f>
        <v>3 mos</v>
      </c>
      <c r="H1614" s="1" t="str">
        <f ca="1">IFERROR(__xludf.DUMMYFUNCTION("""COMPUTED_VALUE"""),"comment")</f>
        <v>comment</v>
      </c>
      <c r="I1614" s="2" t="str">
        <f ca="1">IFERROR(__xludf.DUMMYFUNCTION("""COMPUTED_VALUE"""),"https://www.facebook.com/watch/live/?ref=watch_permalink&amp;v=332681445500650")</f>
        <v>https://www.facebook.com/watch/live/?ref=watch_permalink&amp;v=332681445500650</v>
      </c>
      <c r="J1614" s="1" t="str">
        <f ca="1">IFERROR(__xludf.DUMMYFUNCTION("""COMPUTED_VALUE"""),"2022-07-04T15:43:23.770Z")</f>
        <v>2022-07-04T15:43:23.770Z</v>
      </c>
    </row>
    <row r="1615" spans="1:10" x14ac:dyDescent="0.2">
      <c r="A1615" s="2" t="str">
        <f ca="1">IFERROR(__xludf.DUMMYFUNCTION("""COMPUTED_VALUE"""),"https://www.facebook.com/liza.isagra")</f>
        <v>https://www.facebook.com/liza.isagra</v>
      </c>
      <c r="B1615" s="1" t="str">
        <f ca="1">IFERROR(__xludf.DUMMYFUNCTION("""COMPUTED_VALUE"""),"Liza Isagra")</f>
        <v>Liza Isagra</v>
      </c>
      <c r="C1615" s="1" t="str">
        <f ca="1">IFERROR(__xludf.DUMMYFUNCTION("""COMPUTED_VALUE"""),"Liza")</f>
        <v>Liza</v>
      </c>
      <c r="D1615" s="1" t="str">
        <f ca="1">IFERROR(__xludf.DUMMYFUNCTION("""COMPUTED_VALUE"""),"Isagra")</f>
        <v>Isagra</v>
      </c>
      <c r="E1615" s="1" t="str">
        <f ca="1">IFERROR(__xludf.DUMMYFUNCTION("""COMPUTED_VALUE"""),"God bless your good health and keep safe always")</f>
        <v>God bless your good health and keep safe always</v>
      </c>
      <c r="F1615" s="1">
        <f ca="1">IFERROR(__xludf.DUMMYFUNCTION("""COMPUTED_VALUE"""),4)</f>
        <v>4</v>
      </c>
      <c r="G1615" s="1" t="str">
        <f ca="1">IFERROR(__xludf.DUMMYFUNCTION("""COMPUTED_VALUE"""),"3 mos")</f>
        <v>3 mos</v>
      </c>
      <c r="H1615" s="1" t="str">
        <f ca="1">IFERROR(__xludf.DUMMYFUNCTION("""COMPUTED_VALUE"""),"comment")</f>
        <v>comment</v>
      </c>
      <c r="I1615" s="2" t="str">
        <f ca="1">IFERROR(__xludf.DUMMYFUNCTION("""COMPUTED_VALUE"""),"https://www.facebook.com/watch/live/?ref=watch_permalink&amp;v=332681445500650")</f>
        <v>https://www.facebook.com/watch/live/?ref=watch_permalink&amp;v=332681445500650</v>
      </c>
      <c r="J1615" s="1" t="str">
        <f ca="1">IFERROR(__xludf.DUMMYFUNCTION("""COMPUTED_VALUE"""),"2022-07-04T15:43:23.770Z")</f>
        <v>2022-07-04T15:43:23.770Z</v>
      </c>
    </row>
    <row r="1616" spans="1:10" x14ac:dyDescent="0.2">
      <c r="A1616" s="2" t="str">
        <f ca="1">IFERROR(__xludf.DUMMYFUNCTION("""COMPUTED_VALUE"""),"https://www.facebook.com/ghaga.c.landero")</f>
        <v>https://www.facebook.com/ghaga.c.landero</v>
      </c>
      <c r="B1616" s="1" t="str">
        <f ca="1">IFERROR(__xludf.DUMMYFUNCTION("""COMPUTED_VALUE"""),"Gha Capuyan Landero")</f>
        <v>Gha Capuyan Landero</v>
      </c>
      <c r="C1616" s="1" t="str">
        <f ca="1">IFERROR(__xludf.DUMMYFUNCTION("""COMPUTED_VALUE"""),"Gha")</f>
        <v>Gha</v>
      </c>
      <c r="D1616" s="1" t="str">
        <f ca="1">IFERROR(__xludf.DUMMYFUNCTION("""COMPUTED_VALUE"""),"Capuyan Landero")</f>
        <v>Capuyan Landero</v>
      </c>
      <c r="E1616" s="1" t="str">
        <f ca="1">IFERROR(__xludf.DUMMYFUNCTION("""COMPUTED_VALUE"""),"We Love you Madame President,  galing pa po ako nangangampanya para sa inyong Dalawa ni Senator Kiko 💖  #GobyernongTapatAngatBuhayAngLahat")</f>
        <v>We Love you Madame President,  galing pa po ako nangangampanya para sa inyong Dalawa ni Senator Kiko 💖  #GobyernongTapatAngatBuhayAngLahat</v>
      </c>
      <c r="F1616" s="1">
        <f ca="1">IFERROR(__xludf.DUMMYFUNCTION("""COMPUTED_VALUE"""),19)</f>
        <v>19</v>
      </c>
      <c r="G1616" s="1" t="str">
        <f ca="1">IFERROR(__xludf.DUMMYFUNCTION("""COMPUTED_VALUE"""),"3 mos")</f>
        <v>3 mos</v>
      </c>
      <c r="H1616" s="1" t="str">
        <f ca="1">IFERROR(__xludf.DUMMYFUNCTION("""COMPUTED_VALUE"""),"comment")</f>
        <v>comment</v>
      </c>
      <c r="I1616" s="2" t="str">
        <f ca="1">IFERROR(__xludf.DUMMYFUNCTION("""COMPUTED_VALUE"""),"https://www.facebook.com/watch/live/?ref=watch_permalink&amp;v=332681445500650")</f>
        <v>https://www.facebook.com/watch/live/?ref=watch_permalink&amp;v=332681445500650</v>
      </c>
      <c r="J1616" s="1" t="str">
        <f ca="1">IFERROR(__xludf.DUMMYFUNCTION("""COMPUTED_VALUE"""),"2022-07-04T15:43:23.770Z")</f>
        <v>2022-07-04T15:43:23.770Z</v>
      </c>
    </row>
    <row r="1617" spans="1:10" x14ac:dyDescent="0.2">
      <c r="A1617" s="2" t="str">
        <f ca="1">IFERROR(__xludf.DUMMYFUNCTION("""COMPUTED_VALUE"""),"https://www.facebook.com/elizabeth.eslao")</f>
        <v>https://www.facebook.com/elizabeth.eslao</v>
      </c>
      <c r="B1617" s="1" t="str">
        <f ca="1">IFERROR(__xludf.DUMMYFUNCTION("""COMPUTED_VALUE"""),"Elizabeth Eslao")</f>
        <v>Elizabeth Eslao</v>
      </c>
      <c r="C1617" s="1" t="str">
        <f ca="1">IFERROR(__xludf.DUMMYFUNCTION("""COMPUTED_VALUE"""),"Elizabeth")</f>
        <v>Elizabeth</v>
      </c>
      <c r="D1617" s="1" t="str">
        <f ca="1">IFERROR(__xludf.DUMMYFUNCTION("""COMPUTED_VALUE"""),"Eslao")</f>
        <v>Eslao</v>
      </c>
      <c r="E1617" s="1" t="str">
        <f ca="1">IFERROR(__xludf.DUMMYFUNCTION("""COMPUTED_VALUE"""),"💖💖💖💖💖💖💖💖💖💖 God bless you #LeniIsMyPresident and keep you safe always.")</f>
        <v>💖💖💖💖💖💖💖💖💖💖 God bless you #LeniIsMyPresident and keep you safe always.</v>
      </c>
      <c r="F1617" s="1">
        <f ca="1">IFERROR(__xludf.DUMMYFUNCTION("""COMPUTED_VALUE"""),3)</f>
        <v>3</v>
      </c>
      <c r="G1617" s="1" t="str">
        <f ca="1">IFERROR(__xludf.DUMMYFUNCTION("""COMPUTED_VALUE"""),"3 mos")</f>
        <v>3 mos</v>
      </c>
      <c r="H1617" s="1" t="str">
        <f ca="1">IFERROR(__xludf.DUMMYFUNCTION("""COMPUTED_VALUE"""),"comment")</f>
        <v>comment</v>
      </c>
      <c r="I1617" s="2" t="str">
        <f ca="1">IFERROR(__xludf.DUMMYFUNCTION("""COMPUTED_VALUE"""),"https://www.facebook.com/watch/live/?ref=watch_permalink&amp;v=332681445500650")</f>
        <v>https://www.facebook.com/watch/live/?ref=watch_permalink&amp;v=332681445500650</v>
      </c>
      <c r="J1617" s="1" t="str">
        <f ca="1">IFERROR(__xludf.DUMMYFUNCTION("""COMPUTED_VALUE"""),"2022-07-04T15:43:23.770Z")</f>
        <v>2022-07-04T15:43:23.770Z</v>
      </c>
    </row>
    <row r="1618" spans="1:10" x14ac:dyDescent="0.2">
      <c r="A1618" s="2" t="str">
        <f ca="1">IFERROR(__xludf.DUMMYFUNCTION("""COMPUTED_VALUE"""),"https://www.facebook.com/gigidominguezdelosreyes")</f>
        <v>https://www.facebook.com/gigidominguezdelosreyes</v>
      </c>
      <c r="B1618" s="1" t="str">
        <f ca="1">IFERROR(__xludf.DUMMYFUNCTION("""COMPUTED_VALUE"""),"Gigi Delos Reyes")</f>
        <v>Gigi Delos Reyes</v>
      </c>
      <c r="C1618" s="1" t="str">
        <f ca="1">IFERROR(__xludf.DUMMYFUNCTION("""COMPUTED_VALUE"""),"Gigi")</f>
        <v>Gigi</v>
      </c>
      <c r="D1618" s="1" t="str">
        <f ca="1">IFERROR(__xludf.DUMMYFUNCTION("""COMPUTED_VALUE"""),"Delos Reyes")</f>
        <v>Delos Reyes</v>
      </c>
      <c r="E1618" s="1" t="str">
        <f ca="1">IFERROR(__xludf.DUMMYFUNCTION("""COMPUTED_VALUE"""),"Your energy coming from above. Thanks for doing this for the country 💞💞💞")</f>
        <v>Your energy coming from above. Thanks for doing this for the country 💞💞💞</v>
      </c>
      <c r="F1618" s="1">
        <f ca="1">IFERROR(__xludf.DUMMYFUNCTION("""COMPUTED_VALUE"""),3)</f>
        <v>3</v>
      </c>
      <c r="G1618" s="1" t="str">
        <f ca="1">IFERROR(__xludf.DUMMYFUNCTION("""COMPUTED_VALUE"""),"3 mos")</f>
        <v>3 mos</v>
      </c>
      <c r="H1618" s="1" t="str">
        <f ca="1">IFERROR(__xludf.DUMMYFUNCTION("""COMPUTED_VALUE"""),"comment")</f>
        <v>comment</v>
      </c>
      <c r="I1618" s="2" t="str">
        <f ca="1">IFERROR(__xludf.DUMMYFUNCTION("""COMPUTED_VALUE"""),"https://www.facebook.com/watch/live/?ref=watch_permalink&amp;v=332681445500650")</f>
        <v>https://www.facebook.com/watch/live/?ref=watch_permalink&amp;v=332681445500650</v>
      </c>
      <c r="J1618" s="1" t="str">
        <f ca="1">IFERROR(__xludf.DUMMYFUNCTION("""COMPUTED_VALUE"""),"2022-07-04T15:43:23.770Z")</f>
        <v>2022-07-04T15:43:23.770Z</v>
      </c>
    </row>
    <row r="1619" spans="1:10" x14ac:dyDescent="0.2">
      <c r="A1619" s="2" t="str">
        <f ca="1">IFERROR(__xludf.DUMMYFUNCTION("""COMPUTED_VALUE"""),"https://www.facebook.com/iamwilverlalu")</f>
        <v>https://www.facebook.com/iamwilverlalu</v>
      </c>
      <c r="B1619" s="1" t="str">
        <f ca="1">IFERROR(__xludf.DUMMYFUNCTION("""COMPUTED_VALUE"""),"Wilver Rosco Lalu")</f>
        <v>Wilver Rosco Lalu</v>
      </c>
      <c r="C1619" s="1" t="str">
        <f ca="1">IFERROR(__xludf.DUMMYFUNCTION("""COMPUTED_VALUE"""),"Wilver")</f>
        <v>Wilver</v>
      </c>
      <c r="D1619" s="1" t="str">
        <f ca="1">IFERROR(__xludf.DUMMYFUNCTION("""COMPUTED_VALUE"""),"Rosco Lalu")</f>
        <v>Rosco Lalu</v>
      </c>
      <c r="E1619" s="1" t="str">
        <f ca="1">IFERROR(__xludf.DUMMYFUNCTION("""COMPUTED_VALUE"""),"Proud of you, my President 💖💖💖 #IpanaloNaNa10To")</f>
        <v>Proud of you, my President 💖💖💖 #IpanaloNaNa10To</v>
      </c>
      <c r="F1619" s="1"/>
      <c r="G1619" s="1" t="str">
        <f ca="1">IFERROR(__xludf.DUMMYFUNCTION("""COMPUTED_VALUE"""),"3 mos")</f>
        <v>3 mos</v>
      </c>
      <c r="H1619" s="1" t="str">
        <f ca="1">IFERROR(__xludf.DUMMYFUNCTION("""COMPUTED_VALUE"""),"comment")</f>
        <v>comment</v>
      </c>
      <c r="I1619" s="2" t="str">
        <f ca="1">IFERROR(__xludf.DUMMYFUNCTION("""COMPUTED_VALUE"""),"https://www.facebook.com/watch/live/?ref=watch_permalink&amp;v=332681445500650")</f>
        <v>https://www.facebook.com/watch/live/?ref=watch_permalink&amp;v=332681445500650</v>
      </c>
      <c r="J1619" s="1" t="str">
        <f ca="1">IFERROR(__xludf.DUMMYFUNCTION("""COMPUTED_VALUE"""),"2022-07-04T15:43:23.770Z")</f>
        <v>2022-07-04T15:43:23.770Z</v>
      </c>
    </row>
    <row r="1620" spans="1:10" x14ac:dyDescent="0.2">
      <c r="A1620" s="2" t="str">
        <f ca="1">IFERROR(__xludf.DUMMYFUNCTION("""COMPUTED_VALUE"""),"https://www.facebook.com/annie.hao.58")</f>
        <v>https://www.facebook.com/annie.hao.58</v>
      </c>
      <c r="B1620" s="1" t="str">
        <f ca="1">IFERROR(__xludf.DUMMYFUNCTION("""COMPUTED_VALUE"""),"Santos Tonette")</f>
        <v>Santos Tonette</v>
      </c>
      <c r="C1620" s="1" t="str">
        <f ca="1">IFERROR(__xludf.DUMMYFUNCTION("""COMPUTED_VALUE"""),"Santos")</f>
        <v>Santos</v>
      </c>
      <c r="D1620" s="1" t="str">
        <f ca="1">IFERROR(__xludf.DUMMYFUNCTION("""COMPUTED_VALUE"""),"Tonette")</f>
        <v>Tonette</v>
      </c>
      <c r="E1620" s="1" t="str">
        <f ca="1">IFERROR(__xludf.DUMMYFUNCTION("""COMPUTED_VALUE"""),"As always, Mayor Isko is true to his stand ""Tao Muna"".  He can sacrifice his political campaigns - so people can safely go home or go to places that are safe for them.  He had to confer with Sen. Recto about cutting short their speeches.  To announce to"&amp;" people their plans on the remaining campaign activities arranged by Sen. Recto.  This is the real Mayor Isko.  Flexible, proactive and ready to serve the people - at all times.")</f>
        <v>As always, Mayor Isko is true to his stand "Tao Muna".  He can sacrifice his political campaigns - so people can safely go home or go to places that are safe for them.  He had to confer with Sen. Recto about cutting short their speeches.  To announce to people their plans on the remaining campaign activities arranged by Sen. Recto.  This is the real Mayor Isko.  Flexible, proactive and ready to serve the people - at all times.</v>
      </c>
      <c r="F1620" s="1">
        <f ca="1">IFERROR(__xludf.DUMMYFUNCTION("""COMPUTED_VALUE"""),1)</f>
        <v>1</v>
      </c>
      <c r="G1620" s="1" t="str">
        <f ca="1">IFERROR(__xludf.DUMMYFUNCTION("""COMPUTED_VALUE"""),"3 mos")</f>
        <v>3 mos</v>
      </c>
      <c r="H1620" s="1" t="str">
        <f ca="1">IFERROR(__xludf.DUMMYFUNCTION("""COMPUTED_VALUE"""),"comment")</f>
        <v>comment</v>
      </c>
      <c r="I1620" s="2" t="str">
        <f ca="1">IFERROR(__xludf.DUMMYFUNCTION("""COMPUTED_VALUE"""),"https://www.facebook.com/rapplerdotcom/posts/pfbid035u2RhZvcYSiCeymgBfXLoFoq87y2V8v81A9xDtyoKJgzTGtotsEEoj2bH7Zd4mtzl")</f>
        <v>https://www.facebook.com/rapplerdotcom/posts/pfbid035u2RhZvcYSiCeymgBfXLoFoq87y2V8v81A9xDtyoKJgzTGtotsEEoj2bH7Zd4mtzl</v>
      </c>
      <c r="J1620" s="1" t="str">
        <f ca="1">IFERROR(__xludf.DUMMYFUNCTION("""COMPUTED_VALUE"""),"2022-07-04T15:43:46.723Z")</f>
        <v>2022-07-04T15:43:46.723Z</v>
      </c>
    </row>
    <row r="1621" spans="1:10" x14ac:dyDescent="0.2">
      <c r="A1621" s="2" t="str">
        <f ca="1">IFERROR(__xludf.DUMMYFUNCTION("""COMPUTED_VALUE"""),"https://www.facebook.com/profile.php?id=100077672017175")</f>
        <v>https://www.facebook.com/profile.php?id=100077672017175</v>
      </c>
      <c r="B1621" s="1" t="str">
        <f ca="1">IFERROR(__xludf.DUMMYFUNCTION("""COMPUTED_VALUE"""),"Jarvis Santillán")</f>
        <v>Jarvis Santillán</v>
      </c>
      <c r="C1621" s="1" t="str">
        <f ca="1">IFERROR(__xludf.DUMMYFUNCTION("""COMPUTED_VALUE"""),"Jarvis")</f>
        <v>Jarvis</v>
      </c>
      <c r="D1621" s="1" t="str">
        <f ca="1">IFERROR(__xludf.DUMMYFUNCTION("""COMPUTED_VALUE"""),"Santillán")</f>
        <v>Santillán</v>
      </c>
      <c r="E1621" s="1" t="str">
        <f ca="1">IFERROR(__xludf.DUMMYFUNCTION("""COMPUTED_VALUE"""),"Si isko sure win na yan. Si Isko akon iboto kay madamo siya ya nga mahimo")</f>
        <v>Si isko sure win na yan. Si Isko akon iboto kay madamo siya ya nga mahimo</v>
      </c>
      <c r="F1621" s="1">
        <f ca="1">IFERROR(__xludf.DUMMYFUNCTION("""COMPUTED_VALUE"""),1)</f>
        <v>1</v>
      </c>
      <c r="G1621" s="1" t="str">
        <f ca="1">IFERROR(__xludf.DUMMYFUNCTION("""COMPUTED_VALUE"""),"3 mos")</f>
        <v>3 mos</v>
      </c>
      <c r="H1621" s="1" t="str">
        <f ca="1">IFERROR(__xludf.DUMMYFUNCTION("""COMPUTED_VALUE"""),"comment")</f>
        <v>comment</v>
      </c>
      <c r="I1621" s="2" t="str">
        <f ca="1">IFERROR(__xludf.DUMMYFUNCTION("""COMPUTED_VALUE"""),"https://www.facebook.com/rapplerdotcom/posts/pfbid035u2RhZvcYSiCeymgBfXLoFoq87y2V8v81A9xDtyoKJgzTGtotsEEoj2bH7Zd4mtzl")</f>
        <v>https://www.facebook.com/rapplerdotcom/posts/pfbid035u2RhZvcYSiCeymgBfXLoFoq87y2V8v81A9xDtyoKJgzTGtotsEEoj2bH7Zd4mtzl</v>
      </c>
      <c r="J1621" s="1" t="str">
        <f ca="1">IFERROR(__xludf.DUMMYFUNCTION("""COMPUTED_VALUE"""),"2022-07-04T15:43:46.723Z")</f>
        <v>2022-07-04T15:43:46.723Z</v>
      </c>
    </row>
    <row r="1622" spans="1:10" x14ac:dyDescent="0.2">
      <c r="A1622" s="2" t="str">
        <f ca="1">IFERROR(__xludf.DUMMYFUNCTION("""COMPUTED_VALUE"""),"https://www.facebook.com/profile.php?id=100078131813881")</f>
        <v>https://www.facebook.com/profile.php?id=100078131813881</v>
      </c>
      <c r="B1622" s="1" t="str">
        <f ca="1">IFERROR(__xludf.DUMMYFUNCTION("""COMPUTED_VALUE"""),"Maricruz Belisario")</f>
        <v>Maricruz Belisario</v>
      </c>
      <c r="C1622" s="1" t="str">
        <f ca="1">IFERROR(__xludf.DUMMYFUNCTION("""COMPUTED_VALUE"""),"Maricruz")</f>
        <v>Maricruz</v>
      </c>
      <c r="D1622" s="1" t="str">
        <f ca="1">IFERROR(__xludf.DUMMYFUNCTION("""COMPUTED_VALUE"""),"Belisario")</f>
        <v>Belisario</v>
      </c>
      <c r="E1622" s="1" t="str">
        <f ca="1">IFERROR(__xludf.DUMMYFUNCTION("""COMPUTED_VALUE"""),"ikaw kang may tunay na puso para sa mahihirap mayor isko  Ako mobotar sa bag-o ug usa ka butang nga napamatud-an")</f>
        <v>ikaw kang may tunay na puso para sa mahihirap mayor isko  Ako mobotar sa bag-o ug usa ka butang nga napamatud-an</v>
      </c>
      <c r="F1622" s="1">
        <f ca="1">IFERROR(__xludf.DUMMYFUNCTION("""COMPUTED_VALUE"""),1)</f>
        <v>1</v>
      </c>
      <c r="G1622" s="1" t="str">
        <f ca="1">IFERROR(__xludf.DUMMYFUNCTION("""COMPUTED_VALUE"""),"3 mos")</f>
        <v>3 mos</v>
      </c>
      <c r="H1622" s="1" t="str">
        <f ca="1">IFERROR(__xludf.DUMMYFUNCTION("""COMPUTED_VALUE"""),"comment")</f>
        <v>comment</v>
      </c>
      <c r="I1622" s="2" t="str">
        <f ca="1">IFERROR(__xludf.DUMMYFUNCTION("""COMPUTED_VALUE"""),"https://www.facebook.com/rapplerdotcom/posts/pfbid035u2RhZvcYSiCeymgBfXLoFoq87y2V8v81A9xDtyoKJgzTGtotsEEoj2bH7Zd4mtzl")</f>
        <v>https://www.facebook.com/rapplerdotcom/posts/pfbid035u2RhZvcYSiCeymgBfXLoFoq87y2V8v81A9xDtyoKJgzTGtotsEEoj2bH7Zd4mtzl</v>
      </c>
      <c r="J1622" s="1" t="str">
        <f ca="1">IFERROR(__xludf.DUMMYFUNCTION("""COMPUTED_VALUE"""),"2022-07-04T15:43:46.723Z")</f>
        <v>2022-07-04T15:43:46.723Z</v>
      </c>
    </row>
    <row r="1623" spans="1:10" x14ac:dyDescent="0.2">
      <c r="A1623" s="2" t="str">
        <f ca="1">IFERROR(__xludf.DUMMYFUNCTION("""COMPUTED_VALUE"""),"https://www.facebook.com/profile.php?id=100078872943485")</f>
        <v>https://www.facebook.com/profile.php?id=100078872943485</v>
      </c>
      <c r="B1623" s="1" t="str">
        <f ca="1">IFERROR(__xludf.DUMMYFUNCTION("""COMPUTED_VALUE"""),"Eve Amy")</f>
        <v>Eve Amy</v>
      </c>
      <c r="C1623" s="1" t="str">
        <f ca="1">IFERROR(__xludf.DUMMYFUNCTION("""COMPUTED_VALUE"""),"Eve")</f>
        <v>Eve</v>
      </c>
      <c r="D1623" s="1" t="str">
        <f ca="1">IFERROR(__xludf.DUMMYFUNCTION("""COMPUTED_VALUE"""),"Amy")</f>
        <v>Amy</v>
      </c>
      <c r="E1623" s="1" t="str">
        <f ca="1">IFERROR(__xludf.DUMMYFUNCTION("""COMPUTED_VALUE"""),"yan ang sigaw namin ISKO MORENO&gt; The Philippines will be prosperous if Isko rules")</f>
        <v>yan ang sigaw namin ISKO MORENO&gt; The Philippines will be prosperous if Isko rules</v>
      </c>
      <c r="F1623" s="1">
        <f ca="1">IFERROR(__xludf.DUMMYFUNCTION("""COMPUTED_VALUE"""),1)</f>
        <v>1</v>
      </c>
      <c r="G1623" s="1" t="str">
        <f ca="1">IFERROR(__xludf.DUMMYFUNCTION("""COMPUTED_VALUE"""),"3 mos")</f>
        <v>3 mos</v>
      </c>
      <c r="H1623" s="1" t="str">
        <f ca="1">IFERROR(__xludf.DUMMYFUNCTION("""COMPUTED_VALUE"""),"comment")</f>
        <v>comment</v>
      </c>
      <c r="I1623" s="2" t="str">
        <f ca="1">IFERROR(__xludf.DUMMYFUNCTION("""COMPUTED_VALUE"""),"https://www.facebook.com/rapplerdotcom/posts/pfbid035u2RhZvcYSiCeymgBfXLoFoq87y2V8v81A9xDtyoKJgzTGtotsEEoj2bH7Zd4mtzl")</f>
        <v>https://www.facebook.com/rapplerdotcom/posts/pfbid035u2RhZvcYSiCeymgBfXLoFoq87y2V8v81A9xDtyoKJgzTGtotsEEoj2bH7Zd4mtzl</v>
      </c>
      <c r="J1623" s="1" t="str">
        <f ca="1">IFERROR(__xludf.DUMMYFUNCTION("""COMPUTED_VALUE"""),"2022-07-04T15:43:46.723Z")</f>
        <v>2022-07-04T15:43:46.723Z</v>
      </c>
    </row>
    <row r="1624" spans="1:10" x14ac:dyDescent="0.2">
      <c r="A1624" s="2" t="str">
        <f ca="1">IFERROR(__xludf.DUMMYFUNCTION("""COMPUTED_VALUE"""),"https://www.facebook.com/profile.php?id=100077417917077")</f>
        <v>https://www.facebook.com/profile.php?id=100077417917077</v>
      </c>
      <c r="B1624" s="1" t="str">
        <f ca="1">IFERROR(__xludf.DUMMYFUNCTION("""COMPUTED_VALUE"""),"Shelby Cuyegkeng")</f>
        <v>Shelby Cuyegkeng</v>
      </c>
      <c r="C1624" s="1" t="str">
        <f ca="1">IFERROR(__xludf.DUMMYFUNCTION("""COMPUTED_VALUE"""),"Shelby")</f>
        <v>Shelby</v>
      </c>
      <c r="D1624" s="1" t="str">
        <f ca="1">IFERROR(__xludf.DUMMYFUNCTION("""COMPUTED_VALUE"""),"Cuyegkeng")</f>
        <v>Cuyegkeng</v>
      </c>
      <c r="E1624" s="1" t="str">
        <f ca="1">IFERROR(__xludf.DUMMYFUNCTION("""COMPUTED_VALUE"""),"kay Isko ang boto ko please vote #3ParaKayIsko #3forme   Among the candidates? Isko Moreno lang ako.")</f>
        <v>kay Isko ang boto ko please vote #3ParaKayIsko #3forme   Among the candidates? Isko Moreno lang ako.</v>
      </c>
      <c r="F1624" s="1">
        <f ca="1">IFERROR(__xludf.DUMMYFUNCTION("""COMPUTED_VALUE"""),1)</f>
        <v>1</v>
      </c>
      <c r="G1624" s="1" t="str">
        <f ca="1">IFERROR(__xludf.DUMMYFUNCTION("""COMPUTED_VALUE"""),"3 mos")</f>
        <v>3 mos</v>
      </c>
      <c r="H1624" s="1" t="str">
        <f ca="1">IFERROR(__xludf.DUMMYFUNCTION("""COMPUTED_VALUE"""),"comment")</f>
        <v>comment</v>
      </c>
      <c r="I1624" s="2" t="str">
        <f ca="1">IFERROR(__xludf.DUMMYFUNCTION("""COMPUTED_VALUE"""),"https://www.facebook.com/rapplerdotcom/posts/pfbid035u2RhZvcYSiCeymgBfXLoFoq87y2V8v81A9xDtyoKJgzTGtotsEEoj2bH7Zd4mtzl")</f>
        <v>https://www.facebook.com/rapplerdotcom/posts/pfbid035u2RhZvcYSiCeymgBfXLoFoq87y2V8v81A9xDtyoKJgzTGtotsEEoj2bH7Zd4mtzl</v>
      </c>
      <c r="J1624" s="1" t="str">
        <f ca="1">IFERROR(__xludf.DUMMYFUNCTION("""COMPUTED_VALUE"""),"2022-07-04T15:43:46.723Z")</f>
        <v>2022-07-04T15:43:46.723Z</v>
      </c>
    </row>
    <row r="1625" spans="1:10" x14ac:dyDescent="0.2">
      <c r="A1625" s="2" t="str">
        <f ca="1">IFERROR(__xludf.DUMMYFUNCTION("""COMPUTED_VALUE"""),"https://www.facebook.com/profile.php?id=100077279991106")</f>
        <v>https://www.facebook.com/profile.php?id=100077279991106</v>
      </c>
      <c r="B1625" s="1" t="str">
        <f ca="1">IFERROR(__xludf.DUMMYFUNCTION("""COMPUTED_VALUE"""),"Marietta Mesías")</f>
        <v>Marietta Mesías</v>
      </c>
      <c r="C1625" s="1" t="str">
        <f ca="1">IFERROR(__xludf.DUMMYFUNCTION("""COMPUTED_VALUE"""),"Marietta")</f>
        <v>Marietta</v>
      </c>
      <c r="D1625" s="1" t="str">
        <f ca="1">IFERROR(__xludf.DUMMYFUNCTION("""COMPUTED_VALUE"""),"Mesías")</f>
        <v>Mesías</v>
      </c>
      <c r="E1625" s="1" t="str">
        <f ca="1">IFERROR(__xludf.DUMMYFUNCTION("""COMPUTED_VALUE"""),"can't wait for Isko 💙 to have higher position.. isko ang iboto natin sa pagka-Presidente")</f>
        <v>can't wait for Isko 💙 to have higher position.. isko ang iboto natin sa pagka-Presidente</v>
      </c>
      <c r="F1625" s="1">
        <f ca="1">IFERROR(__xludf.DUMMYFUNCTION("""COMPUTED_VALUE"""),1)</f>
        <v>1</v>
      </c>
      <c r="G1625" s="1" t="str">
        <f ca="1">IFERROR(__xludf.DUMMYFUNCTION("""COMPUTED_VALUE"""),"3 mos")</f>
        <v>3 mos</v>
      </c>
      <c r="H1625" s="1" t="str">
        <f ca="1">IFERROR(__xludf.DUMMYFUNCTION("""COMPUTED_VALUE"""),"comment")</f>
        <v>comment</v>
      </c>
      <c r="I1625" s="2" t="str">
        <f ca="1">IFERROR(__xludf.DUMMYFUNCTION("""COMPUTED_VALUE"""),"https://www.facebook.com/rapplerdotcom/posts/pfbid035u2RhZvcYSiCeymgBfXLoFoq87y2V8v81A9xDtyoKJgzTGtotsEEoj2bH7Zd4mtzl")</f>
        <v>https://www.facebook.com/rapplerdotcom/posts/pfbid035u2RhZvcYSiCeymgBfXLoFoq87y2V8v81A9xDtyoKJgzTGtotsEEoj2bH7Zd4mtzl</v>
      </c>
      <c r="J1625" s="1" t="str">
        <f ca="1">IFERROR(__xludf.DUMMYFUNCTION("""COMPUTED_VALUE"""),"2022-07-04T15:43:46.723Z")</f>
        <v>2022-07-04T15:43:46.723Z</v>
      </c>
    </row>
    <row r="1626" spans="1:10" x14ac:dyDescent="0.2">
      <c r="A1626" s="2" t="str">
        <f ca="1">IFERROR(__xludf.DUMMYFUNCTION("""COMPUTED_VALUE"""),"https://www.facebook.com/profile.php?id=100078582816731")</f>
        <v>https://www.facebook.com/profile.php?id=100078582816731</v>
      </c>
      <c r="B1626" s="1" t="str">
        <f ca="1">IFERROR(__xludf.DUMMYFUNCTION("""COMPUTED_VALUE"""),"Flavio Jardenil")</f>
        <v>Flavio Jardenil</v>
      </c>
      <c r="C1626" s="1" t="str">
        <f ca="1">IFERROR(__xludf.DUMMYFUNCTION("""COMPUTED_VALUE"""),"Flavio")</f>
        <v>Flavio</v>
      </c>
      <c r="D1626" s="1" t="str">
        <f ca="1">IFERROR(__xludf.DUMMYFUNCTION("""COMPUTED_VALUE"""),"Jardenil")</f>
        <v>Jardenil</v>
      </c>
      <c r="E1626" s="1" t="str">
        <f ca="1">IFERROR(__xludf.DUMMYFUNCTION("""COMPUTED_VALUE"""),"may tiwala talaga kami sayo Isko Moreno  dapat talaga ganyan Mayor Isko Moreno")</f>
        <v>may tiwala talaga kami sayo Isko Moreno  dapat talaga ganyan Mayor Isko Moreno</v>
      </c>
      <c r="F1626" s="1">
        <f ca="1">IFERROR(__xludf.DUMMYFUNCTION("""COMPUTED_VALUE"""),1)</f>
        <v>1</v>
      </c>
      <c r="G1626" s="1" t="str">
        <f ca="1">IFERROR(__xludf.DUMMYFUNCTION("""COMPUTED_VALUE"""),"3 mos")</f>
        <v>3 mos</v>
      </c>
      <c r="H1626" s="1" t="str">
        <f ca="1">IFERROR(__xludf.DUMMYFUNCTION("""COMPUTED_VALUE"""),"comment")</f>
        <v>comment</v>
      </c>
      <c r="I1626" s="2" t="str">
        <f ca="1">IFERROR(__xludf.DUMMYFUNCTION("""COMPUTED_VALUE"""),"https://www.facebook.com/rapplerdotcom/posts/pfbid035u2RhZvcYSiCeymgBfXLoFoq87y2V8v81A9xDtyoKJgzTGtotsEEoj2bH7Zd4mtzl")</f>
        <v>https://www.facebook.com/rapplerdotcom/posts/pfbid035u2RhZvcYSiCeymgBfXLoFoq87y2V8v81A9xDtyoKJgzTGtotsEEoj2bH7Zd4mtzl</v>
      </c>
      <c r="J1626" s="1" t="str">
        <f ca="1">IFERROR(__xludf.DUMMYFUNCTION("""COMPUTED_VALUE"""),"2022-07-04T15:43:46.723Z")</f>
        <v>2022-07-04T15:43:46.723Z</v>
      </c>
    </row>
    <row r="1627" spans="1:10" x14ac:dyDescent="0.2">
      <c r="A1627" s="2" t="str">
        <f ca="1">IFERROR(__xludf.DUMMYFUNCTION("""COMPUTED_VALUE"""),"https://www.facebook.com/eden.lara")</f>
        <v>https://www.facebook.com/eden.lara</v>
      </c>
      <c r="B1627" s="1" t="str">
        <f ca="1">IFERROR(__xludf.DUMMYFUNCTION("""COMPUTED_VALUE"""),"Eden Lara")</f>
        <v>Eden Lara</v>
      </c>
      <c r="C1627" s="1" t="str">
        <f ca="1">IFERROR(__xludf.DUMMYFUNCTION("""COMPUTED_VALUE"""),"Eden")</f>
        <v>Eden</v>
      </c>
      <c r="D1627" s="1" t="str">
        <f ca="1">IFERROR(__xludf.DUMMYFUNCTION("""COMPUTED_VALUE"""),"Lara")</f>
        <v>Lara</v>
      </c>
      <c r="E1627" s="1" t="str">
        <f ca="1">IFERROR(__xludf.DUMMYFUNCTION("""COMPUTED_VALUE"""),"Eden Lara")</f>
        <v>Eden Lara</v>
      </c>
      <c r="F1627" s="1"/>
      <c r="G1627" s="1" t="str">
        <f ca="1">IFERROR(__xludf.DUMMYFUNCTION("""COMPUTED_VALUE"""),"3 mos")</f>
        <v>3 mos</v>
      </c>
      <c r="H1627" s="1" t="str">
        <f ca="1">IFERROR(__xludf.DUMMYFUNCTION("""COMPUTED_VALUE"""),"comment")</f>
        <v>comment</v>
      </c>
      <c r="I1627" s="2" t="str">
        <f ca="1">IFERROR(__xludf.DUMMYFUNCTION("""COMPUTED_VALUE"""),"https://www.facebook.com/rapplerdotcom/posts/pfbid035u2RhZvcYSiCeymgBfXLoFoq87y2V8v81A9xDtyoKJgzTGtotsEEoj2bH7Zd4mtzl")</f>
        <v>https://www.facebook.com/rapplerdotcom/posts/pfbid035u2RhZvcYSiCeymgBfXLoFoq87y2V8v81A9xDtyoKJgzTGtotsEEoj2bH7Zd4mtzl</v>
      </c>
      <c r="J1627" s="1" t="str">
        <f ca="1">IFERROR(__xludf.DUMMYFUNCTION("""COMPUTED_VALUE"""),"2022-07-04T15:43:46.723Z")</f>
        <v>2022-07-04T15:43:46.723Z</v>
      </c>
    </row>
    <row r="1628" spans="1:10" x14ac:dyDescent="0.2">
      <c r="A1628" s="2" t="str">
        <f ca="1">IFERROR(__xludf.DUMMYFUNCTION("""COMPUTED_VALUE"""),"https://www.facebook.com/florence.tejada.31")</f>
        <v>https://www.facebook.com/florence.tejada.31</v>
      </c>
      <c r="B1628" s="1" t="str">
        <f ca="1">IFERROR(__xludf.DUMMYFUNCTION("""COMPUTED_VALUE"""),"Ana Florences Salvador")</f>
        <v>Ana Florences Salvador</v>
      </c>
      <c r="C1628" s="1" t="str">
        <f ca="1">IFERROR(__xludf.DUMMYFUNCTION("""COMPUTED_VALUE"""),"Ana")</f>
        <v>Ana</v>
      </c>
      <c r="D1628" s="1" t="str">
        <f ca="1">IFERROR(__xludf.DUMMYFUNCTION("""COMPUTED_VALUE"""),"Florences Salvador")</f>
        <v>Florences Salvador</v>
      </c>
      <c r="E1628" s="1" t="str">
        <f ca="1">IFERROR(__xludf.DUMMYFUNCTION("""COMPUTED_VALUE"""),"Iba Ang cnsbi iba Ang gngawa hahaha politiko tlga magaling mambola")</f>
        <v>Iba Ang cnsbi iba Ang gngawa hahaha politiko tlga magaling mambola</v>
      </c>
      <c r="F1628" s="1">
        <f ca="1">IFERROR(__xludf.DUMMYFUNCTION("""COMPUTED_VALUE"""),1)</f>
        <v>1</v>
      </c>
      <c r="G1628" s="1" t="str">
        <f ca="1">IFERROR(__xludf.DUMMYFUNCTION("""COMPUTED_VALUE"""),"3 mos")</f>
        <v>3 mos</v>
      </c>
      <c r="H1628" s="1" t="str">
        <f ca="1">IFERROR(__xludf.DUMMYFUNCTION("""COMPUTED_VALUE"""),"comment")</f>
        <v>comment</v>
      </c>
      <c r="I1628" s="2" t="str">
        <f ca="1">IFERROR(__xludf.DUMMYFUNCTION("""COMPUTED_VALUE"""),"https://www.facebook.com/rapplerdotcom/posts/pfbid035u2RhZvcYSiCeymgBfXLoFoq87y2V8v81A9xDtyoKJgzTGtotsEEoj2bH7Zd4mtzl")</f>
        <v>https://www.facebook.com/rapplerdotcom/posts/pfbid035u2RhZvcYSiCeymgBfXLoFoq87y2V8v81A9xDtyoKJgzTGtotsEEoj2bH7Zd4mtzl</v>
      </c>
      <c r="J1628" s="1" t="str">
        <f ca="1">IFERROR(__xludf.DUMMYFUNCTION("""COMPUTED_VALUE"""),"2022-07-04T15:43:46.723Z")</f>
        <v>2022-07-04T15:43:46.723Z</v>
      </c>
    </row>
    <row r="1629" spans="1:10" x14ac:dyDescent="0.2">
      <c r="A1629" s="2" t="str">
        <f ca="1">IFERROR(__xludf.DUMMYFUNCTION("""COMPUTED_VALUE"""),"https://www.facebook.com/arjay.quirino.5")</f>
        <v>https://www.facebook.com/arjay.quirino.5</v>
      </c>
      <c r="B1629" s="1" t="str">
        <f ca="1">IFERROR(__xludf.DUMMYFUNCTION("""COMPUTED_VALUE"""),"Arjay Quirino")</f>
        <v>Arjay Quirino</v>
      </c>
      <c r="C1629" s="1" t="str">
        <f ca="1">IFERROR(__xludf.DUMMYFUNCTION("""COMPUTED_VALUE"""),"Arjay")</f>
        <v>Arjay</v>
      </c>
      <c r="D1629" s="1" t="str">
        <f ca="1">IFERROR(__xludf.DUMMYFUNCTION("""COMPUTED_VALUE"""),"Quirino")</f>
        <v>Quirino</v>
      </c>
      <c r="E1629" s="1" t="str">
        <f ca="1">IFERROR(__xludf.DUMMYFUNCTION("""COMPUTED_VALUE"""),"ang malas naman")</f>
        <v>ang malas naman</v>
      </c>
      <c r="F1629" s="1"/>
      <c r="G1629" s="1" t="str">
        <f ca="1">IFERROR(__xludf.DUMMYFUNCTION("""COMPUTED_VALUE"""),"3 mos")</f>
        <v>3 mos</v>
      </c>
      <c r="H1629" s="1" t="str">
        <f ca="1">IFERROR(__xludf.DUMMYFUNCTION("""COMPUTED_VALUE"""),"comment")</f>
        <v>comment</v>
      </c>
      <c r="I1629" s="2" t="str">
        <f ca="1">IFERROR(__xludf.DUMMYFUNCTION("""COMPUTED_VALUE"""),"https://www.facebook.com/rapplerdotcom/posts/pfbid035u2RhZvcYSiCeymgBfXLoFoq87y2V8v81A9xDtyoKJgzTGtotsEEoj2bH7Zd4mtzl")</f>
        <v>https://www.facebook.com/rapplerdotcom/posts/pfbid035u2RhZvcYSiCeymgBfXLoFoq87y2V8v81A9xDtyoKJgzTGtotsEEoj2bH7Zd4mtzl</v>
      </c>
      <c r="J1629" s="1" t="str">
        <f ca="1">IFERROR(__xludf.DUMMYFUNCTION("""COMPUTED_VALUE"""),"2022-07-04T15:43:46.723Z")</f>
        <v>2022-07-04T15:43:46.723Z</v>
      </c>
    </row>
    <row r="1630" spans="1:10" x14ac:dyDescent="0.2">
      <c r="A1630" s="2" t="str">
        <f ca="1">IFERROR(__xludf.DUMMYFUNCTION("""COMPUTED_VALUE"""),"https://www.facebook.com/mayumi.cruz.90")</f>
        <v>https://www.facebook.com/mayumi.cruz.90</v>
      </c>
      <c r="B1630" s="1" t="str">
        <f ca="1">IFERROR(__xludf.DUMMYFUNCTION("""COMPUTED_VALUE"""),"Mayumi Cruz")</f>
        <v>Mayumi Cruz</v>
      </c>
      <c r="C1630" s="1" t="str">
        <f ca="1">IFERROR(__xludf.DUMMYFUNCTION("""COMPUTED_VALUE"""),"Mayumi")</f>
        <v>Mayumi</v>
      </c>
      <c r="D1630" s="1" t="str">
        <f ca="1">IFERROR(__xludf.DUMMYFUNCTION("""COMPUTED_VALUE"""),"Cruz")</f>
        <v>Cruz</v>
      </c>
      <c r="E1630" s="1" t="str">
        <f ca="1">IFERROR(__xludf.DUMMYFUNCTION("""COMPUTED_VALUE"""),"Aysus, ang san nicolas ay malapit lang sa bulkan. Ang totoo natakot ka na biglang sumabog ito.")</f>
        <v>Aysus, ang san nicolas ay malapit lang sa bulkan. Ang totoo natakot ka na biglang sumabog ito.</v>
      </c>
      <c r="F1630" s="1"/>
      <c r="G1630" s="1" t="str">
        <f ca="1">IFERROR(__xludf.DUMMYFUNCTION("""COMPUTED_VALUE"""),"3 mos")</f>
        <v>3 mos</v>
      </c>
      <c r="H1630" s="1" t="str">
        <f ca="1">IFERROR(__xludf.DUMMYFUNCTION("""COMPUTED_VALUE"""),"comment")</f>
        <v>comment</v>
      </c>
      <c r="I1630" s="2" t="str">
        <f ca="1">IFERROR(__xludf.DUMMYFUNCTION("""COMPUTED_VALUE"""),"https://www.facebook.com/rapplerdotcom/posts/pfbid035u2RhZvcYSiCeymgBfXLoFoq87y2V8v81A9xDtyoKJgzTGtotsEEoj2bH7Zd4mtzl")</f>
        <v>https://www.facebook.com/rapplerdotcom/posts/pfbid035u2RhZvcYSiCeymgBfXLoFoq87y2V8v81A9xDtyoKJgzTGtotsEEoj2bH7Zd4mtzl</v>
      </c>
      <c r="J1630" s="1" t="str">
        <f ca="1">IFERROR(__xludf.DUMMYFUNCTION("""COMPUTED_VALUE"""),"2022-07-04T15:43:46.723Z")</f>
        <v>2022-07-04T15:43:46.723Z</v>
      </c>
    </row>
    <row r="1631" spans="1:10" x14ac:dyDescent="0.2">
      <c r="A1631" s="2" t="str">
        <f ca="1">IFERROR(__xludf.DUMMYFUNCTION("""COMPUTED_VALUE"""),"https://www.facebook.com/jayceeguspid")</f>
        <v>https://www.facebook.com/jayceeguspid</v>
      </c>
      <c r="B1631" s="1" t="str">
        <f ca="1">IFERROR(__xludf.DUMMYFUNCTION("""COMPUTED_VALUE"""),"Jhay AR Domingo Guspid")</f>
        <v>Jhay AR Domingo Guspid</v>
      </c>
      <c r="C1631" s="1" t="str">
        <f ca="1">IFERROR(__xludf.DUMMYFUNCTION("""COMPUTED_VALUE"""),"Jhay")</f>
        <v>Jhay</v>
      </c>
      <c r="D1631" s="1" t="str">
        <f ca="1">IFERROR(__xludf.DUMMYFUNCTION("""COMPUTED_VALUE"""),"AR Domingo Guspid")</f>
        <v>AR Domingo Guspid</v>
      </c>
      <c r="E1631" s="1" t="str">
        <f ca="1">IFERROR(__xludf.DUMMYFUNCTION("""COMPUTED_VALUE"""),"Hayy nako kht anong sabhin nio namulat na ang mga tao..")</f>
        <v>Hayy nako kht anong sabhin nio namulat na ang mga tao..</v>
      </c>
      <c r="F1631" s="1"/>
      <c r="G1631" s="1" t="str">
        <f ca="1">IFERROR(__xludf.DUMMYFUNCTION("""COMPUTED_VALUE"""),"3 mos")</f>
        <v>3 mos</v>
      </c>
      <c r="H1631" s="1" t="str">
        <f ca="1">IFERROR(__xludf.DUMMYFUNCTION("""COMPUTED_VALUE"""),"comment")</f>
        <v>comment</v>
      </c>
      <c r="I1631" s="2" t="str">
        <f ca="1">IFERROR(__xludf.DUMMYFUNCTION("""COMPUTED_VALUE"""),"https://www.facebook.com/rapplerdotcom/posts/pfbid035u2RhZvcYSiCeymgBfXLoFoq87y2V8v81A9xDtyoKJgzTGtotsEEoj2bH7Zd4mtzl")</f>
        <v>https://www.facebook.com/rapplerdotcom/posts/pfbid035u2RhZvcYSiCeymgBfXLoFoq87y2V8v81A9xDtyoKJgzTGtotsEEoj2bH7Zd4mtzl</v>
      </c>
      <c r="J1631" s="1" t="str">
        <f ca="1">IFERROR(__xludf.DUMMYFUNCTION("""COMPUTED_VALUE"""),"2022-07-04T15:43:46.723Z")</f>
        <v>2022-07-04T15:43:46.723Z</v>
      </c>
    </row>
    <row r="1632" spans="1:10" x14ac:dyDescent="0.2">
      <c r="A1632" s="2" t="str">
        <f ca="1">IFERROR(__xludf.DUMMYFUNCTION("""COMPUTED_VALUE"""),"https://www.facebook.com/jaime.gacusan.12")</f>
        <v>https://www.facebook.com/jaime.gacusan.12</v>
      </c>
      <c r="B1632" s="1" t="str">
        <f ca="1">IFERROR(__xludf.DUMMYFUNCTION("""COMPUTED_VALUE"""),"Jaime Bustamante Gacusan")</f>
        <v>Jaime Bustamante Gacusan</v>
      </c>
      <c r="C1632" s="1" t="str">
        <f ca="1">IFERROR(__xludf.DUMMYFUNCTION("""COMPUTED_VALUE"""),"Jaime")</f>
        <v>Jaime</v>
      </c>
      <c r="D1632" s="1" t="str">
        <f ca="1">IFERROR(__xludf.DUMMYFUNCTION("""COMPUTED_VALUE"""),"Bustamante Gacusan")</f>
        <v>Bustamante Gacusan</v>
      </c>
      <c r="E1632" s="1" t="str">
        <f ca="1">IFERROR(__xludf.DUMMYFUNCTION("""COMPUTED_VALUE"""),"Ndi mo ako makukuha sa buladas mo tolongges🤣🤣")</f>
        <v>Ndi mo ako makukuha sa buladas mo tolongges🤣🤣</v>
      </c>
      <c r="F1632" s="1">
        <f ca="1">IFERROR(__xludf.DUMMYFUNCTION("""COMPUTED_VALUE"""),1)</f>
        <v>1</v>
      </c>
      <c r="G1632" s="1" t="str">
        <f ca="1">IFERROR(__xludf.DUMMYFUNCTION("""COMPUTED_VALUE"""),"3 mos")</f>
        <v>3 mos</v>
      </c>
      <c r="H1632" s="1" t="str">
        <f ca="1">IFERROR(__xludf.DUMMYFUNCTION("""COMPUTED_VALUE"""),"comment")</f>
        <v>comment</v>
      </c>
      <c r="I1632" s="2" t="str">
        <f ca="1">IFERROR(__xludf.DUMMYFUNCTION("""COMPUTED_VALUE"""),"https://www.facebook.com/rapplerdotcom/posts/pfbid035u2RhZvcYSiCeymgBfXLoFoq87y2V8v81A9xDtyoKJgzTGtotsEEoj2bH7Zd4mtzl")</f>
        <v>https://www.facebook.com/rapplerdotcom/posts/pfbid035u2RhZvcYSiCeymgBfXLoFoq87y2V8v81A9xDtyoKJgzTGtotsEEoj2bH7Zd4mtzl</v>
      </c>
      <c r="J1632" s="1" t="str">
        <f ca="1">IFERROR(__xludf.DUMMYFUNCTION("""COMPUTED_VALUE"""),"2022-07-04T15:43:46.723Z")</f>
        <v>2022-07-04T15:43:46.723Z</v>
      </c>
    </row>
    <row r="1633" spans="1:10" x14ac:dyDescent="0.2">
      <c r="A1633" s="2" t="str">
        <f ca="1">IFERROR(__xludf.DUMMYFUNCTION("""COMPUTED_VALUE"""),"https://www.facebook.com/wallye.napua")</f>
        <v>https://www.facebook.com/wallye.napua</v>
      </c>
      <c r="B1633" s="1" t="str">
        <f ca="1">IFERROR(__xludf.DUMMYFUNCTION("""COMPUTED_VALUE"""),"Wally E Napua")</f>
        <v>Wally E Napua</v>
      </c>
      <c r="C1633" s="1" t="str">
        <f ca="1">IFERROR(__xludf.DUMMYFUNCTION("""COMPUTED_VALUE"""),"Wally")</f>
        <v>Wally</v>
      </c>
      <c r="D1633" s="1" t="str">
        <f ca="1">IFERROR(__xludf.DUMMYFUNCTION("""COMPUTED_VALUE"""),"E Napua")</f>
        <v>E Napua</v>
      </c>
      <c r="E1633" s="1" t="str">
        <f ca="1">IFERROR(__xludf.DUMMYFUNCTION("""COMPUTED_VALUE"""),"Nag ulburoto taal baka daw ibenta ni isko 😄🤣😂😆")</f>
        <v>Nag ulburoto taal baka daw ibenta ni isko 😄🤣😂😆</v>
      </c>
      <c r="F1633" s="1">
        <f ca="1">IFERROR(__xludf.DUMMYFUNCTION("""COMPUTED_VALUE"""),3)</f>
        <v>3</v>
      </c>
      <c r="G1633" s="1" t="str">
        <f ca="1">IFERROR(__xludf.DUMMYFUNCTION("""COMPUTED_VALUE"""),"3 mos")</f>
        <v>3 mos</v>
      </c>
      <c r="H1633" s="1" t="str">
        <f ca="1">IFERROR(__xludf.DUMMYFUNCTION("""COMPUTED_VALUE"""),"comment")</f>
        <v>comment</v>
      </c>
      <c r="I1633" s="2" t="str">
        <f ca="1">IFERROR(__xludf.DUMMYFUNCTION("""COMPUTED_VALUE"""),"https://www.facebook.com/rapplerdotcom/posts/pfbid035u2RhZvcYSiCeymgBfXLoFoq87y2V8v81A9xDtyoKJgzTGtotsEEoj2bH7Zd4mtzl")</f>
        <v>https://www.facebook.com/rapplerdotcom/posts/pfbid035u2RhZvcYSiCeymgBfXLoFoq87y2V8v81A9xDtyoKJgzTGtotsEEoj2bH7Zd4mtzl</v>
      </c>
      <c r="J1633" s="1" t="str">
        <f ca="1">IFERROR(__xludf.DUMMYFUNCTION("""COMPUTED_VALUE"""),"2022-07-04T15:43:46.723Z")</f>
        <v>2022-07-04T15:43:46.723Z</v>
      </c>
    </row>
    <row r="1634" spans="1:10" x14ac:dyDescent="0.2">
      <c r="A1634" s="2" t="str">
        <f ca="1">IFERROR(__xludf.DUMMYFUNCTION("""COMPUTED_VALUE"""),"https://www.facebook.com/airajoyces")</f>
        <v>https://www.facebook.com/airajoyces</v>
      </c>
      <c r="B1634" s="1" t="str">
        <f ca="1">IFERROR(__xludf.DUMMYFUNCTION("""COMPUTED_VALUE"""),"AiRa JOyce")</f>
        <v>AiRa JOyce</v>
      </c>
      <c r="C1634" s="1" t="str">
        <f ca="1">IFERROR(__xludf.DUMMYFUNCTION("""COMPUTED_VALUE"""),"AiRa")</f>
        <v>AiRa</v>
      </c>
      <c r="D1634" s="1" t="str">
        <f ca="1">IFERROR(__xludf.DUMMYFUNCTION("""COMPUTED_VALUE"""),"JOyce")</f>
        <v>JOyce</v>
      </c>
      <c r="E1634" s="1" t="str">
        <f ca="1">IFERROR(__xludf.DUMMYFUNCTION("""COMPUTED_VALUE"""),"Artista tlaga....,🙄")</f>
        <v>Artista tlaga....,🙄</v>
      </c>
      <c r="F1634" s="1">
        <f ca="1">IFERROR(__xludf.DUMMYFUNCTION("""COMPUTED_VALUE"""),1)</f>
        <v>1</v>
      </c>
      <c r="G1634" s="1" t="str">
        <f ca="1">IFERROR(__xludf.DUMMYFUNCTION("""COMPUTED_VALUE"""),"3 mos")</f>
        <v>3 mos</v>
      </c>
      <c r="H1634" s="1" t="str">
        <f ca="1">IFERROR(__xludf.DUMMYFUNCTION("""COMPUTED_VALUE"""),"comment")</f>
        <v>comment</v>
      </c>
      <c r="I1634" s="2" t="str">
        <f ca="1">IFERROR(__xludf.DUMMYFUNCTION("""COMPUTED_VALUE"""),"https://www.facebook.com/rapplerdotcom/posts/pfbid035u2RhZvcYSiCeymgBfXLoFoq87y2V8v81A9xDtyoKJgzTGtotsEEoj2bH7Zd4mtzl")</f>
        <v>https://www.facebook.com/rapplerdotcom/posts/pfbid035u2RhZvcYSiCeymgBfXLoFoq87y2V8v81A9xDtyoKJgzTGtotsEEoj2bH7Zd4mtzl</v>
      </c>
      <c r="J1634" s="1" t="str">
        <f ca="1">IFERROR(__xludf.DUMMYFUNCTION("""COMPUTED_VALUE"""),"2022-07-04T15:43:46.723Z")</f>
        <v>2022-07-04T15:43:46.723Z</v>
      </c>
    </row>
    <row r="1635" spans="1:10" x14ac:dyDescent="0.2">
      <c r="A1635" s="2" t="str">
        <f ca="1">IFERROR(__xludf.DUMMYFUNCTION("""COMPUTED_VALUE"""),"https://www.facebook.com/rene.r.galang.5")</f>
        <v>https://www.facebook.com/rene.r.galang.5</v>
      </c>
      <c r="B1635" s="1" t="str">
        <f ca="1">IFERROR(__xludf.DUMMYFUNCTION("""COMPUTED_VALUE"""),"Leo Lastimosa Bayot")</f>
        <v>Leo Lastimosa Bayot</v>
      </c>
      <c r="C1635" s="1" t="str">
        <f ca="1">IFERROR(__xludf.DUMMYFUNCTION("""COMPUTED_VALUE"""),"Leo")</f>
        <v>Leo</v>
      </c>
      <c r="D1635" s="1" t="str">
        <f ca="1">IFERROR(__xludf.DUMMYFUNCTION("""COMPUTED_VALUE"""),"Lastimosa Bayot")</f>
        <v>Lastimosa Bayot</v>
      </c>
      <c r="E1635" s="1" t="str">
        <f ca="1">IFERROR(__xludf.DUMMYFUNCTION("""COMPUTED_VALUE"""),"Pahoway nalang.")</f>
        <v>Pahoway nalang.</v>
      </c>
      <c r="F1635" s="1"/>
      <c r="G1635" s="1" t="str">
        <f ca="1">IFERROR(__xludf.DUMMYFUNCTION("""COMPUTED_VALUE"""),"3 mos")</f>
        <v>3 mos</v>
      </c>
      <c r="H1635" s="1" t="str">
        <f ca="1">IFERROR(__xludf.DUMMYFUNCTION("""COMPUTED_VALUE"""),"comment")</f>
        <v>comment</v>
      </c>
      <c r="I1635" s="2" t="str">
        <f ca="1">IFERROR(__xludf.DUMMYFUNCTION("""COMPUTED_VALUE"""),"https://www.facebook.com/rapplerdotcom/posts/pfbid035u2RhZvcYSiCeymgBfXLoFoq87y2V8v81A9xDtyoKJgzTGtotsEEoj2bH7Zd4mtzl")</f>
        <v>https://www.facebook.com/rapplerdotcom/posts/pfbid035u2RhZvcYSiCeymgBfXLoFoq87y2V8v81A9xDtyoKJgzTGtotsEEoj2bH7Zd4mtzl</v>
      </c>
      <c r="J1635" s="1" t="str">
        <f ca="1">IFERROR(__xludf.DUMMYFUNCTION("""COMPUTED_VALUE"""),"2022-07-04T15:43:46.724Z")</f>
        <v>2022-07-04T15:43:46.724Z</v>
      </c>
    </row>
    <row r="1636" spans="1:10" x14ac:dyDescent="0.2">
      <c r="A1636" s="2" t="str">
        <f ca="1">IFERROR(__xludf.DUMMYFUNCTION("""COMPUTED_VALUE"""),"https://www.facebook.com/clarenceedward.castillo")</f>
        <v>https://www.facebook.com/clarenceedward.castillo</v>
      </c>
      <c r="B1636" s="1" t="str">
        <f ca="1">IFERROR(__xludf.DUMMYFUNCTION("""COMPUTED_VALUE"""),"Clarence Edward Castillo")</f>
        <v>Clarence Edward Castillo</v>
      </c>
      <c r="C1636" s="1" t="str">
        <f ca="1">IFERROR(__xludf.DUMMYFUNCTION("""COMPUTED_VALUE"""),"Clarence")</f>
        <v>Clarence</v>
      </c>
      <c r="D1636" s="1" t="str">
        <f ca="1">IFERROR(__xludf.DUMMYFUNCTION("""COMPUTED_VALUE"""),"Edward Castillo")</f>
        <v>Edward Castillo</v>
      </c>
      <c r="E1636" s="1" t="str">
        <f ca="1">IFERROR(__xludf.DUMMYFUNCTION("""COMPUTED_VALUE"""),"Yung divi yorme musta nmn?! 🤔")</f>
        <v>Yung divi yorme musta nmn?! 🤔</v>
      </c>
      <c r="F1636" s="1">
        <f ca="1">IFERROR(__xludf.DUMMYFUNCTION("""COMPUTED_VALUE"""),1)</f>
        <v>1</v>
      </c>
      <c r="G1636" s="1" t="str">
        <f ca="1">IFERROR(__xludf.DUMMYFUNCTION("""COMPUTED_VALUE"""),"3 mos")</f>
        <v>3 mos</v>
      </c>
      <c r="H1636" s="1" t="str">
        <f ca="1">IFERROR(__xludf.DUMMYFUNCTION("""COMPUTED_VALUE"""),"comment")</f>
        <v>comment</v>
      </c>
      <c r="I1636" s="2" t="str">
        <f ca="1">IFERROR(__xludf.DUMMYFUNCTION("""COMPUTED_VALUE"""),"https://www.facebook.com/rapplerdotcom/posts/pfbid035u2RhZvcYSiCeymgBfXLoFoq87y2V8v81A9xDtyoKJgzTGtotsEEoj2bH7Zd4mtzl")</f>
        <v>https://www.facebook.com/rapplerdotcom/posts/pfbid035u2RhZvcYSiCeymgBfXLoFoq87y2V8v81A9xDtyoKJgzTGtotsEEoj2bH7Zd4mtzl</v>
      </c>
      <c r="J1636" s="1" t="str">
        <f ca="1">IFERROR(__xludf.DUMMYFUNCTION("""COMPUTED_VALUE"""),"2022-07-04T15:43:46.724Z")</f>
        <v>2022-07-04T15:43:46.724Z</v>
      </c>
    </row>
    <row r="1637" spans="1:10" x14ac:dyDescent="0.2">
      <c r="A1637" s="2" t="str">
        <f ca="1">IFERROR(__xludf.DUMMYFUNCTION("""COMPUTED_VALUE"""),"https://www.facebook.com/carandang.rnold")</f>
        <v>https://www.facebook.com/carandang.rnold</v>
      </c>
      <c r="B1637" s="1" t="str">
        <f ca="1">IFERROR(__xludf.DUMMYFUNCTION("""COMPUTED_VALUE"""),"Carandang Rnold")</f>
        <v>Carandang Rnold</v>
      </c>
      <c r="C1637" s="1" t="str">
        <f ca="1">IFERROR(__xludf.DUMMYFUNCTION("""COMPUTED_VALUE"""),"Carandang")</f>
        <v>Carandang</v>
      </c>
      <c r="D1637" s="1" t="str">
        <f ca="1">IFERROR(__xludf.DUMMYFUNCTION("""COMPUTED_VALUE"""),"Rnold")</f>
        <v>Rnold</v>
      </c>
      <c r="E1637" s="1" t="str">
        <f ca="1">IFERROR(__xludf.DUMMYFUNCTION("""COMPUTED_VALUE"""),"Sus Yun mga tindera dun nawalang hanapbuhay")</f>
        <v>Sus Yun mga tindera dun nawalang hanapbuhay</v>
      </c>
      <c r="F1637" s="1"/>
      <c r="G1637" s="1" t="str">
        <f ca="1">IFERROR(__xludf.DUMMYFUNCTION("""COMPUTED_VALUE"""),"3 mos")</f>
        <v>3 mos</v>
      </c>
      <c r="H1637" s="1" t="str">
        <f ca="1">IFERROR(__xludf.DUMMYFUNCTION("""COMPUTED_VALUE"""),"comment")</f>
        <v>comment</v>
      </c>
      <c r="I1637" s="2" t="str">
        <f ca="1">IFERROR(__xludf.DUMMYFUNCTION("""COMPUTED_VALUE"""),"https://www.facebook.com/rapplerdotcom/posts/pfbid035u2RhZvcYSiCeymgBfXLoFoq87y2V8v81A9xDtyoKJgzTGtotsEEoj2bH7Zd4mtzl")</f>
        <v>https://www.facebook.com/rapplerdotcom/posts/pfbid035u2RhZvcYSiCeymgBfXLoFoq87y2V8v81A9xDtyoKJgzTGtotsEEoj2bH7Zd4mtzl</v>
      </c>
      <c r="J1637" s="1" t="str">
        <f ca="1">IFERROR(__xludf.DUMMYFUNCTION("""COMPUTED_VALUE"""),"2022-07-04T15:43:46.724Z")</f>
        <v>2022-07-04T15:43:46.724Z</v>
      </c>
    </row>
    <row r="1638" spans="1:10" x14ac:dyDescent="0.2">
      <c r="A1638" s="2" t="str">
        <f ca="1">IFERROR(__xludf.DUMMYFUNCTION("""COMPUTED_VALUE"""),"https://www.facebook.com/wyralin.fuentes")</f>
        <v>https://www.facebook.com/wyralin.fuentes</v>
      </c>
      <c r="B1638" s="1" t="str">
        <f ca="1">IFERROR(__xludf.DUMMYFUNCTION("""COMPUTED_VALUE"""),"Wyralin Fuentes")</f>
        <v>Wyralin Fuentes</v>
      </c>
      <c r="C1638" s="1" t="str">
        <f ca="1">IFERROR(__xludf.DUMMYFUNCTION("""COMPUTED_VALUE"""),"Wyralin")</f>
        <v>Wyralin</v>
      </c>
      <c r="D1638" s="1" t="str">
        <f ca="1">IFERROR(__xludf.DUMMYFUNCTION("""COMPUTED_VALUE"""),"Fuentes")</f>
        <v>Fuentes</v>
      </c>
      <c r="E1638" s="1" t="str">
        <f ca="1">IFERROR(__xludf.DUMMYFUNCTION("""COMPUTED_VALUE"""),"Go go go isko..tama ginawa mo")</f>
        <v>Go go go isko..tama ginawa mo</v>
      </c>
      <c r="F1638" s="1">
        <f ca="1">IFERROR(__xludf.DUMMYFUNCTION("""COMPUTED_VALUE"""),1)</f>
        <v>1</v>
      </c>
      <c r="G1638" s="1" t="str">
        <f ca="1">IFERROR(__xludf.DUMMYFUNCTION("""COMPUTED_VALUE"""),"3 mos")</f>
        <v>3 mos</v>
      </c>
      <c r="H1638" s="1" t="str">
        <f ca="1">IFERROR(__xludf.DUMMYFUNCTION("""COMPUTED_VALUE"""),"comment")</f>
        <v>comment</v>
      </c>
      <c r="I1638" s="2" t="str">
        <f ca="1">IFERROR(__xludf.DUMMYFUNCTION("""COMPUTED_VALUE"""),"https://www.facebook.com/rapplerdotcom/posts/pfbid035u2RhZvcYSiCeymgBfXLoFoq87y2V8v81A9xDtyoKJgzTGtotsEEoj2bH7Zd4mtzl")</f>
        <v>https://www.facebook.com/rapplerdotcom/posts/pfbid035u2RhZvcYSiCeymgBfXLoFoq87y2V8v81A9xDtyoKJgzTGtotsEEoj2bH7Zd4mtzl</v>
      </c>
      <c r="J1638" s="1" t="str">
        <f ca="1">IFERROR(__xludf.DUMMYFUNCTION("""COMPUTED_VALUE"""),"2022-07-04T15:43:46.724Z")</f>
        <v>2022-07-04T15:43:46.724Z</v>
      </c>
    </row>
    <row r="1639" spans="1:10" x14ac:dyDescent="0.2">
      <c r="A1639" s="2" t="str">
        <f ca="1">IFERROR(__xludf.DUMMYFUNCTION("""COMPUTED_VALUE"""),"https://www.facebook.com/nuelle.dominguezduterte.5")</f>
        <v>https://www.facebook.com/nuelle.dominguezduterte.5</v>
      </c>
      <c r="B1639" s="1" t="str">
        <f ca="1">IFERROR(__xludf.DUMMYFUNCTION("""COMPUTED_VALUE"""),"Nuelle Duterte")</f>
        <v>Nuelle Duterte</v>
      </c>
      <c r="C1639" s="1" t="str">
        <f ca="1">IFERROR(__xludf.DUMMYFUNCTION("""COMPUTED_VALUE"""),"Nuelle")</f>
        <v>Nuelle</v>
      </c>
      <c r="D1639" s="1" t="str">
        <f ca="1">IFERROR(__xludf.DUMMYFUNCTION("""COMPUTED_VALUE"""),"Duterte")</f>
        <v>Duterte</v>
      </c>
      <c r="E1639" s="1" t="str">
        <f ca="1">IFERROR(__xludf.DUMMYFUNCTION("""COMPUTED_VALUE"""),"May point sya. And that would be an interesting thing to tackle alongside the Church.")</f>
        <v>May point sya. And that would be an interesting thing to tackle alongside the Church.</v>
      </c>
      <c r="F1639" s="1">
        <f ca="1">IFERROR(__xludf.DUMMYFUNCTION("""COMPUTED_VALUE"""),126)</f>
        <v>126</v>
      </c>
      <c r="G1639" s="1" t="str">
        <f ca="1">IFERROR(__xludf.DUMMYFUNCTION("""COMPUTED_VALUE"""),"3 mos")</f>
        <v>3 mos</v>
      </c>
      <c r="H1639" s="1" t="str">
        <f ca="1">IFERROR(__xludf.DUMMYFUNCTION("""COMPUTED_VALUE"""),"comment")</f>
        <v>comment</v>
      </c>
      <c r="I1639" s="2" t="str">
        <f ca="1">IFERROR(__xludf.DUMMYFUNCTION("""COMPUTED_VALUE"""),"https://www.facebook.com/rapplerdotcom/photos/a.317154781638645/5595372260483511/")</f>
        <v>https://www.facebook.com/rapplerdotcom/photos/a.317154781638645/5595372260483511/</v>
      </c>
      <c r="J1639" s="1" t="str">
        <f ca="1">IFERROR(__xludf.DUMMYFUNCTION("""COMPUTED_VALUE"""),"2022-07-04T15:44:55.421Z")</f>
        <v>2022-07-04T15:44:55.421Z</v>
      </c>
    </row>
    <row r="1640" spans="1:10" x14ac:dyDescent="0.2">
      <c r="A1640" s="2" t="str">
        <f ca="1">IFERROR(__xludf.DUMMYFUNCTION("""COMPUTED_VALUE"""),"https://www.facebook.com/orchid.blk")</f>
        <v>https://www.facebook.com/orchid.blk</v>
      </c>
      <c r="B1640" s="1" t="str">
        <f ca="1">IFERROR(__xludf.DUMMYFUNCTION("""COMPUTED_VALUE"""),"Dwin Orchids")</f>
        <v>Dwin Orchids</v>
      </c>
      <c r="C1640" s="1" t="str">
        <f ca="1">IFERROR(__xludf.DUMMYFUNCTION("""COMPUTED_VALUE"""),"Dwin")</f>
        <v>Dwin</v>
      </c>
      <c r="D1640" s="1" t="str">
        <f ca="1">IFERROR(__xludf.DUMMYFUNCTION("""COMPUTED_VALUE"""),"Orchids")</f>
        <v>Orchids</v>
      </c>
      <c r="E1640" s="1" t="str">
        <f ca="1">IFERROR(__xludf.DUMMYFUNCTION("""COMPUTED_VALUE"""),"Nuelle Duterte yes maam Nuelle")</f>
        <v>Nuelle Duterte yes maam Nuelle</v>
      </c>
      <c r="F1640" s="1"/>
      <c r="G1640" s="1" t="str">
        <f ca="1">IFERROR(__xludf.DUMMYFUNCTION("""COMPUTED_VALUE"""),"3 mos")</f>
        <v>3 mos</v>
      </c>
      <c r="H1640" s="1" t="str">
        <f ca="1">IFERROR(__xludf.DUMMYFUNCTION("""COMPUTED_VALUE"""),"reply")</f>
        <v>reply</v>
      </c>
      <c r="I1640" s="2" t="str">
        <f ca="1">IFERROR(__xludf.DUMMYFUNCTION("""COMPUTED_VALUE"""),"https://www.facebook.com/rapplerdotcom/photos/a.317154781638645/5595372260483511/")</f>
        <v>https://www.facebook.com/rapplerdotcom/photos/a.317154781638645/5595372260483511/</v>
      </c>
      <c r="J1640" s="1" t="str">
        <f ca="1">IFERROR(__xludf.DUMMYFUNCTION("""COMPUTED_VALUE"""),"2022-07-04T15:44:55.421Z")</f>
        <v>2022-07-04T15:44:55.421Z</v>
      </c>
    </row>
    <row r="1641" spans="1:10" x14ac:dyDescent="0.2">
      <c r="A1641" s="2" t="str">
        <f ca="1">IFERROR(__xludf.DUMMYFUNCTION("""COMPUTED_VALUE"""),"https://www.facebook.com/bulacan.trolley")</f>
        <v>https://www.facebook.com/bulacan.trolley</v>
      </c>
      <c r="B1641" s="1" t="str">
        <f ca="1">IFERROR(__xludf.DUMMYFUNCTION("""COMPUTED_VALUE"""),"Bulacan Trolley")</f>
        <v>Bulacan Trolley</v>
      </c>
      <c r="C1641" s="1" t="str">
        <f ca="1">IFERROR(__xludf.DUMMYFUNCTION("""COMPUTED_VALUE"""),"Bulacan")</f>
        <v>Bulacan</v>
      </c>
      <c r="D1641" s="1" t="str">
        <f ca="1">IFERROR(__xludf.DUMMYFUNCTION("""COMPUTED_VALUE"""),"Trolley")</f>
        <v>Trolley</v>
      </c>
      <c r="E1641" s="1" t="str">
        <f ca="1">IFERROR(__xludf.DUMMYFUNCTION("""COMPUTED_VALUE"""),"Kathleen Rosales very bright ka naman 🤪")</f>
        <v>Kathleen Rosales very bright ka naman 🤪</v>
      </c>
      <c r="F1641" s="1"/>
      <c r="G1641" s="1" t="str">
        <f ca="1">IFERROR(__xludf.DUMMYFUNCTION("""COMPUTED_VALUE"""),"3 mos")</f>
        <v>3 mos</v>
      </c>
      <c r="H1641" s="1" t="str">
        <f ca="1">IFERROR(__xludf.DUMMYFUNCTION("""COMPUTED_VALUE"""),"reply")</f>
        <v>reply</v>
      </c>
      <c r="I1641" s="2" t="str">
        <f ca="1">IFERROR(__xludf.DUMMYFUNCTION("""COMPUTED_VALUE"""),"https://www.facebook.com/rapplerdotcom/photos/a.317154781638645/5595372260483511/")</f>
        <v>https://www.facebook.com/rapplerdotcom/photos/a.317154781638645/5595372260483511/</v>
      </c>
      <c r="J1641" s="1" t="str">
        <f ca="1">IFERROR(__xludf.DUMMYFUNCTION("""COMPUTED_VALUE"""),"2022-07-04T15:44:55.421Z")</f>
        <v>2022-07-04T15:44:55.421Z</v>
      </c>
    </row>
    <row r="1642" spans="1:10" x14ac:dyDescent="0.2">
      <c r="A1642" s="2" t="str">
        <f ca="1">IFERROR(__xludf.DUMMYFUNCTION("""COMPUTED_VALUE"""),"https://www.facebook.com/profile.php?id=100072652930837")</f>
        <v>https://www.facebook.com/profile.php?id=100072652930837</v>
      </c>
      <c r="B1642" s="1" t="str">
        <f ca="1">IFERROR(__xludf.DUMMYFUNCTION("""COMPUTED_VALUE"""),"Xie Xie")</f>
        <v>Xie Xie</v>
      </c>
      <c r="C1642" s="1" t="str">
        <f ca="1">IFERROR(__xludf.DUMMYFUNCTION("""COMPUTED_VALUE"""),"Xie")</f>
        <v>Xie</v>
      </c>
      <c r="D1642" s="1" t="str">
        <f ca="1">IFERROR(__xludf.DUMMYFUNCTION("""COMPUTED_VALUE"""),"Xie")</f>
        <v>Xie</v>
      </c>
      <c r="E1642" s="1" t="str">
        <f ca="1">IFERROR(__xludf.DUMMYFUNCTION("""COMPUTED_VALUE"""),"Nuelle Duterte mali kayo,, church ba? hindi ba kay GOD dapat,, marami nagsisimba pero di nila kilala ang DYOS,,")</f>
        <v>Nuelle Duterte mali kayo,, church ba? hindi ba kay GOD dapat,, marami nagsisimba pero di nila kilala ang DYOS,,</v>
      </c>
      <c r="F1642" s="1">
        <f ca="1">IFERROR(__xludf.DUMMYFUNCTION("""COMPUTED_VALUE"""),6)</f>
        <v>6</v>
      </c>
      <c r="G1642" s="1" t="str">
        <f ca="1">IFERROR(__xludf.DUMMYFUNCTION("""COMPUTED_VALUE"""),"3 mos")</f>
        <v>3 mos</v>
      </c>
      <c r="H1642" s="1" t="str">
        <f ca="1">IFERROR(__xludf.DUMMYFUNCTION("""COMPUTED_VALUE"""),"reply")</f>
        <v>reply</v>
      </c>
      <c r="I1642" s="2" t="str">
        <f ca="1">IFERROR(__xludf.DUMMYFUNCTION("""COMPUTED_VALUE"""),"https://www.facebook.com/rapplerdotcom/photos/a.317154781638645/5595372260483511/")</f>
        <v>https://www.facebook.com/rapplerdotcom/photos/a.317154781638645/5595372260483511/</v>
      </c>
      <c r="J1642" s="1" t="str">
        <f ca="1">IFERROR(__xludf.DUMMYFUNCTION("""COMPUTED_VALUE"""),"2022-07-04T15:44:55.421Z")</f>
        <v>2022-07-04T15:44:55.421Z</v>
      </c>
    </row>
    <row r="1643" spans="1:10" x14ac:dyDescent="0.2">
      <c r="A1643" s="2" t="str">
        <f ca="1">IFERROR(__xludf.DUMMYFUNCTION("""COMPUTED_VALUE"""),"https://www.facebook.com/profile.php?id=100072652930837")</f>
        <v>https://www.facebook.com/profile.php?id=100072652930837</v>
      </c>
      <c r="B1643" s="1" t="str">
        <f ca="1">IFERROR(__xludf.DUMMYFUNCTION("""COMPUTED_VALUE"""),"Xie Xie")</f>
        <v>Xie Xie</v>
      </c>
      <c r="C1643" s="1" t="str">
        <f ca="1">IFERROR(__xludf.DUMMYFUNCTION("""COMPUTED_VALUE"""),"Xie")</f>
        <v>Xie</v>
      </c>
      <c r="D1643" s="1" t="str">
        <f ca="1">IFERROR(__xludf.DUMMYFUNCTION("""COMPUTED_VALUE"""),"Xie")</f>
        <v>Xie</v>
      </c>
      <c r="E1643" s="1" t="str">
        <f ca="1">IFERROR(__xludf.DUMMYFUNCTION("""COMPUTED_VALUE"""),"Nuelle Duterte   Mateo 6-1   “Pag-ingatan ninyong hindi pakitang-tao ang pagtupad ninyo sa inyong mga tungkulin sa Diyos. Kapag ganyan ang ginawa ninyo, wala kayong matatamong gantimpala buhat sa inyong Ama na nasa langit")</f>
        <v>Nuelle Duterte   Mateo 6-1   “Pag-ingatan ninyong hindi pakitang-tao ang pagtupad ninyo sa inyong mga tungkulin sa Diyos. Kapag ganyan ang ginawa ninyo, wala kayong matatamong gantimpala buhat sa inyong Ama na nasa langit</v>
      </c>
      <c r="F1643" s="1">
        <f ca="1">IFERROR(__xludf.DUMMYFUNCTION("""COMPUTED_VALUE"""),3)</f>
        <v>3</v>
      </c>
      <c r="G1643" s="1" t="str">
        <f ca="1">IFERROR(__xludf.DUMMYFUNCTION("""COMPUTED_VALUE"""),"3 mos")</f>
        <v>3 mos</v>
      </c>
      <c r="H1643" s="1" t="str">
        <f ca="1">IFERROR(__xludf.DUMMYFUNCTION("""COMPUTED_VALUE"""),"reply")</f>
        <v>reply</v>
      </c>
      <c r="I1643" s="2" t="str">
        <f ca="1">IFERROR(__xludf.DUMMYFUNCTION("""COMPUTED_VALUE"""),"https://www.facebook.com/rapplerdotcom/photos/a.317154781638645/5595372260483511/")</f>
        <v>https://www.facebook.com/rapplerdotcom/photos/a.317154781638645/5595372260483511/</v>
      </c>
      <c r="J1643" s="1" t="str">
        <f ca="1">IFERROR(__xludf.DUMMYFUNCTION("""COMPUTED_VALUE"""),"2022-07-04T15:44:55.421Z")</f>
        <v>2022-07-04T15:44:55.421Z</v>
      </c>
    </row>
    <row r="1644" spans="1:10" x14ac:dyDescent="0.2">
      <c r="A1644" s="2" t="str">
        <f ca="1">IFERROR(__xludf.DUMMYFUNCTION("""COMPUTED_VALUE"""),"https://www.facebook.com/christopher.ramos.31521301")</f>
        <v>https://www.facebook.com/christopher.ramos.31521301</v>
      </c>
      <c r="B1644" s="1" t="str">
        <f ca="1">IFERROR(__xludf.DUMMYFUNCTION("""COMPUTED_VALUE"""),"Christopher Ramos")</f>
        <v>Christopher Ramos</v>
      </c>
      <c r="C1644" s="1" t="str">
        <f ca="1">IFERROR(__xludf.DUMMYFUNCTION("""COMPUTED_VALUE"""),"Christopher")</f>
        <v>Christopher</v>
      </c>
      <c r="D1644" s="1" t="str">
        <f ca="1">IFERROR(__xludf.DUMMYFUNCTION("""COMPUTED_VALUE"""),"Ramos")</f>
        <v>Ramos</v>
      </c>
      <c r="E1644" s="1" t="str">
        <f ca="1">IFERROR(__xludf.DUMMYFUNCTION("""COMPUTED_VALUE"""),"ang gulo ni kathleen:)")</f>
        <v>ang gulo ni kathleen:)</v>
      </c>
      <c r="F1644" s="1">
        <f ca="1">IFERROR(__xludf.DUMMYFUNCTION("""COMPUTED_VALUE"""),2)</f>
        <v>2</v>
      </c>
      <c r="G1644" s="1" t="str">
        <f ca="1">IFERROR(__xludf.DUMMYFUNCTION("""COMPUTED_VALUE"""),"3 mos")</f>
        <v>3 mos</v>
      </c>
      <c r="H1644" s="1" t="str">
        <f ca="1">IFERROR(__xludf.DUMMYFUNCTION("""COMPUTED_VALUE"""),"reply")</f>
        <v>reply</v>
      </c>
      <c r="I1644" s="2" t="str">
        <f ca="1">IFERROR(__xludf.DUMMYFUNCTION("""COMPUTED_VALUE"""),"https://www.facebook.com/rapplerdotcom/photos/a.317154781638645/5595372260483511/")</f>
        <v>https://www.facebook.com/rapplerdotcom/photos/a.317154781638645/5595372260483511/</v>
      </c>
      <c r="J1644" s="1" t="str">
        <f ca="1">IFERROR(__xludf.DUMMYFUNCTION("""COMPUTED_VALUE"""),"2022-07-04T15:44:55.421Z")</f>
        <v>2022-07-04T15:44:55.421Z</v>
      </c>
    </row>
    <row r="1645" spans="1:10" x14ac:dyDescent="0.2">
      <c r="A1645" s="2" t="str">
        <f ca="1">IFERROR(__xludf.DUMMYFUNCTION("""COMPUTED_VALUE"""),"https://www.facebook.com/jesmirabel")</f>
        <v>https://www.facebook.com/jesmirabel</v>
      </c>
      <c r="B1645" s="1" t="str">
        <f ca="1">IFERROR(__xludf.DUMMYFUNCTION("""COMPUTED_VALUE"""),"Jes A. Mirabel")</f>
        <v>Jes A. Mirabel</v>
      </c>
      <c r="C1645" s="1" t="str">
        <f ca="1">IFERROR(__xludf.DUMMYFUNCTION("""COMPUTED_VALUE"""),"Jes")</f>
        <v>Jes</v>
      </c>
      <c r="D1645" s="1" t="str">
        <f ca="1">IFERROR(__xludf.DUMMYFUNCTION("""COMPUTED_VALUE"""),"A. Mirabel")</f>
        <v>A. Mirabel</v>
      </c>
      <c r="E1645" s="1" t="str">
        <f ca="1">IFERROR(__xludf.DUMMYFUNCTION("""COMPUTED_VALUE"""),"Kathleen Rosales so ano ba talaga? May point o pointless? Need help?😉")</f>
        <v>Kathleen Rosales so ano ba talaga? May point o pointless? Need help?😉</v>
      </c>
      <c r="F1645" s="1"/>
      <c r="G1645" s="1" t="str">
        <f ca="1">IFERROR(__xludf.DUMMYFUNCTION("""COMPUTED_VALUE"""),"3 mos")</f>
        <v>3 mos</v>
      </c>
      <c r="H1645" s="1" t="str">
        <f ca="1">IFERROR(__xludf.DUMMYFUNCTION("""COMPUTED_VALUE"""),"reply")</f>
        <v>reply</v>
      </c>
      <c r="I1645" s="2" t="str">
        <f ca="1">IFERROR(__xludf.DUMMYFUNCTION("""COMPUTED_VALUE"""),"https://www.facebook.com/rapplerdotcom/photos/a.317154781638645/5595372260483511/")</f>
        <v>https://www.facebook.com/rapplerdotcom/photos/a.317154781638645/5595372260483511/</v>
      </c>
      <c r="J1645" s="1" t="str">
        <f ca="1">IFERROR(__xludf.DUMMYFUNCTION("""COMPUTED_VALUE"""),"2022-07-04T15:44:55.422Z")</f>
        <v>2022-07-04T15:44:55.422Z</v>
      </c>
    </row>
    <row r="1646" spans="1:10" x14ac:dyDescent="0.2">
      <c r="A1646" s="2" t="str">
        <f ca="1">IFERROR(__xludf.DUMMYFUNCTION("""COMPUTED_VALUE"""),"https://www.facebook.com/santos.yap.37")</f>
        <v>https://www.facebook.com/santos.yap.37</v>
      </c>
      <c r="B1646" s="1" t="str">
        <f ca="1">IFERROR(__xludf.DUMMYFUNCTION("""COMPUTED_VALUE"""),"Santos Yap")</f>
        <v>Santos Yap</v>
      </c>
      <c r="C1646" s="1" t="str">
        <f ca="1">IFERROR(__xludf.DUMMYFUNCTION("""COMPUTED_VALUE"""),"Santos")</f>
        <v>Santos</v>
      </c>
      <c r="D1646" s="1" t="str">
        <f ca="1">IFERROR(__xludf.DUMMYFUNCTION("""COMPUTED_VALUE"""),"Yap")</f>
        <v>Yap</v>
      </c>
      <c r="E1646" s="1" t="str">
        <f ca="1">IFERROR(__xludf.DUMMYFUNCTION("""COMPUTED_VALUE"""),"Nuelle Duterte   Puppet idol mo.")</f>
        <v>Nuelle Duterte   Puppet idol mo.</v>
      </c>
      <c r="F1646" s="1"/>
      <c r="G1646" s="1" t="str">
        <f ca="1">IFERROR(__xludf.DUMMYFUNCTION("""COMPUTED_VALUE"""),"3 mos")</f>
        <v>3 mos</v>
      </c>
      <c r="H1646" s="1" t="str">
        <f ca="1">IFERROR(__xludf.DUMMYFUNCTION("""COMPUTED_VALUE"""),"reply")</f>
        <v>reply</v>
      </c>
      <c r="I1646" s="2" t="str">
        <f ca="1">IFERROR(__xludf.DUMMYFUNCTION("""COMPUTED_VALUE"""),"https://www.facebook.com/rapplerdotcom/photos/a.317154781638645/5595372260483511/")</f>
        <v>https://www.facebook.com/rapplerdotcom/photos/a.317154781638645/5595372260483511/</v>
      </c>
      <c r="J1646" s="1" t="str">
        <f ca="1">IFERROR(__xludf.DUMMYFUNCTION("""COMPUTED_VALUE"""),"2022-07-04T15:44:55.422Z")</f>
        <v>2022-07-04T15:44:55.422Z</v>
      </c>
    </row>
    <row r="1647" spans="1:10" x14ac:dyDescent="0.2">
      <c r="A1647" s="2" t="str">
        <f ca="1">IFERROR(__xludf.DUMMYFUNCTION("""COMPUTED_VALUE"""),"https://www.facebook.com/astroboiscout")</f>
        <v>https://www.facebook.com/astroboiscout</v>
      </c>
      <c r="B1647" s="1" t="str">
        <f ca="1">IFERROR(__xludf.DUMMYFUNCTION("""COMPUTED_VALUE"""),"Enrique Here")</f>
        <v>Enrique Here</v>
      </c>
      <c r="C1647" s="1" t="str">
        <f ca="1">IFERROR(__xludf.DUMMYFUNCTION("""COMPUTED_VALUE"""),"Enrique")</f>
        <v>Enrique</v>
      </c>
      <c r="D1647" s="1" t="str">
        <f ca="1">IFERROR(__xludf.DUMMYFUNCTION("""COMPUTED_VALUE"""),"Here")</f>
        <v>Here</v>
      </c>
      <c r="E1647" s="1" t="str">
        <f ca="1">IFERROR(__xludf.DUMMYFUNCTION("""COMPUTED_VALUE"""),"Nuelle Duterte aminin nyo, kahit umutot lang sya e sasabihin nyo pa rin kay point sya.")</f>
        <v>Nuelle Duterte aminin nyo, kahit umutot lang sya e sasabihin nyo pa rin kay point sya.</v>
      </c>
      <c r="F1647" s="1"/>
      <c r="G1647" s="1" t="str">
        <f ca="1">IFERROR(__xludf.DUMMYFUNCTION("""COMPUTED_VALUE"""),"3 mos")</f>
        <v>3 mos</v>
      </c>
      <c r="H1647" s="1" t="str">
        <f ca="1">IFERROR(__xludf.DUMMYFUNCTION("""COMPUTED_VALUE"""),"reply")</f>
        <v>reply</v>
      </c>
      <c r="I1647" s="2" t="str">
        <f ca="1">IFERROR(__xludf.DUMMYFUNCTION("""COMPUTED_VALUE"""),"https://www.facebook.com/rapplerdotcom/photos/a.317154781638645/5595372260483511/")</f>
        <v>https://www.facebook.com/rapplerdotcom/photos/a.317154781638645/5595372260483511/</v>
      </c>
      <c r="J1647" s="1" t="str">
        <f ca="1">IFERROR(__xludf.DUMMYFUNCTION("""COMPUTED_VALUE"""),"2022-07-04T15:44:55.422Z")</f>
        <v>2022-07-04T15:44:55.422Z</v>
      </c>
    </row>
    <row r="1648" spans="1:10" x14ac:dyDescent="0.2">
      <c r="A1648" s="2" t="str">
        <f ca="1">IFERROR(__xludf.DUMMYFUNCTION("""COMPUTED_VALUE"""),"https://www.facebook.com/normel.panergo")</f>
        <v>https://www.facebook.com/normel.panergo</v>
      </c>
      <c r="B1648" s="1" t="str">
        <f ca="1">IFERROR(__xludf.DUMMYFUNCTION("""COMPUTED_VALUE"""),"Normel Fabay Panergo")</f>
        <v>Normel Fabay Panergo</v>
      </c>
      <c r="C1648" s="1" t="str">
        <f ca="1">IFERROR(__xludf.DUMMYFUNCTION("""COMPUTED_VALUE"""),"Normel")</f>
        <v>Normel</v>
      </c>
      <c r="D1648" s="1" t="str">
        <f ca="1">IFERROR(__xludf.DUMMYFUNCTION("""COMPUTED_VALUE"""),"Fabay Panergo")</f>
        <v>Fabay Panergo</v>
      </c>
      <c r="E1648" s="1" t="str">
        <f ca="1">IFERROR(__xludf.DUMMYFUNCTION("""COMPUTED_VALUE"""),"Nuelle Duterte eto po ay practice na sa Naga City matagal na. Katunayan, nais i-replicate ni late Sec Jesse Robredo ito noon time nya sa DILG sa buong bansa;  https://www.region6.dilg.gov.ph/index.php/programs/63-accountable-lgus/409-ugnayan-ng-barangay-a"&amp;"t-simbahan-ubas")</f>
        <v>Nuelle Duterte eto po ay practice na sa Naga City matagal na. Katunayan, nais i-replicate ni late Sec Jesse Robredo ito noon time nya sa DILG sa buong bansa;  https://www.region6.dilg.gov.ph/index.php/programs/63-accountable-lgus/409-ugnayan-ng-barangay-at-simbahan-ubas</v>
      </c>
      <c r="F1648" s="1"/>
      <c r="G1648" s="1" t="str">
        <f ca="1">IFERROR(__xludf.DUMMYFUNCTION("""COMPUTED_VALUE"""),"3 mos")</f>
        <v>3 mos</v>
      </c>
      <c r="H1648" s="1" t="str">
        <f ca="1">IFERROR(__xludf.DUMMYFUNCTION("""COMPUTED_VALUE"""),"reply")</f>
        <v>reply</v>
      </c>
      <c r="I1648" s="2" t="str">
        <f ca="1">IFERROR(__xludf.DUMMYFUNCTION("""COMPUTED_VALUE"""),"https://www.facebook.com/rapplerdotcom/photos/a.317154781638645/5595372260483511/")</f>
        <v>https://www.facebook.com/rapplerdotcom/photos/a.317154781638645/5595372260483511/</v>
      </c>
      <c r="J1648" s="1" t="str">
        <f ca="1">IFERROR(__xludf.DUMMYFUNCTION("""COMPUTED_VALUE"""),"2022-07-04T15:44:55.422Z")</f>
        <v>2022-07-04T15:44:55.422Z</v>
      </c>
    </row>
    <row r="1649" spans="1:10" x14ac:dyDescent="0.2">
      <c r="A1649" s="2" t="str">
        <f ca="1">IFERROR(__xludf.DUMMYFUNCTION("""COMPUTED_VALUE"""),"https://www.facebook.com/gia.mitchell.9655")</f>
        <v>https://www.facebook.com/gia.mitchell.9655</v>
      </c>
      <c r="B1649" s="1" t="str">
        <f ca="1">IFERROR(__xludf.DUMMYFUNCTION("""COMPUTED_VALUE"""),"Gia Mitchell")</f>
        <v>Gia Mitchell</v>
      </c>
      <c r="C1649" s="1" t="str">
        <f ca="1">IFERROR(__xludf.DUMMYFUNCTION("""COMPUTED_VALUE"""),"Gia")</f>
        <v>Gia</v>
      </c>
      <c r="D1649" s="1" t="str">
        <f ca="1">IFERROR(__xludf.DUMMYFUNCTION("""COMPUTED_VALUE"""),"Mitchell")</f>
        <v>Mitchell</v>
      </c>
      <c r="E1649" s="1" t="str">
        <f ca="1">IFERROR(__xludf.DUMMYFUNCTION("""COMPUTED_VALUE"""),"Kathleen Rosales Kawawa ka naman hindi nakakaintindi ng english.")</f>
        <v>Kathleen Rosales Kawawa ka naman hindi nakakaintindi ng english.</v>
      </c>
      <c r="F1649" s="1"/>
      <c r="G1649" s="1" t="str">
        <f ca="1">IFERROR(__xludf.DUMMYFUNCTION("""COMPUTED_VALUE"""),"3 mos")</f>
        <v>3 mos</v>
      </c>
      <c r="H1649" s="1" t="str">
        <f ca="1">IFERROR(__xludf.DUMMYFUNCTION("""COMPUTED_VALUE"""),"reply")</f>
        <v>reply</v>
      </c>
      <c r="I1649" s="2" t="str">
        <f ca="1">IFERROR(__xludf.DUMMYFUNCTION("""COMPUTED_VALUE"""),"https://www.facebook.com/rapplerdotcom/photos/a.317154781638645/5595372260483511/")</f>
        <v>https://www.facebook.com/rapplerdotcom/photos/a.317154781638645/5595372260483511/</v>
      </c>
      <c r="J1649" s="1" t="str">
        <f ca="1">IFERROR(__xludf.DUMMYFUNCTION("""COMPUTED_VALUE"""),"2022-07-04T15:44:55.422Z")</f>
        <v>2022-07-04T15:44:55.422Z</v>
      </c>
    </row>
    <row r="1650" spans="1:10" x14ac:dyDescent="0.2">
      <c r="A1650" s="2" t="str">
        <f ca="1">IFERROR(__xludf.DUMMYFUNCTION("""COMPUTED_VALUE"""),"https://www.facebook.com/profile.php?id=100011569547804")</f>
        <v>https://www.facebook.com/profile.php?id=100011569547804</v>
      </c>
      <c r="B1650" s="1" t="str">
        <f ca="1">IFERROR(__xludf.DUMMYFUNCTION("""COMPUTED_VALUE"""),"Raged Cua")</f>
        <v>Raged Cua</v>
      </c>
      <c r="C1650" s="1" t="str">
        <f ca="1">IFERROR(__xludf.DUMMYFUNCTION("""COMPUTED_VALUE"""),"Raged")</f>
        <v>Raged</v>
      </c>
      <c r="D1650" s="1" t="str">
        <f ca="1">IFERROR(__xludf.DUMMYFUNCTION("""COMPUTED_VALUE"""),"Cua")</f>
        <v>Cua</v>
      </c>
      <c r="E1650" s="1" t="str">
        <f ca="1">IFERROR(__xludf.DUMMYFUNCTION("""COMPUTED_VALUE"""),"Xie Xie  Kapatid, Jesus Christ established a visible church. 😊.  Paki tuloy mo lang ang pagbasa hanggang Matthew chapter 16 - 18.  Matthew 16:18-19  Matthew 18:17 [17]And if he shall neglect to hear them, tell it unto the church: but if he neglect to hea"&amp;"r the church, let him be unto thee as an heathen man and a publican.   Idagdag mo pa James 5:14-16😊")</f>
        <v>Xie Xie  Kapatid, Jesus Christ established a visible church. 😊.  Paki tuloy mo lang ang pagbasa hanggang Matthew chapter 16 - 18.  Matthew 16:18-19  Matthew 18:17 [17]And if he shall neglect to hear them, tell it unto the church: but if he neglect to hear the church, let him be unto thee as an heathen man and a publican.   Idagdag mo pa James 5:14-16😊</v>
      </c>
      <c r="F1650" s="1">
        <f ca="1">IFERROR(__xludf.DUMMYFUNCTION("""COMPUTED_VALUE"""),4)</f>
        <v>4</v>
      </c>
      <c r="G1650" s="1" t="str">
        <f ca="1">IFERROR(__xludf.DUMMYFUNCTION("""COMPUTED_VALUE"""),"3 mos")</f>
        <v>3 mos</v>
      </c>
      <c r="H1650" s="1" t="str">
        <f ca="1">IFERROR(__xludf.DUMMYFUNCTION("""COMPUTED_VALUE"""),"reply")</f>
        <v>reply</v>
      </c>
      <c r="I1650" s="2" t="str">
        <f ca="1">IFERROR(__xludf.DUMMYFUNCTION("""COMPUTED_VALUE"""),"https://www.facebook.com/rapplerdotcom/photos/a.317154781638645/5595372260483511/")</f>
        <v>https://www.facebook.com/rapplerdotcom/photos/a.317154781638645/5595372260483511/</v>
      </c>
      <c r="J1650" s="1" t="str">
        <f ca="1">IFERROR(__xludf.DUMMYFUNCTION("""COMPUTED_VALUE"""),"2022-07-04T15:44:55.422Z")</f>
        <v>2022-07-04T15:44:55.422Z</v>
      </c>
    </row>
    <row r="1651" spans="1:10" x14ac:dyDescent="0.2">
      <c r="A1651" s="2" t="str">
        <f ca="1">IFERROR(__xludf.DUMMYFUNCTION("""COMPUTED_VALUE"""),"https://www.facebook.com/profile.php?id=100069939051229")</f>
        <v>https://www.facebook.com/profile.php?id=100069939051229</v>
      </c>
      <c r="B1651" s="1" t="str">
        <f ca="1">IFERROR(__xludf.DUMMYFUNCTION("""COMPUTED_VALUE"""),"Vince Carter")</f>
        <v>Vince Carter</v>
      </c>
      <c r="C1651" s="1" t="str">
        <f ca="1">IFERROR(__xludf.DUMMYFUNCTION("""COMPUTED_VALUE"""),"Vince")</f>
        <v>Vince</v>
      </c>
      <c r="D1651" s="1" t="str">
        <f ca="1">IFERROR(__xludf.DUMMYFUNCTION("""COMPUTED_VALUE"""),"Carter")</f>
        <v>Carter</v>
      </c>
      <c r="E1651" s="1" t="str">
        <f ca="1">IFERROR(__xludf.DUMMYFUNCTION("""COMPUTED_VALUE"""),"Nuelle Duterte goverment? To church? Wala kang maloloko dito hunghang yang nanay nanayan niyo")</f>
        <v>Nuelle Duterte goverment? To church? Wala kang maloloko dito hunghang yang nanay nanayan niyo</v>
      </c>
      <c r="F1651" s="1">
        <f ca="1">IFERROR(__xludf.DUMMYFUNCTION("""COMPUTED_VALUE"""),1)</f>
        <v>1</v>
      </c>
      <c r="G1651" s="1" t="str">
        <f ca="1">IFERROR(__xludf.DUMMYFUNCTION("""COMPUTED_VALUE"""),"3 mos")</f>
        <v>3 mos</v>
      </c>
      <c r="H1651" s="1" t="str">
        <f ca="1">IFERROR(__xludf.DUMMYFUNCTION("""COMPUTED_VALUE"""),"reply")</f>
        <v>reply</v>
      </c>
      <c r="I1651" s="2" t="str">
        <f ca="1">IFERROR(__xludf.DUMMYFUNCTION("""COMPUTED_VALUE"""),"https://www.facebook.com/rapplerdotcom/photos/a.317154781638645/5595372260483511/")</f>
        <v>https://www.facebook.com/rapplerdotcom/photos/a.317154781638645/5595372260483511/</v>
      </c>
      <c r="J1651" s="1" t="str">
        <f ca="1">IFERROR(__xludf.DUMMYFUNCTION("""COMPUTED_VALUE"""),"2022-07-04T15:44:55.422Z")</f>
        <v>2022-07-04T15:44:55.422Z</v>
      </c>
    </row>
    <row r="1652" spans="1:10" x14ac:dyDescent="0.2">
      <c r="A1652" s="2" t="str">
        <f ca="1">IFERROR(__xludf.DUMMYFUNCTION("""COMPUTED_VALUE"""),"https://www.facebook.com/vicky.v.quiachon")</f>
        <v>https://www.facebook.com/vicky.v.quiachon</v>
      </c>
      <c r="B1652" s="1" t="str">
        <f ca="1">IFERROR(__xludf.DUMMYFUNCTION("""COMPUTED_VALUE"""),"Inday Vicvic")</f>
        <v>Inday Vicvic</v>
      </c>
      <c r="C1652" s="1" t="str">
        <f ca="1">IFERROR(__xludf.DUMMYFUNCTION("""COMPUTED_VALUE"""),"Inday")</f>
        <v>Inday</v>
      </c>
      <c r="D1652" s="1" t="str">
        <f ca="1">IFERROR(__xludf.DUMMYFUNCTION("""COMPUTED_VALUE"""),"Vicvic")</f>
        <v>Vicvic</v>
      </c>
      <c r="E1652" s="1" t="str">
        <f ca="1">IFERROR(__xludf.DUMMYFUNCTION("""COMPUTED_VALUE"""),"Nakikita sa tagasuporta ang katagian ng isang leader. Kapag matino ang leader, matino rin ang tagasuporta. Kaya doon lang tayo sa mahusay ay matino! #CaMaNaVaIsPink  #CaMaNavaForLeniKiko  #IpanaloNa10To #LeniKiko2022 #AngatBuhayLahat #10RobredoForPresiden"&amp;"t  #7KikoPangilinanForVicePresident  #LeiladeLimaforSenator  #Baguilat4Senator  #RisaHontiveros2022  #SonnyMatula2022  #ChelDioknoforSenator2022  #AlexLacsonForSenator  #SonnyTrillanes2022  #Colmenares4Senator  #lukeespirituforsenator  #kamalayanpartylist")</f>
        <v>Nakikita sa tagasuporta ang katagian ng isang leader. Kapag matino ang leader, matino rin ang tagasuporta. Kaya doon lang tayo sa mahusay ay matino! #CaMaNaVaIsPink  #CaMaNavaForLeniKiko  #IpanaloNa10To #LeniKiko2022 #AngatBuhayLahat #10RobredoForPresident  #7KikoPangilinanForVicePresident  #LeiladeLimaforSenator  #Baguilat4Senator  #RisaHontiveros2022  #SonnyMatula2022  #ChelDioknoforSenator2022  #AlexLacsonForSenator  #SonnyTrillanes2022  #Colmenares4Senator  #lukeespirituforsenator  #kamalayanpartylist</v>
      </c>
      <c r="F1652" s="1">
        <f ca="1">IFERROR(__xludf.DUMMYFUNCTION("""COMPUTED_VALUE"""),46)</f>
        <v>46</v>
      </c>
      <c r="G1652" s="1" t="str">
        <f ca="1">IFERROR(__xludf.DUMMYFUNCTION("""COMPUTED_VALUE"""),"3 mos")</f>
        <v>3 mos</v>
      </c>
      <c r="H1652" s="1" t="str">
        <f ca="1">IFERROR(__xludf.DUMMYFUNCTION("""COMPUTED_VALUE"""),"comment")</f>
        <v>comment</v>
      </c>
      <c r="I1652" s="2" t="str">
        <f ca="1">IFERROR(__xludf.DUMMYFUNCTION("""COMPUTED_VALUE"""),"https://www.facebook.com/rapplerdotcom/photos/a.317154781638645/5595372260483511/")</f>
        <v>https://www.facebook.com/rapplerdotcom/photos/a.317154781638645/5595372260483511/</v>
      </c>
      <c r="J1652" s="1" t="str">
        <f ca="1">IFERROR(__xludf.DUMMYFUNCTION("""COMPUTED_VALUE"""),"2022-07-04T15:44:55.422Z")</f>
        <v>2022-07-04T15:44:55.422Z</v>
      </c>
    </row>
    <row r="1653" spans="1:10" x14ac:dyDescent="0.2">
      <c r="A1653" s="2" t="str">
        <f ca="1">IFERROR(__xludf.DUMMYFUNCTION("""COMPUTED_VALUE"""),"https://www.facebook.com/nel.almira.1")</f>
        <v>https://www.facebook.com/nel.almira.1</v>
      </c>
      <c r="B1653" s="1" t="str">
        <f ca="1">IFERROR(__xludf.DUMMYFUNCTION("""COMPUTED_VALUE"""),"Nel Almira")</f>
        <v>Nel Almira</v>
      </c>
      <c r="C1653" s="1" t="str">
        <f ca="1">IFERROR(__xludf.DUMMYFUNCTION("""COMPUTED_VALUE"""),"Nel")</f>
        <v>Nel</v>
      </c>
      <c r="D1653" s="1" t="str">
        <f ca="1">IFERROR(__xludf.DUMMYFUNCTION("""COMPUTED_VALUE"""),"Almira")</f>
        <v>Almira</v>
      </c>
      <c r="E1653" s="1" t="str">
        <f ca="1">IFERROR(__xludf.DUMMYFUNCTION("""COMPUTED_VALUE"""),"Vicky Varon Quiachon d wow")</f>
        <v>Vicky Varon Quiachon d wow</v>
      </c>
      <c r="F1653" s="1">
        <f ca="1">IFERROR(__xludf.DUMMYFUNCTION("""COMPUTED_VALUE"""),1)</f>
        <v>1</v>
      </c>
      <c r="G1653" s="1" t="str">
        <f ca="1">IFERROR(__xludf.DUMMYFUNCTION("""COMPUTED_VALUE"""),"3 mos")</f>
        <v>3 mos</v>
      </c>
      <c r="H1653" s="1" t="str">
        <f ca="1">IFERROR(__xludf.DUMMYFUNCTION("""COMPUTED_VALUE"""),"reply")</f>
        <v>reply</v>
      </c>
      <c r="I1653" s="2" t="str">
        <f ca="1">IFERROR(__xludf.DUMMYFUNCTION("""COMPUTED_VALUE"""),"https://www.facebook.com/rapplerdotcom/photos/a.317154781638645/5595372260483511/")</f>
        <v>https://www.facebook.com/rapplerdotcom/photos/a.317154781638645/5595372260483511/</v>
      </c>
      <c r="J1653" s="1" t="str">
        <f ca="1">IFERROR(__xludf.DUMMYFUNCTION("""COMPUTED_VALUE"""),"2022-07-04T15:44:55.422Z")</f>
        <v>2022-07-04T15:44:55.422Z</v>
      </c>
    </row>
    <row r="1654" spans="1:10" x14ac:dyDescent="0.2">
      <c r="A1654" s="2" t="str">
        <f ca="1">IFERROR(__xludf.DUMMYFUNCTION("""COMPUTED_VALUE"""),"https://www.facebook.com/evette.ramos.79")</f>
        <v>https://www.facebook.com/evette.ramos.79</v>
      </c>
      <c r="B1654" s="1" t="str">
        <f ca="1">IFERROR(__xludf.DUMMYFUNCTION("""COMPUTED_VALUE"""),"Eve O Rio")</f>
        <v>Eve O Rio</v>
      </c>
      <c r="C1654" s="1" t="str">
        <f ca="1">IFERROR(__xludf.DUMMYFUNCTION("""COMPUTED_VALUE"""),"Eve")</f>
        <v>Eve</v>
      </c>
      <c r="D1654" s="1" t="str">
        <f ca="1">IFERROR(__xludf.DUMMYFUNCTION("""COMPUTED_VALUE"""),"O Rio")</f>
        <v>O Rio</v>
      </c>
      <c r="E1654" s="1" t="str">
        <f ca="1">IFERROR(__xludf.DUMMYFUNCTION("""COMPUTED_VALUE"""),"Vicky Varon Quiachon Eh di ikaw na matino...🤣🤣🤣Kapag pala mukhang matino magaling na agad ang tingin mo na marunong magpatakbo at humawak ng isang buong bansa?.. Ay paano kaya yung mukhang brusko pero ang resulta mas magaling na napatakbo ang isang buo"&amp;"ng bansa at  may panahon pa ng Pandemiya ...Mahirap na iyan paniwalaan sa ngayon... pinanggalingan na ng bansa natin ang istilo na iyan pero saan pinulot ang Pilipinas?..Hindi masusukat ang isang karapat dapat na leader sa panglabas na kaanyuan...iyon ay "&amp;"makikita kpg nanunungkulan na at aktuwal ng naka upo at depende sa sitwasyon na darating sa kapalaran ng Pilipinas at mamamayan sa kamay niya.")</f>
        <v>Vicky Varon Quiachon Eh di ikaw na matino...🤣🤣🤣Kapag pala mukhang matino magaling na agad ang tingin mo na marunong magpatakbo at humawak ng isang buong bansa?.. Ay paano kaya yung mukhang brusko pero ang resulta mas magaling na napatakbo ang isang buong bansa at  may panahon pa ng Pandemiya ...Mahirap na iyan paniwalaan sa ngayon... pinanggalingan na ng bansa natin ang istilo na iyan pero saan pinulot ang Pilipinas?..Hindi masusukat ang isang karapat dapat na leader sa panglabas na kaanyuan...iyon ay makikita kpg nanunungkulan na at aktuwal ng naka upo at depende sa sitwasyon na darating sa kapalaran ng Pilipinas at mamamayan sa kamay niya.</v>
      </c>
      <c r="F1654" s="1">
        <f ca="1">IFERROR(__xludf.DUMMYFUNCTION("""COMPUTED_VALUE"""),5)</f>
        <v>5</v>
      </c>
      <c r="G1654" s="1" t="str">
        <f ca="1">IFERROR(__xludf.DUMMYFUNCTION("""COMPUTED_VALUE"""),"3 mos")</f>
        <v>3 mos</v>
      </c>
      <c r="H1654" s="1" t="str">
        <f ca="1">IFERROR(__xludf.DUMMYFUNCTION("""COMPUTED_VALUE"""),"reply")</f>
        <v>reply</v>
      </c>
      <c r="I1654" s="2" t="str">
        <f ca="1">IFERROR(__xludf.DUMMYFUNCTION("""COMPUTED_VALUE"""),"https://www.facebook.com/rapplerdotcom/photos/a.317154781638645/5595372260483511/")</f>
        <v>https://www.facebook.com/rapplerdotcom/photos/a.317154781638645/5595372260483511/</v>
      </c>
      <c r="J1654" s="1" t="str">
        <f ca="1">IFERROR(__xludf.DUMMYFUNCTION("""COMPUTED_VALUE"""),"2022-07-04T15:44:55.422Z")</f>
        <v>2022-07-04T15:44:55.422Z</v>
      </c>
    </row>
    <row r="1655" spans="1:10" x14ac:dyDescent="0.2">
      <c r="A1655" s="2" t="str">
        <f ca="1">IFERROR(__xludf.DUMMYFUNCTION("""COMPUTED_VALUE"""),"https://www.facebook.com/adrian.nepomuceno.58")</f>
        <v>https://www.facebook.com/adrian.nepomuceno.58</v>
      </c>
      <c r="B1655" s="1" t="str">
        <f ca="1">IFERROR(__xludf.DUMMYFUNCTION("""COMPUTED_VALUE"""),"Adrian Nepomuceno")</f>
        <v>Adrian Nepomuceno</v>
      </c>
      <c r="C1655" s="1" t="str">
        <f ca="1">IFERROR(__xludf.DUMMYFUNCTION("""COMPUTED_VALUE"""),"Adrian")</f>
        <v>Adrian</v>
      </c>
      <c r="D1655" s="1" t="str">
        <f ca="1">IFERROR(__xludf.DUMMYFUNCTION("""COMPUTED_VALUE"""),"Nepomuceno")</f>
        <v>Nepomuceno</v>
      </c>
      <c r="E1655" s="1" t="str">
        <f ca="1">IFERROR(__xludf.DUMMYFUNCTION("""COMPUTED_VALUE"""),"James Kenneth iyo nayan🤣🤣")</f>
        <v>James Kenneth iyo nayan🤣🤣</v>
      </c>
      <c r="F1655" s="1">
        <f ca="1">IFERROR(__xludf.DUMMYFUNCTION("""COMPUTED_VALUE"""),1)</f>
        <v>1</v>
      </c>
      <c r="G1655" s="1" t="str">
        <f ca="1">IFERROR(__xludf.DUMMYFUNCTION("""COMPUTED_VALUE"""),"3 mos")</f>
        <v>3 mos</v>
      </c>
      <c r="H1655" s="1" t="str">
        <f ca="1">IFERROR(__xludf.DUMMYFUNCTION("""COMPUTED_VALUE"""),"reply")</f>
        <v>reply</v>
      </c>
      <c r="I1655" s="2" t="str">
        <f ca="1">IFERROR(__xludf.DUMMYFUNCTION("""COMPUTED_VALUE"""),"https://www.facebook.com/rapplerdotcom/photos/a.317154781638645/5595372260483511/")</f>
        <v>https://www.facebook.com/rapplerdotcom/photos/a.317154781638645/5595372260483511/</v>
      </c>
      <c r="J1655" s="1" t="str">
        <f ca="1">IFERROR(__xludf.DUMMYFUNCTION("""COMPUTED_VALUE"""),"2022-07-04T15:44:55.422Z")</f>
        <v>2022-07-04T15:44:55.422Z</v>
      </c>
    </row>
    <row r="1656" spans="1:10" x14ac:dyDescent="0.2">
      <c r="A1656" s="2" t="str">
        <f ca="1">IFERROR(__xludf.DUMMYFUNCTION("""COMPUTED_VALUE"""),"https://www.facebook.com/adrian.nepomuceno.58")</f>
        <v>https://www.facebook.com/adrian.nepomuceno.58</v>
      </c>
      <c r="B1656" s="1" t="str">
        <f ca="1">IFERROR(__xludf.DUMMYFUNCTION("""COMPUTED_VALUE"""),"Adrian Nepomuceno")</f>
        <v>Adrian Nepomuceno</v>
      </c>
      <c r="C1656" s="1" t="str">
        <f ca="1">IFERROR(__xludf.DUMMYFUNCTION("""COMPUTED_VALUE"""),"Adrian")</f>
        <v>Adrian</v>
      </c>
      <c r="D1656" s="1" t="str">
        <f ca="1">IFERROR(__xludf.DUMMYFUNCTION("""COMPUTED_VALUE"""),"Nepomuceno")</f>
        <v>Nepomuceno</v>
      </c>
      <c r="E1656" s="1" t="str">
        <f ca="1">IFERROR(__xludf.DUMMYFUNCTION("""COMPUTED_VALUE"""),"James Kenneth bahala ka tol labas ako jan🤣🤣")</f>
        <v>James Kenneth bahala ka tol labas ako jan🤣🤣</v>
      </c>
      <c r="F1656" s="1">
        <f ca="1">IFERROR(__xludf.DUMMYFUNCTION("""COMPUTED_VALUE"""),1)</f>
        <v>1</v>
      </c>
      <c r="G1656" s="1" t="str">
        <f ca="1">IFERROR(__xludf.DUMMYFUNCTION("""COMPUTED_VALUE"""),"3 mos")</f>
        <v>3 mos</v>
      </c>
      <c r="H1656" s="1" t="str">
        <f ca="1">IFERROR(__xludf.DUMMYFUNCTION("""COMPUTED_VALUE"""),"reply")</f>
        <v>reply</v>
      </c>
      <c r="I1656" s="2" t="str">
        <f ca="1">IFERROR(__xludf.DUMMYFUNCTION("""COMPUTED_VALUE"""),"https://www.facebook.com/rapplerdotcom/photos/a.317154781638645/5595372260483511/")</f>
        <v>https://www.facebook.com/rapplerdotcom/photos/a.317154781638645/5595372260483511/</v>
      </c>
      <c r="J1656" s="1" t="str">
        <f ca="1">IFERROR(__xludf.DUMMYFUNCTION("""COMPUTED_VALUE"""),"2022-07-04T15:44:55.422Z")</f>
        <v>2022-07-04T15:44:55.422Z</v>
      </c>
    </row>
    <row r="1657" spans="1:10" x14ac:dyDescent="0.2">
      <c r="A1657" s="2" t="str">
        <f ca="1">IFERROR(__xludf.DUMMYFUNCTION("""COMPUTED_VALUE"""),"https://www.facebook.com/edwin.sapnu.7")</f>
        <v>https://www.facebook.com/edwin.sapnu.7</v>
      </c>
      <c r="B1657" s="1" t="str">
        <f ca="1">IFERROR(__xludf.DUMMYFUNCTION("""COMPUTED_VALUE"""),"Edwin B Sapnu")</f>
        <v>Edwin B Sapnu</v>
      </c>
      <c r="C1657" s="1" t="str">
        <f ca="1">IFERROR(__xludf.DUMMYFUNCTION("""COMPUTED_VALUE"""),"Edwin")</f>
        <v>Edwin</v>
      </c>
      <c r="D1657" s="1" t="str">
        <f ca="1">IFERROR(__xludf.DUMMYFUNCTION("""COMPUTED_VALUE"""),"B Sapnu")</f>
        <v>B Sapnu</v>
      </c>
      <c r="E1657" s="1" t="str">
        <f ca="1">IFERROR(__xludf.DUMMYFUNCTION("""COMPUTED_VALUE"""),"Vicky Varon Quiachon Ahaha matino San Banda edi Gawin nyo na Santa yang nanay nyo lutang !")</f>
        <v>Vicky Varon Quiachon Ahaha matino San Banda edi Gawin nyo na Santa yang nanay nyo lutang !</v>
      </c>
      <c r="F1657" s="1"/>
      <c r="G1657" s="1" t="str">
        <f ca="1">IFERROR(__xludf.DUMMYFUNCTION("""COMPUTED_VALUE"""),"3 mos")</f>
        <v>3 mos</v>
      </c>
      <c r="H1657" s="1" t="str">
        <f ca="1">IFERROR(__xludf.DUMMYFUNCTION("""COMPUTED_VALUE"""),"reply")</f>
        <v>reply</v>
      </c>
      <c r="I1657" s="2" t="str">
        <f ca="1">IFERROR(__xludf.DUMMYFUNCTION("""COMPUTED_VALUE"""),"https://www.facebook.com/rapplerdotcom/photos/a.317154781638645/5595372260483511/")</f>
        <v>https://www.facebook.com/rapplerdotcom/photos/a.317154781638645/5595372260483511/</v>
      </c>
      <c r="J1657" s="1" t="str">
        <f ca="1">IFERROR(__xludf.DUMMYFUNCTION("""COMPUTED_VALUE"""),"2022-07-04T15:44:55.422Z")</f>
        <v>2022-07-04T15:44:55.422Z</v>
      </c>
    </row>
    <row r="1658" spans="1:10" x14ac:dyDescent="0.2">
      <c r="A1658" s="2" t="str">
        <f ca="1">IFERROR(__xludf.DUMMYFUNCTION("""COMPUTED_VALUE"""),"https://www.facebook.com/marvin.dequina.773")</f>
        <v>https://www.facebook.com/marvin.dequina.773</v>
      </c>
      <c r="B1658" s="1" t="str">
        <f ca="1">IFERROR(__xludf.DUMMYFUNCTION("""COMPUTED_VALUE"""),"Marvin Dequina")</f>
        <v>Marvin Dequina</v>
      </c>
      <c r="C1658" s="1" t="str">
        <f ca="1">IFERROR(__xludf.DUMMYFUNCTION("""COMPUTED_VALUE"""),"Marvin")</f>
        <v>Marvin</v>
      </c>
      <c r="D1658" s="1" t="str">
        <f ca="1">IFERROR(__xludf.DUMMYFUNCTION("""COMPUTED_VALUE"""),"Dequina")</f>
        <v>Dequina</v>
      </c>
      <c r="E1658" s="1" t="str">
        <f ca="1">IFERROR(__xludf.DUMMYFUNCTION("""COMPUTED_VALUE"""),"May matino bang laging lutang😂🤣😂🤣😂🤣")</f>
        <v>May matino bang laging lutang😂🤣😂🤣😂🤣</v>
      </c>
      <c r="F1658" s="1">
        <f ca="1">IFERROR(__xludf.DUMMYFUNCTION("""COMPUTED_VALUE"""),1)</f>
        <v>1</v>
      </c>
      <c r="G1658" s="1" t="str">
        <f ca="1">IFERROR(__xludf.DUMMYFUNCTION("""COMPUTED_VALUE"""),"3 mos")</f>
        <v>3 mos</v>
      </c>
      <c r="H1658" s="1" t="str">
        <f ca="1">IFERROR(__xludf.DUMMYFUNCTION("""COMPUTED_VALUE"""),"reply")</f>
        <v>reply</v>
      </c>
      <c r="I1658" s="2" t="str">
        <f ca="1">IFERROR(__xludf.DUMMYFUNCTION("""COMPUTED_VALUE"""),"https://www.facebook.com/rapplerdotcom/photos/a.317154781638645/5595372260483511/")</f>
        <v>https://www.facebook.com/rapplerdotcom/photos/a.317154781638645/5595372260483511/</v>
      </c>
      <c r="J1658" s="1" t="str">
        <f ca="1">IFERROR(__xludf.DUMMYFUNCTION("""COMPUTED_VALUE"""),"2022-07-04T15:44:55.422Z")</f>
        <v>2022-07-04T15:44:55.422Z</v>
      </c>
    </row>
    <row r="1659" spans="1:10" x14ac:dyDescent="0.2">
      <c r="A1659" s="2" t="str">
        <f ca="1">IFERROR(__xludf.DUMMYFUNCTION("""COMPUTED_VALUE"""),"https://www.facebook.com/loreta.ardaban.3")</f>
        <v>https://www.facebook.com/loreta.ardaban.3</v>
      </c>
      <c r="B1659" s="1" t="str">
        <f ca="1">IFERROR(__xludf.DUMMYFUNCTION("""COMPUTED_VALUE"""),"Loreta Ardaban")</f>
        <v>Loreta Ardaban</v>
      </c>
      <c r="C1659" s="1" t="str">
        <f ca="1">IFERROR(__xludf.DUMMYFUNCTION("""COMPUTED_VALUE"""),"Loreta")</f>
        <v>Loreta</v>
      </c>
      <c r="D1659" s="1" t="str">
        <f ca="1">IFERROR(__xludf.DUMMYFUNCTION("""COMPUTED_VALUE"""),"Ardaban")</f>
        <v>Ardaban</v>
      </c>
      <c r="E1659" s="1" t="str">
        <f ca="1">IFERROR(__xludf.DUMMYFUNCTION("""COMPUTED_VALUE"""),"Eve O Rio E de matalino kung ayaw mo ng matino. Kay Lenitayo Bumubuhos paparami ang mga supporters. Bowwwww Wow....,.,..w")</f>
        <v>Eve O Rio E de matalino kung ayaw mo ng matino. Kay Lenitayo Bumubuhos paparami ang mga supporters. Bowwwww Wow....,.,..w</v>
      </c>
      <c r="F1659" s="1"/>
      <c r="G1659" s="1" t="str">
        <f ca="1">IFERROR(__xludf.DUMMYFUNCTION("""COMPUTED_VALUE"""),"3 mos")</f>
        <v>3 mos</v>
      </c>
      <c r="H1659" s="1" t="str">
        <f ca="1">IFERROR(__xludf.DUMMYFUNCTION("""COMPUTED_VALUE"""),"reply")</f>
        <v>reply</v>
      </c>
      <c r="I1659" s="2" t="str">
        <f ca="1">IFERROR(__xludf.DUMMYFUNCTION("""COMPUTED_VALUE"""),"https://www.facebook.com/rapplerdotcom/photos/a.317154781638645/5595372260483511/")</f>
        <v>https://www.facebook.com/rapplerdotcom/photos/a.317154781638645/5595372260483511/</v>
      </c>
      <c r="J1659" s="1" t="str">
        <f ca="1">IFERROR(__xludf.DUMMYFUNCTION("""COMPUTED_VALUE"""),"2022-07-04T15:44:55.422Z")</f>
        <v>2022-07-04T15:44:55.422Z</v>
      </c>
    </row>
    <row r="1660" spans="1:10" x14ac:dyDescent="0.2">
      <c r="A1660" s="2" t="str">
        <f ca="1">IFERROR(__xludf.DUMMYFUNCTION("""COMPUTED_VALUE"""),"https://www.facebook.com/profile.php?id=100009126387339")</f>
        <v>https://www.facebook.com/profile.php?id=100009126387339</v>
      </c>
      <c r="B1660" s="1" t="str">
        <f ca="1">IFERROR(__xludf.DUMMYFUNCTION("""COMPUTED_VALUE"""),"Richard Glenn Araullo")</f>
        <v>Richard Glenn Araullo</v>
      </c>
      <c r="C1660" s="1" t="str">
        <f ca="1">IFERROR(__xludf.DUMMYFUNCTION("""COMPUTED_VALUE"""),"Richard")</f>
        <v>Richard</v>
      </c>
      <c r="D1660" s="1" t="str">
        <f ca="1">IFERROR(__xludf.DUMMYFUNCTION("""COMPUTED_VALUE"""),"Glenn Araullo")</f>
        <v>Glenn Araullo</v>
      </c>
      <c r="E1660" s="1" t="str">
        <f ca="1">IFERROR(__xludf.DUMMYFUNCTION("""COMPUTED_VALUE"""),"Ang edukasyon at pananampalataya ay makatutulong upang masiguro na responsable na ang isang tao bago nya pasukin ang pagpapamilya o pagkaka-anak.")</f>
        <v>Ang edukasyon at pananampalataya ay makatutulong upang masiguro na responsable na ang isang tao bago nya pasukin ang pagpapamilya o pagkaka-anak.</v>
      </c>
      <c r="F1660" s="1">
        <f ca="1">IFERROR(__xludf.DUMMYFUNCTION("""COMPUTED_VALUE"""),17)</f>
        <v>17</v>
      </c>
      <c r="G1660" s="1" t="str">
        <f ca="1">IFERROR(__xludf.DUMMYFUNCTION("""COMPUTED_VALUE"""),"3 mos")</f>
        <v>3 mos</v>
      </c>
      <c r="H1660" s="1" t="str">
        <f ca="1">IFERROR(__xludf.DUMMYFUNCTION("""COMPUTED_VALUE"""),"comment")</f>
        <v>comment</v>
      </c>
      <c r="I1660" s="2" t="str">
        <f ca="1">IFERROR(__xludf.DUMMYFUNCTION("""COMPUTED_VALUE"""),"https://www.facebook.com/rapplerdotcom/photos/a.317154781638645/5595372260483511/")</f>
        <v>https://www.facebook.com/rapplerdotcom/photos/a.317154781638645/5595372260483511/</v>
      </c>
      <c r="J1660" s="1" t="str">
        <f ca="1">IFERROR(__xludf.DUMMYFUNCTION("""COMPUTED_VALUE"""),"2022-07-04T15:44:55.422Z")</f>
        <v>2022-07-04T15:44:55.422Z</v>
      </c>
    </row>
    <row r="1661" spans="1:10" x14ac:dyDescent="0.2">
      <c r="A1661" s="2" t="str">
        <f ca="1">IFERROR(__xludf.DUMMYFUNCTION("""COMPUTED_VALUE"""),"https://www.facebook.com/fides.ayuste")</f>
        <v>https://www.facebook.com/fides.ayuste</v>
      </c>
      <c r="B1661" s="1" t="str">
        <f ca="1">IFERROR(__xludf.DUMMYFUNCTION("""COMPUTED_VALUE"""),"Fides Santucci")</f>
        <v>Fides Santucci</v>
      </c>
      <c r="C1661" s="1" t="str">
        <f ca="1">IFERROR(__xludf.DUMMYFUNCTION("""COMPUTED_VALUE"""),"Fides")</f>
        <v>Fides</v>
      </c>
      <c r="D1661" s="1" t="str">
        <f ca="1">IFERROR(__xludf.DUMMYFUNCTION("""COMPUTED_VALUE"""),"Santucci")</f>
        <v>Santucci</v>
      </c>
      <c r="E1661" s="1" t="str">
        <f ca="1">IFERROR(__xludf.DUMMYFUNCTION("""COMPUTED_VALUE"""),"Kailangan ng studies, kung yan ang solution, edi good 🤓🌸🌷🙏💗")</f>
        <v>Kailangan ng studies, kung yan ang solution, edi good 🤓🌸🌷🙏💗</v>
      </c>
      <c r="F1661" s="1">
        <f ca="1">IFERROR(__xludf.DUMMYFUNCTION("""COMPUTED_VALUE"""),3)</f>
        <v>3</v>
      </c>
      <c r="G1661" s="1" t="str">
        <f ca="1">IFERROR(__xludf.DUMMYFUNCTION("""COMPUTED_VALUE"""),"3 mos")</f>
        <v>3 mos</v>
      </c>
      <c r="H1661" s="1" t="str">
        <f ca="1">IFERROR(__xludf.DUMMYFUNCTION("""COMPUTED_VALUE"""),"comment")</f>
        <v>comment</v>
      </c>
      <c r="I1661" s="2" t="str">
        <f ca="1">IFERROR(__xludf.DUMMYFUNCTION("""COMPUTED_VALUE"""),"https://www.facebook.com/rapplerdotcom/photos/a.317154781638645/5595372260483511/")</f>
        <v>https://www.facebook.com/rapplerdotcom/photos/a.317154781638645/5595372260483511/</v>
      </c>
      <c r="J1661" s="1" t="str">
        <f ca="1">IFERROR(__xludf.DUMMYFUNCTION("""COMPUTED_VALUE"""),"2022-07-04T15:44:55.422Z")</f>
        <v>2022-07-04T15:44:55.422Z</v>
      </c>
    </row>
    <row r="1662" spans="1:10" x14ac:dyDescent="0.2">
      <c r="A1662" s="2" t="str">
        <f ca="1">IFERROR(__xludf.DUMMYFUNCTION("""COMPUTED_VALUE"""),"https://www.facebook.com/lina.adlao.cayong")</f>
        <v>https://www.facebook.com/lina.adlao.cayong</v>
      </c>
      <c r="B1662" s="1" t="str">
        <f ca="1">IFERROR(__xludf.DUMMYFUNCTION("""COMPUTED_VALUE"""),"Lina Cayong")</f>
        <v>Lina Cayong</v>
      </c>
      <c r="C1662" s="1" t="str">
        <f ca="1">IFERROR(__xludf.DUMMYFUNCTION("""COMPUTED_VALUE"""),"Lina")</f>
        <v>Lina</v>
      </c>
      <c r="D1662" s="1" t="str">
        <f ca="1">IFERROR(__xludf.DUMMYFUNCTION("""COMPUTED_VALUE"""),"Cayong")</f>
        <v>Cayong</v>
      </c>
      <c r="E1662" s="1" t="str">
        <f ca="1">IFERROR(__xludf.DUMMYFUNCTION("""COMPUTED_VALUE"""),"Kaya naman nakikita ng mga kabataan ang kanyang malasakit sa kanila, siya'y isang ina na nais lamang na lahat ng oportinidad ay available para sa kanila.   #LeniKiko2022 #AngatBuhayLahat  lenirobredo.com")</f>
        <v>Kaya naman nakikita ng mga kabataan ang kanyang malasakit sa kanila, siya'y isang ina na nais lamang na lahat ng oportinidad ay available para sa kanila.   #LeniKiko2022 #AngatBuhayLahat  lenirobredo.com</v>
      </c>
      <c r="F1662" s="1">
        <f ca="1">IFERROR(__xludf.DUMMYFUNCTION("""COMPUTED_VALUE"""),23)</f>
        <v>23</v>
      </c>
      <c r="G1662" s="1" t="str">
        <f ca="1">IFERROR(__xludf.DUMMYFUNCTION("""COMPUTED_VALUE"""),"3 mos")</f>
        <v>3 mos</v>
      </c>
      <c r="H1662" s="1" t="str">
        <f ca="1">IFERROR(__xludf.DUMMYFUNCTION("""COMPUTED_VALUE"""),"comment")</f>
        <v>comment</v>
      </c>
      <c r="I1662" s="2" t="str">
        <f ca="1">IFERROR(__xludf.DUMMYFUNCTION("""COMPUTED_VALUE"""),"https://www.facebook.com/rapplerdotcom/photos/a.317154781638645/5595372260483511/")</f>
        <v>https://www.facebook.com/rapplerdotcom/photos/a.317154781638645/5595372260483511/</v>
      </c>
      <c r="J1662" s="1" t="str">
        <f ca="1">IFERROR(__xludf.DUMMYFUNCTION("""COMPUTED_VALUE"""),"2022-07-04T15:44:55.422Z")</f>
        <v>2022-07-04T15:44:55.422Z</v>
      </c>
    </row>
    <row r="1663" spans="1:10" x14ac:dyDescent="0.2">
      <c r="A1663" s="2" t="str">
        <f ca="1">IFERROR(__xludf.DUMMYFUNCTION("""COMPUTED_VALUE"""),"https://www.facebook.com/edwin.sapnu.7")</f>
        <v>https://www.facebook.com/edwin.sapnu.7</v>
      </c>
      <c r="B1663" s="1" t="str">
        <f ca="1">IFERROR(__xludf.DUMMYFUNCTION("""COMPUTED_VALUE"""),"Edwin B Sapnu")</f>
        <v>Edwin B Sapnu</v>
      </c>
      <c r="C1663" s="1" t="str">
        <f ca="1">IFERROR(__xludf.DUMMYFUNCTION("""COMPUTED_VALUE"""),"Edwin")</f>
        <v>Edwin</v>
      </c>
      <c r="D1663" s="1" t="str">
        <f ca="1">IFERROR(__xludf.DUMMYFUNCTION("""COMPUTED_VALUE"""),"B Sapnu")</f>
        <v>B Sapnu</v>
      </c>
      <c r="E1663" s="1" t="str">
        <f ca="1">IFERROR(__xludf.DUMMYFUNCTION("""COMPUTED_VALUE"""),"Lina Cayong Baka hanap Patay aha")</f>
        <v>Lina Cayong Baka hanap Patay aha</v>
      </c>
      <c r="F1663" s="1">
        <f ca="1">IFERROR(__xludf.DUMMYFUNCTION("""COMPUTED_VALUE"""),1)</f>
        <v>1</v>
      </c>
      <c r="G1663" s="1" t="str">
        <f ca="1">IFERROR(__xludf.DUMMYFUNCTION("""COMPUTED_VALUE"""),"3 mos")</f>
        <v>3 mos</v>
      </c>
      <c r="H1663" s="1" t="str">
        <f ca="1">IFERROR(__xludf.DUMMYFUNCTION("""COMPUTED_VALUE"""),"reply")</f>
        <v>reply</v>
      </c>
      <c r="I1663" s="2" t="str">
        <f ca="1">IFERROR(__xludf.DUMMYFUNCTION("""COMPUTED_VALUE"""),"https://www.facebook.com/rapplerdotcom/photos/a.317154781638645/5595372260483511/")</f>
        <v>https://www.facebook.com/rapplerdotcom/photos/a.317154781638645/5595372260483511/</v>
      </c>
      <c r="J1663" s="1" t="str">
        <f ca="1">IFERROR(__xludf.DUMMYFUNCTION("""COMPUTED_VALUE"""),"2022-07-04T15:44:55.422Z")</f>
        <v>2022-07-04T15:44:55.422Z</v>
      </c>
    </row>
    <row r="1664" spans="1:10" x14ac:dyDescent="0.2">
      <c r="A1664" s="2" t="str">
        <f ca="1">IFERROR(__xludf.DUMMYFUNCTION("""COMPUTED_VALUE"""),"https://www.facebook.com/myla.malbasbelleza")</f>
        <v>https://www.facebook.com/myla.malbasbelleza</v>
      </c>
      <c r="B1664" s="1" t="str">
        <f ca="1">IFERROR(__xludf.DUMMYFUNCTION("""COMPUTED_VALUE"""),"Myla Malbas-BELLEZA")</f>
        <v>Myla Malbas-BELLEZA</v>
      </c>
      <c r="C1664" s="1" t="str">
        <f ca="1">IFERROR(__xludf.DUMMYFUNCTION("""COMPUTED_VALUE"""),"Myla")</f>
        <v>Myla</v>
      </c>
      <c r="D1664" s="1" t="str">
        <f ca="1">IFERROR(__xludf.DUMMYFUNCTION("""COMPUTED_VALUE"""),"Malbas-BELLEZA")</f>
        <v>Malbas-BELLEZA</v>
      </c>
      <c r="E1664" s="1" t="str">
        <f ca="1">IFERROR(__xludf.DUMMYFUNCTION("""COMPUTED_VALUE"""),"Trustworthiness Transparency  Integrity Accountability #GoodGovernance  #LeniKiko2022 #LeniIsMyPresident2022 #KikoIsMyVP2022 #GobyernongTapatAngatBuhayLahat #HelloPagkainGoodbyeGutom #Elections2022 #LetLeniLead2022 #LetKikobetheVP2022  Tara, PANALO na NA1"&amp;"0 'TO! 💖💖💖💚💚💚  💖🌸💚💗💪🏼🙌👏🏼🤟🙏👆🧎‍♀️  #MASSKARApatDapatLeniKiko")</f>
        <v>Trustworthiness Transparency  Integrity Accountability #GoodGovernance  #LeniKiko2022 #LeniIsMyPresident2022 #KikoIsMyVP2022 #GobyernongTapatAngatBuhayLahat #HelloPagkainGoodbyeGutom #Elections2022 #LetLeniLead2022 #LetKikobetheVP2022  Tara, PANALO na NA10 'TO! 💖💖💖💚💚💚  💖🌸💚💗💪🏼🙌👏🏼🤟🙏👆🧎‍♀️  #MASSKARApatDapatLeniKiko</v>
      </c>
      <c r="F1664" s="1">
        <f ca="1">IFERROR(__xludf.DUMMYFUNCTION("""COMPUTED_VALUE"""),12)</f>
        <v>12</v>
      </c>
      <c r="G1664" s="1" t="str">
        <f ca="1">IFERROR(__xludf.DUMMYFUNCTION("""COMPUTED_VALUE"""),"3 mos")</f>
        <v>3 mos</v>
      </c>
      <c r="H1664" s="1" t="str">
        <f ca="1">IFERROR(__xludf.DUMMYFUNCTION("""COMPUTED_VALUE"""),"comment")</f>
        <v>comment</v>
      </c>
      <c r="I1664" s="2" t="str">
        <f ca="1">IFERROR(__xludf.DUMMYFUNCTION("""COMPUTED_VALUE"""),"https://www.facebook.com/rapplerdotcom/photos/a.317154781638645/5595372260483511/")</f>
        <v>https://www.facebook.com/rapplerdotcom/photos/a.317154781638645/5595372260483511/</v>
      </c>
      <c r="J1664" s="1" t="str">
        <f ca="1">IFERROR(__xludf.DUMMYFUNCTION("""COMPUTED_VALUE"""),"2022-07-04T15:44:55.422Z")</f>
        <v>2022-07-04T15:44:55.422Z</v>
      </c>
    </row>
    <row r="1665" spans="1:10" x14ac:dyDescent="0.2">
      <c r="A1665" s="2" t="str">
        <f ca="1">IFERROR(__xludf.DUMMYFUNCTION("""COMPUTED_VALUE"""),"https://www.facebook.com/gerard.yap.7")</f>
        <v>https://www.facebook.com/gerard.yap.7</v>
      </c>
      <c r="B1665" s="1" t="str">
        <f ca="1">IFERROR(__xludf.DUMMYFUNCTION("""COMPUTED_VALUE"""),"Mark Yap")</f>
        <v>Mark Yap</v>
      </c>
      <c r="C1665" s="1" t="str">
        <f ca="1">IFERROR(__xludf.DUMMYFUNCTION("""COMPUTED_VALUE"""),"Mark")</f>
        <v>Mark</v>
      </c>
      <c r="D1665" s="1" t="str">
        <f ca="1">IFERROR(__xludf.DUMMYFUNCTION("""COMPUTED_VALUE"""),"Yap")</f>
        <v>Yap</v>
      </c>
      <c r="E1665" s="1" t="str">
        <f ca="1">IFERROR(__xludf.DUMMYFUNCTION("""COMPUTED_VALUE"""),"the ppl deliver the votes not the church.  whatever they say doesn't really matter.")</f>
        <v>the ppl deliver the votes not the church.  whatever they say doesn't really matter.</v>
      </c>
      <c r="F1665" s="1"/>
      <c r="G1665" s="1" t="str">
        <f ca="1">IFERROR(__xludf.DUMMYFUNCTION("""COMPUTED_VALUE"""),"3 mos")</f>
        <v>3 mos</v>
      </c>
      <c r="H1665" s="1" t="str">
        <f ca="1">IFERROR(__xludf.DUMMYFUNCTION("""COMPUTED_VALUE"""),"comment")</f>
        <v>comment</v>
      </c>
      <c r="I1665" s="2" t="str">
        <f ca="1">IFERROR(__xludf.DUMMYFUNCTION("""COMPUTED_VALUE"""),"https://www.facebook.com/rapplerdotcom/photos/a.317154781638645/5595372260483511/")</f>
        <v>https://www.facebook.com/rapplerdotcom/photos/a.317154781638645/5595372260483511/</v>
      </c>
      <c r="J1665" s="1" t="str">
        <f ca="1">IFERROR(__xludf.DUMMYFUNCTION("""COMPUTED_VALUE"""),"2022-07-04T15:44:55.422Z")</f>
        <v>2022-07-04T15:44:55.422Z</v>
      </c>
    </row>
    <row r="1666" spans="1:10" x14ac:dyDescent="0.2">
      <c r="A1666" s="2" t="str">
        <f ca="1">IFERROR(__xludf.DUMMYFUNCTION("""COMPUTED_VALUE"""),"https://www.facebook.com/junior.pontongan")</f>
        <v>https://www.facebook.com/junior.pontongan</v>
      </c>
      <c r="B1666" s="1" t="str">
        <f ca="1">IFERROR(__xludf.DUMMYFUNCTION("""COMPUTED_VALUE"""),"Chavez Jr Bergonio Pontongan")</f>
        <v>Chavez Jr Bergonio Pontongan</v>
      </c>
      <c r="C1666" s="1" t="str">
        <f ca="1">IFERROR(__xludf.DUMMYFUNCTION("""COMPUTED_VALUE"""),"Chavez")</f>
        <v>Chavez</v>
      </c>
      <c r="D1666" s="1" t="str">
        <f ca="1">IFERROR(__xludf.DUMMYFUNCTION("""COMPUTED_VALUE"""),"Jr Bergonio Pontongan")</f>
        <v>Jr Bergonio Pontongan</v>
      </c>
      <c r="E1666" s="1" t="str">
        <f ca="1">IFERROR(__xludf.DUMMYFUNCTION("""COMPUTED_VALUE"""),"Separation between church and government.  Bakit gagamitin pa Ang simbahan? Tapos Ang simbahan nakikialam na Rin hayys")</f>
        <v>Separation between church and government.  Bakit gagamitin pa Ang simbahan? Tapos Ang simbahan nakikialam na Rin hayys</v>
      </c>
      <c r="F1666" s="1">
        <f ca="1">IFERROR(__xludf.DUMMYFUNCTION("""COMPUTED_VALUE"""),5)</f>
        <v>5</v>
      </c>
      <c r="G1666" s="1" t="str">
        <f ca="1">IFERROR(__xludf.DUMMYFUNCTION("""COMPUTED_VALUE"""),"3 mos")</f>
        <v>3 mos</v>
      </c>
      <c r="H1666" s="1" t="str">
        <f ca="1">IFERROR(__xludf.DUMMYFUNCTION("""COMPUTED_VALUE"""),"comment")</f>
        <v>comment</v>
      </c>
      <c r="I1666" s="2" t="str">
        <f ca="1">IFERROR(__xludf.DUMMYFUNCTION("""COMPUTED_VALUE"""),"https://www.facebook.com/rapplerdotcom/photos/a.317154781638645/5595372260483511/")</f>
        <v>https://www.facebook.com/rapplerdotcom/photos/a.317154781638645/5595372260483511/</v>
      </c>
      <c r="J1666" s="1" t="str">
        <f ca="1">IFERROR(__xludf.DUMMYFUNCTION("""COMPUTED_VALUE"""),"2022-07-04T15:44:55.422Z")</f>
        <v>2022-07-04T15:44:55.422Z</v>
      </c>
    </row>
    <row r="1667" spans="1:10" x14ac:dyDescent="0.2">
      <c r="A1667" s="2" t="str">
        <f ca="1">IFERROR(__xludf.DUMMYFUNCTION("""COMPUTED_VALUE"""),"https://www.facebook.com/profile.php?id=100009061696259")</f>
        <v>https://www.facebook.com/profile.php?id=100009061696259</v>
      </c>
      <c r="B1667" s="1" t="str">
        <f ca="1">IFERROR(__xludf.DUMMYFUNCTION("""COMPUTED_VALUE"""),"Lizlee Medina-Pascua")</f>
        <v>Lizlee Medina-Pascua</v>
      </c>
      <c r="C1667" s="1" t="str">
        <f ca="1">IFERROR(__xludf.DUMMYFUNCTION("""COMPUTED_VALUE"""),"Lizlee")</f>
        <v>Lizlee</v>
      </c>
      <c r="D1667" s="1" t="str">
        <f ca="1">IFERROR(__xludf.DUMMYFUNCTION("""COMPUTED_VALUE"""),"Medina-Pascua")</f>
        <v>Medina-Pascua</v>
      </c>
      <c r="E1667" s="1" t="str">
        <f ca="1">IFERROR(__xludf.DUMMYFUNCTION("""COMPUTED_VALUE"""),"Chavez Jr Church is still part of the community. Aminin man po natin o hindi malaki din ang role ng simbahan 😊")</f>
        <v>Chavez Jr Church is still part of the community. Aminin man po natin o hindi malaki din ang role ng simbahan 😊</v>
      </c>
      <c r="F1667" s="1">
        <f ca="1">IFERROR(__xludf.DUMMYFUNCTION("""COMPUTED_VALUE"""),1)</f>
        <v>1</v>
      </c>
      <c r="G1667" s="1" t="str">
        <f ca="1">IFERROR(__xludf.DUMMYFUNCTION("""COMPUTED_VALUE"""),"3 mos")</f>
        <v>3 mos</v>
      </c>
      <c r="H1667" s="1" t="str">
        <f ca="1">IFERROR(__xludf.DUMMYFUNCTION("""COMPUTED_VALUE"""),"reply")</f>
        <v>reply</v>
      </c>
      <c r="I1667" s="2" t="str">
        <f ca="1">IFERROR(__xludf.DUMMYFUNCTION("""COMPUTED_VALUE"""),"https://www.facebook.com/rapplerdotcom/photos/a.317154781638645/5595372260483511/")</f>
        <v>https://www.facebook.com/rapplerdotcom/photos/a.317154781638645/5595372260483511/</v>
      </c>
      <c r="J1667" s="1" t="str">
        <f ca="1">IFERROR(__xludf.DUMMYFUNCTION("""COMPUTED_VALUE"""),"2022-07-04T15:44:55.422Z")</f>
        <v>2022-07-04T15:44:55.422Z</v>
      </c>
    </row>
    <row r="1668" spans="1:10" x14ac:dyDescent="0.2">
      <c r="A1668" s="2" t="str">
        <f ca="1">IFERROR(__xludf.DUMMYFUNCTION("""COMPUTED_VALUE"""),"https://www.facebook.com/junior.pontongan")</f>
        <v>https://www.facebook.com/junior.pontongan</v>
      </c>
      <c r="B1668" s="1" t="str">
        <f ca="1">IFERROR(__xludf.DUMMYFUNCTION("""COMPUTED_VALUE"""),"Chavez Jr Bergonio Pontongan")</f>
        <v>Chavez Jr Bergonio Pontongan</v>
      </c>
      <c r="C1668" s="1" t="str">
        <f ca="1">IFERROR(__xludf.DUMMYFUNCTION("""COMPUTED_VALUE"""),"Chavez")</f>
        <v>Chavez</v>
      </c>
      <c r="D1668" s="1" t="str">
        <f ca="1">IFERROR(__xludf.DUMMYFUNCTION("""COMPUTED_VALUE"""),"Jr Bergonio Pontongan")</f>
        <v>Jr Bergonio Pontongan</v>
      </c>
      <c r="E1668" s="1" t="str">
        <f ca="1">IFERROR(__xludf.DUMMYFUNCTION("""COMPUTED_VALUE"""),"Lizlee Medina-Pascua opo. But in terms sa political issues wag napo sana sumali pa Ang simbahan.mas mabuti Kung guidance nalang ang e ambag.")</f>
        <v>Lizlee Medina-Pascua opo. But in terms sa political issues wag napo sana sumali pa Ang simbahan.mas mabuti Kung guidance nalang ang e ambag.</v>
      </c>
      <c r="F1668" s="1">
        <f ca="1">IFERROR(__xludf.DUMMYFUNCTION("""COMPUTED_VALUE"""),4)</f>
        <v>4</v>
      </c>
      <c r="G1668" s="1" t="str">
        <f ca="1">IFERROR(__xludf.DUMMYFUNCTION("""COMPUTED_VALUE"""),"3 mos")</f>
        <v>3 mos</v>
      </c>
      <c r="H1668" s="1" t="str">
        <f ca="1">IFERROR(__xludf.DUMMYFUNCTION("""COMPUTED_VALUE"""),"reply")</f>
        <v>reply</v>
      </c>
      <c r="I1668" s="2" t="str">
        <f ca="1">IFERROR(__xludf.DUMMYFUNCTION("""COMPUTED_VALUE"""),"https://www.facebook.com/rapplerdotcom/photos/a.317154781638645/5595372260483511/")</f>
        <v>https://www.facebook.com/rapplerdotcom/photos/a.317154781638645/5595372260483511/</v>
      </c>
      <c r="J1668" s="1" t="str">
        <f ca="1">IFERROR(__xludf.DUMMYFUNCTION("""COMPUTED_VALUE"""),"2022-07-04T15:44:55.422Z")</f>
        <v>2022-07-04T15:44:55.422Z</v>
      </c>
    </row>
    <row r="1669" spans="1:10" x14ac:dyDescent="0.2">
      <c r="A1669" s="2" t="str">
        <f ca="1">IFERROR(__xludf.DUMMYFUNCTION("""COMPUTED_VALUE"""),"https://www.facebook.com/mariajesusa.menor")</f>
        <v>https://www.facebook.com/mariajesusa.menor</v>
      </c>
      <c r="B1669" s="1" t="str">
        <f ca="1">IFERROR(__xludf.DUMMYFUNCTION("""COMPUTED_VALUE"""),"Maria Jesusa Menor")</f>
        <v>Maria Jesusa Menor</v>
      </c>
      <c r="C1669" s="1" t="str">
        <f ca="1">IFERROR(__xludf.DUMMYFUNCTION("""COMPUTED_VALUE"""),"Maria")</f>
        <v>Maria</v>
      </c>
      <c r="D1669" s="1" t="str">
        <f ca="1">IFERROR(__xludf.DUMMYFUNCTION("""COMPUTED_VALUE"""),"Jesusa Menor")</f>
        <v>Jesusa Menor</v>
      </c>
      <c r="E1669" s="1" t="str">
        <f ca="1">IFERROR(__xludf.DUMMYFUNCTION("""COMPUTED_VALUE"""),"remember madam VP, Nung nakialam Ang simbahan, binaril si Rizal sa bagumbayan.")</f>
        <v>remember madam VP, Nung nakialam Ang simbahan, binaril si Rizal sa bagumbayan.</v>
      </c>
      <c r="F1669" s="1">
        <f ca="1">IFERROR(__xludf.DUMMYFUNCTION("""COMPUTED_VALUE"""),1)</f>
        <v>1</v>
      </c>
      <c r="G1669" s="1" t="str">
        <f ca="1">IFERROR(__xludf.DUMMYFUNCTION("""COMPUTED_VALUE"""),"3 mos")</f>
        <v>3 mos</v>
      </c>
      <c r="H1669" s="1" t="str">
        <f ca="1">IFERROR(__xludf.DUMMYFUNCTION("""COMPUTED_VALUE"""),"reply")</f>
        <v>reply</v>
      </c>
      <c r="I1669" s="2" t="str">
        <f ca="1">IFERROR(__xludf.DUMMYFUNCTION("""COMPUTED_VALUE"""),"https://www.facebook.com/rapplerdotcom/photos/a.317154781638645/5595372260483511/")</f>
        <v>https://www.facebook.com/rapplerdotcom/photos/a.317154781638645/5595372260483511/</v>
      </c>
      <c r="J1669" s="1" t="str">
        <f ca="1">IFERROR(__xludf.DUMMYFUNCTION("""COMPUTED_VALUE"""),"2022-07-04T15:44:55.422Z")</f>
        <v>2022-07-04T15:44:55.422Z</v>
      </c>
    </row>
    <row r="1670" spans="1:10" x14ac:dyDescent="0.2">
      <c r="A1670" s="2" t="str">
        <f ca="1">IFERROR(__xludf.DUMMYFUNCTION("""COMPUTED_VALUE"""),"https://www.facebook.com/profile.php?id=100009061696259")</f>
        <v>https://www.facebook.com/profile.php?id=100009061696259</v>
      </c>
      <c r="B1670" s="1" t="str">
        <f ca="1">IFERROR(__xludf.DUMMYFUNCTION("""COMPUTED_VALUE"""),"Lizlee Medina-Pascua")</f>
        <v>Lizlee Medina-Pascua</v>
      </c>
      <c r="C1670" s="1" t="str">
        <f ca="1">IFERROR(__xludf.DUMMYFUNCTION("""COMPUTED_VALUE"""),"Lizlee")</f>
        <v>Lizlee</v>
      </c>
      <c r="D1670" s="1" t="str">
        <f ca="1">IFERROR(__xludf.DUMMYFUNCTION("""COMPUTED_VALUE"""),"Medina-Pascua")</f>
        <v>Medina-Pascua</v>
      </c>
      <c r="E1670" s="1" t="str">
        <f ca="1">IFERROR(__xludf.DUMMYFUNCTION("""COMPUTED_VALUE"""),"Maria Jesusa Menor binasa nyo po saan dapat makipagpartner ang gobyerno sa church and education? - - - upang mabawasan ang teenage pregnancy.")</f>
        <v>Maria Jesusa Menor binasa nyo po saan dapat makipagpartner ang gobyerno sa church and education? - - - upang mabawasan ang teenage pregnancy.</v>
      </c>
      <c r="F1670" s="1"/>
      <c r="G1670" s="1" t="str">
        <f ca="1">IFERROR(__xludf.DUMMYFUNCTION("""COMPUTED_VALUE"""),"3 mos")</f>
        <v>3 mos</v>
      </c>
      <c r="H1670" s="1" t="str">
        <f ca="1">IFERROR(__xludf.DUMMYFUNCTION("""COMPUTED_VALUE"""),"reply")</f>
        <v>reply</v>
      </c>
      <c r="I1670" s="2" t="str">
        <f ca="1">IFERROR(__xludf.DUMMYFUNCTION("""COMPUTED_VALUE"""),"https://www.facebook.com/rapplerdotcom/photos/a.317154781638645/5595372260483511/")</f>
        <v>https://www.facebook.com/rapplerdotcom/photos/a.317154781638645/5595372260483511/</v>
      </c>
      <c r="J1670" s="1" t="str">
        <f ca="1">IFERROR(__xludf.DUMMYFUNCTION("""COMPUTED_VALUE"""),"2022-07-04T15:44:55.422Z")</f>
        <v>2022-07-04T15:44:55.422Z</v>
      </c>
    </row>
    <row r="1671" spans="1:10" x14ac:dyDescent="0.2">
      <c r="A1671" s="2" t="str">
        <f ca="1">IFERROR(__xludf.DUMMYFUNCTION("""COMPUTED_VALUE"""),"https://www.facebook.com/mariajesusa.menor")</f>
        <v>https://www.facebook.com/mariajesusa.menor</v>
      </c>
      <c r="B1671" s="1" t="str">
        <f ca="1">IFERROR(__xludf.DUMMYFUNCTION("""COMPUTED_VALUE"""),"Maria Jesusa Menor")</f>
        <v>Maria Jesusa Menor</v>
      </c>
      <c r="C1671" s="1" t="str">
        <f ca="1">IFERROR(__xludf.DUMMYFUNCTION("""COMPUTED_VALUE"""),"Maria")</f>
        <v>Maria</v>
      </c>
      <c r="D1671" s="1" t="str">
        <f ca="1">IFERROR(__xludf.DUMMYFUNCTION("""COMPUTED_VALUE"""),"Jesusa Menor")</f>
        <v>Jesusa Menor</v>
      </c>
      <c r="E1671" s="1" t="str">
        <f ca="1">IFERROR(__xludf.DUMMYFUNCTION("""COMPUTED_VALUE"""),"Lizlee Medina-Pascua c'mon, okay makialam Ang church sa ganyang aspect, pero alam natin lahat, na pakikialamanan ng church bawat kibot ng gobyerno, lagi silang may comment kahit yun issue is hindi na saklaw ng church.")</f>
        <v>Lizlee Medina-Pascua c'mon, okay makialam Ang church sa ganyang aspect, pero alam natin lahat, na pakikialamanan ng church bawat kibot ng gobyerno, lagi silang may comment kahit yun issue is hindi na saklaw ng church.</v>
      </c>
      <c r="F1671" s="1">
        <f ca="1">IFERROR(__xludf.DUMMYFUNCTION("""COMPUTED_VALUE"""),1)</f>
        <v>1</v>
      </c>
      <c r="G1671" s="1" t="str">
        <f ca="1">IFERROR(__xludf.DUMMYFUNCTION("""COMPUTED_VALUE"""),"3 mos")</f>
        <v>3 mos</v>
      </c>
      <c r="H1671" s="1" t="str">
        <f ca="1">IFERROR(__xludf.DUMMYFUNCTION("""COMPUTED_VALUE"""),"reply")</f>
        <v>reply</v>
      </c>
      <c r="I1671" s="2" t="str">
        <f ca="1">IFERROR(__xludf.DUMMYFUNCTION("""COMPUTED_VALUE"""),"https://www.facebook.com/rapplerdotcom/photos/a.317154781638645/5595372260483511/")</f>
        <v>https://www.facebook.com/rapplerdotcom/photos/a.317154781638645/5595372260483511/</v>
      </c>
      <c r="J1671" s="1" t="str">
        <f ca="1">IFERROR(__xludf.DUMMYFUNCTION("""COMPUTED_VALUE"""),"2022-07-04T15:44:55.422Z")</f>
        <v>2022-07-04T15:44:55.422Z</v>
      </c>
    </row>
    <row r="1672" spans="1:10" x14ac:dyDescent="0.2">
      <c r="A1672" s="2" t="str">
        <f ca="1">IFERROR(__xludf.DUMMYFUNCTION("""COMPUTED_VALUE"""),"https://www.facebook.com/profile.php?id=100078458811413")</f>
        <v>https://www.facebook.com/profile.php?id=100078458811413</v>
      </c>
      <c r="B1672" s="1" t="str">
        <f ca="1">IFERROR(__xludf.DUMMYFUNCTION("""COMPUTED_VALUE"""),"Kent John")</f>
        <v>Kent John</v>
      </c>
      <c r="C1672" s="1" t="str">
        <f ca="1">IFERROR(__xludf.DUMMYFUNCTION("""COMPUTED_VALUE"""),"Kent")</f>
        <v>Kent</v>
      </c>
      <c r="D1672" s="1" t="str">
        <f ca="1">IFERROR(__xludf.DUMMYFUNCTION("""COMPUTED_VALUE"""),"John")</f>
        <v>John</v>
      </c>
      <c r="E1672" s="1" t="str">
        <f ca="1">IFERROR(__xludf.DUMMYFUNCTION("""COMPUTED_VALUE"""),"Maria Jesusa Menor Binaril si Rizal ng mga Espanyol dahil sa mga aklat niya, hindi dahil sa mga pari.")</f>
        <v>Maria Jesusa Menor Binaril si Rizal ng mga Espanyol dahil sa mga aklat niya, hindi dahil sa mga pari.</v>
      </c>
      <c r="F1672" s="1"/>
      <c r="G1672" s="1" t="str">
        <f ca="1">IFERROR(__xludf.DUMMYFUNCTION("""COMPUTED_VALUE"""),"3 mos")</f>
        <v>3 mos</v>
      </c>
      <c r="H1672" s="1" t="str">
        <f ca="1">IFERROR(__xludf.DUMMYFUNCTION("""COMPUTED_VALUE"""),"reply")</f>
        <v>reply</v>
      </c>
      <c r="I1672" s="2" t="str">
        <f ca="1">IFERROR(__xludf.DUMMYFUNCTION("""COMPUTED_VALUE"""),"https://www.facebook.com/rapplerdotcom/photos/a.317154781638645/5595372260483511/")</f>
        <v>https://www.facebook.com/rapplerdotcom/photos/a.317154781638645/5595372260483511/</v>
      </c>
      <c r="J1672" s="1" t="str">
        <f ca="1">IFERROR(__xludf.DUMMYFUNCTION("""COMPUTED_VALUE"""),"2022-07-04T15:44:55.422Z")</f>
        <v>2022-07-04T15:44:55.422Z</v>
      </c>
    </row>
    <row r="1673" spans="1:10" x14ac:dyDescent="0.2">
      <c r="A1673" s="2" t="str">
        <f ca="1">IFERROR(__xludf.DUMMYFUNCTION("""COMPUTED_VALUE"""),"https://www.facebook.com/ate.rose.73")</f>
        <v>https://www.facebook.com/ate.rose.73</v>
      </c>
      <c r="B1673" s="1" t="str">
        <f ca="1">IFERROR(__xludf.DUMMYFUNCTION("""COMPUTED_VALUE"""),"Rose Rosos")</f>
        <v>Rose Rosos</v>
      </c>
      <c r="C1673" s="1" t="str">
        <f ca="1">IFERROR(__xludf.DUMMYFUNCTION("""COMPUTED_VALUE"""),"Rose")</f>
        <v>Rose</v>
      </c>
      <c r="D1673" s="1" t="str">
        <f ca="1">IFERROR(__xludf.DUMMYFUNCTION("""COMPUTED_VALUE"""),"Rosos")</f>
        <v>Rosos</v>
      </c>
      <c r="E1673" s="1" t="str">
        <f ca="1">IFERROR(__xludf.DUMMYFUNCTION("""COMPUTED_VALUE"""),"Maria Jesusa Menor so ano po gusto niyong palabasin?")</f>
        <v>Maria Jesusa Menor so ano po gusto niyong palabasin?</v>
      </c>
      <c r="F1673" s="1"/>
      <c r="G1673" s="1" t="str">
        <f ca="1">IFERROR(__xludf.DUMMYFUNCTION("""COMPUTED_VALUE"""),"3 mos")</f>
        <v>3 mos</v>
      </c>
      <c r="H1673" s="1" t="str">
        <f ca="1">IFERROR(__xludf.DUMMYFUNCTION("""COMPUTED_VALUE"""),"reply")</f>
        <v>reply</v>
      </c>
      <c r="I1673" s="2" t="str">
        <f ca="1">IFERROR(__xludf.DUMMYFUNCTION("""COMPUTED_VALUE"""),"https://www.facebook.com/rapplerdotcom/photos/a.317154781638645/5595372260483511/")</f>
        <v>https://www.facebook.com/rapplerdotcom/photos/a.317154781638645/5595372260483511/</v>
      </c>
      <c r="J1673" s="1" t="str">
        <f ca="1">IFERROR(__xludf.DUMMYFUNCTION("""COMPUTED_VALUE"""),"2022-07-04T15:44:55.422Z")</f>
        <v>2022-07-04T15:44:55.422Z</v>
      </c>
    </row>
    <row r="1674" spans="1:10" x14ac:dyDescent="0.2">
      <c r="A1674" s="2" t="str">
        <f ca="1">IFERROR(__xludf.DUMMYFUNCTION("""COMPUTED_VALUE"""),"https://www.facebook.com/markvincent.almanzor")</f>
        <v>https://www.facebook.com/markvincent.almanzor</v>
      </c>
      <c r="B1674" s="1" t="str">
        <f ca="1">IFERROR(__xludf.DUMMYFUNCTION("""COMPUTED_VALUE"""),"Mark Vincent Ramoya Almanzor")</f>
        <v>Mark Vincent Ramoya Almanzor</v>
      </c>
      <c r="C1674" s="1" t="str">
        <f ca="1">IFERROR(__xludf.DUMMYFUNCTION("""COMPUTED_VALUE"""),"Mark")</f>
        <v>Mark</v>
      </c>
      <c r="D1674" s="1" t="str">
        <f ca="1">IFERROR(__xludf.DUMMYFUNCTION("""COMPUTED_VALUE"""),"Vincent Ramoya Almanzor")</f>
        <v>Vincent Ramoya Almanzor</v>
      </c>
      <c r="E1674" s="1" t="str">
        <f ca="1">IFERROR(__xludf.DUMMYFUNCTION("""COMPUTED_VALUE"""),"Chavez Jr Bergonio Pontongan  the church or religion you believe in instills you morals and life advices na pwede mong magamit in your everyday life, kasama na po diyan ung pagkontrol sa sarili mong urges")</f>
        <v>Chavez Jr Bergonio Pontongan  the church or religion you believe in instills you morals and life advices na pwede mong magamit in your everyday life, kasama na po diyan ung pagkontrol sa sarili mong urges</v>
      </c>
      <c r="F1674" s="1">
        <f ca="1">IFERROR(__xludf.DUMMYFUNCTION("""COMPUTED_VALUE"""),1)</f>
        <v>1</v>
      </c>
      <c r="G1674" s="1" t="str">
        <f ca="1">IFERROR(__xludf.DUMMYFUNCTION("""COMPUTED_VALUE"""),"3 mos")</f>
        <v>3 mos</v>
      </c>
      <c r="H1674" s="1" t="str">
        <f ca="1">IFERROR(__xludf.DUMMYFUNCTION("""COMPUTED_VALUE"""),"reply")</f>
        <v>reply</v>
      </c>
      <c r="I1674" s="2" t="str">
        <f ca="1">IFERROR(__xludf.DUMMYFUNCTION("""COMPUTED_VALUE"""),"https://www.facebook.com/rapplerdotcom/photos/a.317154781638645/5595372260483511/")</f>
        <v>https://www.facebook.com/rapplerdotcom/photos/a.317154781638645/5595372260483511/</v>
      </c>
      <c r="J1674" s="1" t="str">
        <f ca="1">IFERROR(__xludf.DUMMYFUNCTION("""COMPUTED_VALUE"""),"2022-07-04T15:44:55.422Z")</f>
        <v>2022-07-04T15:44:55.422Z</v>
      </c>
    </row>
    <row r="1675" spans="1:10" x14ac:dyDescent="0.2">
      <c r="A1675" s="2" t="str">
        <f ca="1">IFERROR(__xludf.DUMMYFUNCTION("""COMPUTED_VALUE"""),"https://www.facebook.com/junior.pontongan")</f>
        <v>https://www.facebook.com/junior.pontongan</v>
      </c>
      <c r="B1675" s="1" t="str">
        <f ca="1">IFERROR(__xludf.DUMMYFUNCTION("""COMPUTED_VALUE"""),"Chavez Jr Bergonio Pontongan")</f>
        <v>Chavez Jr Bergonio Pontongan</v>
      </c>
      <c r="C1675" s="1" t="str">
        <f ca="1">IFERROR(__xludf.DUMMYFUNCTION("""COMPUTED_VALUE"""),"Chavez")</f>
        <v>Chavez</v>
      </c>
      <c r="D1675" s="1" t="str">
        <f ca="1">IFERROR(__xludf.DUMMYFUNCTION("""COMPUTED_VALUE"""),"Jr Bergonio Pontongan")</f>
        <v>Jr Bergonio Pontongan</v>
      </c>
      <c r="E1675" s="1" t="str">
        <f ca="1">IFERROR(__xludf.DUMMYFUNCTION("""COMPUTED_VALUE"""),"Mark Vincent Ramoya Almanzor kaya nga po. Ang Punto ko lang naman dito ay wag na po sanang makialam ang simbahan pag dating sa pulitika. Given na yang good morals, advices coming from the church because that's their role to the community.")</f>
        <v>Mark Vincent Ramoya Almanzor kaya nga po. Ang Punto ko lang naman dito ay wag na po sanang makialam ang simbahan pag dating sa pulitika. Given na yang good morals, advices coming from the church because that's their role to the community.</v>
      </c>
      <c r="F1675" s="1">
        <f ca="1">IFERROR(__xludf.DUMMYFUNCTION("""COMPUTED_VALUE"""),1)</f>
        <v>1</v>
      </c>
      <c r="G1675" s="1" t="str">
        <f ca="1">IFERROR(__xludf.DUMMYFUNCTION("""COMPUTED_VALUE"""),"3 mos")</f>
        <v>3 mos</v>
      </c>
      <c r="H1675" s="1" t="str">
        <f ca="1">IFERROR(__xludf.DUMMYFUNCTION("""COMPUTED_VALUE"""),"reply")</f>
        <v>reply</v>
      </c>
      <c r="I1675" s="2" t="str">
        <f ca="1">IFERROR(__xludf.DUMMYFUNCTION("""COMPUTED_VALUE"""),"https://www.facebook.com/rapplerdotcom/photos/a.317154781638645/5595372260483511/")</f>
        <v>https://www.facebook.com/rapplerdotcom/photos/a.317154781638645/5595372260483511/</v>
      </c>
      <c r="J1675" s="1" t="str">
        <f ca="1">IFERROR(__xludf.DUMMYFUNCTION("""COMPUTED_VALUE"""),"2022-07-04T15:44:55.422Z")</f>
        <v>2022-07-04T15:44:55.422Z</v>
      </c>
    </row>
    <row r="1676" spans="1:10" x14ac:dyDescent="0.2">
      <c r="A1676" s="2" t="str">
        <f ca="1">IFERROR(__xludf.DUMMYFUNCTION("""COMPUTED_VALUE"""),"https://www.facebook.com/jessvillante")</f>
        <v>https://www.facebook.com/jessvillante</v>
      </c>
      <c r="B1676" s="1" t="str">
        <f ca="1">IFERROR(__xludf.DUMMYFUNCTION("""COMPUTED_VALUE"""),"Jessy Villante")</f>
        <v>Jessy Villante</v>
      </c>
      <c r="C1676" s="1" t="str">
        <f ca="1">IFERROR(__xludf.DUMMYFUNCTION("""COMPUTED_VALUE"""),"Jessy")</f>
        <v>Jessy</v>
      </c>
      <c r="D1676" s="1" t="str">
        <f ca="1">IFERROR(__xludf.DUMMYFUNCTION("""COMPUTED_VALUE"""),"Villante")</f>
        <v>Villante</v>
      </c>
      <c r="E1676" s="1" t="str">
        <f ca="1">IFERROR(__xludf.DUMMYFUNCTION("""COMPUTED_VALUE"""),"Chavez Jr Bergonio Pontongan please define ""Separation between Church and state(government)"". Baka iba pagkakaintindi mo sa mga ganyan issue.")</f>
        <v>Chavez Jr Bergonio Pontongan please define "Separation between Church and state(government)". Baka iba pagkakaintindi mo sa mga ganyan issue.</v>
      </c>
      <c r="F1676" s="1">
        <f ca="1">IFERROR(__xludf.DUMMYFUNCTION("""COMPUTED_VALUE"""),1)</f>
        <v>1</v>
      </c>
      <c r="G1676" s="1" t="str">
        <f ca="1">IFERROR(__xludf.DUMMYFUNCTION("""COMPUTED_VALUE"""),"3 mos")</f>
        <v>3 mos</v>
      </c>
      <c r="H1676" s="1" t="str">
        <f ca="1">IFERROR(__xludf.DUMMYFUNCTION("""COMPUTED_VALUE"""),"reply")</f>
        <v>reply</v>
      </c>
      <c r="I1676" s="2" t="str">
        <f ca="1">IFERROR(__xludf.DUMMYFUNCTION("""COMPUTED_VALUE"""),"https://www.facebook.com/rapplerdotcom/photos/a.317154781638645/5595372260483511/")</f>
        <v>https://www.facebook.com/rapplerdotcom/photos/a.317154781638645/5595372260483511/</v>
      </c>
      <c r="J1676" s="1" t="str">
        <f ca="1">IFERROR(__xludf.DUMMYFUNCTION("""COMPUTED_VALUE"""),"2022-07-04T15:44:55.422Z")</f>
        <v>2022-07-04T15:44:55.422Z</v>
      </c>
    </row>
    <row r="1677" spans="1:10" x14ac:dyDescent="0.2">
      <c r="A1677" s="2" t="str">
        <f ca="1">IFERROR(__xludf.DUMMYFUNCTION("""COMPUTED_VALUE"""),"https://www.facebook.com/paulpatrick.sapaden")</f>
        <v>https://www.facebook.com/paulpatrick.sapaden</v>
      </c>
      <c r="B1677" s="1" t="str">
        <f ca="1">IFERROR(__xludf.DUMMYFUNCTION("""COMPUTED_VALUE"""),"Paul Patrick Sapaden")</f>
        <v>Paul Patrick Sapaden</v>
      </c>
      <c r="C1677" s="1" t="str">
        <f ca="1">IFERROR(__xludf.DUMMYFUNCTION("""COMPUTED_VALUE"""),"Paul")</f>
        <v>Paul</v>
      </c>
      <c r="D1677" s="1" t="str">
        <f ca="1">IFERROR(__xludf.DUMMYFUNCTION("""COMPUTED_VALUE"""),"Patrick Sapaden")</f>
        <v>Patrick Sapaden</v>
      </c>
      <c r="E1677" s="1" t="str">
        <f ca="1">IFERROR(__xludf.DUMMYFUNCTION("""COMPUTED_VALUE"""),"PagTanggal ng maskara neto. MasDemonyo pa sa demonyo tong mga tohhh")</f>
        <v>PagTanggal ng maskara neto. MasDemonyo pa sa demonyo tong mga tohhh</v>
      </c>
      <c r="F1677" s="1">
        <f ca="1">IFERROR(__xludf.DUMMYFUNCTION("""COMPUTED_VALUE"""),1)</f>
        <v>1</v>
      </c>
      <c r="G1677" s="1" t="str">
        <f ca="1">IFERROR(__xludf.DUMMYFUNCTION("""COMPUTED_VALUE"""),"3 mos")</f>
        <v>3 mos</v>
      </c>
      <c r="H1677" s="1" t="str">
        <f ca="1">IFERROR(__xludf.DUMMYFUNCTION("""COMPUTED_VALUE"""),"comment")</f>
        <v>comment</v>
      </c>
      <c r="I1677" s="2" t="str">
        <f ca="1">IFERROR(__xludf.DUMMYFUNCTION("""COMPUTED_VALUE"""),"https://www.facebook.com/rapplerdotcom/photos/a.317154781638645/5595372260483511/")</f>
        <v>https://www.facebook.com/rapplerdotcom/photos/a.317154781638645/5595372260483511/</v>
      </c>
      <c r="J1677" s="1" t="str">
        <f ca="1">IFERROR(__xludf.DUMMYFUNCTION("""COMPUTED_VALUE"""),"2022-07-04T15:44:55.422Z")</f>
        <v>2022-07-04T15:44:55.422Z</v>
      </c>
    </row>
    <row r="1678" spans="1:10" x14ac:dyDescent="0.2">
      <c r="A1678" s="2" t="str">
        <f ca="1">IFERROR(__xludf.DUMMYFUNCTION("""COMPUTED_VALUE"""),"https://www.facebook.com/julio.quian")</f>
        <v>https://www.facebook.com/julio.quian</v>
      </c>
      <c r="B1678" s="1" t="str">
        <f ca="1">IFERROR(__xludf.DUMMYFUNCTION("""COMPUTED_VALUE"""),"Julio Quian")</f>
        <v>Julio Quian</v>
      </c>
      <c r="C1678" s="1" t="str">
        <f ca="1">IFERROR(__xludf.DUMMYFUNCTION("""COMPUTED_VALUE"""),"Julio")</f>
        <v>Julio</v>
      </c>
      <c r="D1678" s="1" t="str">
        <f ca="1">IFERROR(__xludf.DUMMYFUNCTION("""COMPUTED_VALUE"""),"Quian")</f>
        <v>Quian</v>
      </c>
      <c r="E1678" s="1" t="str">
        <f ca="1">IFERROR(__xludf.DUMMYFUNCTION("""COMPUTED_VALUE"""),"Solid Sarah@Marco's nlang ako he is very good leader...!!!!")</f>
        <v>Solid Sarah@Marco's nlang ako he is very good leader...!!!!</v>
      </c>
      <c r="F1678" s="1">
        <f ca="1">IFERROR(__xludf.DUMMYFUNCTION("""COMPUTED_VALUE"""),24)</f>
        <v>24</v>
      </c>
      <c r="G1678" s="1" t="str">
        <f ca="1">IFERROR(__xludf.DUMMYFUNCTION("""COMPUTED_VALUE"""),"3 mos")</f>
        <v>3 mos</v>
      </c>
      <c r="H1678" s="1" t="str">
        <f ca="1">IFERROR(__xludf.DUMMYFUNCTION("""COMPUTED_VALUE"""),"comment")</f>
        <v>comment</v>
      </c>
      <c r="I1678" s="2" t="str">
        <f ca="1">IFERROR(__xludf.DUMMYFUNCTION("""COMPUTED_VALUE"""),"https://www.facebook.com/rapplerdotcom/photos/a.317154781638645/5595372260483511/")</f>
        <v>https://www.facebook.com/rapplerdotcom/photos/a.317154781638645/5595372260483511/</v>
      </c>
      <c r="J1678" s="1" t="str">
        <f ca="1">IFERROR(__xludf.DUMMYFUNCTION("""COMPUTED_VALUE"""),"2022-07-04T15:44:55.422Z")</f>
        <v>2022-07-04T15:44:55.422Z</v>
      </c>
    </row>
    <row r="1679" spans="1:10" x14ac:dyDescent="0.2">
      <c r="A1679" s="2" t="str">
        <f ca="1">IFERROR(__xludf.DUMMYFUNCTION("""COMPUTED_VALUE"""),"https://www.facebook.com/BabymetalxDesu")</f>
        <v>https://www.facebook.com/BabymetalxDesu</v>
      </c>
      <c r="B1679" s="1" t="str">
        <f ca="1">IFERROR(__xludf.DUMMYFUNCTION("""COMPUTED_VALUE"""),"Harry Lagunsad")</f>
        <v>Harry Lagunsad</v>
      </c>
      <c r="C1679" s="1" t="str">
        <f ca="1">IFERROR(__xludf.DUMMYFUNCTION("""COMPUTED_VALUE"""),"Harry")</f>
        <v>Harry</v>
      </c>
      <c r="D1679" s="1" t="str">
        <f ca="1">IFERROR(__xludf.DUMMYFUNCTION("""COMPUTED_VALUE"""),"Lagunsad")</f>
        <v>Lagunsad</v>
      </c>
      <c r="E1679" s="1" t="str">
        <f ca="1">IFERROR(__xludf.DUMMYFUNCTION("""COMPUTED_VALUE"""),"Julio Quian  wla nman nag tatanong")</f>
        <v>Julio Quian  wla nman nag tatanong</v>
      </c>
      <c r="F1679" s="1">
        <f ca="1">IFERROR(__xludf.DUMMYFUNCTION("""COMPUTED_VALUE"""),10)</f>
        <v>10</v>
      </c>
      <c r="G1679" s="1" t="str">
        <f ca="1">IFERROR(__xludf.DUMMYFUNCTION("""COMPUTED_VALUE"""),"3 mos")</f>
        <v>3 mos</v>
      </c>
      <c r="H1679" s="1" t="str">
        <f ca="1">IFERROR(__xludf.DUMMYFUNCTION("""COMPUTED_VALUE"""),"reply")</f>
        <v>reply</v>
      </c>
      <c r="I1679" s="2" t="str">
        <f ca="1">IFERROR(__xludf.DUMMYFUNCTION("""COMPUTED_VALUE"""),"https://www.facebook.com/rapplerdotcom/photos/a.317154781638645/5595372260483511/")</f>
        <v>https://www.facebook.com/rapplerdotcom/photos/a.317154781638645/5595372260483511/</v>
      </c>
      <c r="J1679" s="1" t="str">
        <f ca="1">IFERROR(__xludf.DUMMYFUNCTION("""COMPUTED_VALUE"""),"2022-07-04T15:44:55.423Z")</f>
        <v>2022-07-04T15:44:55.423Z</v>
      </c>
    </row>
    <row r="1680" spans="1:10" x14ac:dyDescent="0.2">
      <c r="A1680" s="2" t="str">
        <f ca="1">IFERROR(__xludf.DUMMYFUNCTION("""COMPUTED_VALUE"""),"https://www.facebook.com/kir.aguilar.cabasaan")</f>
        <v>https://www.facebook.com/kir.aguilar.cabasaan</v>
      </c>
      <c r="B1680" s="1" t="str">
        <f ca="1">IFERROR(__xludf.DUMMYFUNCTION("""COMPUTED_VALUE"""),"Kir Paulo Aguilar Cabasaan")</f>
        <v>Kir Paulo Aguilar Cabasaan</v>
      </c>
      <c r="C1680" s="1" t="str">
        <f ca="1">IFERROR(__xludf.DUMMYFUNCTION("""COMPUTED_VALUE"""),"Kir")</f>
        <v>Kir</v>
      </c>
      <c r="D1680" s="1" t="str">
        <f ca="1">IFERROR(__xludf.DUMMYFUNCTION("""COMPUTED_VALUE"""),"Paulo Aguilar Cabasaan")</f>
        <v>Paulo Aguilar Cabasaan</v>
      </c>
      <c r="E1680" s="1" t="str">
        <f ca="1">IFERROR(__xludf.DUMMYFUNCTION("""COMPUTED_VALUE"""),"Julio Quian at pano mo naman nasabi?")</f>
        <v>Julio Quian at pano mo naman nasabi?</v>
      </c>
      <c r="F1680" s="1"/>
      <c r="G1680" s="1" t="str">
        <f ca="1">IFERROR(__xludf.DUMMYFUNCTION("""COMPUTED_VALUE"""),"3 mos")</f>
        <v>3 mos</v>
      </c>
      <c r="H1680" s="1" t="str">
        <f ca="1">IFERROR(__xludf.DUMMYFUNCTION("""COMPUTED_VALUE"""),"reply")</f>
        <v>reply</v>
      </c>
      <c r="I1680" s="2" t="str">
        <f ca="1">IFERROR(__xludf.DUMMYFUNCTION("""COMPUTED_VALUE"""),"https://www.facebook.com/rapplerdotcom/photos/a.317154781638645/5595372260483511/")</f>
        <v>https://www.facebook.com/rapplerdotcom/photos/a.317154781638645/5595372260483511/</v>
      </c>
      <c r="J1680" s="1" t="str">
        <f ca="1">IFERROR(__xludf.DUMMYFUNCTION("""COMPUTED_VALUE"""),"2022-07-04T15:44:55.423Z")</f>
        <v>2022-07-04T15:44:55.423Z</v>
      </c>
    </row>
    <row r="1681" spans="1:10" x14ac:dyDescent="0.2">
      <c r="A1681" s="2" t="str">
        <f ca="1">IFERROR(__xludf.DUMMYFUNCTION("""COMPUTED_VALUE"""),"https://www.facebook.com/fcyrylguray07")</f>
        <v>https://www.facebook.com/fcyrylguray07</v>
      </c>
      <c r="B1681" s="1" t="str">
        <f ca="1">IFERROR(__xludf.DUMMYFUNCTION("""COMPUTED_VALUE"""),"Fcyryl Milarpis Guray")</f>
        <v>Fcyryl Milarpis Guray</v>
      </c>
      <c r="C1681" s="1" t="str">
        <f ca="1">IFERROR(__xludf.DUMMYFUNCTION("""COMPUTED_VALUE"""),"Fcyryl")</f>
        <v>Fcyryl</v>
      </c>
      <c r="D1681" s="1" t="str">
        <f ca="1">IFERROR(__xludf.DUMMYFUNCTION("""COMPUTED_VALUE"""),"Milarpis Guray")</f>
        <v>Milarpis Guray</v>
      </c>
      <c r="E1681" s="1" t="str">
        <f ca="1">IFERROR(__xludf.DUMMYFUNCTION("""COMPUTED_VALUE"""),"Julio Quian weak leader kamo sabi ng tatay mo haha")</f>
        <v>Julio Quian weak leader kamo sabi ng tatay mo haha</v>
      </c>
      <c r="F1681" s="1">
        <f ca="1">IFERROR(__xludf.DUMMYFUNCTION("""COMPUTED_VALUE"""),1)</f>
        <v>1</v>
      </c>
      <c r="G1681" s="1" t="str">
        <f ca="1">IFERROR(__xludf.DUMMYFUNCTION("""COMPUTED_VALUE"""),"3 mos")</f>
        <v>3 mos</v>
      </c>
      <c r="H1681" s="1" t="str">
        <f ca="1">IFERROR(__xludf.DUMMYFUNCTION("""COMPUTED_VALUE"""),"reply")</f>
        <v>reply</v>
      </c>
      <c r="I1681" s="2" t="str">
        <f ca="1">IFERROR(__xludf.DUMMYFUNCTION("""COMPUTED_VALUE"""),"https://www.facebook.com/rapplerdotcom/photos/a.317154781638645/5595372260483511/")</f>
        <v>https://www.facebook.com/rapplerdotcom/photos/a.317154781638645/5595372260483511/</v>
      </c>
      <c r="J1681" s="1" t="str">
        <f ca="1">IFERROR(__xludf.DUMMYFUNCTION("""COMPUTED_VALUE"""),"2022-07-04T15:44:55.423Z")</f>
        <v>2022-07-04T15:44:55.423Z</v>
      </c>
    </row>
    <row r="1682" spans="1:10" x14ac:dyDescent="0.2">
      <c r="A1682" s="2" t="str">
        <f ca="1">IFERROR(__xludf.DUMMYFUNCTION("""COMPUTED_VALUE"""),"https://www.facebook.com/belen.bosea")</f>
        <v>https://www.facebook.com/belen.bosea</v>
      </c>
      <c r="B1682" s="1" t="str">
        <f ca="1">IFERROR(__xludf.DUMMYFUNCTION("""COMPUTED_VALUE"""),"Belen Bosea")</f>
        <v>Belen Bosea</v>
      </c>
      <c r="C1682" s="1" t="str">
        <f ca="1">IFERROR(__xludf.DUMMYFUNCTION("""COMPUTED_VALUE"""),"Belen")</f>
        <v>Belen</v>
      </c>
      <c r="D1682" s="1" t="str">
        <f ca="1">IFERROR(__xludf.DUMMYFUNCTION("""COMPUTED_VALUE"""),"Bosea")</f>
        <v>Bosea</v>
      </c>
      <c r="E1682" s="1" t="str">
        <f ca="1">IFERROR(__xludf.DUMMYFUNCTION("""COMPUTED_VALUE"""),"Julio Quian may naligaw na troll wag pansinin kikita pa yan 😁😂")</f>
        <v>Julio Quian may naligaw na troll wag pansinin kikita pa yan 😁😂</v>
      </c>
      <c r="F1682" s="1">
        <f ca="1">IFERROR(__xludf.DUMMYFUNCTION("""COMPUTED_VALUE"""),1)</f>
        <v>1</v>
      </c>
      <c r="G1682" s="1" t="str">
        <f ca="1">IFERROR(__xludf.DUMMYFUNCTION("""COMPUTED_VALUE"""),"3 mos")</f>
        <v>3 mos</v>
      </c>
      <c r="H1682" s="1" t="str">
        <f ca="1">IFERROR(__xludf.DUMMYFUNCTION("""COMPUTED_VALUE"""),"reply")</f>
        <v>reply</v>
      </c>
      <c r="I1682" s="2" t="str">
        <f ca="1">IFERROR(__xludf.DUMMYFUNCTION("""COMPUTED_VALUE"""),"https://www.facebook.com/rapplerdotcom/photos/a.317154781638645/5595372260483511/")</f>
        <v>https://www.facebook.com/rapplerdotcom/photos/a.317154781638645/5595372260483511/</v>
      </c>
      <c r="J1682" s="1" t="str">
        <f ca="1">IFERROR(__xludf.DUMMYFUNCTION("""COMPUTED_VALUE"""),"2022-07-04T15:44:55.423Z")</f>
        <v>2022-07-04T15:44:55.423Z</v>
      </c>
    </row>
    <row r="1683" spans="1:10" x14ac:dyDescent="0.2">
      <c r="A1683" s="2" t="str">
        <f ca="1">IFERROR(__xludf.DUMMYFUNCTION("""COMPUTED_VALUE"""),"https://www.facebook.com/nilo.asas")</f>
        <v>https://www.facebook.com/nilo.asas</v>
      </c>
      <c r="B1683" s="1" t="str">
        <f ca="1">IFERROR(__xludf.DUMMYFUNCTION("""COMPUTED_VALUE"""),"Nilo Asas")</f>
        <v>Nilo Asas</v>
      </c>
      <c r="C1683" s="1" t="str">
        <f ca="1">IFERROR(__xludf.DUMMYFUNCTION("""COMPUTED_VALUE"""),"Nilo")</f>
        <v>Nilo</v>
      </c>
      <c r="D1683" s="1" t="str">
        <f ca="1">IFERROR(__xludf.DUMMYFUNCTION("""COMPUTED_VALUE"""),"Asas")</f>
        <v>Asas</v>
      </c>
      <c r="E1683" s="1" t="str">
        <f ca="1">IFERROR(__xludf.DUMMYFUNCTION("""COMPUTED_VALUE"""),"グレー フシャイリル kaya pala pag sumagot hindi maintindihan pa bago bago hehehe")</f>
        <v>グレー フシャイリル kaya pala pag sumagot hindi maintindihan pa bago bago hehehe</v>
      </c>
      <c r="F1683" s="1">
        <f ca="1">IFERROR(__xludf.DUMMYFUNCTION("""COMPUTED_VALUE"""),1)</f>
        <v>1</v>
      </c>
      <c r="G1683" s="1" t="str">
        <f ca="1">IFERROR(__xludf.DUMMYFUNCTION("""COMPUTED_VALUE"""),"3 mos")</f>
        <v>3 mos</v>
      </c>
      <c r="H1683" s="1" t="str">
        <f ca="1">IFERROR(__xludf.DUMMYFUNCTION("""COMPUTED_VALUE"""),"reply")</f>
        <v>reply</v>
      </c>
      <c r="I1683" s="2" t="str">
        <f ca="1">IFERROR(__xludf.DUMMYFUNCTION("""COMPUTED_VALUE"""),"https://www.facebook.com/rapplerdotcom/photos/a.317154781638645/5595372260483511/")</f>
        <v>https://www.facebook.com/rapplerdotcom/photos/a.317154781638645/5595372260483511/</v>
      </c>
      <c r="J1683" s="1" t="str">
        <f ca="1">IFERROR(__xludf.DUMMYFUNCTION("""COMPUTED_VALUE"""),"2022-07-04T15:44:55.423Z")</f>
        <v>2022-07-04T15:44:55.423Z</v>
      </c>
    </row>
    <row r="1684" spans="1:10" x14ac:dyDescent="0.2">
      <c r="A1684" s="2" t="str">
        <f ca="1">IFERROR(__xludf.DUMMYFUNCTION("""COMPUTED_VALUE"""),"https://www.facebook.com/cyluh")</f>
        <v>https://www.facebook.com/cyluh</v>
      </c>
      <c r="B1684" s="1" t="str">
        <f ca="1">IFERROR(__xludf.DUMMYFUNCTION("""COMPUTED_VALUE"""),"Lucia Miranda Hisona")</f>
        <v>Lucia Miranda Hisona</v>
      </c>
      <c r="C1684" s="1" t="str">
        <f ca="1">IFERROR(__xludf.DUMMYFUNCTION("""COMPUTED_VALUE"""),"Lucia")</f>
        <v>Lucia</v>
      </c>
      <c r="D1684" s="1" t="str">
        <f ca="1">IFERROR(__xludf.DUMMYFUNCTION("""COMPUTED_VALUE"""),"Miranda Hisona")</f>
        <v>Miranda Hisona</v>
      </c>
      <c r="E1684" s="1" t="str">
        <f ca="1">IFERROR(__xludf.DUMMYFUNCTION("""COMPUTED_VALUE"""),"Julio Quian desperate moves kahit wala nagtatanong sumusingit")</f>
        <v>Julio Quian desperate moves kahit wala nagtatanong sumusingit</v>
      </c>
      <c r="F1684" s="1">
        <f ca="1">IFERROR(__xludf.DUMMYFUNCTION("""COMPUTED_VALUE"""),2)</f>
        <v>2</v>
      </c>
      <c r="G1684" s="1" t="str">
        <f ca="1">IFERROR(__xludf.DUMMYFUNCTION("""COMPUTED_VALUE"""),"3 mos")</f>
        <v>3 mos</v>
      </c>
      <c r="H1684" s="1" t="str">
        <f ca="1">IFERROR(__xludf.DUMMYFUNCTION("""COMPUTED_VALUE"""),"reply")</f>
        <v>reply</v>
      </c>
      <c r="I1684" s="2" t="str">
        <f ca="1">IFERROR(__xludf.DUMMYFUNCTION("""COMPUTED_VALUE"""),"https://www.facebook.com/rapplerdotcom/photos/a.317154781638645/5595372260483511/")</f>
        <v>https://www.facebook.com/rapplerdotcom/photos/a.317154781638645/5595372260483511/</v>
      </c>
      <c r="J1684" s="1" t="str">
        <f ca="1">IFERROR(__xludf.DUMMYFUNCTION("""COMPUTED_VALUE"""),"2022-07-04T15:44:55.423Z")</f>
        <v>2022-07-04T15:44:55.423Z</v>
      </c>
    </row>
    <row r="1685" spans="1:10" x14ac:dyDescent="0.2">
      <c r="A1685" s="2" t="str">
        <f ca="1">IFERROR(__xludf.DUMMYFUNCTION("""COMPUTED_VALUE"""),"https://www.facebook.com/VictoriaLPoblete")</f>
        <v>https://www.facebook.com/VictoriaLPoblete</v>
      </c>
      <c r="B1685" s="1" t="str">
        <f ca="1">IFERROR(__xludf.DUMMYFUNCTION("""COMPUTED_VALUE"""),"Victoria LLamas Poblete")</f>
        <v>Victoria LLamas Poblete</v>
      </c>
      <c r="C1685" s="1" t="str">
        <f ca="1">IFERROR(__xludf.DUMMYFUNCTION("""COMPUTED_VALUE"""),"Victoria")</f>
        <v>Victoria</v>
      </c>
      <c r="D1685" s="1" t="str">
        <f ca="1">IFERROR(__xludf.DUMMYFUNCTION("""COMPUTED_VALUE"""),"LLamas Poblete")</f>
        <v>LLamas Poblete</v>
      </c>
      <c r="E1685" s="1" t="str">
        <f ca="1">IFERROR(__xludf.DUMMYFUNCTION("""COMPUTED_VALUE"""),"Julio Quian Who told you?")</f>
        <v>Julio Quian Who told you?</v>
      </c>
      <c r="F1685" s="1"/>
      <c r="G1685" s="1" t="str">
        <f ca="1">IFERROR(__xludf.DUMMYFUNCTION("""COMPUTED_VALUE"""),"3 mos")</f>
        <v>3 mos</v>
      </c>
      <c r="H1685" s="1" t="str">
        <f ca="1">IFERROR(__xludf.DUMMYFUNCTION("""COMPUTED_VALUE"""),"reply")</f>
        <v>reply</v>
      </c>
      <c r="I1685" s="2" t="str">
        <f ca="1">IFERROR(__xludf.DUMMYFUNCTION("""COMPUTED_VALUE"""),"https://www.facebook.com/rapplerdotcom/photos/a.317154781638645/5595372260483511/")</f>
        <v>https://www.facebook.com/rapplerdotcom/photos/a.317154781638645/5595372260483511/</v>
      </c>
      <c r="J1685" s="1" t="str">
        <f ca="1">IFERROR(__xludf.DUMMYFUNCTION("""COMPUTED_VALUE"""),"2022-07-04T15:44:55.423Z")</f>
        <v>2022-07-04T15:44:55.423Z</v>
      </c>
    </row>
    <row r="1686" spans="1:10" x14ac:dyDescent="0.2">
      <c r="A1686" s="2" t="str">
        <f ca="1">IFERROR(__xludf.DUMMYFUNCTION("""COMPUTED_VALUE"""),"https://www.facebook.com/julio.quian")</f>
        <v>https://www.facebook.com/julio.quian</v>
      </c>
      <c r="B1686" s="1" t="str">
        <f ca="1">IFERROR(__xludf.DUMMYFUNCTION("""COMPUTED_VALUE"""),"Julio Quian")</f>
        <v>Julio Quian</v>
      </c>
      <c r="C1686" s="1" t="str">
        <f ca="1">IFERROR(__xludf.DUMMYFUNCTION("""COMPUTED_VALUE"""),"Julio")</f>
        <v>Julio</v>
      </c>
      <c r="D1686" s="1" t="str">
        <f ca="1">IFERROR(__xludf.DUMMYFUNCTION("""COMPUTED_VALUE"""),"Quian")</f>
        <v>Quian</v>
      </c>
      <c r="E1686" s="1" t="str">
        <f ca="1">IFERROR(__xludf.DUMMYFUNCTION("""COMPUTED_VALUE"""),"Sya pa rin nman ang endorsement ni tatay DIGONG...")</f>
        <v>Sya pa rin nman ang endorsement ni tatay DIGONG...</v>
      </c>
      <c r="F1686" s="1"/>
      <c r="G1686" s="1" t="str">
        <f ca="1">IFERROR(__xludf.DUMMYFUNCTION("""COMPUTED_VALUE"""),"3 mos")</f>
        <v>3 mos</v>
      </c>
      <c r="H1686" s="1" t="str">
        <f ca="1">IFERROR(__xludf.DUMMYFUNCTION("""COMPUTED_VALUE"""),"reply")</f>
        <v>reply</v>
      </c>
      <c r="I1686" s="2" t="str">
        <f ca="1">IFERROR(__xludf.DUMMYFUNCTION("""COMPUTED_VALUE"""),"https://www.facebook.com/rapplerdotcom/photos/a.317154781638645/5595372260483511/")</f>
        <v>https://www.facebook.com/rapplerdotcom/photos/a.317154781638645/5595372260483511/</v>
      </c>
      <c r="J1686" s="1" t="str">
        <f ca="1">IFERROR(__xludf.DUMMYFUNCTION("""COMPUTED_VALUE"""),"2022-07-04T15:44:55.423Z")</f>
        <v>2022-07-04T15:44:55.423Z</v>
      </c>
    </row>
    <row r="1687" spans="1:10" x14ac:dyDescent="0.2">
      <c r="A1687" s="2" t="str">
        <f ca="1">IFERROR(__xludf.DUMMYFUNCTION("""COMPUTED_VALUE"""),"https://www.facebook.com/ledecia.sendayen.3")</f>
        <v>https://www.facebook.com/ledecia.sendayen.3</v>
      </c>
      <c r="B1687" s="1" t="str">
        <f ca="1">IFERROR(__xludf.DUMMYFUNCTION("""COMPUTED_VALUE"""),"Ledecia Sendayen")</f>
        <v>Ledecia Sendayen</v>
      </c>
      <c r="C1687" s="1" t="str">
        <f ca="1">IFERROR(__xludf.DUMMYFUNCTION("""COMPUTED_VALUE"""),"Ledecia")</f>
        <v>Ledecia</v>
      </c>
      <c r="D1687" s="1" t="str">
        <f ca="1">IFERROR(__xludf.DUMMYFUNCTION("""COMPUTED_VALUE"""),"Sendayen")</f>
        <v>Sendayen</v>
      </c>
      <c r="E1687" s="1" t="str">
        <f ca="1">IFERROR(__xludf.DUMMYFUNCTION("""COMPUTED_VALUE"""),"Julio Quian good leader ba ang hindi marunong magbayad ng utang maski a decision was handed since 1997 by SC and supposedly final and executory and he is still denying it.")</f>
        <v>Julio Quian good leader ba ang hindi marunong magbayad ng utang maski a decision was handed since 1997 by SC and supposedly final and executory and he is still denying it.</v>
      </c>
      <c r="F1687" s="1"/>
      <c r="G1687" s="1" t="str">
        <f ca="1">IFERROR(__xludf.DUMMYFUNCTION("""COMPUTED_VALUE"""),"3 mos")</f>
        <v>3 mos</v>
      </c>
      <c r="H1687" s="1" t="str">
        <f ca="1">IFERROR(__xludf.DUMMYFUNCTION("""COMPUTED_VALUE"""),"reply")</f>
        <v>reply</v>
      </c>
      <c r="I1687" s="2" t="str">
        <f ca="1">IFERROR(__xludf.DUMMYFUNCTION("""COMPUTED_VALUE"""),"https://www.facebook.com/rapplerdotcom/photos/a.317154781638645/5595372260483511/")</f>
        <v>https://www.facebook.com/rapplerdotcom/photos/a.317154781638645/5595372260483511/</v>
      </c>
      <c r="J1687" s="1" t="str">
        <f ca="1">IFERROR(__xludf.DUMMYFUNCTION("""COMPUTED_VALUE"""),"2022-07-04T15:44:55.423Z")</f>
        <v>2022-07-04T15:44:55.423Z</v>
      </c>
    </row>
    <row r="1688" spans="1:10" x14ac:dyDescent="0.2">
      <c r="A1688" s="2" t="str">
        <f ca="1">IFERROR(__xludf.DUMMYFUNCTION("""COMPUTED_VALUE"""),"https://www.facebook.com/loreta.ardaban.3")</f>
        <v>https://www.facebook.com/loreta.ardaban.3</v>
      </c>
      <c r="B1688" s="1" t="str">
        <f ca="1">IFERROR(__xludf.DUMMYFUNCTION("""COMPUTED_VALUE"""),"Loreta Ardaban")</f>
        <v>Loreta Ardaban</v>
      </c>
      <c r="C1688" s="1" t="str">
        <f ca="1">IFERROR(__xludf.DUMMYFUNCTION("""COMPUTED_VALUE"""),"Loreta")</f>
        <v>Loreta</v>
      </c>
      <c r="D1688" s="1" t="str">
        <f ca="1">IFERROR(__xludf.DUMMYFUNCTION("""COMPUTED_VALUE"""),"Ardaban")</f>
        <v>Ardaban</v>
      </c>
      <c r="E1688" s="1" t="str">
        <f ca="1">IFERROR(__xludf.DUMMYFUNCTION("""COMPUTED_VALUE"""),"Julio Quian  Vote Wisely sabi ng marami. Bakit sinasabi ito. Kasi may mga tao na ayaw sa isang marangal.Ang gusto marungis. Nabasa ko lang to ito na rin ang paniniwala ko.Na may basehan naman❤️🌸")</f>
        <v>Julio Quian  Vote Wisely sabi ng marami. Bakit sinasabi ito. Kasi may mga tao na ayaw sa isang marangal.Ang gusto marungis. Nabasa ko lang to ito na rin ang paniniwala ko.Na may basehan naman❤️🌸</v>
      </c>
      <c r="F1688" s="1"/>
      <c r="G1688" s="1" t="str">
        <f ca="1">IFERROR(__xludf.DUMMYFUNCTION("""COMPUTED_VALUE"""),"3 mos")</f>
        <v>3 mos</v>
      </c>
      <c r="H1688" s="1" t="str">
        <f ca="1">IFERROR(__xludf.DUMMYFUNCTION("""COMPUTED_VALUE"""),"reply")</f>
        <v>reply</v>
      </c>
      <c r="I1688" s="2" t="str">
        <f ca="1">IFERROR(__xludf.DUMMYFUNCTION("""COMPUTED_VALUE"""),"https://www.facebook.com/rapplerdotcom/photos/a.317154781638645/5595372260483511/")</f>
        <v>https://www.facebook.com/rapplerdotcom/photos/a.317154781638645/5595372260483511/</v>
      </c>
      <c r="J1688" s="1" t="str">
        <f ca="1">IFERROR(__xludf.DUMMYFUNCTION("""COMPUTED_VALUE"""),"2022-07-04T15:44:55.423Z")</f>
        <v>2022-07-04T15:44:55.423Z</v>
      </c>
    </row>
    <row r="1689" spans="1:10" x14ac:dyDescent="0.2">
      <c r="A1689" s="2" t="str">
        <f ca="1">IFERROR(__xludf.DUMMYFUNCTION("""COMPUTED_VALUE"""),"https://www.facebook.com/profile.php?id=100076940169855")</f>
        <v>https://www.facebook.com/profile.php?id=100076940169855</v>
      </c>
      <c r="B1689" s="1" t="str">
        <f ca="1">IFERROR(__xludf.DUMMYFUNCTION("""COMPUTED_VALUE"""),"Abhet Pante")</f>
        <v>Abhet Pante</v>
      </c>
      <c r="C1689" s="1" t="str">
        <f ca="1">IFERROR(__xludf.DUMMYFUNCTION("""COMPUTED_VALUE"""),"Abhet")</f>
        <v>Abhet</v>
      </c>
      <c r="D1689" s="1" t="str">
        <f ca="1">IFERROR(__xludf.DUMMYFUNCTION("""COMPUTED_VALUE"""),"Pante")</f>
        <v>Pante</v>
      </c>
      <c r="E1689" s="1" t="str">
        <f ca="1">IFERROR(__xludf.DUMMYFUNCTION("""COMPUTED_VALUE"""),"tutuo poh yan sa panahon nuon kahit sa pelikula maging bandido sa huli simbahan ang lage nilang sinasandalan mahalaga poh ang simbahan katolika para sa tao nawawalan cla direction sa buhay..dahil sa pera")</f>
        <v>tutuo poh yan sa panahon nuon kahit sa pelikula maging bandido sa huli simbahan ang lage nilang sinasandalan mahalaga poh ang simbahan katolika para sa tao nawawalan cla direction sa buhay..dahil sa pera</v>
      </c>
      <c r="F1689" s="1"/>
      <c r="G1689" s="1" t="str">
        <f ca="1">IFERROR(__xludf.DUMMYFUNCTION("""COMPUTED_VALUE"""),"3 mos")</f>
        <v>3 mos</v>
      </c>
      <c r="H1689" s="1" t="str">
        <f ca="1">IFERROR(__xludf.DUMMYFUNCTION("""COMPUTED_VALUE"""),"comment")</f>
        <v>comment</v>
      </c>
      <c r="I1689" s="2" t="str">
        <f ca="1">IFERROR(__xludf.DUMMYFUNCTION("""COMPUTED_VALUE"""),"https://www.facebook.com/rapplerdotcom/photos/a.317154781638645/5595372260483511/")</f>
        <v>https://www.facebook.com/rapplerdotcom/photos/a.317154781638645/5595372260483511/</v>
      </c>
      <c r="J1689" s="1" t="str">
        <f ca="1">IFERROR(__xludf.DUMMYFUNCTION("""COMPUTED_VALUE"""),"2022-07-04T15:44:55.423Z")</f>
        <v>2022-07-04T15:44:55.423Z</v>
      </c>
    </row>
    <row r="1690" spans="1:10" x14ac:dyDescent="0.2">
      <c r="A1690" s="2" t="str">
        <f ca="1">IFERROR(__xludf.DUMMYFUNCTION("""COMPUTED_VALUE"""),"https://www.facebook.com/dez.delmundosamson")</f>
        <v>https://www.facebook.com/dez.delmundosamson</v>
      </c>
      <c r="B1690" s="1" t="str">
        <f ca="1">IFERROR(__xludf.DUMMYFUNCTION("""COMPUTED_VALUE"""),"Theysee Theearth Samson")</f>
        <v>Theysee Theearth Samson</v>
      </c>
      <c r="C1690" s="1" t="str">
        <f ca="1">IFERROR(__xludf.DUMMYFUNCTION("""COMPUTED_VALUE"""),"Theysee")</f>
        <v>Theysee</v>
      </c>
      <c r="D1690" s="1" t="str">
        <f ca="1">IFERROR(__xludf.DUMMYFUNCTION("""COMPUTED_VALUE"""),"Theearth Samson")</f>
        <v>Theearth Samson</v>
      </c>
      <c r="E1690" s="1" t="str">
        <f ca="1">IFERROR(__xludf.DUMMYFUNCTION("""COMPUTED_VALUE"""),"Padayon ✊ lang, Laban tayo para sa isang #MasRadikalAngMagmahal #IpanaloNa10Ito #AngatAngBabae  #10RobredoPresident  #KikoAngManokKo  #7PangilinanForVicePresident  #MASSKARApatDapatLeniKiko  #TeamRObredoPAngilinan2022  kasamahan para sa Senado, iboto din "&amp;"ng straight, Atty Alex Lacson, Atty Sonny Matula, Dean Chel Diokno, Indigenous Peoples representative Teddy Baguilat, Sen DeLima, Sen Hontiveros, Sen T inrillianes, Sen Gordon at 1Sambayanan Atty Neri Colmenares at Labor Leader Elmer Labog at Luke Espirit"&amp;"u #GobyernongTapatAngatBuhayLahat")</f>
        <v>Padayon ✊ lang, Laban tayo para sa isang #MasRadikalAngMagmahal #IpanaloNa10Ito #AngatAngBabae  #10RobredoPresident  #KikoAngManokKo  #7PangilinanForVicePresident  #MASSKARApatDapatLeniKiko  #TeamRObredoPAngilinan2022  kasamahan para sa Senado, iboto din ng straight, Atty Alex Lacson, Atty Sonny Matula, Dean Chel Diokno, Indigenous Peoples representative Teddy Baguilat, Sen DeLima, Sen Hontiveros, Sen T inrillianes, Sen Gordon at 1Sambayanan Atty Neri Colmenares at Labor Leader Elmer Labog at Luke Espiritu #GobyernongTapatAngatBuhayLahat</v>
      </c>
      <c r="F1690" s="1">
        <f ca="1">IFERROR(__xludf.DUMMYFUNCTION("""COMPUTED_VALUE"""),15)</f>
        <v>15</v>
      </c>
      <c r="G1690" s="1" t="str">
        <f ca="1">IFERROR(__xludf.DUMMYFUNCTION("""COMPUTED_VALUE"""),"3 mos")</f>
        <v>3 mos</v>
      </c>
      <c r="H1690" s="1" t="str">
        <f ca="1">IFERROR(__xludf.DUMMYFUNCTION("""COMPUTED_VALUE"""),"comment")</f>
        <v>comment</v>
      </c>
      <c r="I1690" s="2" t="str">
        <f ca="1">IFERROR(__xludf.DUMMYFUNCTION("""COMPUTED_VALUE"""),"https://www.facebook.com/rapplerdotcom/photos/a.317154781638645/5595372260483511/")</f>
        <v>https://www.facebook.com/rapplerdotcom/photos/a.317154781638645/5595372260483511/</v>
      </c>
      <c r="J1690" s="1" t="str">
        <f ca="1">IFERROR(__xludf.DUMMYFUNCTION("""COMPUTED_VALUE"""),"2022-07-04T15:44:55.423Z")</f>
        <v>2022-07-04T15:44:55.423Z</v>
      </c>
    </row>
    <row r="1691" spans="1:10" x14ac:dyDescent="0.2">
      <c r="A1691" s="2" t="str">
        <f ca="1">IFERROR(__xludf.DUMMYFUNCTION("""COMPUTED_VALUE"""),"https://www.facebook.com/rapkarl04")</f>
        <v>https://www.facebook.com/rapkarl04</v>
      </c>
      <c r="B1691" s="1" t="str">
        <f ca="1">IFERROR(__xludf.DUMMYFUNCTION("""COMPUTED_VALUE"""),"Ralphs Carlo Centeno")</f>
        <v>Ralphs Carlo Centeno</v>
      </c>
      <c r="C1691" s="1" t="str">
        <f ca="1">IFERROR(__xludf.DUMMYFUNCTION("""COMPUTED_VALUE"""),"Ralphs")</f>
        <v>Ralphs</v>
      </c>
      <c r="D1691" s="1" t="str">
        <f ca="1">IFERROR(__xludf.DUMMYFUNCTION("""COMPUTED_VALUE"""),"Carlo Centeno")</f>
        <v>Carlo Centeno</v>
      </c>
      <c r="E1691" s="1" t="str">
        <f ca="1">IFERROR(__xludf.DUMMYFUNCTION("""COMPUTED_VALUE"""),"Choose a leader for the 🇵🇭  with the following attributes   1. Honesty or Integrity  2. Competence  3. Inspiring leadership  4. Vision for change or platform  5. Moral courage to face challenges")</f>
        <v>Choose a leader for the 🇵🇭  with the following attributes   1. Honesty or Integrity  2. Competence  3. Inspiring leadership  4. Vision for change or platform  5. Moral courage to face challenges</v>
      </c>
      <c r="F1691" s="1"/>
      <c r="G1691" s="1" t="str">
        <f ca="1">IFERROR(__xludf.DUMMYFUNCTION("""COMPUTED_VALUE"""),"3 mos")</f>
        <v>3 mos</v>
      </c>
      <c r="H1691" s="1" t="str">
        <f ca="1">IFERROR(__xludf.DUMMYFUNCTION("""COMPUTED_VALUE"""),"comment")</f>
        <v>comment</v>
      </c>
      <c r="I1691" s="2" t="str">
        <f ca="1">IFERROR(__xludf.DUMMYFUNCTION("""COMPUTED_VALUE"""),"https://www.facebook.com/rapplerdotcom/photos/a.317154781638645/5595372260483511/")</f>
        <v>https://www.facebook.com/rapplerdotcom/photos/a.317154781638645/5595372260483511/</v>
      </c>
      <c r="J1691" s="1" t="str">
        <f ca="1">IFERROR(__xludf.DUMMYFUNCTION("""COMPUTED_VALUE"""),"2022-07-04T15:44:55.423Z")</f>
        <v>2022-07-04T15:44:55.423Z</v>
      </c>
    </row>
    <row r="1692" spans="1:10" x14ac:dyDescent="0.2">
      <c r="A1692" s="2" t="str">
        <f ca="1">IFERROR(__xludf.DUMMYFUNCTION("""COMPUTED_VALUE"""),"https://www.facebook.com/eduardo.m.lombo")</f>
        <v>https://www.facebook.com/eduardo.m.lombo</v>
      </c>
      <c r="B1692" s="1" t="str">
        <f ca="1">IFERROR(__xludf.DUMMYFUNCTION("""COMPUTED_VALUE"""),"Edd Lombo")</f>
        <v>Edd Lombo</v>
      </c>
      <c r="C1692" s="1" t="str">
        <f ca="1">IFERROR(__xludf.DUMMYFUNCTION("""COMPUTED_VALUE"""),"Edd")</f>
        <v>Edd</v>
      </c>
      <c r="D1692" s="1" t="str">
        <f ca="1">IFERROR(__xludf.DUMMYFUNCTION("""COMPUTED_VALUE"""),"Lombo")</f>
        <v>Lombo</v>
      </c>
      <c r="E1692" s="1" t="str">
        <f ca="1">IFERROR(__xludf.DUMMYFUNCTION("""COMPUTED_VALUE"""),"Parents are responsible for the upbringing of their children, not anyone else, what kind of thinking that she has???")</f>
        <v>Parents are responsible for the upbringing of their children, not anyone else, what kind of thinking that she has???</v>
      </c>
      <c r="F1692" s="1">
        <f ca="1">IFERROR(__xludf.DUMMYFUNCTION("""COMPUTED_VALUE"""),14)</f>
        <v>14</v>
      </c>
      <c r="G1692" s="1" t="str">
        <f ca="1">IFERROR(__xludf.DUMMYFUNCTION("""COMPUTED_VALUE"""),"3 mos")</f>
        <v>3 mos</v>
      </c>
      <c r="H1692" s="1" t="str">
        <f ca="1">IFERROR(__xludf.DUMMYFUNCTION("""COMPUTED_VALUE"""),"comment")</f>
        <v>comment</v>
      </c>
      <c r="I1692" s="2" t="str">
        <f ca="1">IFERROR(__xludf.DUMMYFUNCTION("""COMPUTED_VALUE"""),"https://www.facebook.com/rapplerdotcom/photos/a.317154781638645/5595372260483511/")</f>
        <v>https://www.facebook.com/rapplerdotcom/photos/a.317154781638645/5595372260483511/</v>
      </c>
      <c r="J1692" s="1" t="str">
        <f ca="1">IFERROR(__xludf.DUMMYFUNCTION("""COMPUTED_VALUE"""),"2022-07-04T15:44:55.423Z")</f>
        <v>2022-07-04T15:44:55.423Z</v>
      </c>
    </row>
    <row r="1693" spans="1:10" x14ac:dyDescent="0.2">
      <c r="A1693" s="2" t="str">
        <f ca="1">IFERROR(__xludf.DUMMYFUNCTION("""COMPUTED_VALUE"""),"https://www.facebook.com/eduardo.m.lombo")</f>
        <v>https://www.facebook.com/eduardo.m.lombo</v>
      </c>
      <c r="B1693" s="1" t="str">
        <f ca="1">IFERROR(__xludf.DUMMYFUNCTION("""COMPUTED_VALUE"""),"Edd Lombo")</f>
        <v>Edd Lombo</v>
      </c>
      <c r="C1693" s="1" t="str">
        <f ca="1">IFERROR(__xludf.DUMMYFUNCTION("""COMPUTED_VALUE"""),"Edd")</f>
        <v>Edd</v>
      </c>
      <c r="D1693" s="1" t="str">
        <f ca="1">IFERROR(__xludf.DUMMYFUNCTION("""COMPUTED_VALUE"""),"Lombo")</f>
        <v>Lombo</v>
      </c>
      <c r="E1693" s="1" t="str">
        <f ca="1">IFERROR(__xludf.DUMMYFUNCTION("""COMPUTED_VALUE"""),"Jose Ladiana thanks 😊")</f>
        <v>Jose Ladiana thanks 😊</v>
      </c>
      <c r="F1693" s="1"/>
      <c r="G1693" s="1" t="str">
        <f ca="1">IFERROR(__xludf.DUMMYFUNCTION("""COMPUTED_VALUE"""),"3 mos")</f>
        <v>3 mos</v>
      </c>
      <c r="H1693" s="1" t="str">
        <f ca="1">IFERROR(__xludf.DUMMYFUNCTION("""COMPUTED_VALUE"""),"reply")</f>
        <v>reply</v>
      </c>
      <c r="I1693" s="2" t="str">
        <f ca="1">IFERROR(__xludf.DUMMYFUNCTION("""COMPUTED_VALUE"""),"https://www.facebook.com/rapplerdotcom/photos/a.317154781638645/5595372260483511/")</f>
        <v>https://www.facebook.com/rapplerdotcom/photos/a.317154781638645/5595372260483511/</v>
      </c>
      <c r="J1693" s="1" t="str">
        <f ca="1">IFERROR(__xludf.DUMMYFUNCTION("""COMPUTED_VALUE"""),"2022-07-04T15:44:55.423Z")</f>
        <v>2022-07-04T15:44:55.423Z</v>
      </c>
    </row>
    <row r="1694" spans="1:10" x14ac:dyDescent="0.2">
      <c r="A1694" s="2" t="str">
        <f ca="1">IFERROR(__xludf.DUMMYFUNCTION("""COMPUTED_VALUE"""),"https://www.facebook.com/profile.php?id=100008200051155")</f>
        <v>https://www.facebook.com/profile.php?id=100008200051155</v>
      </c>
      <c r="B1694" s="1" t="str">
        <f ca="1">IFERROR(__xludf.DUMMYFUNCTION("""COMPUTED_VALUE"""),"Colleen Navarro")</f>
        <v>Colleen Navarro</v>
      </c>
      <c r="C1694" s="1" t="str">
        <f ca="1">IFERROR(__xludf.DUMMYFUNCTION("""COMPUTED_VALUE"""),"Colleen")</f>
        <v>Colleen</v>
      </c>
      <c r="D1694" s="1" t="str">
        <f ca="1">IFERROR(__xludf.DUMMYFUNCTION("""COMPUTED_VALUE"""),"Navarro")</f>
        <v>Navarro</v>
      </c>
      <c r="E1694" s="1" t="str">
        <f ca="1">IFERROR(__xludf.DUMMYFUNCTION("""COMPUTED_VALUE"""),"Edd Lombo 🤦‍♀️ ang pinag uusapan kasi ang role ng government, churches, community , the environment..given na po ang role ng parents...Basahin po kasi ninyo ang whole content hindi lang sa highlighted na comments 🤦‍♀️")</f>
        <v>Edd Lombo 🤦‍♀️ ang pinag uusapan kasi ang role ng government, churches, community , the environment..given na po ang role ng parents...Basahin po kasi ninyo ang whole content hindi lang sa highlighted na comments 🤦‍♀️</v>
      </c>
      <c r="F1694" s="1">
        <f ca="1">IFERROR(__xludf.DUMMYFUNCTION("""COMPUTED_VALUE"""),6)</f>
        <v>6</v>
      </c>
      <c r="G1694" s="1" t="str">
        <f ca="1">IFERROR(__xludf.DUMMYFUNCTION("""COMPUTED_VALUE"""),"3 mos")</f>
        <v>3 mos</v>
      </c>
      <c r="H1694" s="1" t="str">
        <f ca="1">IFERROR(__xludf.DUMMYFUNCTION("""COMPUTED_VALUE"""),"reply")</f>
        <v>reply</v>
      </c>
      <c r="I1694" s="2" t="str">
        <f ca="1">IFERROR(__xludf.DUMMYFUNCTION("""COMPUTED_VALUE"""),"https://www.facebook.com/rapplerdotcom/photos/a.317154781638645/5595372260483511/")</f>
        <v>https://www.facebook.com/rapplerdotcom/photos/a.317154781638645/5595372260483511/</v>
      </c>
      <c r="J1694" s="1" t="str">
        <f ca="1">IFERROR(__xludf.DUMMYFUNCTION("""COMPUTED_VALUE"""),"2022-07-04T15:44:55.423Z")</f>
        <v>2022-07-04T15:44:55.423Z</v>
      </c>
    </row>
    <row r="1695" spans="1:10" x14ac:dyDescent="0.2">
      <c r="A1695" s="2" t="str">
        <f ca="1">IFERROR(__xludf.DUMMYFUNCTION("""COMPUTED_VALUE"""),"https://www.facebook.com/nonoyofalae")</f>
        <v>https://www.facebook.com/nonoyofalae</v>
      </c>
      <c r="B1695" s="1" t="str">
        <f ca="1">IFERROR(__xludf.DUMMYFUNCTION("""COMPUTED_VALUE"""),"Dong C Namo")</f>
        <v>Dong C Namo</v>
      </c>
      <c r="C1695" s="1" t="str">
        <f ca="1">IFERROR(__xludf.DUMMYFUNCTION("""COMPUTED_VALUE"""),"Dong")</f>
        <v>Dong</v>
      </c>
      <c r="D1695" s="1" t="str">
        <f ca="1">IFERROR(__xludf.DUMMYFUNCTION("""COMPUTED_VALUE"""),"C Namo")</f>
        <v>C Namo</v>
      </c>
      <c r="E1695" s="1" t="str">
        <f ca="1">IFERROR(__xludf.DUMMYFUNCTION("""COMPUTED_VALUE"""),"Edd Lombo you are!!! Her thinking is far more better than yours!Minds becomes toxic when it is coupled with hatred!")</f>
        <v>Edd Lombo you are!!! Her thinking is far more better than yours!Minds becomes toxic when it is coupled with hatred!</v>
      </c>
      <c r="F1695" s="1"/>
      <c r="G1695" s="1" t="str">
        <f ca="1">IFERROR(__xludf.DUMMYFUNCTION("""COMPUTED_VALUE"""),"3 mos")</f>
        <v>3 mos</v>
      </c>
      <c r="H1695" s="1" t="str">
        <f ca="1">IFERROR(__xludf.DUMMYFUNCTION("""COMPUTED_VALUE"""),"reply")</f>
        <v>reply</v>
      </c>
      <c r="I1695" s="2" t="str">
        <f ca="1">IFERROR(__xludf.DUMMYFUNCTION("""COMPUTED_VALUE"""),"https://www.facebook.com/rapplerdotcom/photos/a.317154781638645/5595372260483511/")</f>
        <v>https://www.facebook.com/rapplerdotcom/photos/a.317154781638645/5595372260483511/</v>
      </c>
      <c r="J1695" s="1" t="str">
        <f ca="1">IFERROR(__xludf.DUMMYFUNCTION("""COMPUTED_VALUE"""),"2022-07-04T15:44:55.423Z")</f>
        <v>2022-07-04T15:44:55.423Z</v>
      </c>
    </row>
    <row r="1696" spans="1:10" x14ac:dyDescent="0.2">
      <c r="A1696" s="2" t="str">
        <f ca="1">IFERROR(__xludf.DUMMYFUNCTION("""COMPUTED_VALUE"""),"https://www.facebook.com/kenneth.cauntay")</f>
        <v>https://www.facebook.com/kenneth.cauntay</v>
      </c>
      <c r="B1696" s="1" t="str">
        <f ca="1">IFERROR(__xludf.DUMMYFUNCTION("""COMPUTED_VALUE"""),"Kenneth Cauntay")</f>
        <v>Kenneth Cauntay</v>
      </c>
      <c r="C1696" s="1" t="str">
        <f ca="1">IFERROR(__xludf.DUMMYFUNCTION("""COMPUTED_VALUE"""),"Kenneth")</f>
        <v>Kenneth</v>
      </c>
      <c r="D1696" s="1" t="str">
        <f ca="1">IFERROR(__xludf.DUMMYFUNCTION("""COMPUTED_VALUE"""),"Cauntay")</f>
        <v>Cauntay</v>
      </c>
      <c r="E1696" s="1" t="str">
        <f ca="1">IFERROR(__xludf.DUMMYFUNCTION("""COMPUTED_VALUE"""),"Edd Lombo whar kind of thinking do you have😧")</f>
        <v>Edd Lombo whar kind of thinking do you have😧</v>
      </c>
      <c r="F1696" s="1"/>
      <c r="G1696" s="1" t="str">
        <f ca="1">IFERROR(__xludf.DUMMYFUNCTION("""COMPUTED_VALUE"""),"3 mos")</f>
        <v>3 mos</v>
      </c>
      <c r="H1696" s="1" t="str">
        <f ca="1">IFERROR(__xludf.DUMMYFUNCTION("""COMPUTED_VALUE"""),"reply")</f>
        <v>reply</v>
      </c>
      <c r="I1696" s="2" t="str">
        <f ca="1">IFERROR(__xludf.DUMMYFUNCTION("""COMPUTED_VALUE"""),"https://www.facebook.com/rapplerdotcom/photos/a.317154781638645/5595372260483511/")</f>
        <v>https://www.facebook.com/rapplerdotcom/photos/a.317154781638645/5595372260483511/</v>
      </c>
      <c r="J1696" s="1" t="str">
        <f ca="1">IFERROR(__xludf.DUMMYFUNCTION("""COMPUTED_VALUE"""),"2022-07-04T15:44:55.423Z")</f>
        <v>2022-07-04T15:44:55.423Z</v>
      </c>
    </row>
    <row r="1697" spans="1:10" x14ac:dyDescent="0.2">
      <c r="A1697" s="2" t="str">
        <f ca="1">IFERROR(__xludf.DUMMYFUNCTION("""COMPUTED_VALUE"""),"https://www.facebook.com/eduardo.m.lombo")</f>
        <v>https://www.facebook.com/eduardo.m.lombo</v>
      </c>
      <c r="B1697" s="1" t="str">
        <f ca="1">IFERROR(__xludf.DUMMYFUNCTION("""COMPUTED_VALUE"""),"Edd Lombo")</f>
        <v>Edd Lombo</v>
      </c>
      <c r="C1697" s="1" t="str">
        <f ca="1">IFERROR(__xludf.DUMMYFUNCTION("""COMPUTED_VALUE"""),"Edd")</f>
        <v>Edd</v>
      </c>
      <c r="D1697" s="1" t="str">
        <f ca="1">IFERROR(__xludf.DUMMYFUNCTION("""COMPUTED_VALUE"""),"Lombo")</f>
        <v>Lombo</v>
      </c>
      <c r="E1697" s="1" t="str">
        <f ca="1">IFERROR(__xludf.DUMMYFUNCTION("""COMPUTED_VALUE"""),"Kenneth Cauntay do not set standards, we all have our own ways of thinking 😀")</f>
        <v>Kenneth Cauntay do not set standards, we all have our own ways of thinking 😀</v>
      </c>
      <c r="F1697" s="1"/>
      <c r="G1697" s="1" t="str">
        <f ca="1">IFERROR(__xludf.DUMMYFUNCTION("""COMPUTED_VALUE"""),"3 mos")</f>
        <v>3 mos</v>
      </c>
      <c r="H1697" s="1" t="str">
        <f ca="1">IFERROR(__xludf.DUMMYFUNCTION("""COMPUTED_VALUE"""),"reply")</f>
        <v>reply</v>
      </c>
      <c r="I1697" s="2" t="str">
        <f ca="1">IFERROR(__xludf.DUMMYFUNCTION("""COMPUTED_VALUE"""),"https://www.facebook.com/rapplerdotcom/photos/a.317154781638645/5595372260483511/")</f>
        <v>https://www.facebook.com/rapplerdotcom/photos/a.317154781638645/5595372260483511/</v>
      </c>
      <c r="J1697" s="1" t="str">
        <f ca="1">IFERROR(__xludf.DUMMYFUNCTION("""COMPUTED_VALUE"""),"2022-07-04T15:44:55.423Z")</f>
        <v>2022-07-04T15:44:55.423Z</v>
      </c>
    </row>
    <row r="1698" spans="1:10" x14ac:dyDescent="0.2">
      <c r="A1698" s="2" t="str">
        <f ca="1">IFERROR(__xludf.DUMMYFUNCTION("""COMPUTED_VALUE"""),"https://www.facebook.com/ate.rose.73")</f>
        <v>https://www.facebook.com/ate.rose.73</v>
      </c>
      <c r="B1698" s="1" t="str">
        <f ca="1">IFERROR(__xludf.DUMMYFUNCTION("""COMPUTED_VALUE"""),"Rose Rosos")</f>
        <v>Rose Rosos</v>
      </c>
      <c r="C1698" s="1" t="str">
        <f ca="1">IFERROR(__xludf.DUMMYFUNCTION("""COMPUTED_VALUE"""),"Rose")</f>
        <v>Rose</v>
      </c>
      <c r="D1698" s="1" t="str">
        <f ca="1">IFERROR(__xludf.DUMMYFUNCTION("""COMPUTED_VALUE"""),"Rosos")</f>
        <v>Rosos</v>
      </c>
      <c r="E1698" s="1" t="str">
        <f ca="1">IFERROR(__xludf.DUMMYFUNCTION("""COMPUTED_VALUE"""),"Edd Lombo god bless sayo kuya.minsan lawakan po ang pag unawa 🙏🙏")</f>
        <v>Edd Lombo god bless sayo kuya.minsan lawakan po ang pag unawa 🙏🙏</v>
      </c>
      <c r="F1698" s="1"/>
      <c r="G1698" s="1" t="str">
        <f ca="1">IFERROR(__xludf.DUMMYFUNCTION("""COMPUTED_VALUE"""),"3 mos")</f>
        <v>3 mos</v>
      </c>
      <c r="H1698" s="1" t="str">
        <f ca="1">IFERROR(__xludf.DUMMYFUNCTION("""COMPUTED_VALUE"""),"reply")</f>
        <v>reply</v>
      </c>
      <c r="I1698" s="2" t="str">
        <f ca="1">IFERROR(__xludf.DUMMYFUNCTION("""COMPUTED_VALUE"""),"https://www.facebook.com/rapplerdotcom/photos/a.317154781638645/5595372260483511/")</f>
        <v>https://www.facebook.com/rapplerdotcom/photos/a.317154781638645/5595372260483511/</v>
      </c>
      <c r="J1698" s="1" t="str">
        <f ca="1">IFERROR(__xludf.DUMMYFUNCTION("""COMPUTED_VALUE"""),"2022-07-04T15:44:55.423Z")</f>
        <v>2022-07-04T15:44:55.423Z</v>
      </c>
    </row>
    <row r="1699" spans="1:10" x14ac:dyDescent="0.2">
      <c r="A1699" s="2" t="str">
        <f ca="1">IFERROR(__xludf.DUMMYFUNCTION("""COMPUTED_VALUE"""),"https://www.facebook.com/deanny.magana")</f>
        <v>https://www.facebook.com/deanny.magana</v>
      </c>
      <c r="B1699" s="1" t="str">
        <f ca="1">IFERROR(__xludf.DUMMYFUNCTION("""COMPUTED_VALUE"""),"Deanny Magana")</f>
        <v>Deanny Magana</v>
      </c>
      <c r="C1699" s="1" t="str">
        <f ca="1">IFERROR(__xludf.DUMMYFUNCTION("""COMPUTED_VALUE"""),"Deanny")</f>
        <v>Deanny</v>
      </c>
      <c r="D1699" s="1" t="str">
        <f ca="1">IFERROR(__xludf.DUMMYFUNCTION("""COMPUTED_VALUE"""),"Magana")</f>
        <v>Magana</v>
      </c>
      <c r="E1699" s="1" t="str">
        <f ca="1">IFERROR(__xludf.DUMMYFUNCTION("""COMPUTED_VALUE"""),"Edd Lombo environment ay isang factor sa magiging attitude and future nang mga kabataan..ang part nang parent sa upbringing nang mga anak nila e habang maliliit pa ang mga bata..pero pag start nang mga bata sa kanilang pag aaral e hindi na matotokan ang k"&amp;"anilang anak..meaning hindi lang ang parents ang responsible para maging mabuting mamayan and maging maganda ang future nang kanilang anak..")</f>
        <v>Edd Lombo environment ay isang factor sa magiging attitude and future nang mga kabataan..ang part nang parent sa upbringing nang mga anak nila e habang maliliit pa ang mga bata..pero pag start nang mga bata sa kanilang pag aaral e hindi na matotokan ang kanilang anak..meaning hindi lang ang parents ang responsible para maging mabuting mamayan and maging maganda ang future nang kanilang anak..</v>
      </c>
      <c r="F1699" s="1"/>
      <c r="G1699" s="1" t="str">
        <f ca="1">IFERROR(__xludf.DUMMYFUNCTION("""COMPUTED_VALUE"""),"3 mos")</f>
        <v>3 mos</v>
      </c>
      <c r="H1699" s="1" t="str">
        <f ca="1">IFERROR(__xludf.DUMMYFUNCTION("""COMPUTED_VALUE"""),"reply")</f>
        <v>reply</v>
      </c>
      <c r="I1699" s="2" t="str">
        <f ca="1">IFERROR(__xludf.DUMMYFUNCTION("""COMPUTED_VALUE"""),"https://www.facebook.com/rapplerdotcom/photos/a.317154781638645/5595372260483511/")</f>
        <v>https://www.facebook.com/rapplerdotcom/photos/a.317154781638645/5595372260483511/</v>
      </c>
      <c r="J1699" s="1" t="str">
        <f ca="1">IFERROR(__xludf.DUMMYFUNCTION("""COMPUTED_VALUE"""),"2022-07-04T15:44:55.423Z")</f>
        <v>2022-07-04T15:44:55.423Z</v>
      </c>
    </row>
    <row r="1700" spans="1:10" x14ac:dyDescent="0.2">
      <c r="A1700" s="2" t="str">
        <f ca="1">IFERROR(__xludf.DUMMYFUNCTION("""COMPUTED_VALUE"""),"https://www.facebook.com/deanny.magana")</f>
        <v>https://www.facebook.com/deanny.magana</v>
      </c>
      <c r="B1700" s="1" t="str">
        <f ca="1">IFERROR(__xludf.DUMMYFUNCTION("""COMPUTED_VALUE"""),"Deanny Magana")</f>
        <v>Deanny Magana</v>
      </c>
      <c r="C1700" s="1" t="str">
        <f ca="1">IFERROR(__xludf.DUMMYFUNCTION("""COMPUTED_VALUE"""),"Deanny")</f>
        <v>Deanny</v>
      </c>
      <c r="D1700" s="1" t="str">
        <f ca="1">IFERROR(__xludf.DUMMYFUNCTION("""COMPUTED_VALUE"""),"Magana")</f>
        <v>Magana</v>
      </c>
      <c r="E1700" s="1" t="str">
        <f ca="1">IFERROR(__xludf.DUMMYFUNCTION("""COMPUTED_VALUE"""),"Edd Lombo one sided ang thinking and reasoning mo..and besides malayo sa logic..")</f>
        <v>Edd Lombo one sided ang thinking and reasoning mo..and besides malayo sa logic..</v>
      </c>
      <c r="F1700" s="1"/>
      <c r="G1700" s="1" t="str">
        <f ca="1">IFERROR(__xludf.DUMMYFUNCTION("""COMPUTED_VALUE"""),"3 mos")</f>
        <v>3 mos</v>
      </c>
      <c r="H1700" s="1" t="str">
        <f ca="1">IFERROR(__xludf.DUMMYFUNCTION("""COMPUTED_VALUE"""),"reply")</f>
        <v>reply</v>
      </c>
      <c r="I1700" s="2" t="str">
        <f ca="1">IFERROR(__xludf.DUMMYFUNCTION("""COMPUTED_VALUE"""),"https://www.facebook.com/rapplerdotcom/photos/a.317154781638645/5595372260483511/")</f>
        <v>https://www.facebook.com/rapplerdotcom/photos/a.317154781638645/5595372260483511/</v>
      </c>
      <c r="J1700" s="1" t="str">
        <f ca="1">IFERROR(__xludf.DUMMYFUNCTION("""COMPUTED_VALUE"""),"2022-07-04T15:44:55.423Z")</f>
        <v>2022-07-04T15:44:55.423Z</v>
      </c>
    </row>
    <row r="1701" spans="1:10" x14ac:dyDescent="0.2">
      <c r="A1701" s="2" t="str">
        <f ca="1">IFERROR(__xludf.DUMMYFUNCTION("""COMPUTED_VALUE"""),"https://www.facebook.com/eduardo.m.lombo")</f>
        <v>https://www.facebook.com/eduardo.m.lombo</v>
      </c>
      <c r="B1701" s="1" t="str">
        <f ca="1">IFERROR(__xludf.DUMMYFUNCTION("""COMPUTED_VALUE"""),"Edd Lombo")</f>
        <v>Edd Lombo</v>
      </c>
      <c r="C1701" s="1" t="str">
        <f ca="1">IFERROR(__xludf.DUMMYFUNCTION("""COMPUTED_VALUE"""),"Edd")</f>
        <v>Edd</v>
      </c>
      <c r="D1701" s="1" t="str">
        <f ca="1">IFERROR(__xludf.DUMMYFUNCTION("""COMPUTED_VALUE"""),"Lombo")</f>
        <v>Lombo</v>
      </c>
      <c r="E1701" s="1" t="str">
        <f ca="1">IFERROR(__xludf.DUMMYFUNCTION("""COMPUTED_VALUE"""),"Deanny Magana well sorry not in our case, sa case nyo siguro or case to case basis, ang dami ko kc kakilala na nagsilaki ng tama kahit nasa depressed area sila, so what your nanay's saying is not totally agreeable koys, isip isip din.")</f>
        <v>Deanny Magana well sorry not in our case, sa case nyo siguro or case to case basis, ang dami ko kc kakilala na nagsilaki ng tama kahit nasa depressed area sila, so what your nanay's saying is not totally agreeable koys, isip isip din.</v>
      </c>
      <c r="F1701" s="1"/>
      <c r="G1701" s="1" t="str">
        <f ca="1">IFERROR(__xludf.DUMMYFUNCTION("""COMPUTED_VALUE"""),"3 mos")</f>
        <v>3 mos</v>
      </c>
      <c r="H1701" s="1" t="str">
        <f ca="1">IFERROR(__xludf.DUMMYFUNCTION("""COMPUTED_VALUE"""),"reply")</f>
        <v>reply</v>
      </c>
      <c r="I1701" s="2" t="str">
        <f ca="1">IFERROR(__xludf.DUMMYFUNCTION("""COMPUTED_VALUE"""),"https://www.facebook.com/rapplerdotcom/photos/a.317154781638645/5595372260483511/")</f>
        <v>https://www.facebook.com/rapplerdotcom/photos/a.317154781638645/5595372260483511/</v>
      </c>
      <c r="J1701" s="1" t="str">
        <f ca="1">IFERROR(__xludf.DUMMYFUNCTION("""COMPUTED_VALUE"""),"2022-07-04T15:44:55.423Z")</f>
        <v>2022-07-04T15:44:55.423Z</v>
      </c>
    </row>
    <row r="1702" spans="1:10" x14ac:dyDescent="0.2">
      <c r="A1702" s="2" t="str">
        <f ca="1">IFERROR(__xludf.DUMMYFUNCTION("""COMPUTED_VALUE"""),"https://www.facebook.com/eduardo.m.lombo")</f>
        <v>https://www.facebook.com/eduardo.m.lombo</v>
      </c>
      <c r="B1702" s="1" t="str">
        <f ca="1">IFERROR(__xludf.DUMMYFUNCTION("""COMPUTED_VALUE"""),"Edd Lombo")</f>
        <v>Edd Lombo</v>
      </c>
      <c r="C1702" s="1" t="str">
        <f ca="1">IFERROR(__xludf.DUMMYFUNCTION("""COMPUTED_VALUE"""),"Edd")</f>
        <v>Edd</v>
      </c>
      <c r="D1702" s="1" t="str">
        <f ca="1">IFERROR(__xludf.DUMMYFUNCTION("""COMPUTED_VALUE"""),"Lombo")</f>
        <v>Lombo</v>
      </c>
      <c r="E1702" s="1" t="str">
        <f ca="1">IFERROR(__xludf.DUMMYFUNCTION("""COMPUTED_VALUE"""),"Deanny Magana according to you lang, do not set standard 😀")</f>
        <v>Deanny Magana according to you lang, do not set standard 😀</v>
      </c>
      <c r="F1702" s="1"/>
      <c r="G1702" s="1" t="str">
        <f ca="1">IFERROR(__xludf.DUMMYFUNCTION("""COMPUTED_VALUE"""),"3 mos")</f>
        <v>3 mos</v>
      </c>
      <c r="H1702" s="1" t="str">
        <f ca="1">IFERROR(__xludf.DUMMYFUNCTION("""COMPUTED_VALUE"""),"reply")</f>
        <v>reply</v>
      </c>
      <c r="I1702" s="2" t="str">
        <f ca="1">IFERROR(__xludf.DUMMYFUNCTION("""COMPUTED_VALUE"""),"https://www.facebook.com/rapplerdotcom/photos/a.317154781638645/5595372260483511/")</f>
        <v>https://www.facebook.com/rapplerdotcom/photos/a.317154781638645/5595372260483511/</v>
      </c>
      <c r="J1702" s="1" t="str">
        <f ca="1">IFERROR(__xludf.DUMMYFUNCTION("""COMPUTED_VALUE"""),"2022-07-04T15:44:55.423Z")</f>
        <v>2022-07-04T15:44:55.423Z</v>
      </c>
    </row>
    <row r="1703" spans="1:10" x14ac:dyDescent="0.2">
      <c r="A1703" s="2" t="str">
        <f ca="1">IFERROR(__xludf.DUMMYFUNCTION("""COMPUTED_VALUE"""),"https://www.facebook.com/profile.php?id=100011569547804")</f>
        <v>https://www.facebook.com/profile.php?id=100011569547804</v>
      </c>
      <c r="B1703" s="1" t="str">
        <f ca="1">IFERROR(__xludf.DUMMYFUNCTION("""COMPUTED_VALUE"""),"Raged Cua")</f>
        <v>Raged Cua</v>
      </c>
      <c r="C1703" s="1" t="str">
        <f ca="1">IFERROR(__xludf.DUMMYFUNCTION("""COMPUTED_VALUE"""),"Raged")</f>
        <v>Raged</v>
      </c>
      <c r="D1703" s="1" t="str">
        <f ca="1">IFERROR(__xludf.DUMMYFUNCTION("""COMPUTED_VALUE"""),"Cua")</f>
        <v>Cua</v>
      </c>
      <c r="E1703" s="1" t="str">
        <f ca="1">IFERROR(__xludf.DUMMYFUNCTION("""COMPUTED_VALUE"""),"Edd Lombo  Sayang naman yang verse na gamit mo kapatid, Psalms 23:1 kung hindi natin gamitin. 😊"" THE  LORD IS MY SHEPHERD""   Bilang kristyanong katolikong mga magulang, kailangan din po ng moral guidance from the church. 😊")</f>
        <v>Edd Lombo  Sayang naman yang verse na gamit mo kapatid, Psalms 23:1 kung hindi natin gamitin. 😊" THE  LORD IS MY SHEPHERD"   Bilang kristyanong katolikong mga magulang, kailangan din po ng moral guidance from the church. 😊</v>
      </c>
      <c r="F1703" s="1">
        <f ca="1">IFERROR(__xludf.DUMMYFUNCTION("""COMPUTED_VALUE"""),1)</f>
        <v>1</v>
      </c>
      <c r="G1703" s="1" t="str">
        <f ca="1">IFERROR(__xludf.DUMMYFUNCTION("""COMPUTED_VALUE"""),"3 mos")</f>
        <v>3 mos</v>
      </c>
      <c r="H1703" s="1" t="str">
        <f ca="1">IFERROR(__xludf.DUMMYFUNCTION("""COMPUTED_VALUE"""),"reply")</f>
        <v>reply</v>
      </c>
      <c r="I1703" s="2" t="str">
        <f ca="1">IFERROR(__xludf.DUMMYFUNCTION("""COMPUTED_VALUE"""),"https://www.facebook.com/rapplerdotcom/photos/a.317154781638645/5595372260483511/")</f>
        <v>https://www.facebook.com/rapplerdotcom/photos/a.317154781638645/5595372260483511/</v>
      </c>
      <c r="J1703" s="1" t="str">
        <f ca="1">IFERROR(__xludf.DUMMYFUNCTION("""COMPUTED_VALUE"""),"2022-07-04T15:44:55.423Z")</f>
        <v>2022-07-04T15:44:55.423Z</v>
      </c>
    </row>
    <row r="1704" spans="1:10" x14ac:dyDescent="0.2">
      <c r="A1704" s="2" t="str">
        <f ca="1">IFERROR(__xludf.DUMMYFUNCTION("""COMPUTED_VALUE"""),"https://www.facebook.com/eduardo.m.lombo")</f>
        <v>https://www.facebook.com/eduardo.m.lombo</v>
      </c>
      <c r="B1704" s="1" t="str">
        <f ca="1">IFERROR(__xludf.DUMMYFUNCTION("""COMPUTED_VALUE"""),"Edd Lombo")</f>
        <v>Edd Lombo</v>
      </c>
      <c r="C1704" s="1" t="str">
        <f ca="1">IFERROR(__xludf.DUMMYFUNCTION("""COMPUTED_VALUE"""),"Edd")</f>
        <v>Edd</v>
      </c>
      <c r="D1704" s="1" t="str">
        <f ca="1">IFERROR(__xludf.DUMMYFUNCTION("""COMPUTED_VALUE"""),"Lombo")</f>
        <v>Lombo</v>
      </c>
      <c r="E1704" s="1" t="str">
        <f ca="1">IFERROR(__xludf.DUMMYFUNCTION("""COMPUTED_VALUE"""),"Raged Cua amen to that but we are not always at the church at the end of the day parents and strong family support is the most needed ng mga kabataan, tutukan sila dapat at show a good examples by teaching them the verses in the Bible 😀")</f>
        <v>Raged Cua amen to that but we are not always at the church at the end of the day parents and strong family support is the most needed ng mga kabataan, tutukan sila dapat at show a good examples by teaching them the verses in the Bible 😀</v>
      </c>
      <c r="F1704" s="1"/>
      <c r="G1704" s="1" t="str">
        <f ca="1">IFERROR(__xludf.DUMMYFUNCTION("""COMPUTED_VALUE"""),"3 mos")</f>
        <v>3 mos</v>
      </c>
      <c r="H1704" s="1" t="str">
        <f ca="1">IFERROR(__xludf.DUMMYFUNCTION("""COMPUTED_VALUE"""),"reply")</f>
        <v>reply</v>
      </c>
      <c r="I1704" s="2" t="str">
        <f ca="1">IFERROR(__xludf.DUMMYFUNCTION("""COMPUTED_VALUE"""),"https://www.facebook.com/rapplerdotcom/photos/a.317154781638645/5595372260483511/")</f>
        <v>https://www.facebook.com/rapplerdotcom/photos/a.317154781638645/5595372260483511/</v>
      </c>
      <c r="J1704" s="1" t="str">
        <f ca="1">IFERROR(__xludf.DUMMYFUNCTION("""COMPUTED_VALUE"""),"2022-07-04T15:44:55.423Z")</f>
        <v>2022-07-04T15:44:55.423Z</v>
      </c>
    </row>
    <row r="1705" spans="1:10" x14ac:dyDescent="0.2">
      <c r="A1705" s="2" t="str">
        <f ca="1">IFERROR(__xludf.DUMMYFUNCTION("""COMPUTED_VALUE"""),"https://www.facebook.com/profile.php?id=100011569547804")</f>
        <v>https://www.facebook.com/profile.php?id=100011569547804</v>
      </c>
      <c r="B1705" s="1" t="str">
        <f ca="1">IFERROR(__xludf.DUMMYFUNCTION("""COMPUTED_VALUE"""),"Raged Cua")</f>
        <v>Raged Cua</v>
      </c>
      <c r="C1705" s="1" t="str">
        <f ca="1">IFERROR(__xludf.DUMMYFUNCTION("""COMPUTED_VALUE"""),"Raged")</f>
        <v>Raged</v>
      </c>
      <c r="D1705" s="1" t="str">
        <f ca="1">IFERROR(__xludf.DUMMYFUNCTION("""COMPUTED_VALUE"""),"Cua")</f>
        <v>Cua</v>
      </c>
      <c r="E1705" s="1" t="str">
        <f ca="1">IFERROR(__xludf.DUMMYFUNCTION("""COMPUTED_VALUE"""),"Edd Lombo  Malaki po ang naitutulong ng mga natutunan ng mga magulang sa church for their moral guidance sa kanilang mga anak. 😊")</f>
        <v>Edd Lombo  Malaki po ang naitutulong ng mga natutunan ng mga magulang sa church for their moral guidance sa kanilang mga anak. 😊</v>
      </c>
      <c r="F1705" s="1"/>
      <c r="G1705" s="1" t="str">
        <f ca="1">IFERROR(__xludf.DUMMYFUNCTION("""COMPUTED_VALUE"""),"3 mos")</f>
        <v>3 mos</v>
      </c>
      <c r="H1705" s="1" t="str">
        <f ca="1">IFERROR(__xludf.DUMMYFUNCTION("""COMPUTED_VALUE"""),"reply")</f>
        <v>reply</v>
      </c>
      <c r="I1705" s="2" t="str">
        <f ca="1">IFERROR(__xludf.DUMMYFUNCTION("""COMPUTED_VALUE"""),"https://www.facebook.com/rapplerdotcom/photos/a.317154781638645/5595372260483511/")</f>
        <v>https://www.facebook.com/rapplerdotcom/photos/a.317154781638645/5595372260483511/</v>
      </c>
      <c r="J1705" s="1" t="str">
        <f ca="1">IFERROR(__xludf.DUMMYFUNCTION("""COMPUTED_VALUE"""),"2022-07-04T15:44:55.423Z")</f>
        <v>2022-07-04T15:44:55.423Z</v>
      </c>
    </row>
    <row r="1706" spans="1:10" x14ac:dyDescent="0.2">
      <c r="A1706" s="2" t="str">
        <f ca="1">IFERROR(__xludf.DUMMYFUNCTION("""COMPUTED_VALUE"""),"https://www.facebook.com/eduardo.m.lombo")</f>
        <v>https://www.facebook.com/eduardo.m.lombo</v>
      </c>
      <c r="B1706" s="1" t="str">
        <f ca="1">IFERROR(__xludf.DUMMYFUNCTION("""COMPUTED_VALUE"""),"Edd Lombo")</f>
        <v>Edd Lombo</v>
      </c>
      <c r="C1706" s="1" t="str">
        <f ca="1">IFERROR(__xludf.DUMMYFUNCTION("""COMPUTED_VALUE"""),"Edd")</f>
        <v>Edd</v>
      </c>
      <c r="D1706" s="1" t="str">
        <f ca="1">IFERROR(__xludf.DUMMYFUNCTION("""COMPUTED_VALUE"""),"Lombo")</f>
        <v>Lombo</v>
      </c>
      <c r="E1706" s="1" t="str">
        <f ca="1">IFERROR(__xludf.DUMMYFUNCTION("""COMPUTED_VALUE"""),"Raged Cua they should teach that to their children at home")</f>
        <v>Raged Cua they should teach that to their children at home</v>
      </c>
      <c r="F1706" s="1"/>
      <c r="G1706" s="1" t="str">
        <f ca="1">IFERROR(__xludf.DUMMYFUNCTION("""COMPUTED_VALUE"""),"3 mos")</f>
        <v>3 mos</v>
      </c>
      <c r="H1706" s="1" t="str">
        <f ca="1">IFERROR(__xludf.DUMMYFUNCTION("""COMPUTED_VALUE"""),"reply")</f>
        <v>reply</v>
      </c>
      <c r="I1706" s="2" t="str">
        <f ca="1">IFERROR(__xludf.DUMMYFUNCTION("""COMPUTED_VALUE"""),"https://www.facebook.com/rapplerdotcom/photos/a.317154781638645/5595372260483511/")</f>
        <v>https://www.facebook.com/rapplerdotcom/photos/a.317154781638645/5595372260483511/</v>
      </c>
      <c r="J1706" s="1" t="str">
        <f ca="1">IFERROR(__xludf.DUMMYFUNCTION("""COMPUTED_VALUE"""),"2022-07-04T15:44:55.423Z")</f>
        <v>2022-07-04T15:44:55.423Z</v>
      </c>
    </row>
    <row r="1707" spans="1:10" x14ac:dyDescent="0.2">
      <c r="A1707" s="2" t="str">
        <f ca="1">IFERROR(__xludf.DUMMYFUNCTION("""COMPUTED_VALUE"""),"https://www.facebook.com/profile.php?id=100011569547804")</f>
        <v>https://www.facebook.com/profile.php?id=100011569547804</v>
      </c>
      <c r="B1707" s="1" t="str">
        <f ca="1">IFERROR(__xludf.DUMMYFUNCTION("""COMPUTED_VALUE"""),"Raged Cua")</f>
        <v>Raged Cua</v>
      </c>
      <c r="C1707" s="1" t="str">
        <f ca="1">IFERROR(__xludf.DUMMYFUNCTION("""COMPUTED_VALUE"""),"Raged")</f>
        <v>Raged</v>
      </c>
      <c r="D1707" s="1" t="str">
        <f ca="1">IFERROR(__xludf.DUMMYFUNCTION("""COMPUTED_VALUE"""),"Cua")</f>
        <v>Cua</v>
      </c>
      <c r="E1707" s="1" t="str">
        <f ca="1">IFERROR(__xludf.DUMMYFUNCTION("""COMPUTED_VALUE"""),"Edd Lombo  Bilang kristyano kailangan natin ng kaalaman from the church to guide our children's para hindi maligaw ng landas. 😊")</f>
        <v>Edd Lombo  Bilang kristyano kailangan natin ng kaalaman from the church to guide our children's para hindi maligaw ng landas. 😊</v>
      </c>
      <c r="F1707" s="1">
        <f ca="1">IFERROR(__xludf.DUMMYFUNCTION("""COMPUTED_VALUE"""),1)</f>
        <v>1</v>
      </c>
      <c r="G1707" s="1" t="str">
        <f ca="1">IFERROR(__xludf.DUMMYFUNCTION("""COMPUTED_VALUE"""),"3 mos")</f>
        <v>3 mos</v>
      </c>
      <c r="H1707" s="1" t="str">
        <f ca="1">IFERROR(__xludf.DUMMYFUNCTION("""COMPUTED_VALUE"""),"reply")</f>
        <v>reply</v>
      </c>
      <c r="I1707" s="2" t="str">
        <f ca="1">IFERROR(__xludf.DUMMYFUNCTION("""COMPUTED_VALUE"""),"https://www.facebook.com/rapplerdotcom/photos/a.317154781638645/5595372260483511/")</f>
        <v>https://www.facebook.com/rapplerdotcom/photos/a.317154781638645/5595372260483511/</v>
      </c>
      <c r="J1707" s="1" t="str">
        <f ca="1">IFERROR(__xludf.DUMMYFUNCTION("""COMPUTED_VALUE"""),"2022-07-04T15:44:55.423Z")</f>
        <v>2022-07-04T15:44:55.423Z</v>
      </c>
    </row>
    <row r="1708" spans="1:10" x14ac:dyDescent="0.2">
      <c r="A1708" s="2" t="str">
        <f ca="1">IFERROR(__xludf.DUMMYFUNCTION("""COMPUTED_VALUE"""),"https://www.facebook.com/eduardo.m.lombo")</f>
        <v>https://www.facebook.com/eduardo.m.lombo</v>
      </c>
      <c r="B1708" s="1" t="str">
        <f ca="1">IFERROR(__xludf.DUMMYFUNCTION("""COMPUTED_VALUE"""),"Edd Lombo")</f>
        <v>Edd Lombo</v>
      </c>
      <c r="C1708" s="1" t="str">
        <f ca="1">IFERROR(__xludf.DUMMYFUNCTION("""COMPUTED_VALUE"""),"Edd")</f>
        <v>Edd</v>
      </c>
      <c r="D1708" s="1" t="str">
        <f ca="1">IFERROR(__xludf.DUMMYFUNCTION("""COMPUTED_VALUE"""),"Lombo")</f>
        <v>Lombo</v>
      </c>
      <c r="E1708" s="1" t="str">
        <f ca="1">IFERROR(__xludf.DUMMYFUNCTION("""COMPUTED_VALUE"""),"Raged Cua perfect ang sinasabi mo kapatid kaya nga dapat isabuhay ng mga magulang ang tinuturo ng simbahan, para maging guide sila ng kanilang mga anak at kabataan in general, and again ""magulang"" plays a major role ang simbahan ay paaralan lang ang pin"&amp;"aka importante after ng simbahan/paaralan, ano na magulang? ok b mga anak nyo jan?")</f>
        <v>Raged Cua perfect ang sinasabi mo kapatid kaya nga dapat isabuhay ng mga magulang ang tinuturo ng simbahan, para maging guide sila ng kanilang mga anak at kabataan in general, and again "magulang" plays a major role ang simbahan ay paaralan lang ang pinaka importante after ng simbahan/paaralan, ano na magulang? ok b mga anak nyo jan?</v>
      </c>
      <c r="F1708" s="1">
        <f ca="1">IFERROR(__xludf.DUMMYFUNCTION("""COMPUTED_VALUE"""),2)</f>
        <v>2</v>
      </c>
      <c r="G1708" s="1" t="str">
        <f ca="1">IFERROR(__xludf.DUMMYFUNCTION("""COMPUTED_VALUE"""),"3 mos")</f>
        <v>3 mos</v>
      </c>
      <c r="H1708" s="1" t="str">
        <f ca="1">IFERROR(__xludf.DUMMYFUNCTION("""COMPUTED_VALUE"""),"reply")</f>
        <v>reply</v>
      </c>
      <c r="I1708" s="2" t="str">
        <f ca="1">IFERROR(__xludf.DUMMYFUNCTION("""COMPUTED_VALUE"""),"https://www.facebook.com/rapplerdotcom/photos/a.317154781638645/5595372260483511/")</f>
        <v>https://www.facebook.com/rapplerdotcom/photos/a.317154781638645/5595372260483511/</v>
      </c>
      <c r="J1708" s="1" t="str">
        <f ca="1">IFERROR(__xludf.DUMMYFUNCTION("""COMPUTED_VALUE"""),"2022-07-04T15:44:55.423Z")</f>
        <v>2022-07-04T15:44:55.423Z</v>
      </c>
    </row>
    <row r="1709" spans="1:10" x14ac:dyDescent="0.2">
      <c r="A1709" s="2" t="str">
        <f ca="1">IFERROR(__xludf.DUMMYFUNCTION("""COMPUTED_VALUE"""),"https://www.facebook.com/deanny.magana")</f>
        <v>https://www.facebook.com/deanny.magana</v>
      </c>
      <c r="B1709" s="1" t="str">
        <f ca="1">IFERROR(__xludf.DUMMYFUNCTION("""COMPUTED_VALUE"""),"Deanny Magana")</f>
        <v>Deanny Magana</v>
      </c>
      <c r="C1709" s="1" t="str">
        <f ca="1">IFERROR(__xludf.DUMMYFUNCTION("""COMPUTED_VALUE"""),"Deanny")</f>
        <v>Deanny</v>
      </c>
      <c r="D1709" s="1" t="str">
        <f ca="1">IFERROR(__xludf.DUMMYFUNCTION("""COMPUTED_VALUE"""),"Magana")</f>
        <v>Magana</v>
      </c>
      <c r="E1709" s="1" t="str">
        <f ca="1">IFERROR(__xludf.DUMMYFUNCTION("""COMPUTED_VALUE"""),"Edd Lombo ahahahaha..base sa comment mo e totoy ka pa lang..no experience at all..")</f>
        <v>Edd Lombo ahahahaha..base sa comment mo e totoy ka pa lang..no experience at all..</v>
      </c>
      <c r="F1709" s="1"/>
      <c r="G1709" s="1" t="str">
        <f ca="1">IFERROR(__xludf.DUMMYFUNCTION("""COMPUTED_VALUE"""),"3 mos")</f>
        <v>3 mos</v>
      </c>
      <c r="H1709" s="1" t="str">
        <f ca="1">IFERROR(__xludf.DUMMYFUNCTION("""COMPUTED_VALUE"""),"reply")</f>
        <v>reply</v>
      </c>
      <c r="I1709" s="2" t="str">
        <f ca="1">IFERROR(__xludf.DUMMYFUNCTION("""COMPUTED_VALUE"""),"https://www.facebook.com/rapplerdotcom/photos/a.317154781638645/5595372260483511/")</f>
        <v>https://www.facebook.com/rapplerdotcom/photos/a.317154781638645/5595372260483511/</v>
      </c>
      <c r="J1709" s="1" t="str">
        <f ca="1">IFERROR(__xludf.DUMMYFUNCTION("""COMPUTED_VALUE"""),"2022-07-04T15:44:55.423Z")</f>
        <v>2022-07-04T15:44:55.423Z</v>
      </c>
    </row>
    <row r="1710" spans="1:10" x14ac:dyDescent="0.2">
      <c r="A1710" s="2" t="str">
        <f ca="1">IFERROR(__xludf.DUMMYFUNCTION("""COMPUTED_VALUE"""),"https://www.facebook.com/eduardo.m.lombo")</f>
        <v>https://www.facebook.com/eduardo.m.lombo</v>
      </c>
      <c r="B1710" s="1" t="str">
        <f ca="1">IFERROR(__xludf.DUMMYFUNCTION("""COMPUTED_VALUE"""),"Edd Lombo")</f>
        <v>Edd Lombo</v>
      </c>
      <c r="C1710" s="1" t="str">
        <f ca="1">IFERROR(__xludf.DUMMYFUNCTION("""COMPUTED_VALUE"""),"Edd")</f>
        <v>Edd</v>
      </c>
      <c r="D1710" s="1" t="str">
        <f ca="1">IFERROR(__xludf.DUMMYFUNCTION("""COMPUTED_VALUE"""),"Lombo")</f>
        <v>Lombo</v>
      </c>
      <c r="E1710" s="1" t="str">
        <f ca="1">IFERROR(__xludf.DUMMYFUNCTION("""COMPUTED_VALUE"""),"Deanny Magana according to you again 😀 when you will open up your mind, that in this world there are lots of opinions :) grow up totoy 😉")</f>
        <v>Deanny Magana according to you again 😀 when you will open up your mind, that in this world there are lots of opinions :) grow up totoy 😉</v>
      </c>
      <c r="F1710" s="1"/>
      <c r="G1710" s="1" t="str">
        <f ca="1">IFERROR(__xludf.DUMMYFUNCTION("""COMPUTED_VALUE"""),"3 mos")</f>
        <v>3 mos</v>
      </c>
      <c r="H1710" s="1" t="str">
        <f ca="1">IFERROR(__xludf.DUMMYFUNCTION("""COMPUTED_VALUE"""),"reply")</f>
        <v>reply</v>
      </c>
      <c r="I1710" s="2" t="str">
        <f ca="1">IFERROR(__xludf.DUMMYFUNCTION("""COMPUTED_VALUE"""),"https://www.facebook.com/rapplerdotcom/photos/a.317154781638645/5595372260483511/")</f>
        <v>https://www.facebook.com/rapplerdotcom/photos/a.317154781638645/5595372260483511/</v>
      </c>
      <c r="J1710" s="1" t="str">
        <f ca="1">IFERROR(__xludf.DUMMYFUNCTION("""COMPUTED_VALUE"""),"2022-07-04T15:44:55.423Z")</f>
        <v>2022-07-04T15:44:55.423Z</v>
      </c>
    </row>
    <row r="1711" spans="1:10" x14ac:dyDescent="0.2">
      <c r="A1711" s="2" t="str">
        <f ca="1">IFERROR(__xludf.DUMMYFUNCTION("""COMPUTED_VALUE"""),"https://www.facebook.com/eduardo.m.lombo")</f>
        <v>https://www.facebook.com/eduardo.m.lombo</v>
      </c>
      <c r="B1711" s="1" t="str">
        <f ca="1">IFERROR(__xludf.DUMMYFUNCTION("""COMPUTED_VALUE"""),"Edd Lombo")</f>
        <v>Edd Lombo</v>
      </c>
      <c r="C1711" s="1" t="str">
        <f ca="1">IFERROR(__xludf.DUMMYFUNCTION("""COMPUTED_VALUE"""),"Edd")</f>
        <v>Edd</v>
      </c>
      <c r="D1711" s="1" t="str">
        <f ca="1">IFERROR(__xludf.DUMMYFUNCTION("""COMPUTED_VALUE"""),"Lombo")</f>
        <v>Lombo</v>
      </c>
      <c r="E1711" s="1" t="str">
        <f ca="1">IFERROR(__xludf.DUMMYFUNCTION("""COMPUTED_VALUE"""),"Venice Quinto same like you, dont be hypocrite 😀")</f>
        <v>Venice Quinto same like you, dont be hypocrite 😀</v>
      </c>
      <c r="F1711" s="1"/>
      <c r="G1711" s="1" t="str">
        <f ca="1">IFERROR(__xludf.DUMMYFUNCTION("""COMPUTED_VALUE"""),"3 mos")</f>
        <v>3 mos</v>
      </c>
      <c r="H1711" s="1" t="str">
        <f ca="1">IFERROR(__xludf.DUMMYFUNCTION("""COMPUTED_VALUE"""),"reply")</f>
        <v>reply</v>
      </c>
      <c r="I1711" s="2" t="str">
        <f ca="1">IFERROR(__xludf.DUMMYFUNCTION("""COMPUTED_VALUE"""),"https://www.facebook.com/rapplerdotcom/photos/a.317154781638645/5595372260483511/")</f>
        <v>https://www.facebook.com/rapplerdotcom/photos/a.317154781638645/5595372260483511/</v>
      </c>
      <c r="J1711" s="1" t="str">
        <f ca="1">IFERROR(__xludf.DUMMYFUNCTION("""COMPUTED_VALUE"""),"2022-07-04T15:44:55.423Z")</f>
        <v>2022-07-04T15:44:55.423Z</v>
      </c>
    </row>
    <row r="1712" spans="1:10" x14ac:dyDescent="0.2">
      <c r="A1712" s="2" t="str">
        <f ca="1">IFERROR(__xludf.DUMMYFUNCTION("""COMPUTED_VALUE"""),"https://www.facebook.com/eduardo.m.lombo")</f>
        <v>https://www.facebook.com/eduardo.m.lombo</v>
      </c>
      <c r="B1712" s="1" t="str">
        <f ca="1">IFERROR(__xludf.DUMMYFUNCTION("""COMPUTED_VALUE"""),"Edd Lombo")</f>
        <v>Edd Lombo</v>
      </c>
      <c r="C1712" s="1" t="str">
        <f ca="1">IFERROR(__xludf.DUMMYFUNCTION("""COMPUTED_VALUE"""),"Edd")</f>
        <v>Edd</v>
      </c>
      <c r="D1712" s="1" t="str">
        <f ca="1">IFERROR(__xludf.DUMMYFUNCTION("""COMPUTED_VALUE"""),"Lombo")</f>
        <v>Lombo</v>
      </c>
      <c r="E1712" s="1" t="str">
        <f ca="1">IFERROR(__xludf.DUMMYFUNCTION("""COMPUTED_VALUE"""),"Venice Quinto as well as you, and to all of us, so what's the issue? 😀")</f>
        <v>Venice Quinto as well as you, and to all of us, so what's the issue? 😀</v>
      </c>
      <c r="F1712" s="1"/>
      <c r="G1712" s="1" t="str">
        <f ca="1">IFERROR(__xludf.DUMMYFUNCTION("""COMPUTED_VALUE"""),"3 mos")</f>
        <v>3 mos</v>
      </c>
      <c r="H1712" s="1" t="str">
        <f ca="1">IFERROR(__xludf.DUMMYFUNCTION("""COMPUTED_VALUE"""),"reply")</f>
        <v>reply</v>
      </c>
      <c r="I1712" s="2" t="str">
        <f ca="1">IFERROR(__xludf.DUMMYFUNCTION("""COMPUTED_VALUE"""),"https://www.facebook.com/rapplerdotcom/photos/a.317154781638645/5595372260483511/")</f>
        <v>https://www.facebook.com/rapplerdotcom/photos/a.317154781638645/5595372260483511/</v>
      </c>
      <c r="J1712" s="1" t="str">
        <f ca="1">IFERROR(__xludf.DUMMYFUNCTION("""COMPUTED_VALUE"""),"2022-07-04T15:44:55.423Z")</f>
        <v>2022-07-04T15:44:55.423Z</v>
      </c>
    </row>
    <row r="1713" spans="1:10" x14ac:dyDescent="0.2">
      <c r="A1713" s="2" t="str">
        <f ca="1">IFERROR(__xludf.DUMMYFUNCTION("""COMPUTED_VALUE"""),"https://www.facebook.com/eduardo.m.lombo")</f>
        <v>https://www.facebook.com/eduardo.m.lombo</v>
      </c>
      <c r="B1713" s="1" t="str">
        <f ca="1">IFERROR(__xludf.DUMMYFUNCTION("""COMPUTED_VALUE"""),"Edd Lombo")</f>
        <v>Edd Lombo</v>
      </c>
      <c r="C1713" s="1" t="str">
        <f ca="1">IFERROR(__xludf.DUMMYFUNCTION("""COMPUTED_VALUE"""),"Edd")</f>
        <v>Edd</v>
      </c>
      <c r="D1713" s="1" t="str">
        <f ca="1">IFERROR(__xludf.DUMMYFUNCTION("""COMPUTED_VALUE"""),"Lombo")</f>
        <v>Lombo</v>
      </c>
      <c r="E1713" s="1" t="str">
        <f ca="1">IFERROR(__xludf.DUMMYFUNCTION("""COMPUTED_VALUE"""),"Art Ryan Lanete Seachon linawin mo ano issue sa Bible  verse ko, may problema don?")</f>
        <v>Art Ryan Lanete Seachon linawin mo ano issue sa Bible  verse ko, may problema don?</v>
      </c>
      <c r="F1713" s="1"/>
      <c r="G1713" s="1" t="str">
        <f ca="1">IFERROR(__xludf.DUMMYFUNCTION("""COMPUTED_VALUE"""),"3 mos")</f>
        <v>3 mos</v>
      </c>
      <c r="H1713" s="1" t="str">
        <f ca="1">IFERROR(__xludf.DUMMYFUNCTION("""COMPUTED_VALUE"""),"reply")</f>
        <v>reply</v>
      </c>
      <c r="I1713" s="2" t="str">
        <f ca="1">IFERROR(__xludf.DUMMYFUNCTION("""COMPUTED_VALUE"""),"https://www.facebook.com/rapplerdotcom/photos/a.317154781638645/5595372260483511/")</f>
        <v>https://www.facebook.com/rapplerdotcom/photos/a.317154781638645/5595372260483511/</v>
      </c>
      <c r="J1713" s="1" t="str">
        <f ca="1">IFERROR(__xludf.DUMMYFUNCTION("""COMPUTED_VALUE"""),"2022-07-04T15:44:55.423Z")</f>
        <v>2022-07-04T15:44:55.423Z</v>
      </c>
    </row>
    <row r="1714" spans="1:10" x14ac:dyDescent="0.2">
      <c r="A1714" s="2" t="str">
        <f ca="1">IFERROR(__xludf.DUMMYFUNCTION("""COMPUTED_VALUE"""),"https://www.facebook.com/eduardo.m.lombo")</f>
        <v>https://www.facebook.com/eduardo.m.lombo</v>
      </c>
      <c r="B1714" s="1" t="str">
        <f ca="1">IFERROR(__xludf.DUMMYFUNCTION("""COMPUTED_VALUE"""),"Edd Lombo")</f>
        <v>Edd Lombo</v>
      </c>
      <c r="C1714" s="1" t="str">
        <f ca="1">IFERROR(__xludf.DUMMYFUNCTION("""COMPUTED_VALUE"""),"Edd")</f>
        <v>Edd</v>
      </c>
      <c r="D1714" s="1" t="str">
        <f ca="1">IFERROR(__xludf.DUMMYFUNCTION("""COMPUTED_VALUE"""),"Lombo")</f>
        <v>Lombo</v>
      </c>
      <c r="E1714" s="1" t="str">
        <f ca="1">IFERROR(__xludf.DUMMYFUNCTION("""COMPUTED_VALUE"""),"Venice Quinto linis linisan, banal banalan na naman, kelan kayo magiging totoo 😀")</f>
        <v>Venice Quinto linis linisan, banal banalan na naman, kelan kayo magiging totoo 😀</v>
      </c>
      <c r="F1714" s="1"/>
      <c r="G1714" s="1" t="str">
        <f ca="1">IFERROR(__xludf.DUMMYFUNCTION("""COMPUTED_VALUE"""),"3 mos")</f>
        <v>3 mos</v>
      </c>
      <c r="H1714" s="1" t="str">
        <f ca="1">IFERROR(__xludf.DUMMYFUNCTION("""COMPUTED_VALUE"""),"reply")</f>
        <v>reply</v>
      </c>
      <c r="I1714" s="2" t="str">
        <f ca="1">IFERROR(__xludf.DUMMYFUNCTION("""COMPUTED_VALUE"""),"https://www.facebook.com/rapplerdotcom/photos/a.317154781638645/5595372260483511/")</f>
        <v>https://www.facebook.com/rapplerdotcom/photos/a.317154781638645/5595372260483511/</v>
      </c>
      <c r="J1714" s="1" t="str">
        <f ca="1">IFERROR(__xludf.DUMMYFUNCTION("""COMPUTED_VALUE"""),"2022-07-04T15:44:55.423Z")</f>
        <v>2022-07-04T15:44:55.423Z</v>
      </c>
    </row>
    <row r="1715" spans="1:10" x14ac:dyDescent="0.2">
      <c r="A1715" s="2" t="str">
        <f ca="1">IFERROR(__xludf.DUMMYFUNCTION("""COMPUTED_VALUE"""),"https://www.facebook.com/blackwidow0910")</f>
        <v>https://www.facebook.com/blackwidow0910</v>
      </c>
      <c r="B1715" s="1" t="str">
        <f ca="1">IFERROR(__xludf.DUMMYFUNCTION("""COMPUTED_VALUE"""),"Pepper Mint")</f>
        <v>Pepper Mint</v>
      </c>
      <c r="C1715" s="1" t="str">
        <f ca="1">IFERROR(__xludf.DUMMYFUNCTION("""COMPUTED_VALUE"""),"Pepper")</f>
        <v>Pepper</v>
      </c>
      <c r="D1715" s="1" t="str">
        <f ca="1">IFERROR(__xludf.DUMMYFUNCTION("""COMPUTED_VALUE"""),"Mint")</f>
        <v>Mint</v>
      </c>
      <c r="E1715" s="1" t="str">
        <f ca="1">IFERROR(__xludf.DUMMYFUNCTION("""COMPUTED_VALUE"""),"Kaya we have to be UNITED...don't cause division....the Philippines was never united..crab mentality is our downfall..the leader should influence its members  to work together, and together work towards the fulfillment of its goals for the benefit of the "&amp;"country and its people, as a president how would you lead a divided community, a divided country?The leader is the influence, the driving force the motivates its people...but motivates to what? To hate each other? To persecute? To dishonor and to defame? "&amp;"To malign?  Schools, teaches eadership skills...how to be effective leaders..blah blah blah..but, I guess it will just stay in the 4 corners and walls of the classrooms...If the leader cause divisions and factions, the country will fall apart and instead "&amp;"of working for the same goals,the people will work only for their own  self-interests. What is it that we look for a leader? What are the qualities of an effective president? Who is the best person to lead the Philippines? Who?")</f>
        <v>Kaya we have to be UNITED...don't cause division....the Philippines was never united..crab mentality is our downfall..the leader should influence its members  to work together, and together work towards the fulfillment of its goals for the benefit of the country and its people, as a president how would you lead a divided community, a divided country?The leader is the influence, the driving force the motivates its people...but motivates to what? To hate each other? To persecute? To dishonor and to defame? To malign?  Schools, teaches eadership skills...how to be effective leaders..blah blah blah..but, I guess it will just stay in the 4 corners and walls of the classrooms...If the leader cause divisions and factions, the country will fall apart and instead of working for the same goals,the people will work only for their own  self-interests. What is it that we look for a leader? What are the qualities of an effective president? Who is the best person to lead the Philippines? Who?</v>
      </c>
      <c r="F1715" s="1"/>
      <c r="G1715" s="1" t="str">
        <f ca="1">IFERROR(__xludf.DUMMYFUNCTION("""COMPUTED_VALUE"""),"3 mos")</f>
        <v>3 mos</v>
      </c>
      <c r="H1715" s="1" t="str">
        <f ca="1">IFERROR(__xludf.DUMMYFUNCTION("""COMPUTED_VALUE"""),"comment")</f>
        <v>comment</v>
      </c>
      <c r="I1715" s="2" t="str">
        <f ca="1">IFERROR(__xludf.DUMMYFUNCTION("""COMPUTED_VALUE"""),"https://www.facebook.com/rapplerdotcom/photos/a.317154781638645/5595372260483511/")</f>
        <v>https://www.facebook.com/rapplerdotcom/photos/a.317154781638645/5595372260483511/</v>
      </c>
      <c r="J1715" s="1" t="str">
        <f ca="1">IFERROR(__xludf.DUMMYFUNCTION("""COMPUTED_VALUE"""),"2022-07-04T15:44:55.423Z")</f>
        <v>2022-07-04T15:44:55.423Z</v>
      </c>
    </row>
    <row r="1716" spans="1:10" x14ac:dyDescent="0.2">
      <c r="A1716" s="2" t="str">
        <f ca="1">IFERROR(__xludf.DUMMYFUNCTION("""COMPUTED_VALUE"""),"https://www.facebook.com/jaye.jackson.5")</f>
        <v>https://www.facebook.com/jaye.jackson.5</v>
      </c>
      <c r="B1716" s="1" t="str">
        <f ca="1">IFERROR(__xludf.DUMMYFUNCTION("""COMPUTED_VALUE"""),"Julie Agorrilla")</f>
        <v>Julie Agorrilla</v>
      </c>
      <c r="C1716" s="1" t="str">
        <f ca="1">IFERROR(__xludf.DUMMYFUNCTION("""COMPUTED_VALUE"""),"Julie")</f>
        <v>Julie</v>
      </c>
      <c r="D1716" s="1" t="str">
        <f ca="1">IFERROR(__xludf.DUMMYFUNCTION("""COMPUTED_VALUE"""),"Agorrilla")</f>
        <v>Agorrilla</v>
      </c>
      <c r="E1716" s="1" t="str">
        <f ca="1">IFERROR(__xludf.DUMMYFUNCTION("""COMPUTED_VALUE"""),"You have a point. But i think the family has a major role on this.")</f>
        <v>You have a point. But i think the family has a major role on this.</v>
      </c>
      <c r="F1716" s="1"/>
      <c r="G1716" s="1" t="str">
        <f ca="1">IFERROR(__xludf.DUMMYFUNCTION("""COMPUTED_VALUE"""),"3 mos")</f>
        <v>3 mos</v>
      </c>
      <c r="H1716" s="1" t="str">
        <f ca="1">IFERROR(__xludf.DUMMYFUNCTION("""COMPUTED_VALUE"""),"comment")</f>
        <v>comment</v>
      </c>
      <c r="I1716" s="2" t="str">
        <f ca="1">IFERROR(__xludf.DUMMYFUNCTION("""COMPUTED_VALUE"""),"https://www.facebook.com/rapplerdotcom/photos/a.317154781638645/5595372260483511/")</f>
        <v>https://www.facebook.com/rapplerdotcom/photos/a.317154781638645/5595372260483511/</v>
      </c>
      <c r="J1716" s="1" t="str">
        <f ca="1">IFERROR(__xludf.DUMMYFUNCTION("""COMPUTED_VALUE"""),"2022-07-04T15:44:55.423Z")</f>
        <v>2022-07-04T15:44:55.423Z</v>
      </c>
    </row>
    <row r="1717" spans="1:10" x14ac:dyDescent="0.2">
      <c r="A1717" s="2" t="str">
        <f ca="1">IFERROR(__xludf.DUMMYFUNCTION("""COMPUTED_VALUE"""),"https://www.facebook.com/olracyer.nadneba.3")</f>
        <v>https://www.facebook.com/olracyer.nadneba.3</v>
      </c>
      <c r="B1717" s="1" t="str">
        <f ca="1">IFERROR(__xludf.DUMMYFUNCTION("""COMPUTED_VALUE"""),"Olrac Yer Nadneba")</f>
        <v>Olrac Yer Nadneba</v>
      </c>
      <c r="C1717" s="1" t="str">
        <f ca="1">IFERROR(__xludf.DUMMYFUNCTION("""COMPUTED_VALUE"""),"Olrac")</f>
        <v>Olrac</v>
      </c>
      <c r="D1717" s="1" t="str">
        <f ca="1">IFERROR(__xludf.DUMMYFUNCTION("""COMPUTED_VALUE"""),"Yer Nadneba")</f>
        <v>Yer Nadneba</v>
      </c>
      <c r="E1717" s="1" t="str">
        <f ca="1">IFERROR(__xludf.DUMMYFUNCTION("""COMPUTED_VALUE"""),"Wag niyong gawing biro yan dahil pagdating naman ng 2015, hindi lang natin mapapabilis ang biyahe mula Baclaran hanggang Bacoor kundi madadagdagan din tayo ng tinatayong 250,000 na pasahero ang maisasakay kada araw dahil sa LRT Line 1 extension. At pag hi"&amp;"ndi ho nangyari ito, nandiyan po si Secretary Abaya na mangangasiwa ng proyektong to, dalawa na kaming magpapasagasa siguro sa tren.")</f>
        <v>Wag niyong gawing biro yan dahil pagdating naman ng 2015, hindi lang natin mapapabilis ang biyahe mula Baclaran hanggang Bacoor kundi madadagdagan din tayo ng tinatayong 250,000 na pasahero ang maisasakay kada araw dahil sa LRT Line 1 extension. At pag hindi ho nangyari ito, nandiyan po si Secretary Abaya na mangangasiwa ng proyektong to, dalawa na kaming magpapasagasa siguro sa tren.</v>
      </c>
      <c r="F1717" s="1"/>
      <c r="G1717" s="1" t="str">
        <f ca="1">IFERROR(__xludf.DUMMYFUNCTION("""COMPUTED_VALUE"""),"3 mos")</f>
        <v>3 mos</v>
      </c>
      <c r="H1717" s="1" t="str">
        <f ca="1">IFERROR(__xludf.DUMMYFUNCTION("""COMPUTED_VALUE"""),"comment")</f>
        <v>comment</v>
      </c>
      <c r="I1717" s="2" t="str">
        <f ca="1">IFERROR(__xludf.DUMMYFUNCTION("""COMPUTED_VALUE"""),"https://www.facebook.com/rapplerdotcom/photos/a.317154781638645/5595372260483511/")</f>
        <v>https://www.facebook.com/rapplerdotcom/photos/a.317154781638645/5595372260483511/</v>
      </c>
      <c r="J1717" s="1" t="str">
        <f ca="1">IFERROR(__xludf.DUMMYFUNCTION("""COMPUTED_VALUE"""),"2022-07-04T15:44:55.423Z")</f>
        <v>2022-07-04T15:44:55.423Z</v>
      </c>
    </row>
    <row r="1718" spans="1:10" x14ac:dyDescent="0.2">
      <c r="A1718" s="2" t="str">
        <f ca="1">IFERROR(__xludf.DUMMYFUNCTION("""COMPUTED_VALUE"""),"https://www.facebook.com/profile.php?id=100049380352017")</f>
        <v>https://www.facebook.com/profile.php?id=100049380352017</v>
      </c>
      <c r="B1718" s="1" t="str">
        <f ca="1">IFERROR(__xludf.DUMMYFUNCTION("""COMPUTED_VALUE"""),"Jose Parada Sarmiento")</f>
        <v>Jose Parada Sarmiento</v>
      </c>
      <c r="C1718" s="1" t="str">
        <f ca="1">IFERROR(__xludf.DUMMYFUNCTION("""COMPUTED_VALUE"""),"Jose")</f>
        <v>Jose</v>
      </c>
      <c r="D1718" s="1" t="str">
        <f ca="1">IFERROR(__xludf.DUMMYFUNCTION("""COMPUTED_VALUE"""),"Parada Sarmiento")</f>
        <v>Parada Sarmiento</v>
      </c>
      <c r="E1718" s="1" t="str">
        <f ca="1">IFERROR(__xludf.DUMMYFUNCTION("""COMPUTED_VALUE"""),"Catholic is consisting in shaping our country. Guardian against human rights abuses and corruption.")</f>
        <v>Catholic is consisting in shaping our country. Guardian against human rights abuses and corruption.</v>
      </c>
      <c r="F1718" s="1">
        <f ca="1">IFERROR(__xludf.DUMMYFUNCTION("""COMPUTED_VALUE"""),1)</f>
        <v>1</v>
      </c>
      <c r="G1718" s="1" t="str">
        <f ca="1">IFERROR(__xludf.DUMMYFUNCTION("""COMPUTED_VALUE"""),"3 mos")</f>
        <v>3 mos</v>
      </c>
      <c r="H1718" s="1" t="str">
        <f ca="1">IFERROR(__xludf.DUMMYFUNCTION("""COMPUTED_VALUE"""),"comment")</f>
        <v>comment</v>
      </c>
      <c r="I1718" s="2" t="str">
        <f ca="1">IFERROR(__xludf.DUMMYFUNCTION("""COMPUTED_VALUE"""),"https://www.facebook.com/rapplerdotcom/photos/a.317154781638645/5595372260483511/")</f>
        <v>https://www.facebook.com/rapplerdotcom/photos/a.317154781638645/5595372260483511/</v>
      </c>
      <c r="J1718" s="1" t="str">
        <f ca="1">IFERROR(__xludf.DUMMYFUNCTION("""COMPUTED_VALUE"""),"2022-07-04T15:44:55.424Z")</f>
        <v>2022-07-04T15:44:55.424Z</v>
      </c>
    </row>
    <row r="1719" spans="1:10" x14ac:dyDescent="0.2">
      <c r="A1719" s="2" t="str">
        <f ca="1">IFERROR(__xludf.DUMMYFUNCTION("""COMPUTED_VALUE"""),"https://www.facebook.com/jonathan.biwit")</f>
        <v>https://www.facebook.com/jonathan.biwit</v>
      </c>
      <c r="B1719" s="1" t="str">
        <f ca="1">IFERROR(__xludf.DUMMYFUNCTION("""COMPUTED_VALUE"""),"Jonathan D. Biwit")</f>
        <v>Jonathan D. Biwit</v>
      </c>
      <c r="C1719" s="1" t="str">
        <f ca="1">IFERROR(__xludf.DUMMYFUNCTION("""COMPUTED_VALUE"""),"Jonathan")</f>
        <v>Jonathan</v>
      </c>
      <c r="D1719" s="1" t="str">
        <f ca="1">IFERROR(__xludf.DUMMYFUNCTION("""COMPUTED_VALUE"""),"D. Biwit")</f>
        <v>D. Biwit</v>
      </c>
      <c r="E1719" s="1" t="str">
        <f ca="1">IFERROR(__xludf.DUMMYFUNCTION("""COMPUTED_VALUE"""),"Parang napakadali na ngayon sa kabataan ang makipagtalik. Kung di makuha sa santong dasalan, turuang gumamit ng condom.")</f>
        <v>Parang napakadali na ngayon sa kabataan ang makipagtalik. Kung di makuha sa santong dasalan, turuang gumamit ng condom.</v>
      </c>
      <c r="F1719" s="1"/>
      <c r="G1719" s="1" t="str">
        <f ca="1">IFERROR(__xludf.DUMMYFUNCTION("""COMPUTED_VALUE"""),"3 mos")</f>
        <v>3 mos</v>
      </c>
      <c r="H1719" s="1" t="str">
        <f ca="1">IFERROR(__xludf.DUMMYFUNCTION("""COMPUTED_VALUE"""),"comment")</f>
        <v>comment</v>
      </c>
      <c r="I1719" s="2" t="str">
        <f ca="1">IFERROR(__xludf.DUMMYFUNCTION("""COMPUTED_VALUE"""),"https://www.facebook.com/rapplerdotcom/photos/a.317154781638645/5595372260483511/")</f>
        <v>https://www.facebook.com/rapplerdotcom/photos/a.317154781638645/5595372260483511/</v>
      </c>
      <c r="J1719" s="1" t="str">
        <f ca="1">IFERROR(__xludf.DUMMYFUNCTION("""COMPUTED_VALUE"""),"2022-07-04T15:44:55.424Z")</f>
        <v>2022-07-04T15:44:55.424Z</v>
      </c>
    </row>
    <row r="1720" spans="1:10" x14ac:dyDescent="0.2">
      <c r="A1720" s="2" t="str">
        <f ca="1">IFERROR(__xludf.DUMMYFUNCTION("""COMPUTED_VALUE"""),"https://www.facebook.com/rodelmadrid")</f>
        <v>https://www.facebook.com/rodelmadrid</v>
      </c>
      <c r="B1720" s="1" t="str">
        <f ca="1">IFERROR(__xludf.DUMMYFUNCTION("""COMPUTED_VALUE"""),"Rodel Madrid")</f>
        <v>Rodel Madrid</v>
      </c>
      <c r="C1720" s="1" t="str">
        <f ca="1">IFERROR(__xludf.DUMMYFUNCTION("""COMPUTED_VALUE"""),"Rodel")</f>
        <v>Rodel</v>
      </c>
      <c r="D1720" s="1" t="str">
        <f ca="1">IFERROR(__xludf.DUMMYFUNCTION("""COMPUTED_VALUE"""),"Madrid")</f>
        <v>Madrid</v>
      </c>
      <c r="E1720" s="1" t="str">
        <f ca="1">IFERROR(__xludf.DUMMYFUNCTION("""COMPUTED_VALUE"""),"Para. Sa. #GobyernongTapatAngatBuhayLahat #LeniKikoTeam2022 😊😊😊")</f>
        <v>Para. Sa. #GobyernongTapatAngatBuhayLahat #LeniKikoTeam2022 😊😊😊</v>
      </c>
      <c r="F1720" s="1"/>
      <c r="G1720" s="1" t="str">
        <f ca="1">IFERROR(__xludf.DUMMYFUNCTION("""COMPUTED_VALUE"""),"3 mos")</f>
        <v>3 mos</v>
      </c>
      <c r="H1720" s="1" t="str">
        <f ca="1">IFERROR(__xludf.DUMMYFUNCTION("""COMPUTED_VALUE"""),"comment")</f>
        <v>comment</v>
      </c>
      <c r="I1720" s="2" t="str">
        <f ca="1">IFERROR(__xludf.DUMMYFUNCTION("""COMPUTED_VALUE"""),"https://www.facebook.com/rapplerdotcom/photos/a.317154781638645/5595372260483511/")</f>
        <v>https://www.facebook.com/rapplerdotcom/photos/a.317154781638645/5595372260483511/</v>
      </c>
      <c r="J1720" s="1" t="str">
        <f ca="1">IFERROR(__xludf.DUMMYFUNCTION("""COMPUTED_VALUE"""),"2022-07-04T15:44:55.424Z")</f>
        <v>2022-07-04T15:44:55.424Z</v>
      </c>
    </row>
    <row r="1721" spans="1:10" x14ac:dyDescent="0.2">
      <c r="A1721" s="2" t="str">
        <f ca="1">IFERROR(__xludf.DUMMYFUNCTION("""COMPUTED_VALUE"""),"https://www.facebook.com/herdie.092020")</f>
        <v>https://www.facebook.com/herdie.092020</v>
      </c>
      <c r="B1721" s="1" t="str">
        <f ca="1">IFERROR(__xludf.DUMMYFUNCTION("""COMPUTED_VALUE"""),"Eddie Laforteza")</f>
        <v>Eddie Laforteza</v>
      </c>
      <c r="C1721" s="1" t="str">
        <f ca="1">IFERROR(__xludf.DUMMYFUNCTION("""COMPUTED_VALUE"""),"Eddie")</f>
        <v>Eddie</v>
      </c>
      <c r="D1721" s="1" t="str">
        <f ca="1">IFERROR(__xludf.DUMMYFUNCTION("""COMPUTED_VALUE"""),"Laforteza")</f>
        <v>Laforteza</v>
      </c>
      <c r="E1721" s="1" t="str">
        <f ca="1">IFERROR(__xludf.DUMMYFUNCTION("""COMPUTED_VALUE"""),"Correct kasi kung wala kang takot at pananalig sa Diyos, lahat ng taliwas sa kagustuhan at utos niya ang gagawin mo.")</f>
        <v>Correct kasi kung wala kang takot at pananalig sa Diyos, lahat ng taliwas sa kagustuhan at utos niya ang gagawin mo.</v>
      </c>
      <c r="F1721" s="1">
        <f ca="1">IFERROR(__xludf.DUMMYFUNCTION("""COMPUTED_VALUE"""),3)</f>
        <v>3</v>
      </c>
      <c r="G1721" s="1" t="str">
        <f ca="1">IFERROR(__xludf.DUMMYFUNCTION("""COMPUTED_VALUE"""),"3 mos")</f>
        <v>3 mos</v>
      </c>
      <c r="H1721" s="1" t="str">
        <f ca="1">IFERROR(__xludf.DUMMYFUNCTION("""COMPUTED_VALUE"""),"comment")</f>
        <v>comment</v>
      </c>
      <c r="I1721" s="2" t="str">
        <f ca="1">IFERROR(__xludf.DUMMYFUNCTION("""COMPUTED_VALUE"""),"https://www.facebook.com/rapplerdotcom/photos/a.317154781638645/5595372260483511/")</f>
        <v>https://www.facebook.com/rapplerdotcom/photos/a.317154781638645/5595372260483511/</v>
      </c>
      <c r="J1721" s="1" t="str">
        <f ca="1">IFERROR(__xludf.DUMMYFUNCTION("""COMPUTED_VALUE"""),"2022-07-04T15:44:55.424Z")</f>
        <v>2022-07-04T15:44:55.424Z</v>
      </c>
    </row>
    <row r="1722" spans="1:10" x14ac:dyDescent="0.2">
      <c r="A1722" s="2" t="str">
        <f ca="1">IFERROR(__xludf.DUMMYFUNCTION("""COMPUTED_VALUE"""),"https://www.facebook.com/melo.napiza.7")</f>
        <v>https://www.facebook.com/melo.napiza.7</v>
      </c>
      <c r="B1722" s="1" t="str">
        <f ca="1">IFERROR(__xludf.DUMMYFUNCTION("""COMPUTED_VALUE"""),"Melo Napiza")</f>
        <v>Melo Napiza</v>
      </c>
      <c r="C1722" s="1" t="str">
        <f ca="1">IFERROR(__xludf.DUMMYFUNCTION("""COMPUTED_VALUE"""),"Melo")</f>
        <v>Melo</v>
      </c>
      <c r="D1722" s="1" t="str">
        <f ca="1">IFERROR(__xludf.DUMMYFUNCTION("""COMPUTED_VALUE"""),"Napiza")</f>
        <v>Napiza</v>
      </c>
      <c r="E1722" s="1" t="str">
        <f ca="1">IFERROR(__xludf.DUMMYFUNCTION("""COMPUTED_VALUE"""),", d best talaga mgkaron ng maayos n edukasyon, kya lng napansin nyo ba, yun mga private schools run by the churh (khit anong sekta) ei sobrang MAHAL ng tuition fee..., sana makiisa rin sila s gobyerno at s mga mamamayan, i mean konting preno sana s sobran"&amp;"g mahal ng t.fee..., pr mas maraming maka afford at magkaron ng good and quality education.")</f>
        <v>, d best talaga mgkaron ng maayos n edukasyon, kya lng napansin nyo ba, yun mga private schools run by the churh (khit anong sekta) ei sobrang MAHAL ng tuition fee..., sana makiisa rin sila s gobyerno at s mga mamamayan, i mean konting preno sana s sobrang mahal ng t.fee..., pr mas maraming maka afford at magkaron ng good and quality education.</v>
      </c>
      <c r="F1722" s="1"/>
      <c r="G1722" s="1" t="str">
        <f ca="1">IFERROR(__xludf.DUMMYFUNCTION("""COMPUTED_VALUE"""),"3 mos")</f>
        <v>3 mos</v>
      </c>
      <c r="H1722" s="1" t="str">
        <f ca="1">IFERROR(__xludf.DUMMYFUNCTION("""COMPUTED_VALUE"""),"comment")</f>
        <v>comment</v>
      </c>
      <c r="I1722" s="2" t="str">
        <f ca="1">IFERROR(__xludf.DUMMYFUNCTION("""COMPUTED_VALUE"""),"https://www.facebook.com/rapplerdotcom/photos/a.317154781638645/5595372260483511/")</f>
        <v>https://www.facebook.com/rapplerdotcom/photos/a.317154781638645/5595372260483511/</v>
      </c>
      <c r="J1722" s="1" t="str">
        <f ca="1">IFERROR(__xludf.DUMMYFUNCTION("""COMPUTED_VALUE"""),"2022-07-04T15:44:55.424Z")</f>
        <v>2022-07-04T15:44:55.424Z</v>
      </c>
    </row>
    <row r="1723" spans="1:10" x14ac:dyDescent="0.2">
      <c r="A1723" s="2" t="str">
        <f ca="1">IFERROR(__xludf.DUMMYFUNCTION("""COMPUTED_VALUE"""),"https://www.facebook.com/lily.maglalang")</f>
        <v>https://www.facebook.com/lily.maglalang</v>
      </c>
      <c r="B1723" s="1" t="str">
        <f ca="1">IFERROR(__xludf.DUMMYFUNCTION("""COMPUTED_VALUE"""),"Lily Maglalang")</f>
        <v>Lily Maglalang</v>
      </c>
      <c r="C1723" s="1" t="str">
        <f ca="1">IFERROR(__xludf.DUMMYFUNCTION("""COMPUTED_VALUE"""),"Lily")</f>
        <v>Lily</v>
      </c>
      <c r="D1723" s="1" t="str">
        <f ca="1">IFERROR(__xludf.DUMMYFUNCTION("""COMPUTED_VALUE"""),"Maglalang")</f>
        <v>Maglalang</v>
      </c>
      <c r="E1723" s="1" t="str">
        <f ca="1">IFERROR(__xludf.DUMMYFUNCTION("""COMPUTED_VALUE"""),"Sana po ung mga nag ko comment ay nakikinig mabuti sa mga sinasabi ng bawat kandidato, para maintindihang mabuti ng hindi nalilihis ang mga komento, sana po maunawaan ninyo  ang bawat paliwanag  ng bawat isa")</f>
        <v>Sana po ung mga nag ko comment ay nakikinig mabuti sa mga sinasabi ng bawat kandidato, para maintindihang mabuti ng hindi nalilihis ang mga komento, sana po maunawaan ninyo  ang bawat paliwanag  ng bawat isa</v>
      </c>
      <c r="F1723" s="1">
        <f ca="1">IFERROR(__xludf.DUMMYFUNCTION("""COMPUTED_VALUE"""),9)</f>
        <v>9</v>
      </c>
      <c r="G1723" s="1" t="str">
        <f ca="1">IFERROR(__xludf.DUMMYFUNCTION("""COMPUTED_VALUE"""),"3 mos")</f>
        <v>3 mos</v>
      </c>
      <c r="H1723" s="1" t="str">
        <f ca="1">IFERROR(__xludf.DUMMYFUNCTION("""COMPUTED_VALUE"""),"comment")</f>
        <v>comment</v>
      </c>
      <c r="I1723" s="2" t="str">
        <f ca="1">IFERROR(__xludf.DUMMYFUNCTION("""COMPUTED_VALUE"""),"https://www.facebook.com/rapplerdotcom/photos/a.317154781638645/5595372260483511/")</f>
        <v>https://www.facebook.com/rapplerdotcom/photos/a.317154781638645/5595372260483511/</v>
      </c>
      <c r="J1723" s="1" t="str">
        <f ca="1">IFERROR(__xludf.DUMMYFUNCTION("""COMPUTED_VALUE"""),"2022-07-04T15:44:55.424Z")</f>
        <v>2022-07-04T15:44:55.424Z</v>
      </c>
    </row>
    <row r="1724" spans="1:10" x14ac:dyDescent="0.2">
      <c r="A1724" s="2" t="str">
        <f ca="1">IFERROR(__xludf.DUMMYFUNCTION("""COMPUTED_VALUE"""),"https://www.facebook.com/samuel.cajipe.9")</f>
        <v>https://www.facebook.com/samuel.cajipe.9</v>
      </c>
      <c r="B1724" s="1" t="str">
        <f ca="1">IFERROR(__xludf.DUMMYFUNCTION("""COMPUTED_VALUE"""),"Sam Cajipe")</f>
        <v>Sam Cajipe</v>
      </c>
      <c r="C1724" s="1" t="str">
        <f ca="1">IFERROR(__xludf.DUMMYFUNCTION("""COMPUTED_VALUE"""),"Sam")</f>
        <v>Sam</v>
      </c>
      <c r="D1724" s="1" t="str">
        <f ca="1">IFERROR(__xludf.DUMMYFUNCTION("""COMPUTED_VALUE"""),"Cajipe")</f>
        <v>Cajipe</v>
      </c>
      <c r="E1724" s="1" t="str">
        <f ca="1">IFERROR(__xludf.DUMMYFUNCTION("""COMPUTED_VALUE"""),"God belief is regarded by the common people as true,  by the wise as false,  and by the rulers as useful.")</f>
        <v>God belief is regarded by the common people as true,  by the wise as false,  and by the rulers as useful.</v>
      </c>
      <c r="F1724" s="1"/>
      <c r="G1724" s="1" t="str">
        <f ca="1">IFERROR(__xludf.DUMMYFUNCTION("""COMPUTED_VALUE"""),"3 mos")</f>
        <v>3 mos</v>
      </c>
      <c r="H1724" s="1" t="str">
        <f ca="1">IFERROR(__xludf.DUMMYFUNCTION("""COMPUTED_VALUE"""),"comment")</f>
        <v>comment</v>
      </c>
      <c r="I1724" s="2" t="str">
        <f ca="1">IFERROR(__xludf.DUMMYFUNCTION("""COMPUTED_VALUE"""),"https://www.facebook.com/rapplerdotcom/photos/a.317154781638645/5595372260483511/")</f>
        <v>https://www.facebook.com/rapplerdotcom/photos/a.317154781638645/5595372260483511/</v>
      </c>
      <c r="J1724" s="1" t="str">
        <f ca="1">IFERROR(__xludf.DUMMYFUNCTION("""COMPUTED_VALUE"""),"2022-07-04T15:44:55.424Z")</f>
        <v>2022-07-04T15:44:55.424Z</v>
      </c>
    </row>
    <row r="1725" spans="1:10" x14ac:dyDescent="0.2">
      <c r="A1725" s="2" t="str">
        <f ca="1">IFERROR(__xludf.DUMMYFUNCTION("""COMPUTED_VALUE"""),"https://www.facebook.com/bautista.jimmy.98")</f>
        <v>https://www.facebook.com/bautista.jimmy.98</v>
      </c>
      <c r="B1725" s="1" t="str">
        <f ca="1">IFERROR(__xludf.DUMMYFUNCTION("""COMPUTED_VALUE"""),"Bautista Jimmy")</f>
        <v>Bautista Jimmy</v>
      </c>
      <c r="C1725" s="1" t="str">
        <f ca="1">IFERROR(__xludf.DUMMYFUNCTION("""COMPUTED_VALUE"""),"Bautista")</f>
        <v>Bautista</v>
      </c>
      <c r="D1725" s="1" t="str">
        <f ca="1">IFERROR(__xludf.DUMMYFUNCTION("""COMPUTED_VALUE"""),"Jimmy")</f>
        <v>Jimmy</v>
      </c>
      <c r="E1725" s="1" t="str">
        <f ca="1">IFERROR(__xludf.DUMMYFUNCTION("""COMPUTED_VALUE"""),"Sam Cajipe nananaig ang katutuhanan..")</f>
        <v>Sam Cajipe nananaig ang katutuhanan..</v>
      </c>
      <c r="F1725" s="1"/>
      <c r="G1725" s="1" t="str">
        <f ca="1">IFERROR(__xludf.DUMMYFUNCTION("""COMPUTED_VALUE"""),"3 mos")</f>
        <v>3 mos</v>
      </c>
      <c r="H1725" s="1" t="str">
        <f ca="1">IFERROR(__xludf.DUMMYFUNCTION("""COMPUTED_VALUE"""),"reply")</f>
        <v>reply</v>
      </c>
      <c r="I1725" s="2" t="str">
        <f ca="1">IFERROR(__xludf.DUMMYFUNCTION("""COMPUTED_VALUE"""),"https://www.facebook.com/rapplerdotcom/photos/a.317154781638645/5595372260483511/")</f>
        <v>https://www.facebook.com/rapplerdotcom/photos/a.317154781638645/5595372260483511/</v>
      </c>
      <c r="J1725" s="1" t="str">
        <f ca="1">IFERROR(__xludf.DUMMYFUNCTION("""COMPUTED_VALUE"""),"2022-07-04T15:44:55.424Z")</f>
        <v>2022-07-04T15:44:55.424Z</v>
      </c>
    </row>
    <row r="1726" spans="1:10" x14ac:dyDescent="0.2">
      <c r="A1726" s="2" t="str">
        <f ca="1">IFERROR(__xludf.DUMMYFUNCTION("""COMPUTED_VALUE"""),"https://www.facebook.com/patricio.patriciosemilla")</f>
        <v>https://www.facebook.com/patricio.patriciosemilla</v>
      </c>
      <c r="B1726" s="1" t="str">
        <f ca="1">IFERROR(__xludf.DUMMYFUNCTION("""COMPUTED_VALUE"""),"Patricio Jera Semilla Jr.")</f>
        <v>Patricio Jera Semilla Jr.</v>
      </c>
      <c r="C1726" s="1" t="str">
        <f ca="1">IFERROR(__xludf.DUMMYFUNCTION("""COMPUTED_VALUE"""),"Patricio")</f>
        <v>Patricio</v>
      </c>
      <c r="D1726" s="1" t="str">
        <f ca="1">IFERROR(__xludf.DUMMYFUNCTION("""COMPUTED_VALUE"""),"Jera Semilla Jr.")</f>
        <v>Jera Semilla Jr.</v>
      </c>
      <c r="E1726" s="1" t="str">
        <f ca="1">IFERROR(__xludf.DUMMYFUNCTION("""COMPUTED_VALUE"""),"But the church is against population control so there is  a conflict of outlook")</f>
        <v>But the church is against population control so there is  a conflict of outlook</v>
      </c>
      <c r="F1726" s="1">
        <f ca="1">IFERROR(__xludf.DUMMYFUNCTION("""COMPUTED_VALUE"""),2)</f>
        <v>2</v>
      </c>
      <c r="G1726" s="1" t="str">
        <f ca="1">IFERROR(__xludf.DUMMYFUNCTION("""COMPUTED_VALUE"""),"3 mos")</f>
        <v>3 mos</v>
      </c>
      <c r="H1726" s="1" t="str">
        <f ca="1">IFERROR(__xludf.DUMMYFUNCTION("""COMPUTED_VALUE"""),"comment")</f>
        <v>comment</v>
      </c>
      <c r="I1726" s="2" t="str">
        <f ca="1">IFERROR(__xludf.DUMMYFUNCTION("""COMPUTED_VALUE"""),"https://www.facebook.com/rapplerdotcom/photos/a.317154781638645/5595372260483511/")</f>
        <v>https://www.facebook.com/rapplerdotcom/photos/a.317154781638645/5595372260483511/</v>
      </c>
      <c r="J1726" s="1" t="str">
        <f ca="1">IFERROR(__xludf.DUMMYFUNCTION("""COMPUTED_VALUE"""),"2022-07-04T15:44:55.424Z")</f>
        <v>2022-07-04T15:44:55.424Z</v>
      </c>
    </row>
    <row r="1727" spans="1:10" x14ac:dyDescent="0.2">
      <c r="A1727" s="2" t="str">
        <f ca="1">IFERROR(__xludf.DUMMYFUNCTION("""COMPUTED_VALUE"""),"https://www.facebook.com/profile.php?id=100008200051155")</f>
        <v>https://www.facebook.com/profile.php?id=100008200051155</v>
      </c>
      <c r="B1727" s="1" t="str">
        <f ca="1">IFERROR(__xludf.DUMMYFUNCTION("""COMPUTED_VALUE"""),"Colleen Navarro")</f>
        <v>Colleen Navarro</v>
      </c>
      <c r="C1727" s="1" t="str">
        <f ca="1">IFERROR(__xludf.DUMMYFUNCTION("""COMPUTED_VALUE"""),"Colleen")</f>
        <v>Colleen</v>
      </c>
      <c r="D1727" s="1" t="str">
        <f ca="1">IFERROR(__xludf.DUMMYFUNCTION("""COMPUTED_VALUE"""),"Navarro")</f>
        <v>Navarro</v>
      </c>
      <c r="E1727" s="1" t="str">
        <f ca="1">IFERROR(__xludf.DUMMYFUNCTION("""COMPUTED_VALUE"""),"Patricio Jera Semilla Jr.  the church is pro life po, but there is science when it comes to population and the church  acknowledge it now a days compared before .")</f>
        <v>Patricio Jera Semilla Jr.  the church is pro life po, but there is science when it comes to population and the church  acknowledge it now a days compared before .</v>
      </c>
      <c r="F1727" s="1">
        <f ca="1">IFERROR(__xludf.DUMMYFUNCTION("""COMPUTED_VALUE"""),1)</f>
        <v>1</v>
      </c>
      <c r="G1727" s="1" t="str">
        <f ca="1">IFERROR(__xludf.DUMMYFUNCTION("""COMPUTED_VALUE"""),"3 mos")</f>
        <v>3 mos</v>
      </c>
      <c r="H1727" s="1" t="str">
        <f ca="1">IFERROR(__xludf.DUMMYFUNCTION("""COMPUTED_VALUE"""),"reply")</f>
        <v>reply</v>
      </c>
      <c r="I1727" s="2" t="str">
        <f ca="1">IFERROR(__xludf.DUMMYFUNCTION("""COMPUTED_VALUE"""),"https://www.facebook.com/rapplerdotcom/photos/a.317154781638645/5595372260483511/")</f>
        <v>https://www.facebook.com/rapplerdotcom/photos/a.317154781638645/5595372260483511/</v>
      </c>
      <c r="J1727" s="1" t="str">
        <f ca="1">IFERROR(__xludf.DUMMYFUNCTION("""COMPUTED_VALUE"""),"2022-07-04T15:44:55.424Z")</f>
        <v>2022-07-04T15:44:55.424Z</v>
      </c>
    </row>
    <row r="1728" spans="1:10" x14ac:dyDescent="0.2">
      <c r="A1728" s="2" t="str">
        <f ca="1">IFERROR(__xludf.DUMMYFUNCTION("""COMPUTED_VALUE"""),"https://www.facebook.com/patricio.patriciosemilla")</f>
        <v>https://www.facebook.com/patricio.patriciosemilla</v>
      </c>
      <c r="B1728" s="1" t="str">
        <f ca="1">IFERROR(__xludf.DUMMYFUNCTION("""COMPUTED_VALUE"""),"Patricio Jera Semilla Jr.")</f>
        <v>Patricio Jera Semilla Jr.</v>
      </c>
      <c r="C1728" s="1" t="str">
        <f ca="1">IFERROR(__xludf.DUMMYFUNCTION("""COMPUTED_VALUE"""),"Patricio")</f>
        <v>Patricio</v>
      </c>
      <c r="D1728" s="1" t="str">
        <f ca="1">IFERROR(__xludf.DUMMYFUNCTION("""COMPUTED_VALUE"""),"Jera Semilla Jr.")</f>
        <v>Jera Semilla Jr.</v>
      </c>
      <c r="E1728" s="1" t="str">
        <f ca="1">IFERROR(__xludf.DUMMYFUNCTION("""COMPUTED_VALUE"""),"Colleen Navarro population control is killing of life its only limiting to have children cause our country is not big enough to cater big population compare to other big country")</f>
        <v>Colleen Navarro population control is killing of life its only limiting to have children cause our country is not big enough to cater big population compare to other big country</v>
      </c>
      <c r="F1728" s="1"/>
      <c r="G1728" s="1" t="str">
        <f ca="1">IFERROR(__xludf.DUMMYFUNCTION("""COMPUTED_VALUE"""),"3 mos")</f>
        <v>3 mos</v>
      </c>
      <c r="H1728" s="1" t="str">
        <f ca="1">IFERROR(__xludf.DUMMYFUNCTION("""COMPUTED_VALUE"""),"reply")</f>
        <v>reply</v>
      </c>
      <c r="I1728" s="2" t="str">
        <f ca="1">IFERROR(__xludf.DUMMYFUNCTION("""COMPUTED_VALUE"""),"https://www.facebook.com/rapplerdotcom/photos/a.317154781638645/5595372260483511/")</f>
        <v>https://www.facebook.com/rapplerdotcom/photos/a.317154781638645/5595372260483511/</v>
      </c>
      <c r="J1728" s="1" t="str">
        <f ca="1">IFERROR(__xludf.DUMMYFUNCTION("""COMPUTED_VALUE"""),"2022-07-04T15:44:55.424Z")</f>
        <v>2022-07-04T15:44:55.424Z</v>
      </c>
    </row>
    <row r="1729" spans="1:10" x14ac:dyDescent="0.2">
      <c r="A1729" s="2" t="str">
        <f ca="1">IFERROR(__xludf.DUMMYFUNCTION("""COMPUTED_VALUE"""),"https://www.facebook.com/profile.php?id=100008200051155")</f>
        <v>https://www.facebook.com/profile.php?id=100008200051155</v>
      </c>
      <c r="B1729" s="1" t="str">
        <f ca="1">IFERROR(__xludf.DUMMYFUNCTION("""COMPUTED_VALUE"""),"Colleen Navarro")</f>
        <v>Colleen Navarro</v>
      </c>
      <c r="C1729" s="1" t="str">
        <f ca="1">IFERROR(__xludf.DUMMYFUNCTION("""COMPUTED_VALUE"""),"Colleen")</f>
        <v>Colleen</v>
      </c>
      <c r="D1729" s="1" t="str">
        <f ca="1">IFERROR(__xludf.DUMMYFUNCTION("""COMPUTED_VALUE"""),"Navarro")</f>
        <v>Navarro</v>
      </c>
      <c r="E1729" s="1" t="str">
        <f ca="1">IFERROR(__xludf.DUMMYFUNCTION("""COMPUTED_VALUE"""),"Patricio Jera Semilla Jr.  unfortunately we are in a 3rd world country,  a lot of factors need to consider.  Nariyan  ang hunger, joblessness,  and as you said space to consider to cater sa lahat ng needs.")</f>
        <v>Patricio Jera Semilla Jr.  unfortunately we are in a 3rd world country,  a lot of factors need to consider.  Nariyan  ang hunger, joblessness,  and as you said space to consider to cater sa lahat ng needs.</v>
      </c>
      <c r="F1729" s="1"/>
      <c r="G1729" s="1" t="str">
        <f ca="1">IFERROR(__xludf.DUMMYFUNCTION("""COMPUTED_VALUE"""),"3 mos")</f>
        <v>3 mos</v>
      </c>
      <c r="H1729" s="1" t="str">
        <f ca="1">IFERROR(__xludf.DUMMYFUNCTION("""COMPUTED_VALUE"""),"reply")</f>
        <v>reply</v>
      </c>
      <c r="I1729" s="2" t="str">
        <f ca="1">IFERROR(__xludf.DUMMYFUNCTION("""COMPUTED_VALUE"""),"https://www.facebook.com/rapplerdotcom/photos/a.317154781638645/5595372260483511/")</f>
        <v>https://www.facebook.com/rapplerdotcom/photos/a.317154781638645/5595372260483511/</v>
      </c>
      <c r="J1729" s="1" t="str">
        <f ca="1">IFERROR(__xludf.DUMMYFUNCTION("""COMPUTED_VALUE"""),"2022-07-04T15:44:55.424Z")</f>
        <v>2022-07-04T15:44:55.424Z</v>
      </c>
    </row>
    <row r="1730" spans="1:10" x14ac:dyDescent="0.2">
      <c r="A1730" s="2" t="str">
        <f ca="1">IFERROR(__xludf.DUMMYFUNCTION("""COMPUTED_VALUE"""),"https://www.facebook.com/chug.mercado")</f>
        <v>https://www.facebook.com/chug.mercado</v>
      </c>
      <c r="B1730" s="1" t="str">
        <f ca="1">IFERROR(__xludf.DUMMYFUNCTION("""COMPUTED_VALUE"""),"Chug Mercado")</f>
        <v>Chug Mercado</v>
      </c>
      <c r="C1730" s="1" t="str">
        <f ca="1">IFERROR(__xludf.DUMMYFUNCTION("""COMPUTED_VALUE"""),"Chug")</f>
        <v>Chug</v>
      </c>
      <c r="D1730" s="1" t="str">
        <f ca="1">IFERROR(__xludf.DUMMYFUNCTION("""COMPUTED_VALUE"""),"Mercado")</f>
        <v>Mercado</v>
      </c>
      <c r="E1730" s="1" t="str">
        <f ca="1">IFERROR(__xludf.DUMMYFUNCTION("""COMPUTED_VALUE"""),"Colleen Navarro, what science is that to control population that acknowledge by the church?.be specific..")</f>
        <v>Colleen Navarro, what science is that to control population that acknowledge by the church?.be specific..</v>
      </c>
      <c r="F1730" s="1"/>
      <c r="G1730" s="1" t="str">
        <f ca="1">IFERROR(__xludf.DUMMYFUNCTION("""COMPUTED_VALUE"""),"3 mos")</f>
        <v>3 mos</v>
      </c>
      <c r="H1730" s="1" t="str">
        <f ca="1">IFERROR(__xludf.DUMMYFUNCTION("""COMPUTED_VALUE"""),"reply")</f>
        <v>reply</v>
      </c>
      <c r="I1730" s="2" t="str">
        <f ca="1">IFERROR(__xludf.DUMMYFUNCTION("""COMPUTED_VALUE"""),"https://www.facebook.com/rapplerdotcom/photos/a.317154781638645/5595372260483511/")</f>
        <v>https://www.facebook.com/rapplerdotcom/photos/a.317154781638645/5595372260483511/</v>
      </c>
      <c r="J1730" s="1" t="str">
        <f ca="1">IFERROR(__xludf.DUMMYFUNCTION("""COMPUTED_VALUE"""),"2022-07-04T15:44:55.424Z")</f>
        <v>2022-07-04T15:44:55.424Z</v>
      </c>
    </row>
    <row r="1731" spans="1:10" x14ac:dyDescent="0.2">
      <c r="A1731" s="2" t="str">
        <f ca="1">IFERROR(__xludf.DUMMYFUNCTION("""COMPUTED_VALUE"""),"https://www.facebook.com/patricio.patriciosemilla")</f>
        <v>https://www.facebook.com/patricio.patriciosemilla</v>
      </c>
      <c r="B1731" s="1" t="str">
        <f ca="1">IFERROR(__xludf.DUMMYFUNCTION("""COMPUTED_VALUE"""),"Patricio Jera Semilla Jr.")</f>
        <v>Patricio Jera Semilla Jr.</v>
      </c>
      <c r="C1731" s="1" t="str">
        <f ca="1">IFERROR(__xludf.DUMMYFUNCTION("""COMPUTED_VALUE"""),"Patricio")</f>
        <v>Patricio</v>
      </c>
      <c r="D1731" s="1" t="str">
        <f ca="1">IFERROR(__xludf.DUMMYFUNCTION("""COMPUTED_VALUE"""),"Jera Semilla Jr.")</f>
        <v>Jera Semilla Jr.</v>
      </c>
      <c r="E1731" s="1" t="str">
        <f ca="1">IFERROR(__xludf.DUMMYFUNCTION("""COMPUTED_VALUE"""),"Colleen Navarro as far as I know the Catholic Church was against population control cause it will diminish their income form various sacraments administered")</f>
        <v>Colleen Navarro as far as I know the Catholic Church was against population control cause it will diminish their income form various sacraments administered</v>
      </c>
      <c r="F1731" s="1"/>
      <c r="G1731" s="1" t="str">
        <f ca="1">IFERROR(__xludf.DUMMYFUNCTION("""COMPUTED_VALUE"""),"3 mos")</f>
        <v>3 mos</v>
      </c>
      <c r="H1731" s="1" t="str">
        <f ca="1">IFERROR(__xludf.DUMMYFUNCTION("""COMPUTED_VALUE"""),"reply")</f>
        <v>reply</v>
      </c>
      <c r="I1731" s="2" t="str">
        <f ca="1">IFERROR(__xludf.DUMMYFUNCTION("""COMPUTED_VALUE"""),"https://www.facebook.com/rapplerdotcom/photos/a.317154781638645/5595372260483511/")</f>
        <v>https://www.facebook.com/rapplerdotcom/photos/a.317154781638645/5595372260483511/</v>
      </c>
      <c r="J1731" s="1" t="str">
        <f ca="1">IFERROR(__xludf.DUMMYFUNCTION("""COMPUTED_VALUE"""),"2022-07-04T15:44:55.424Z")</f>
        <v>2022-07-04T15:44:55.424Z</v>
      </c>
    </row>
    <row r="1732" spans="1:10" x14ac:dyDescent="0.2">
      <c r="A1732" s="2" t="str">
        <f ca="1">IFERROR(__xludf.DUMMYFUNCTION("""COMPUTED_VALUE"""),"https://www.facebook.com/leilani.roxas")</f>
        <v>https://www.facebook.com/leilani.roxas</v>
      </c>
      <c r="B1732" s="1" t="str">
        <f ca="1">IFERROR(__xludf.DUMMYFUNCTION("""COMPUTED_VALUE"""),"Leilani Roxas")</f>
        <v>Leilani Roxas</v>
      </c>
      <c r="C1732" s="1" t="str">
        <f ca="1">IFERROR(__xludf.DUMMYFUNCTION("""COMPUTED_VALUE"""),"Leilani")</f>
        <v>Leilani</v>
      </c>
      <c r="D1732" s="1" t="str">
        <f ca="1">IFERROR(__xludf.DUMMYFUNCTION("""COMPUTED_VALUE"""),"Roxas")</f>
        <v>Roxas</v>
      </c>
      <c r="E1732" s="1" t="str">
        <f ca="1">IFERROR(__xludf.DUMMYFUNCTION("""COMPUTED_VALUE"""),"AGREE!     Moralidad ang nawawala na sa mga tao lalu sa mga kabataan. Bale wala nmn yang PG rating kung abala nmn ang magulang para sa laman tiyan.")</f>
        <v>AGREE!     Moralidad ang nawawala na sa mga tao lalu sa mga kabataan. Bale wala nmn yang PG rating kung abala nmn ang magulang para sa laman tiyan.</v>
      </c>
      <c r="F1732" s="1"/>
      <c r="G1732" s="1" t="str">
        <f ca="1">IFERROR(__xludf.DUMMYFUNCTION("""COMPUTED_VALUE"""),"3 mos")</f>
        <v>3 mos</v>
      </c>
      <c r="H1732" s="1" t="str">
        <f ca="1">IFERROR(__xludf.DUMMYFUNCTION("""COMPUTED_VALUE"""),"comment")</f>
        <v>comment</v>
      </c>
      <c r="I1732" s="2" t="str">
        <f ca="1">IFERROR(__xludf.DUMMYFUNCTION("""COMPUTED_VALUE"""),"https://www.facebook.com/rapplerdotcom/photos/a.317154781638645/5595372260483511/")</f>
        <v>https://www.facebook.com/rapplerdotcom/photos/a.317154781638645/5595372260483511/</v>
      </c>
      <c r="J1732" s="1" t="str">
        <f ca="1">IFERROR(__xludf.DUMMYFUNCTION("""COMPUTED_VALUE"""),"2022-07-04T15:44:55.424Z")</f>
        <v>2022-07-04T15:44:55.424Z</v>
      </c>
    </row>
    <row r="1733" spans="1:10" x14ac:dyDescent="0.2">
      <c r="A1733" s="2" t="str">
        <f ca="1">IFERROR(__xludf.DUMMYFUNCTION("""COMPUTED_VALUE"""),"https://www.facebook.com/victoriano.pimentel.980")</f>
        <v>https://www.facebook.com/victoriano.pimentel.980</v>
      </c>
      <c r="B1733" s="1" t="str">
        <f ca="1">IFERROR(__xludf.DUMMYFUNCTION("""COMPUTED_VALUE"""),"Vic Pimentel")</f>
        <v>Vic Pimentel</v>
      </c>
      <c r="C1733" s="1" t="str">
        <f ca="1">IFERROR(__xludf.DUMMYFUNCTION("""COMPUTED_VALUE"""),"Vic")</f>
        <v>Vic</v>
      </c>
      <c r="D1733" s="1" t="str">
        <f ca="1">IFERROR(__xludf.DUMMYFUNCTION("""COMPUTED_VALUE"""),"Pimentel")</f>
        <v>Pimentel</v>
      </c>
      <c r="E1733" s="1" t="str">
        <f ca="1">IFERROR(__xludf.DUMMYFUNCTION("""COMPUTED_VALUE"""),"CBCP watch ur steps. Ur being manipolated.")</f>
        <v>CBCP watch ur steps. Ur being manipolated.</v>
      </c>
      <c r="F1733" s="1"/>
      <c r="G1733" s="1" t="str">
        <f ca="1">IFERROR(__xludf.DUMMYFUNCTION("""COMPUTED_VALUE"""),"3 mos")</f>
        <v>3 mos</v>
      </c>
      <c r="H1733" s="1" t="str">
        <f ca="1">IFERROR(__xludf.DUMMYFUNCTION("""COMPUTED_VALUE"""),"comment")</f>
        <v>comment</v>
      </c>
      <c r="I1733" s="2" t="str">
        <f ca="1">IFERROR(__xludf.DUMMYFUNCTION("""COMPUTED_VALUE"""),"https://www.facebook.com/rapplerdotcom/photos/a.317154781638645/5595372260483511/")</f>
        <v>https://www.facebook.com/rapplerdotcom/photos/a.317154781638645/5595372260483511/</v>
      </c>
      <c r="J1733" s="1" t="str">
        <f ca="1">IFERROR(__xludf.DUMMYFUNCTION("""COMPUTED_VALUE"""),"2022-07-04T15:44:55.424Z")</f>
        <v>2022-07-04T15:44:55.424Z</v>
      </c>
    </row>
    <row r="1734" spans="1:10" x14ac:dyDescent="0.2">
      <c r="A1734" s="2" t="str">
        <f ca="1">IFERROR(__xludf.DUMMYFUNCTION("""COMPUTED_VALUE"""),"https://www.facebook.com/icarro1821")</f>
        <v>https://www.facebook.com/icarro1821</v>
      </c>
      <c r="B1734" s="1" t="str">
        <f ca="1">IFERROR(__xludf.DUMMYFUNCTION("""COMPUTED_VALUE"""),"Rick DG")</f>
        <v>Rick DG</v>
      </c>
      <c r="C1734" s="1" t="str">
        <f ca="1">IFERROR(__xludf.DUMMYFUNCTION("""COMPUTED_VALUE"""),"Rick")</f>
        <v>Rick</v>
      </c>
      <c r="D1734" s="1" t="str">
        <f ca="1">IFERROR(__xludf.DUMMYFUNCTION("""COMPUTED_VALUE"""),"DG")</f>
        <v>DG</v>
      </c>
      <c r="E1734" s="1" t="str">
        <f ca="1">IFERROR(__xludf.DUMMYFUNCTION("""COMPUTED_VALUE"""),"Hindi ba dapat sa TAHANAN yan.")</f>
        <v>Hindi ba dapat sa TAHANAN yan.</v>
      </c>
      <c r="F1734" s="1">
        <f ca="1">IFERROR(__xludf.DUMMYFUNCTION("""COMPUTED_VALUE"""),3)</f>
        <v>3</v>
      </c>
      <c r="G1734" s="1" t="str">
        <f ca="1">IFERROR(__xludf.DUMMYFUNCTION("""COMPUTED_VALUE"""),"3 mos")</f>
        <v>3 mos</v>
      </c>
      <c r="H1734" s="1" t="str">
        <f ca="1">IFERROR(__xludf.DUMMYFUNCTION("""COMPUTED_VALUE"""),"comment")</f>
        <v>comment</v>
      </c>
      <c r="I1734" s="2" t="str">
        <f ca="1">IFERROR(__xludf.DUMMYFUNCTION("""COMPUTED_VALUE"""),"https://www.facebook.com/rapplerdotcom/photos/a.317154781638645/5595372260483511/")</f>
        <v>https://www.facebook.com/rapplerdotcom/photos/a.317154781638645/5595372260483511/</v>
      </c>
      <c r="J1734" s="1" t="str">
        <f ca="1">IFERROR(__xludf.DUMMYFUNCTION("""COMPUTED_VALUE"""),"2022-07-04T15:44:55.424Z")</f>
        <v>2022-07-04T15:44:55.424Z</v>
      </c>
    </row>
    <row r="1735" spans="1:10" x14ac:dyDescent="0.2">
      <c r="A1735" s="2" t="str">
        <f ca="1">IFERROR(__xludf.DUMMYFUNCTION("""COMPUTED_VALUE"""),"https://www.facebook.com/profile.php?id=100012286893622")</f>
        <v>https://www.facebook.com/profile.php?id=100012286893622</v>
      </c>
      <c r="B1735" s="1" t="str">
        <f ca="1">IFERROR(__xludf.DUMMYFUNCTION("""COMPUTED_VALUE"""),"Reyfol James Garcia")</f>
        <v>Reyfol James Garcia</v>
      </c>
      <c r="C1735" s="1" t="str">
        <f ca="1">IFERROR(__xludf.DUMMYFUNCTION("""COMPUTED_VALUE"""),"Reyfol")</f>
        <v>Reyfol</v>
      </c>
      <c r="D1735" s="1" t="str">
        <f ca="1">IFERROR(__xludf.DUMMYFUNCTION("""COMPUTED_VALUE"""),"James Garcia")</f>
        <v>James Garcia</v>
      </c>
      <c r="E1735" s="1" t="str">
        <f ca="1">IFERROR(__xludf.DUMMYFUNCTION("""COMPUTED_VALUE"""),"Rick DG kasali na ang parents sa community. at IMO yung parents pa ang reason bakit nagkaganyan.")</f>
        <v>Rick DG kasali na ang parents sa community. at IMO yung parents pa ang reason bakit nagkaganyan.</v>
      </c>
      <c r="F1735" s="1"/>
      <c r="G1735" s="1" t="str">
        <f ca="1">IFERROR(__xludf.DUMMYFUNCTION("""COMPUTED_VALUE"""),"3 mos")</f>
        <v>3 mos</v>
      </c>
      <c r="H1735" s="1" t="str">
        <f ca="1">IFERROR(__xludf.DUMMYFUNCTION("""COMPUTED_VALUE"""),"reply")</f>
        <v>reply</v>
      </c>
      <c r="I1735" s="2" t="str">
        <f ca="1">IFERROR(__xludf.DUMMYFUNCTION("""COMPUTED_VALUE"""),"https://www.facebook.com/rapplerdotcom/photos/a.317154781638645/5595372260483511/")</f>
        <v>https://www.facebook.com/rapplerdotcom/photos/a.317154781638645/5595372260483511/</v>
      </c>
      <c r="J1735" s="1" t="str">
        <f ca="1">IFERROR(__xludf.DUMMYFUNCTION("""COMPUTED_VALUE"""),"2022-07-04T15:44:55.424Z")</f>
        <v>2022-07-04T15:44:55.424Z</v>
      </c>
    </row>
    <row r="1736" spans="1:10" x14ac:dyDescent="0.2">
      <c r="A1736" s="2" t="str">
        <f ca="1">IFERROR(__xludf.DUMMYFUNCTION("""COMPUTED_VALUE"""),"https://www.facebook.com/ttanchanco")</f>
        <v>https://www.facebook.com/ttanchanco</v>
      </c>
      <c r="B1736" s="1" t="str">
        <f ca="1">IFERROR(__xludf.DUMMYFUNCTION("""COMPUTED_VALUE"""),"Timothy Alvin Tanchanco")</f>
        <v>Timothy Alvin Tanchanco</v>
      </c>
      <c r="C1736" s="1" t="str">
        <f ca="1">IFERROR(__xludf.DUMMYFUNCTION("""COMPUTED_VALUE"""),"Timothy")</f>
        <v>Timothy</v>
      </c>
      <c r="D1736" s="1" t="str">
        <f ca="1">IFERROR(__xludf.DUMMYFUNCTION("""COMPUTED_VALUE"""),"Alvin Tanchanco")</f>
        <v>Alvin Tanchanco</v>
      </c>
      <c r="E1736" s="1" t="str">
        <f ca="1">IFERROR(__xludf.DUMMYFUNCTION("""COMPUTED_VALUE"""),"Rick DG Kung tingin mo yan lang nag iisang lugar na dapat magturo niyan, mali ka. It takes a community to raise a child.")</f>
        <v>Rick DG Kung tingin mo yan lang nag iisang lugar na dapat magturo niyan, mali ka. It takes a community to raise a child.</v>
      </c>
      <c r="F1736" s="1">
        <f ca="1">IFERROR(__xludf.DUMMYFUNCTION("""COMPUTED_VALUE"""),8)</f>
        <v>8</v>
      </c>
      <c r="G1736" s="1" t="str">
        <f ca="1">IFERROR(__xludf.DUMMYFUNCTION("""COMPUTED_VALUE"""),"3 mos")</f>
        <v>3 mos</v>
      </c>
      <c r="H1736" s="1" t="str">
        <f ca="1">IFERROR(__xludf.DUMMYFUNCTION("""COMPUTED_VALUE"""),"reply")</f>
        <v>reply</v>
      </c>
      <c r="I1736" s="2" t="str">
        <f ca="1">IFERROR(__xludf.DUMMYFUNCTION("""COMPUTED_VALUE"""),"https://www.facebook.com/rapplerdotcom/photos/a.317154781638645/5595372260483511/")</f>
        <v>https://www.facebook.com/rapplerdotcom/photos/a.317154781638645/5595372260483511/</v>
      </c>
      <c r="J1736" s="1" t="str">
        <f ca="1">IFERROR(__xludf.DUMMYFUNCTION("""COMPUTED_VALUE"""),"2022-07-04T15:44:55.424Z")</f>
        <v>2022-07-04T15:44:55.424Z</v>
      </c>
    </row>
    <row r="1737" spans="1:10" x14ac:dyDescent="0.2">
      <c r="A1737" s="2" t="str">
        <f ca="1">IFERROR(__xludf.DUMMYFUNCTION("""COMPUTED_VALUE"""),"https://www.facebook.com/icarro1821")</f>
        <v>https://www.facebook.com/icarro1821</v>
      </c>
      <c r="B1737" s="1" t="str">
        <f ca="1">IFERROR(__xludf.DUMMYFUNCTION("""COMPUTED_VALUE"""),"Rick DG")</f>
        <v>Rick DG</v>
      </c>
      <c r="C1737" s="1" t="str">
        <f ca="1">IFERROR(__xludf.DUMMYFUNCTION("""COMPUTED_VALUE"""),"Rick")</f>
        <v>Rick</v>
      </c>
      <c r="D1737" s="1" t="str">
        <f ca="1">IFERROR(__xludf.DUMMYFUNCTION("""COMPUTED_VALUE"""),"DG")</f>
        <v>DG</v>
      </c>
      <c r="E1737" s="1" t="str">
        <f ca="1">IFERROR(__xludf.DUMMYFUNCTION("""COMPUTED_VALUE"""),"Reyfol James Garcia so binubuntis nila anak nila.. grabe")</f>
        <v>Reyfol James Garcia so binubuntis nila anak nila.. grabe</v>
      </c>
      <c r="F1737" s="1"/>
      <c r="G1737" s="1" t="str">
        <f ca="1">IFERROR(__xludf.DUMMYFUNCTION("""COMPUTED_VALUE"""),"3 mos")</f>
        <v>3 mos</v>
      </c>
      <c r="H1737" s="1" t="str">
        <f ca="1">IFERROR(__xludf.DUMMYFUNCTION("""COMPUTED_VALUE"""),"reply")</f>
        <v>reply</v>
      </c>
      <c r="I1737" s="2" t="str">
        <f ca="1">IFERROR(__xludf.DUMMYFUNCTION("""COMPUTED_VALUE"""),"https://www.facebook.com/rapplerdotcom/photos/a.317154781638645/5595372260483511/")</f>
        <v>https://www.facebook.com/rapplerdotcom/photos/a.317154781638645/5595372260483511/</v>
      </c>
      <c r="J1737" s="1" t="str">
        <f ca="1">IFERROR(__xludf.DUMMYFUNCTION("""COMPUTED_VALUE"""),"2022-07-04T15:44:55.424Z")</f>
        <v>2022-07-04T15:44:55.424Z</v>
      </c>
    </row>
    <row r="1738" spans="1:10" x14ac:dyDescent="0.2">
      <c r="A1738" s="2" t="str">
        <f ca="1">IFERROR(__xludf.DUMMYFUNCTION("""COMPUTED_VALUE"""),"https://www.facebook.com/icarro1821")</f>
        <v>https://www.facebook.com/icarro1821</v>
      </c>
      <c r="B1738" s="1" t="str">
        <f ca="1">IFERROR(__xludf.DUMMYFUNCTION("""COMPUTED_VALUE"""),"Rick DG")</f>
        <v>Rick DG</v>
      </c>
      <c r="C1738" s="1" t="str">
        <f ca="1">IFERROR(__xludf.DUMMYFUNCTION("""COMPUTED_VALUE"""),"Rick")</f>
        <v>Rick</v>
      </c>
      <c r="D1738" s="1" t="str">
        <f ca="1">IFERROR(__xludf.DUMMYFUNCTION("""COMPUTED_VALUE"""),"DG")</f>
        <v>DG</v>
      </c>
      <c r="E1738" s="1" t="str">
        <f ca="1">IFERROR(__xludf.DUMMYFUNCTION("""COMPUTED_VALUE"""),"Timothy Alvin Tanchanco ganyan na ba kahirap magturo sa bata ng tamang asal? Saang lugar ba yang inyo granehan yan")</f>
        <v>Timothy Alvin Tanchanco ganyan na ba kahirap magturo sa bata ng tamang asal? Saang lugar ba yang inyo granehan yan</v>
      </c>
      <c r="F1738" s="1"/>
      <c r="G1738" s="1" t="str">
        <f ca="1">IFERROR(__xludf.DUMMYFUNCTION("""COMPUTED_VALUE"""),"3 mos")</f>
        <v>3 mos</v>
      </c>
      <c r="H1738" s="1" t="str">
        <f ca="1">IFERROR(__xludf.DUMMYFUNCTION("""COMPUTED_VALUE"""),"reply")</f>
        <v>reply</v>
      </c>
      <c r="I1738" s="2" t="str">
        <f ca="1">IFERROR(__xludf.DUMMYFUNCTION("""COMPUTED_VALUE"""),"https://www.facebook.com/rapplerdotcom/photos/a.317154781638645/5595372260483511/")</f>
        <v>https://www.facebook.com/rapplerdotcom/photos/a.317154781638645/5595372260483511/</v>
      </c>
      <c r="J1738" s="1" t="str">
        <f ca="1">IFERROR(__xludf.DUMMYFUNCTION("""COMPUTED_VALUE"""),"2022-07-04T15:44:55.424Z")</f>
        <v>2022-07-04T15:44:55.424Z</v>
      </c>
    </row>
    <row r="1739" spans="1:10" x14ac:dyDescent="0.2">
      <c r="A1739" s="2" t="str">
        <f ca="1">IFERROR(__xludf.DUMMYFUNCTION("""COMPUTED_VALUE"""),"https://www.facebook.com/profile.php?id=100012286893622")</f>
        <v>https://www.facebook.com/profile.php?id=100012286893622</v>
      </c>
      <c r="B1739" s="1" t="str">
        <f ca="1">IFERROR(__xludf.DUMMYFUNCTION("""COMPUTED_VALUE"""),"Reyfol James Garcia")</f>
        <v>Reyfol James Garcia</v>
      </c>
      <c r="C1739" s="1" t="str">
        <f ca="1">IFERROR(__xludf.DUMMYFUNCTION("""COMPUTED_VALUE"""),"Reyfol")</f>
        <v>Reyfol</v>
      </c>
      <c r="D1739" s="1" t="str">
        <f ca="1">IFERROR(__xludf.DUMMYFUNCTION("""COMPUTED_VALUE"""),"James Garcia")</f>
        <v>James Garcia</v>
      </c>
      <c r="E1739" s="1" t="str">
        <f ca="1">IFERROR(__xludf.DUMMYFUNCTION("""COMPUTED_VALUE"""),"Rick DG what I mean is family problem.")</f>
        <v>Rick DG what I mean is family problem.</v>
      </c>
      <c r="F1739" s="1"/>
      <c r="G1739" s="1" t="str">
        <f ca="1">IFERROR(__xludf.DUMMYFUNCTION("""COMPUTED_VALUE"""),"3 mos")</f>
        <v>3 mos</v>
      </c>
      <c r="H1739" s="1" t="str">
        <f ca="1">IFERROR(__xludf.DUMMYFUNCTION("""COMPUTED_VALUE"""),"reply")</f>
        <v>reply</v>
      </c>
      <c r="I1739" s="2" t="str">
        <f ca="1">IFERROR(__xludf.DUMMYFUNCTION("""COMPUTED_VALUE"""),"https://www.facebook.com/rapplerdotcom/photos/a.317154781638645/5595372260483511/")</f>
        <v>https://www.facebook.com/rapplerdotcom/photos/a.317154781638645/5595372260483511/</v>
      </c>
      <c r="J1739" s="1" t="str">
        <f ca="1">IFERROR(__xludf.DUMMYFUNCTION("""COMPUTED_VALUE"""),"2022-07-04T15:44:55.424Z")</f>
        <v>2022-07-04T15:44:55.424Z</v>
      </c>
    </row>
    <row r="1740" spans="1:10" x14ac:dyDescent="0.2">
      <c r="A1740" s="2" t="str">
        <f ca="1">IFERROR(__xludf.DUMMYFUNCTION("""COMPUTED_VALUE"""),"https://www.facebook.com/icarro1821")</f>
        <v>https://www.facebook.com/icarro1821</v>
      </c>
      <c r="B1740" s="1" t="str">
        <f ca="1">IFERROR(__xludf.DUMMYFUNCTION("""COMPUTED_VALUE"""),"Rick DG")</f>
        <v>Rick DG</v>
      </c>
      <c r="C1740" s="1" t="str">
        <f ca="1">IFERROR(__xludf.DUMMYFUNCTION("""COMPUTED_VALUE"""),"Rick")</f>
        <v>Rick</v>
      </c>
      <c r="D1740" s="1" t="str">
        <f ca="1">IFERROR(__xludf.DUMMYFUNCTION("""COMPUTED_VALUE"""),"DG")</f>
        <v>DG</v>
      </c>
      <c r="E1740" s="1" t="str">
        <f ca="1">IFERROR(__xludf.DUMMYFUNCTION("""COMPUTED_VALUE"""),"Reyfol James Garcia so dapat kasama magulang sa school ng matuto din.")</f>
        <v>Reyfol James Garcia so dapat kasama magulang sa school ng matuto din.</v>
      </c>
      <c r="F1740" s="1"/>
      <c r="G1740" s="1" t="str">
        <f ca="1">IFERROR(__xludf.DUMMYFUNCTION("""COMPUTED_VALUE"""),"3 mos")</f>
        <v>3 mos</v>
      </c>
      <c r="H1740" s="1" t="str">
        <f ca="1">IFERROR(__xludf.DUMMYFUNCTION("""COMPUTED_VALUE"""),"reply")</f>
        <v>reply</v>
      </c>
      <c r="I1740" s="2" t="str">
        <f ca="1">IFERROR(__xludf.DUMMYFUNCTION("""COMPUTED_VALUE"""),"https://www.facebook.com/rapplerdotcom/photos/a.317154781638645/5595372260483511/")</f>
        <v>https://www.facebook.com/rapplerdotcom/photos/a.317154781638645/5595372260483511/</v>
      </c>
      <c r="J1740" s="1" t="str">
        <f ca="1">IFERROR(__xludf.DUMMYFUNCTION("""COMPUTED_VALUE"""),"2022-07-04T15:44:55.424Z")</f>
        <v>2022-07-04T15:44:55.424Z</v>
      </c>
    </row>
    <row r="1741" spans="1:10" x14ac:dyDescent="0.2">
      <c r="A1741" s="2" t="str">
        <f ca="1">IFERROR(__xludf.DUMMYFUNCTION("""COMPUTED_VALUE"""),"https://www.facebook.com/ttanchanco")</f>
        <v>https://www.facebook.com/ttanchanco</v>
      </c>
      <c r="B1741" s="1" t="str">
        <f ca="1">IFERROR(__xludf.DUMMYFUNCTION("""COMPUTED_VALUE"""),"Timothy Alvin Tanchanco")</f>
        <v>Timothy Alvin Tanchanco</v>
      </c>
      <c r="C1741" s="1" t="str">
        <f ca="1">IFERROR(__xludf.DUMMYFUNCTION("""COMPUTED_VALUE"""),"Timothy")</f>
        <v>Timothy</v>
      </c>
      <c r="D1741" s="1" t="str">
        <f ca="1">IFERROR(__xludf.DUMMYFUNCTION("""COMPUTED_VALUE"""),"Alvin Tanchanco")</f>
        <v>Alvin Tanchanco</v>
      </c>
      <c r="E1741" s="1" t="str">
        <f ca="1">IFERROR(__xludf.DUMMYFUNCTION("""COMPUTED_VALUE"""),"Rick DG Di mo talaga naiintindihan sinabi ko")</f>
        <v>Rick DG Di mo talaga naiintindihan sinabi ko</v>
      </c>
      <c r="F1741" s="1"/>
      <c r="G1741" s="1" t="str">
        <f ca="1">IFERROR(__xludf.DUMMYFUNCTION("""COMPUTED_VALUE"""),"3 mos")</f>
        <v>3 mos</v>
      </c>
      <c r="H1741" s="1" t="str">
        <f ca="1">IFERROR(__xludf.DUMMYFUNCTION("""COMPUTED_VALUE"""),"reply")</f>
        <v>reply</v>
      </c>
      <c r="I1741" s="2" t="str">
        <f ca="1">IFERROR(__xludf.DUMMYFUNCTION("""COMPUTED_VALUE"""),"https://www.facebook.com/rapplerdotcom/photos/a.317154781638645/5595372260483511/")</f>
        <v>https://www.facebook.com/rapplerdotcom/photos/a.317154781638645/5595372260483511/</v>
      </c>
      <c r="J1741" s="1" t="str">
        <f ca="1">IFERROR(__xludf.DUMMYFUNCTION("""COMPUTED_VALUE"""),"2022-07-04T15:44:55.424Z")</f>
        <v>2022-07-04T15:44:55.424Z</v>
      </c>
    </row>
    <row r="1742" spans="1:10" x14ac:dyDescent="0.2">
      <c r="A1742" s="2" t="str">
        <f ca="1">IFERROR(__xludf.DUMMYFUNCTION("""COMPUTED_VALUE"""),"https://www.facebook.com/profile.php?id=100012286893622")</f>
        <v>https://www.facebook.com/profile.php?id=100012286893622</v>
      </c>
      <c r="B1742" s="1" t="str">
        <f ca="1">IFERROR(__xludf.DUMMYFUNCTION("""COMPUTED_VALUE"""),"Reyfol James Garcia")</f>
        <v>Reyfol James Garcia</v>
      </c>
      <c r="C1742" s="1" t="str">
        <f ca="1">IFERROR(__xludf.DUMMYFUNCTION("""COMPUTED_VALUE"""),"Reyfol")</f>
        <v>Reyfol</v>
      </c>
      <c r="D1742" s="1" t="str">
        <f ca="1">IFERROR(__xludf.DUMMYFUNCTION("""COMPUTED_VALUE"""),"James Garcia")</f>
        <v>James Garcia</v>
      </c>
      <c r="E1742" s="1" t="str">
        <f ca="1">IFERROR(__xludf.DUMMYFUNCTION("""COMPUTED_VALUE"""),"Timothy Alvin Tanchanco agree. kahit pa tinuruan ng tama ng mga magulang. Mas malaki pa rin ang  impluwensya ng community.")</f>
        <v>Timothy Alvin Tanchanco agree. kahit pa tinuruan ng tama ng mga magulang. Mas malaki pa rin ang  impluwensya ng community.</v>
      </c>
      <c r="F1742" s="1">
        <f ca="1">IFERROR(__xludf.DUMMYFUNCTION("""COMPUTED_VALUE"""),2)</f>
        <v>2</v>
      </c>
      <c r="G1742" s="1" t="str">
        <f ca="1">IFERROR(__xludf.DUMMYFUNCTION("""COMPUTED_VALUE"""),"3 mos")</f>
        <v>3 mos</v>
      </c>
      <c r="H1742" s="1" t="str">
        <f ca="1">IFERROR(__xludf.DUMMYFUNCTION("""COMPUTED_VALUE"""),"reply")</f>
        <v>reply</v>
      </c>
      <c r="I1742" s="2" t="str">
        <f ca="1">IFERROR(__xludf.DUMMYFUNCTION("""COMPUTED_VALUE"""),"https://www.facebook.com/rapplerdotcom/photos/a.317154781638645/5595372260483511/")</f>
        <v>https://www.facebook.com/rapplerdotcom/photos/a.317154781638645/5595372260483511/</v>
      </c>
      <c r="J1742" s="1" t="str">
        <f ca="1">IFERROR(__xludf.DUMMYFUNCTION("""COMPUTED_VALUE"""),"2022-07-04T15:44:55.424Z")</f>
        <v>2022-07-04T15:44:55.424Z</v>
      </c>
    </row>
    <row r="1743" spans="1:10" x14ac:dyDescent="0.2">
      <c r="A1743" s="2" t="str">
        <f ca="1">IFERROR(__xludf.DUMMYFUNCTION("""COMPUTED_VALUE"""),"https://www.facebook.com/profile.php?id=100012286893622")</f>
        <v>https://www.facebook.com/profile.php?id=100012286893622</v>
      </c>
      <c r="B1743" s="1" t="str">
        <f ca="1">IFERROR(__xludf.DUMMYFUNCTION("""COMPUTED_VALUE"""),"Reyfol James Garcia")</f>
        <v>Reyfol James Garcia</v>
      </c>
      <c r="C1743" s="1" t="str">
        <f ca="1">IFERROR(__xludf.DUMMYFUNCTION("""COMPUTED_VALUE"""),"Reyfol")</f>
        <v>Reyfol</v>
      </c>
      <c r="D1743" s="1" t="str">
        <f ca="1">IFERROR(__xludf.DUMMYFUNCTION("""COMPUTED_VALUE"""),"James Garcia")</f>
        <v>James Garcia</v>
      </c>
      <c r="E1743" s="1" t="str">
        <f ca="1">IFERROR(__xludf.DUMMYFUNCTION("""COMPUTED_VALUE"""),"Rick DG ewan ko ba sayu.")</f>
        <v>Rick DG ewan ko ba sayu.</v>
      </c>
      <c r="F1743" s="1">
        <f ca="1">IFERROR(__xludf.DUMMYFUNCTION("""COMPUTED_VALUE"""),3)</f>
        <v>3</v>
      </c>
      <c r="G1743" s="1" t="str">
        <f ca="1">IFERROR(__xludf.DUMMYFUNCTION("""COMPUTED_VALUE"""),"3 mos")</f>
        <v>3 mos</v>
      </c>
      <c r="H1743" s="1" t="str">
        <f ca="1">IFERROR(__xludf.DUMMYFUNCTION("""COMPUTED_VALUE"""),"reply")</f>
        <v>reply</v>
      </c>
      <c r="I1743" s="2" t="str">
        <f ca="1">IFERROR(__xludf.DUMMYFUNCTION("""COMPUTED_VALUE"""),"https://www.facebook.com/rapplerdotcom/photos/a.317154781638645/5595372260483511/")</f>
        <v>https://www.facebook.com/rapplerdotcom/photos/a.317154781638645/5595372260483511/</v>
      </c>
      <c r="J1743" s="1" t="str">
        <f ca="1">IFERROR(__xludf.DUMMYFUNCTION("""COMPUTED_VALUE"""),"2022-07-04T15:44:55.424Z")</f>
        <v>2022-07-04T15:44:55.424Z</v>
      </c>
    </row>
    <row r="1744" spans="1:10" x14ac:dyDescent="0.2">
      <c r="A1744" s="2" t="str">
        <f ca="1">IFERROR(__xludf.DUMMYFUNCTION("""COMPUTED_VALUE"""),"https://www.facebook.com/ann070694")</f>
        <v>https://www.facebook.com/ann070694</v>
      </c>
      <c r="B1744" s="1" t="str">
        <f ca="1">IFERROR(__xludf.DUMMYFUNCTION("""COMPUTED_VALUE"""),"Ana Alfonso")</f>
        <v>Ana Alfonso</v>
      </c>
      <c r="C1744" s="1" t="str">
        <f ca="1">IFERROR(__xludf.DUMMYFUNCTION("""COMPUTED_VALUE"""),"Ana")</f>
        <v>Ana</v>
      </c>
      <c r="D1744" s="1" t="str">
        <f ca="1">IFERROR(__xludf.DUMMYFUNCTION("""COMPUTED_VALUE"""),"Alfonso")</f>
        <v>Alfonso</v>
      </c>
      <c r="E1744" s="1" t="str">
        <f ca="1">IFERROR(__xludf.DUMMYFUNCTION("""COMPUTED_VALUE"""),"Rick DG katanga mo grabe.")</f>
        <v>Rick DG katanga mo grabe.</v>
      </c>
      <c r="F1744" s="1"/>
      <c r="G1744" s="1" t="str">
        <f ca="1">IFERROR(__xludf.DUMMYFUNCTION("""COMPUTED_VALUE"""),"3 mos")</f>
        <v>3 mos</v>
      </c>
      <c r="H1744" s="1" t="str">
        <f ca="1">IFERROR(__xludf.DUMMYFUNCTION("""COMPUTED_VALUE"""),"reply")</f>
        <v>reply</v>
      </c>
      <c r="I1744" s="2" t="str">
        <f ca="1">IFERROR(__xludf.DUMMYFUNCTION("""COMPUTED_VALUE"""),"https://www.facebook.com/rapplerdotcom/photos/a.317154781638645/5595372260483511/")</f>
        <v>https://www.facebook.com/rapplerdotcom/photos/a.317154781638645/5595372260483511/</v>
      </c>
      <c r="J1744" s="1" t="str">
        <f ca="1">IFERROR(__xludf.DUMMYFUNCTION("""COMPUTED_VALUE"""),"2022-07-04T15:44:55.424Z")</f>
        <v>2022-07-04T15:44:55.424Z</v>
      </c>
    </row>
    <row r="1745" spans="1:10" x14ac:dyDescent="0.2">
      <c r="A1745" s="2" t="str">
        <f ca="1">IFERROR(__xludf.DUMMYFUNCTION("""COMPUTED_VALUE"""),"https://www.facebook.com/cyrilljoy.baldera.3")</f>
        <v>https://www.facebook.com/cyrilljoy.baldera.3</v>
      </c>
      <c r="B1745" s="1" t="str">
        <f ca="1">IFERROR(__xludf.DUMMYFUNCTION("""COMPUTED_VALUE"""),"Cyrill Joy Baldera")</f>
        <v>Cyrill Joy Baldera</v>
      </c>
      <c r="C1745" s="1" t="str">
        <f ca="1">IFERROR(__xludf.DUMMYFUNCTION("""COMPUTED_VALUE"""),"Cyrill")</f>
        <v>Cyrill</v>
      </c>
      <c r="D1745" s="1" t="str">
        <f ca="1">IFERROR(__xludf.DUMMYFUNCTION("""COMPUTED_VALUE"""),"Joy Baldera")</f>
        <v>Joy Baldera</v>
      </c>
      <c r="E1745" s="1" t="str">
        <f ca="1">IFERROR(__xludf.DUMMYFUNCTION("""COMPUTED_VALUE"""),"Rick DG  do u think everyone is blessed to have a good parents? Kaya nga it’s a big help lang ang sinabi niya she didn’t say buong sole responsibility.")</f>
        <v>Rick DG  do u think everyone is blessed to have a good parents? Kaya nga it’s a big help lang ang sinabi niya she didn’t say buong sole responsibility.</v>
      </c>
      <c r="F1745" s="1"/>
      <c r="G1745" s="1" t="str">
        <f ca="1">IFERROR(__xludf.DUMMYFUNCTION("""COMPUTED_VALUE"""),"3 mos")</f>
        <v>3 mos</v>
      </c>
      <c r="H1745" s="1" t="str">
        <f ca="1">IFERROR(__xludf.DUMMYFUNCTION("""COMPUTED_VALUE"""),"reply")</f>
        <v>reply</v>
      </c>
      <c r="I1745" s="2" t="str">
        <f ca="1">IFERROR(__xludf.DUMMYFUNCTION("""COMPUTED_VALUE"""),"https://www.facebook.com/rapplerdotcom/photos/a.317154781638645/5595372260483511/")</f>
        <v>https://www.facebook.com/rapplerdotcom/photos/a.317154781638645/5595372260483511/</v>
      </c>
      <c r="J1745" s="1" t="str">
        <f ca="1">IFERROR(__xludf.DUMMYFUNCTION("""COMPUTED_VALUE"""),"2022-07-04T15:44:55.424Z")</f>
        <v>2022-07-04T15:44:55.424Z</v>
      </c>
    </row>
    <row r="1746" spans="1:10" x14ac:dyDescent="0.2">
      <c r="A1746" s="2" t="str">
        <f ca="1">IFERROR(__xludf.DUMMYFUNCTION("""COMPUTED_VALUE"""),"https://www.facebook.com/icarro1821")</f>
        <v>https://www.facebook.com/icarro1821</v>
      </c>
      <c r="B1746" s="1" t="str">
        <f ca="1">IFERROR(__xludf.DUMMYFUNCTION("""COMPUTED_VALUE"""),"Rick DG")</f>
        <v>Rick DG</v>
      </c>
      <c r="C1746" s="1" t="str">
        <f ca="1">IFERROR(__xludf.DUMMYFUNCTION("""COMPUTED_VALUE"""),"Rick")</f>
        <v>Rick</v>
      </c>
      <c r="D1746" s="1" t="str">
        <f ca="1">IFERROR(__xludf.DUMMYFUNCTION("""COMPUTED_VALUE"""),"DG")</f>
        <v>DG</v>
      </c>
      <c r="E1746" s="1" t="str">
        <f ca="1">IFERROR(__xludf.DUMMYFUNCTION("""COMPUTED_VALUE"""),"Cyrill Joy Baldera pakitagalog nga")</f>
        <v>Cyrill Joy Baldera pakitagalog nga</v>
      </c>
      <c r="F1746" s="1"/>
      <c r="G1746" s="1" t="str">
        <f ca="1">IFERROR(__xludf.DUMMYFUNCTION("""COMPUTED_VALUE"""),"3 mos")</f>
        <v>3 mos</v>
      </c>
      <c r="H1746" s="1" t="str">
        <f ca="1">IFERROR(__xludf.DUMMYFUNCTION("""COMPUTED_VALUE"""),"reply")</f>
        <v>reply</v>
      </c>
      <c r="I1746" s="2" t="str">
        <f ca="1">IFERROR(__xludf.DUMMYFUNCTION("""COMPUTED_VALUE"""),"https://www.facebook.com/rapplerdotcom/photos/a.317154781638645/5595372260483511/")</f>
        <v>https://www.facebook.com/rapplerdotcom/photos/a.317154781638645/5595372260483511/</v>
      </c>
      <c r="J1746" s="1" t="str">
        <f ca="1">IFERROR(__xludf.DUMMYFUNCTION("""COMPUTED_VALUE"""),"2022-07-04T15:44:55.424Z")</f>
        <v>2022-07-04T15:44:55.424Z</v>
      </c>
    </row>
    <row r="1747" spans="1:10" x14ac:dyDescent="0.2">
      <c r="A1747" s="2" t="str">
        <f ca="1">IFERROR(__xludf.DUMMYFUNCTION("""COMPUTED_VALUE"""),"https://www.facebook.com/phoebe.delara.1")</f>
        <v>https://www.facebook.com/phoebe.delara.1</v>
      </c>
      <c r="B1747" s="1" t="str">
        <f ca="1">IFERROR(__xludf.DUMMYFUNCTION("""COMPUTED_VALUE"""),"Fi Bi")</f>
        <v>Fi Bi</v>
      </c>
      <c r="C1747" s="1" t="str">
        <f ca="1">IFERROR(__xludf.DUMMYFUNCTION("""COMPUTED_VALUE"""),"Fi")</f>
        <v>Fi</v>
      </c>
      <c r="D1747" s="1" t="str">
        <f ca="1">IFERROR(__xludf.DUMMYFUNCTION("""COMPUTED_VALUE"""),"Bi")</f>
        <v>Bi</v>
      </c>
      <c r="E1747" s="1" t="str">
        <f ca="1">IFERROR(__xludf.DUMMYFUNCTION("""COMPUTED_VALUE"""),"Rick DG Hindi nmn po lahat s tahanan natututunan, lumalabas din po ksi ang lahat. so community, church and government if magtutulungan atleast may significance n pwdeng mangyari..")</f>
        <v>Rick DG Hindi nmn po lahat s tahanan natututunan, lumalabas din po ksi ang lahat. so community, church and government if magtutulungan atleast may significance n pwdeng mangyari..</v>
      </c>
      <c r="F1747" s="1">
        <f ca="1">IFERROR(__xludf.DUMMYFUNCTION("""COMPUTED_VALUE"""),1)</f>
        <v>1</v>
      </c>
      <c r="G1747" s="1" t="str">
        <f ca="1">IFERROR(__xludf.DUMMYFUNCTION("""COMPUTED_VALUE"""),"3 mos")</f>
        <v>3 mos</v>
      </c>
      <c r="H1747" s="1" t="str">
        <f ca="1">IFERROR(__xludf.DUMMYFUNCTION("""COMPUTED_VALUE"""),"reply")</f>
        <v>reply</v>
      </c>
      <c r="I1747" s="2" t="str">
        <f ca="1">IFERROR(__xludf.DUMMYFUNCTION("""COMPUTED_VALUE"""),"https://www.facebook.com/rapplerdotcom/photos/a.317154781638645/5595372260483511/")</f>
        <v>https://www.facebook.com/rapplerdotcom/photos/a.317154781638645/5595372260483511/</v>
      </c>
      <c r="J1747" s="1" t="str">
        <f ca="1">IFERROR(__xludf.DUMMYFUNCTION("""COMPUTED_VALUE"""),"2022-07-04T15:44:55.424Z")</f>
        <v>2022-07-04T15:44:55.424Z</v>
      </c>
    </row>
    <row r="1748" spans="1:10" x14ac:dyDescent="0.2">
      <c r="A1748" s="2" t="str">
        <f ca="1">IFERROR(__xludf.DUMMYFUNCTION("""COMPUTED_VALUE"""),"https://www.facebook.com/icarro1821")</f>
        <v>https://www.facebook.com/icarro1821</v>
      </c>
      <c r="B1748" s="1" t="str">
        <f ca="1">IFERROR(__xludf.DUMMYFUNCTION("""COMPUTED_VALUE"""),"Rick DG")</f>
        <v>Rick DG</v>
      </c>
      <c r="C1748" s="1" t="str">
        <f ca="1">IFERROR(__xludf.DUMMYFUNCTION("""COMPUTED_VALUE"""),"Rick")</f>
        <v>Rick</v>
      </c>
      <c r="D1748" s="1" t="str">
        <f ca="1">IFERROR(__xludf.DUMMYFUNCTION("""COMPUTED_VALUE"""),"DG")</f>
        <v>DG</v>
      </c>
      <c r="E1748" s="1" t="str">
        <f ca="1">IFERROR(__xludf.DUMMYFUNCTION("""COMPUTED_VALUE"""),"ʚĩɞ Fi Bi ʚĩɞ so coparent ang simbahan at gobyerno?")</f>
        <v>ʚĩɞ Fi Bi ʚĩɞ so coparent ang simbahan at gobyerno?</v>
      </c>
      <c r="F1748" s="1"/>
      <c r="G1748" s="1" t="str">
        <f ca="1">IFERROR(__xludf.DUMMYFUNCTION("""COMPUTED_VALUE"""),"3 mos")</f>
        <v>3 mos</v>
      </c>
      <c r="H1748" s="1" t="str">
        <f ca="1">IFERROR(__xludf.DUMMYFUNCTION("""COMPUTED_VALUE"""),"reply")</f>
        <v>reply</v>
      </c>
      <c r="I1748" s="2" t="str">
        <f ca="1">IFERROR(__xludf.DUMMYFUNCTION("""COMPUTED_VALUE"""),"https://www.facebook.com/rapplerdotcom/photos/a.317154781638645/5595372260483511/")</f>
        <v>https://www.facebook.com/rapplerdotcom/photos/a.317154781638645/5595372260483511/</v>
      </c>
      <c r="J1748" s="1" t="str">
        <f ca="1">IFERROR(__xludf.DUMMYFUNCTION("""COMPUTED_VALUE"""),"2022-07-04T15:44:55.424Z")</f>
        <v>2022-07-04T15:44:55.424Z</v>
      </c>
    </row>
    <row r="1749" spans="1:10" x14ac:dyDescent="0.2">
      <c r="A1749" s="2" t="str">
        <f ca="1">IFERROR(__xludf.DUMMYFUNCTION("""COMPUTED_VALUE"""),"https://www.facebook.com/phoebe.delara.1")</f>
        <v>https://www.facebook.com/phoebe.delara.1</v>
      </c>
      <c r="B1749" s="1" t="str">
        <f ca="1">IFERROR(__xludf.DUMMYFUNCTION("""COMPUTED_VALUE"""),"Fi Bi")</f>
        <v>Fi Bi</v>
      </c>
      <c r="C1749" s="1" t="str">
        <f ca="1">IFERROR(__xludf.DUMMYFUNCTION("""COMPUTED_VALUE"""),"Fi")</f>
        <v>Fi</v>
      </c>
      <c r="D1749" s="1" t="str">
        <f ca="1">IFERROR(__xludf.DUMMYFUNCTION("""COMPUTED_VALUE"""),"Bi")</f>
        <v>Bi</v>
      </c>
      <c r="E1749" s="1" t="str">
        <f ca="1">IFERROR(__xludf.DUMMYFUNCTION("""COMPUTED_VALUE"""),"Rick DG sir Im into a teenage pregnancy. I have a wonderful and supportive parents. di nagkulang saan mang bagay. But since impulsiveness and curiosity plus the peer factor sinubukan ko un.. Kaya sir hindi lamang s loob ng tahanan natutunan lahat..")</f>
        <v>Rick DG sir Im into a teenage pregnancy. I have a wonderful and supportive parents. di nagkulang saan mang bagay. But since impulsiveness and curiosity plus the peer factor sinubukan ko un.. Kaya sir hindi lamang s loob ng tahanan natutunan lahat..</v>
      </c>
      <c r="F1749" s="1">
        <f ca="1">IFERROR(__xludf.DUMMYFUNCTION("""COMPUTED_VALUE"""),1)</f>
        <v>1</v>
      </c>
      <c r="G1749" s="1" t="str">
        <f ca="1">IFERROR(__xludf.DUMMYFUNCTION("""COMPUTED_VALUE"""),"3 mos")</f>
        <v>3 mos</v>
      </c>
      <c r="H1749" s="1" t="str">
        <f ca="1">IFERROR(__xludf.DUMMYFUNCTION("""COMPUTED_VALUE"""),"reply")</f>
        <v>reply</v>
      </c>
      <c r="I1749" s="2" t="str">
        <f ca="1">IFERROR(__xludf.DUMMYFUNCTION("""COMPUTED_VALUE"""),"https://www.facebook.com/rapplerdotcom/photos/a.317154781638645/5595372260483511/")</f>
        <v>https://www.facebook.com/rapplerdotcom/photos/a.317154781638645/5595372260483511/</v>
      </c>
      <c r="J1749" s="1" t="str">
        <f ca="1">IFERROR(__xludf.DUMMYFUNCTION("""COMPUTED_VALUE"""),"2022-07-04T15:44:55.424Z")</f>
        <v>2022-07-04T15:44:55.424Z</v>
      </c>
    </row>
    <row r="1750" spans="1:10" x14ac:dyDescent="0.2">
      <c r="A1750" s="2" t="str">
        <f ca="1">IFERROR(__xludf.DUMMYFUNCTION("""COMPUTED_VALUE"""),"https://www.facebook.com/BimBirimBimBim")</f>
        <v>https://www.facebook.com/BimBirimBimBim</v>
      </c>
      <c r="B1750" s="1" t="str">
        <f ca="1">IFERROR(__xludf.DUMMYFUNCTION("""COMPUTED_VALUE"""),"Bim Rodriguez")</f>
        <v>Bim Rodriguez</v>
      </c>
      <c r="C1750" s="1" t="str">
        <f ca="1">IFERROR(__xludf.DUMMYFUNCTION("""COMPUTED_VALUE"""),"Bim")</f>
        <v>Bim</v>
      </c>
      <c r="D1750" s="1" t="str">
        <f ca="1">IFERROR(__xludf.DUMMYFUNCTION("""COMPUTED_VALUE"""),"Rodriguez")</f>
        <v>Rodriguez</v>
      </c>
      <c r="E1750" s="1" t="str">
        <f ca="1">IFERROR(__xludf.DUMMYFUNCTION("""COMPUTED_VALUE"""),"Reyfol James Garcia every citizen is a part of community. It's a general term. Mapakasama mo pa pamilya mo o hinde.")</f>
        <v>Reyfol James Garcia every citizen is a part of community. It's a general term. Mapakasama mo pa pamilya mo o hinde.</v>
      </c>
      <c r="F1750" s="1">
        <f ca="1">IFERROR(__xludf.DUMMYFUNCTION("""COMPUTED_VALUE"""),1)</f>
        <v>1</v>
      </c>
      <c r="G1750" s="1" t="str">
        <f ca="1">IFERROR(__xludf.DUMMYFUNCTION("""COMPUTED_VALUE"""),"3 mos")</f>
        <v>3 mos</v>
      </c>
      <c r="H1750" s="1" t="str">
        <f ca="1">IFERROR(__xludf.DUMMYFUNCTION("""COMPUTED_VALUE"""),"reply")</f>
        <v>reply</v>
      </c>
      <c r="I1750" s="2" t="str">
        <f ca="1">IFERROR(__xludf.DUMMYFUNCTION("""COMPUTED_VALUE"""),"https://www.facebook.com/rapplerdotcom/photos/a.317154781638645/5595372260483511/")</f>
        <v>https://www.facebook.com/rapplerdotcom/photos/a.317154781638645/5595372260483511/</v>
      </c>
      <c r="J1750" s="1" t="str">
        <f ca="1">IFERROR(__xludf.DUMMYFUNCTION("""COMPUTED_VALUE"""),"2022-07-04T15:44:55.424Z")</f>
        <v>2022-07-04T15:44:55.424Z</v>
      </c>
    </row>
    <row r="1751" spans="1:10" x14ac:dyDescent="0.2">
      <c r="A1751" s="2" t="str">
        <f ca="1">IFERROR(__xludf.DUMMYFUNCTION("""COMPUTED_VALUE"""),"https://www.facebook.com/HaruldStories")</f>
        <v>https://www.facebook.com/HaruldStories</v>
      </c>
      <c r="B1751" s="1" t="str">
        <f ca="1">IFERROR(__xludf.DUMMYFUNCTION("""COMPUTED_VALUE"""),"Haruld Gabilan")</f>
        <v>Haruld Gabilan</v>
      </c>
      <c r="C1751" s="1" t="str">
        <f ca="1">IFERROR(__xludf.DUMMYFUNCTION("""COMPUTED_VALUE"""),"Haruld")</f>
        <v>Haruld</v>
      </c>
      <c r="D1751" s="1" t="str">
        <f ca="1">IFERROR(__xludf.DUMMYFUNCTION("""COMPUTED_VALUE"""),"Gabilan")</f>
        <v>Gabilan</v>
      </c>
      <c r="E1751" s="1" t="str">
        <f ca="1">IFERROR(__xludf.DUMMYFUNCTION("""COMPUTED_VALUE"""),"answers are still the medium of difference why acceptance to the development strategy into the needs in possible why problems are questions but support reaction.. in what ways?!!👍")</f>
        <v>answers are still the medium of difference why acceptance to the development strategy into the needs in possible why problems are questions but support reaction.. in what ways?!!👍</v>
      </c>
      <c r="F1751" s="1"/>
      <c r="G1751" s="1" t="str">
        <f ca="1">IFERROR(__xludf.DUMMYFUNCTION("""COMPUTED_VALUE"""),"3 mos")</f>
        <v>3 mos</v>
      </c>
      <c r="H1751" s="1" t="str">
        <f ca="1">IFERROR(__xludf.DUMMYFUNCTION("""COMPUTED_VALUE"""),"comment")</f>
        <v>comment</v>
      </c>
      <c r="I1751" s="2" t="str">
        <f ca="1">IFERROR(__xludf.DUMMYFUNCTION("""COMPUTED_VALUE"""),"https://www.facebook.com/rapplerdotcom/photos/a.317154781638645/5595372260483511/")</f>
        <v>https://www.facebook.com/rapplerdotcom/photos/a.317154781638645/5595372260483511/</v>
      </c>
      <c r="J1751" s="1" t="str">
        <f ca="1">IFERROR(__xludf.DUMMYFUNCTION("""COMPUTED_VALUE"""),"2022-07-04T15:44:55.424Z")</f>
        <v>2022-07-04T15:44:55.424Z</v>
      </c>
    </row>
    <row r="1752" spans="1:10" x14ac:dyDescent="0.2">
      <c r="A1752" s="2" t="str">
        <f ca="1">IFERROR(__xludf.DUMMYFUNCTION("""COMPUTED_VALUE"""),"https://www.facebook.com/profile.php?id=100000429193684")</f>
        <v>https://www.facebook.com/profile.php?id=100000429193684</v>
      </c>
      <c r="B1752" s="1" t="str">
        <f ca="1">IFERROR(__xludf.DUMMYFUNCTION("""COMPUTED_VALUE"""),"Harold Valdez Grande Jr")</f>
        <v>Harold Valdez Grande Jr</v>
      </c>
      <c r="C1752" s="1" t="str">
        <f ca="1">IFERROR(__xludf.DUMMYFUNCTION("""COMPUTED_VALUE"""),"Harold")</f>
        <v>Harold</v>
      </c>
      <c r="D1752" s="1" t="str">
        <f ca="1">IFERROR(__xludf.DUMMYFUNCTION("""COMPUTED_VALUE"""),"Valdez Grande Jr")</f>
        <v>Valdez Grande Jr</v>
      </c>
      <c r="E1752" s="1" t="str">
        <f ca="1">IFERROR(__xludf.DUMMYFUNCTION("""COMPUTED_VALUE"""),"Battlecry ng UNITEAM yan madam “PAGKAKAISA”")</f>
        <v>Battlecry ng UNITEAM yan madam “PAGKAKAISA”</v>
      </c>
      <c r="F1752" s="1">
        <f ca="1">IFERROR(__xludf.DUMMYFUNCTION("""COMPUTED_VALUE"""),4)</f>
        <v>4</v>
      </c>
      <c r="G1752" s="1" t="str">
        <f ca="1">IFERROR(__xludf.DUMMYFUNCTION("""COMPUTED_VALUE"""),"3 mos")</f>
        <v>3 mos</v>
      </c>
      <c r="H1752" s="1" t="str">
        <f ca="1">IFERROR(__xludf.DUMMYFUNCTION("""COMPUTED_VALUE"""),"comment")</f>
        <v>comment</v>
      </c>
      <c r="I1752" s="2" t="str">
        <f ca="1">IFERROR(__xludf.DUMMYFUNCTION("""COMPUTED_VALUE"""),"https://www.facebook.com/rapplerdotcom/photos/a.317154781638645/5595372260483511/")</f>
        <v>https://www.facebook.com/rapplerdotcom/photos/a.317154781638645/5595372260483511/</v>
      </c>
      <c r="J1752" s="1" t="str">
        <f ca="1">IFERROR(__xludf.DUMMYFUNCTION("""COMPUTED_VALUE"""),"2022-07-04T15:44:55.424Z")</f>
        <v>2022-07-04T15:44:55.424Z</v>
      </c>
    </row>
    <row r="1753" spans="1:10" x14ac:dyDescent="0.2">
      <c r="A1753" s="2" t="str">
        <f ca="1">IFERROR(__xludf.DUMMYFUNCTION("""COMPUTED_VALUE"""),"https://www.facebook.com/eva.jimenez.39794895")</f>
        <v>https://www.facebook.com/eva.jimenez.39794895</v>
      </c>
      <c r="B1753" s="1" t="str">
        <f ca="1">IFERROR(__xludf.DUMMYFUNCTION("""COMPUTED_VALUE"""),"Eva Jimenez")</f>
        <v>Eva Jimenez</v>
      </c>
      <c r="C1753" s="1" t="str">
        <f ca="1">IFERROR(__xludf.DUMMYFUNCTION("""COMPUTED_VALUE"""),"Eva")</f>
        <v>Eva</v>
      </c>
      <c r="D1753" s="1" t="str">
        <f ca="1">IFERROR(__xludf.DUMMYFUNCTION("""COMPUTED_VALUE"""),"Jimenez")</f>
        <v>Jimenez</v>
      </c>
      <c r="E1753" s="1" t="str">
        <f ca="1">IFERROR(__xludf.DUMMYFUNCTION("""COMPUTED_VALUE"""),"Churh daw,")</f>
        <v>Churh daw,</v>
      </c>
      <c r="F1753" s="1"/>
      <c r="G1753" s="1" t="str">
        <f ca="1">IFERROR(__xludf.DUMMYFUNCTION("""COMPUTED_VALUE"""),"3 mos")</f>
        <v>3 mos</v>
      </c>
      <c r="H1753" s="1" t="str">
        <f ca="1">IFERROR(__xludf.DUMMYFUNCTION("""COMPUTED_VALUE"""),"comment")</f>
        <v>comment</v>
      </c>
      <c r="I1753" s="2" t="str">
        <f ca="1">IFERROR(__xludf.DUMMYFUNCTION("""COMPUTED_VALUE"""),"https://www.facebook.com/rapplerdotcom/photos/a.317154781638645/5595372260483511/")</f>
        <v>https://www.facebook.com/rapplerdotcom/photos/a.317154781638645/5595372260483511/</v>
      </c>
      <c r="J1753" s="1" t="str">
        <f ca="1">IFERROR(__xludf.DUMMYFUNCTION("""COMPUTED_VALUE"""),"2022-07-04T15:44:55.424Z")</f>
        <v>2022-07-04T15:44:55.424Z</v>
      </c>
    </row>
    <row r="1754" spans="1:10" x14ac:dyDescent="0.2">
      <c r="A1754" s="2" t="str">
        <f ca="1">IFERROR(__xludf.DUMMYFUNCTION("""COMPUTED_VALUE"""),"https://www.facebook.com/profile.php?id=100073772812583")</f>
        <v>https://www.facebook.com/profile.php?id=100073772812583</v>
      </c>
      <c r="B1754" s="1" t="str">
        <f ca="1">IFERROR(__xludf.DUMMYFUNCTION("""COMPUTED_VALUE"""),"Justine Cortez")</f>
        <v>Justine Cortez</v>
      </c>
      <c r="C1754" s="1" t="str">
        <f ca="1">IFERROR(__xludf.DUMMYFUNCTION("""COMPUTED_VALUE"""),"Justine")</f>
        <v>Justine</v>
      </c>
      <c r="D1754" s="1" t="str">
        <f ca="1">IFERROR(__xludf.DUMMYFUNCTION("""COMPUTED_VALUE"""),"Cortez")</f>
        <v>Cortez</v>
      </c>
      <c r="E1754" s="1" t="str">
        <f ca="1">IFERROR(__xludf.DUMMYFUNCTION("""COMPUTED_VALUE"""),"Doon ako sa mabait 🎶 Doon ako sa magaling 🎶 JV EJERCITO 🎶🎶🎶  Basa lang walang kanta ah 😁")</f>
        <v>Doon ako sa mabait 🎶 Doon ako sa magaling 🎶 JV EJERCITO 🎶🎶🎶  Basa lang walang kanta ah 😁</v>
      </c>
      <c r="F1754" s="1">
        <f ca="1">IFERROR(__xludf.DUMMYFUNCTION("""COMPUTED_VALUE"""),2)</f>
        <v>2</v>
      </c>
      <c r="G1754" s="1" t="str">
        <f ca="1">IFERROR(__xludf.DUMMYFUNCTION("""COMPUTED_VALUE"""),"3 mos")</f>
        <v>3 mos</v>
      </c>
      <c r="H1754" s="1" t="str">
        <f ca="1">IFERROR(__xludf.DUMMYFUNCTION("""COMPUTED_VALUE"""),"comment")</f>
        <v>comment</v>
      </c>
      <c r="I1754" s="2" t="str">
        <f ca="1">IFERROR(__xludf.DUMMYFUNCTION("""COMPUTED_VALUE"""),"https://www.facebook.com/rapplerdotcom/photos/a.317154781638645/5595372260483511/")</f>
        <v>https://www.facebook.com/rapplerdotcom/photos/a.317154781638645/5595372260483511/</v>
      </c>
      <c r="J1754" s="1" t="str">
        <f ca="1">IFERROR(__xludf.DUMMYFUNCTION("""COMPUTED_VALUE"""),"2022-07-04T15:44:55.424Z")</f>
        <v>2022-07-04T15:44:55.424Z</v>
      </c>
    </row>
    <row r="1755" spans="1:10" x14ac:dyDescent="0.2">
      <c r="A1755" s="2" t="str">
        <f ca="1">IFERROR(__xludf.DUMMYFUNCTION("""COMPUTED_VALUE"""),"https://www.facebook.com/manuel.cero.750")</f>
        <v>https://www.facebook.com/manuel.cero.750</v>
      </c>
      <c r="B1755" s="1" t="str">
        <f ca="1">IFERROR(__xludf.DUMMYFUNCTION("""COMPUTED_VALUE"""),"Manuel Cero")</f>
        <v>Manuel Cero</v>
      </c>
      <c r="C1755" s="1" t="str">
        <f ca="1">IFERROR(__xludf.DUMMYFUNCTION("""COMPUTED_VALUE"""),"Manuel")</f>
        <v>Manuel</v>
      </c>
      <c r="D1755" s="1" t="str">
        <f ca="1">IFERROR(__xludf.DUMMYFUNCTION("""COMPUTED_VALUE"""),"Cero")</f>
        <v>Cero</v>
      </c>
      <c r="E1755" s="1" t="str">
        <f ca="1">IFERROR(__xludf.DUMMYFUNCTION("""COMPUTED_VALUE"""),"Ugali na Tama korekkkkkk")</f>
        <v>Ugali na Tama korekkkkkk</v>
      </c>
      <c r="F1755" s="1"/>
      <c r="G1755" s="1" t="str">
        <f ca="1">IFERROR(__xludf.DUMMYFUNCTION("""COMPUTED_VALUE"""),"3 mos")</f>
        <v>3 mos</v>
      </c>
      <c r="H1755" s="1" t="str">
        <f ca="1">IFERROR(__xludf.DUMMYFUNCTION("""COMPUTED_VALUE"""),"comment")</f>
        <v>comment</v>
      </c>
      <c r="I1755" s="2" t="str">
        <f ca="1">IFERROR(__xludf.DUMMYFUNCTION("""COMPUTED_VALUE"""),"https://www.facebook.com/rapplerdotcom/photos/a.317154781638645/5595372260483511/")</f>
        <v>https://www.facebook.com/rapplerdotcom/photos/a.317154781638645/5595372260483511/</v>
      </c>
      <c r="J1755" s="1" t="str">
        <f ca="1">IFERROR(__xludf.DUMMYFUNCTION("""COMPUTED_VALUE"""),"2022-07-04T15:44:55.424Z")</f>
        <v>2022-07-04T15:44:55.424Z</v>
      </c>
    </row>
    <row r="1756" spans="1:10" x14ac:dyDescent="0.2">
      <c r="A1756" s="2" t="str">
        <f ca="1">IFERROR(__xludf.DUMMYFUNCTION("""COMPUTED_VALUE"""),"https://www.facebook.com/rhey.olan.3")</f>
        <v>https://www.facebook.com/rhey.olan.3</v>
      </c>
      <c r="B1756" s="1" t="str">
        <f ca="1">IFERROR(__xludf.DUMMYFUNCTION("""COMPUTED_VALUE"""),"Reynaldo Tegio Olan")</f>
        <v>Reynaldo Tegio Olan</v>
      </c>
      <c r="C1756" s="1" t="str">
        <f ca="1">IFERROR(__xludf.DUMMYFUNCTION("""COMPUTED_VALUE"""),"Reynaldo")</f>
        <v>Reynaldo</v>
      </c>
      <c r="D1756" s="1" t="str">
        <f ca="1">IFERROR(__xludf.DUMMYFUNCTION("""COMPUTED_VALUE"""),"Tegio Olan")</f>
        <v>Tegio Olan</v>
      </c>
      <c r="E1756" s="1" t="str">
        <f ca="1">IFERROR(__xludf.DUMMYFUNCTION("""COMPUTED_VALUE"""),"Madami nang nagsav nyan😂 nasa tao Nayan")</f>
        <v>Madami nang nagsav nyan😂 nasa tao Nayan</v>
      </c>
      <c r="F1756" s="1"/>
      <c r="G1756" s="1" t="str">
        <f ca="1">IFERROR(__xludf.DUMMYFUNCTION("""COMPUTED_VALUE"""),"3 mos")</f>
        <v>3 mos</v>
      </c>
      <c r="H1756" s="1" t="str">
        <f ca="1">IFERROR(__xludf.DUMMYFUNCTION("""COMPUTED_VALUE"""),"comment")</f>
        <v>comment</v>
      </c>
      <c r="I1756" s="2" t="str">
        <f ca="1">IFERROR(__xludf.DUMMYFUNCTION("""COMPUTED_VALUE"""),"https://www.facebook.com/rapplerdotcom/photos/a.317154781638645/5595372260483511/")</f>
        <v>https://www.facebook.com/rapplerdotcom/photos/a.317154781638645/5595372260483511/</v>
      </c>
      <c r="J1756" s="1" t="str">
        <f ca="1">IFERROR(__xludf.DUMMYFUNCTION("""COMPUTED_VALUE"""),"2022-07-04T15:44:55.424Z")</f>
        <v>2022-07-04T15:44:55.424Z</v>
      </c>
    </row>
    <row r="1757" spans="1:10" x14ac:dyDescent="0.2">
      <c r="A1757" s="2" t="str">
        <f ca="1">IFERROR(__xludf.DUMMYFUNCTION("""COMPUTED_VALUE"""),"https://www.facebook.com/cezar.borja.96")</f>
        <v>https://www.facebook.com/cezar.borja.96</v>
      </c>
      <c r="B1757" s="1" t="str">
        <f ca="1">IFERROR(__xludf.DUMMYFUNCTION("""COMPUTED_VALUE"""),"Cezar Borja")</f>
        <v>Cezar Borja</v>
      </c>
      <c r="C1757" s="1" t="str">
        <f ca="1">IFERROR(__xludf.DUMMYFUNCTION("""COMPUTED_VALUE"""),"Cezar")</f>
        <v>Cezar</v>
      </c>
      <c r="D1757" s="1" t="str">
        <f ca="1">IFERROR(__xludf.DUMMYFUNCTION("""COMPUTED_VALUE"""),"Borja")</f>
        <v>Borja</v>
      </c>
      <c r="E1757" s="1" t="str">
        <f ca="1">IFERROR(__xludf.DUMMYFUNCTION("""COMPUTED_VALUE"""),"Tama po")</f>
        <v>Tama po</v>
      </c>
      <c r="F1757" s="1"/>
      <c r="G1757" s="1" t="str">
        <f ca="1">IFERROR(__xludf.DUMMYFUNCTION("""COMPUTED_VALUE"""),"3 mos")</f>
        <v>3 mos</v>
      </c>
      <c r="H1757" s="1" t="str">
        <f ca="1">IFERROR(__xludf.DUMMYFUNCTION("""COMPUTED_VALUE"""),"comment")</f>
        <v>comment</v>
      </c>
      <c r="I1757" s="2" t="str">
        <f ca="1">IFERROR(__xludf.DUMMYFUNCTION("""COMPUTED_VALUE"""),"https://www.facebook.com/rapplerdotcom/photos/a.317154781638645/5595372260483511/")</f>
        <v>https://www.facebook.com/rapplerdotcom/photos/a.317154781638645/5595372260483511/</v>
      </c>
      <c r="J1757" s="1" t="str">
        <f ca="1">IFERROR(__xludf.DUMMYFUNCTION("""COMPUTED_VALUE"""),"2022-07-04T15:44:55.425Z")</f>
        <v>2022-07-04T15:44:55.425Z</v>
      </c>
    </row>
    <row r="1758" spans="1:10" x14ac:dyDescent="0.2">
      <c r="A1758" s="2" t="str">
        <f ca="1">IFERROR(__xludf.DUMMYFUNCTION("""COMPUTED_VALUE"""),"https://www.facebook.com/inday.jayme.5")</f>
        <v>https://www.facebook.com/inday.jayme.5</v>
      </c>
      <c r="B1758" s="1" t="str">
        <f ca="1">IFERROR(__xludf.DUMMYFUNCTION("""COMPUTED_VALUE"""),"Inday Jayme")</f>
        <v>Inday Jayme</v>
      </c>
      <c r="C1758" s="1" t="str">
        <f ca="1">IFERROR(__xludf.DUMMYFUNCTION("""COMPUTED_VALUE"""),"Inday")</f>
        <v>Inday</v>
      </c>
      <c r="D1758" s="1" t="str">
        <f ca="1">IFERROR(__xludf.DUMMYFUNCTION("""COMPUTED_VALUE"""),"Jayme")</f>
        <v>Jayme</v>
      </c>
      <c r="E1758" s="1" t="str">
        <f ca="1">IFERROR(__xludf.DUMMYFUNCTION("""COMPUTED_VALUE"""),"Malakas ang Loob")</f>
        <v>Malakas ang Loob</v>
      </c>
      <c r="F1758" s="1"/>
      <c r="G1758" s="1" t="str">
        <f ca="1">IFERROR(__xludf.DUMMYFUNCTION("""COMPUTED_VALUE"""),"3 mos")</f>
        <v>3 mos</v>
      </c>
      <c r="H1758" s="1" t="str">
        <f ca="1">IFERROR(__xludf.DUMMYFUNCTION("""COMPUTED_VALUE"""),"comment")</f>
        <v>comment</v>
      </c>
      <c r="I1758" s="2" t="str">
        <f ca="1">IFERROR(__xludf.DUMMYFUNCTION("""COMPUTED_VALUE"""),"https://www.facebook.com/rapplerdotcom/photos/a.317154781638645/5595372260483511/")</f>
        <v>https://www.facebook.com/rapplerdotcom/photos/a.317154781638645/5595372260483511/</v>
      </c>
      <c r="J1758" s="1" t="str">
        <f ca="1">IFERROR(__xludf.DUMMYFUNCTION("""COMPUTED_VALUE"""),"2022-07-04T15:44:55.425Z")</f>
        <v>2022-07-04T15:44:55.425Z</v>
      </c>
    </row>
    <row r="1759" spans="1:10" x14ac:dyDescent="0.2">
      <c r="A1759" s="2" t="str">
        <f ca="1">IFERROR(__xludf.DUMMYFUNCTION("""COMPUTED_VALUE"""),"https://www.facebook.com/profile.php?id=100067656224446")</f>
        <v>https://www.facebook.com/profile.php?id=100067656224446</v>
      </c>
      <c r="B1759" s="1" t="str">
        <f ca="1">IFERROR(__xludf.DUMMYFUNCTION("""COMPUTED_VALUE"""),"Dave Ramos")</f>
        <v>Dave Ramos</v>
      </c>
      <c r="C1759" s="1" t="str">
        <f ca="1">IFERROR(__xludf.DUMMYFUNCTION("""COMPUTED_VALUE"""),"Dave")</f>
        <v>Dave</v>
      </c>
      <c r="D1759" s="1" t="str">
        <f ca="1">IFERROR(__xludf.DUMMYFUNCTION("""COMPUTED_VALUE"""),"Ramos")</f>
        <v>Ramos</v>
      </c>
      <c r="E1759" s="1" t="str">
        <f ca="1">IFERROR(__xludf.DUMMYFUNCTION("""COMPUTED_VALUE"""),"My President. We will make her win this May 2022.🌸🌸")</f>
        <v>My President. We will make her win this May 2022.🌸🌸</v>
      </c>
      <c r="F1759" s="1"/>
      <c r="G1759" s="1" t="str">
        <f ca="1">IFERROR(__xludf.DUMMYFUNCTION("""COMPUTED_VALUE"""),"3 mos")</f>
        <v>3 mos</v>
      </c>
      <c r="H1759" s="1" t="str">
        <f ca="1">IFERROR(__xludf.DUMMYFUNCTION("""COMPUTED_VALUE"""),"comment")</f>
        <v>comment</v>
      </c>
      <c r="I1759" s="2" t="str">
        <f ca="1">IFERROR(__xludf.DUMMYFUNCTION("""COMPUTED_VALUE"""),"https://www.facebook.com/rapplerdotcom/photos/a.317154781638645/5595372260483511/")</f>
        <v>https://www.facebook.com/rapplerdotcom/photos/a.317154781638645/5595372260483511/</v>
      </c>
      <c r="J1759" s="1" t="str">
        <f ca="1">IFERROR(__xludf.DUMMYFUNCTION("""COMPUTED_VALUE"""),"2022-07-04T15:44:55.425Z")</f>
        <v>2022-07-04T15:44:55.425Z</v>
      </c>
    </row>
    <row r="1760" spans="1:10" x14ac:dyDescent="0.2">
      <c r="A1760" s="2" t="str">
        <f ca="1">IFERROR(__xludf.DUMMYFUNCTION("""COMPUTED_VALUE"""),"https://www.facebook.com/pamilyado")</f>
        <v>https://www.facebook.com/pamilyado</v>
      </c>
      <c r="B1760" s="1" t="str">
        <f ca="1">IFERROR(__xludf.DUMMYFUNCTION("""COMPUTED_VALUE"""),"El Hombre")</f>
        <v>El Hombre</v>
      </c>
      <c r="C1760" s="1" t="str">
        <f ca="1">IFERROR(__xludf.DUMMYFUNCTION("""COMPUTED_VALUE"""),"El")</f>
        <v>El</v>
      </c>
      <c r="D1760" s="1" t="str">
        <f ca="1">IFERROR(__xludf.DUMMYFUNCTION("""COMPUTED_VALUE"""),"Hombre")</f>
        <v>Hombre</v>
      </c>
      <c r="E1760" s="1" t="str">
        <f ca="1">IFERROR(__xludf.DUMMYFUNCTION("""COMPUTED_VALUE"""),"Importante ang faith to solve this problem - Manny Pacquiao")</f>
        <v>Importante ang faith to solve this problem - Manny Pacquiao</v>
      </c>
      <c r="F1760" s="1"/>
      <c r="G1760" s="1" t="str">
        <f ca="1">IFERROR(__xludf.DUMMYFUNCTION("""COMPUTED_VALUE"""),"3 mos")</f>
        <v>3 mos</v>
      </c>
      <c r="H1760" s="1" t="str">
        <f ca="1">IFERROR(__xludf.DUMMYFUNCTION("""COMPUTED_VALUE"""),"comment")</f>
        <v>comment</v>
      </c>
      <c r="I1760" s="2" t="str">
        <f ca="1">IFERROR(__xludf.DUMMYFUNCTION("""COMPUTED_VALUE"""),"https://www.facebook.com/rapplerdotcom/photos/a.317154781638645/5595372260483511/")</f>
        <v>https://www.facebook.com/rapplerdotcom/photos/a.317154781638645/5595372260483511/</v>
      </c>
      <c r="J1760" s="1" t="str">
        <f ca="1">IFERROR(__xludf.DUMMYFUNCTION("""COMPUTED_VALUE"""),"2022-07-04T15:44:55.425Z")</f>
        <v>2022-07-04T15:44:55.425Z</v>
      </c>
    </row>
    <row r="1761" spans="1:10" x14ac:dyDescent="0.2">
      <c r="A1761" s="2" t="str">
        <f ca="1">IFERROR(__xludf.DUMMYFUNCTION("""COMPUTED_VALUE"""),"https://www.facebook.com/profile.php?id=100078937432698")</f>
        <v>https://www.facebook.com/profile.php?id=100078937432698</v>
      </c>
      <c r="B1761" s="1" t="str">
        <f ca="1">IFERROR(__xludf.DUMMYFUNCTION("""COMPUTED_VALUE"""),"Rose Busa")</f>
        <v>Rose Busa</v>
      </c>
      <c r="C1761" s="1" t="str">
        <f ca="1">IFERROR(__xludf.DUMMYFUNCTION("""COMPUTED_VALUE"""),"Rose")</f>
        <v>Rose</v>
      </c>
      <c r="D1761" s="1" t="str">
        <f ca="1">IFERROR(__xludf.DUMMYFUNCTION("""COMPUTED_VALUE"""),"Busa")</f>
        <v>Busa</v>
      </c>
      <c r="E1761" s="1" t="str">
        <f ca="1">IFERROR(__xludf.DUMMYFUNCTION("""COMPUTED_VALUE"""),"❤💚✌")</f>
        <v>❤💚✌</v>
      </c>
      <c r="F1761" s="1"/>
      <c r="G1761" s="1" t="str">
        <f ca="1">IFERROR(__xludf.DUMMYFUNCTION("""COMPUTED_VALUE"""),"3 mos")</f>
        <v>3 mos</v>
      </c>
      <c r="H1761" s="1" t="str">
        <f ca="1">IFERROR(__xludf.DUMMYFUNCTION("""COMPUTED_VALUE"""),"comment")</f>
        <v>comment</v>
      </c>
      <c r="I1761" s="2" t="str">
        <f ca="1">IFERROR(__xludf.DUMMYFUNCTION("""COMPUTED_VALUE"""),"https://www.facebook.com/rapplerdotcom/photos/a.317154781638645/5595372260483511/")</f>
        <v>https://www.facebook.com/rapplerdotcom/photos/a.317154781638645/5595372260483511/</v>
      </c>
      <c r="J1761" s="1" t="str">
        <f ca="1">IFERROR(__xludf.DUMMYFUNCTION("""COMPUTED_VALUE"""),"2022-07-04T15:44:55.425Z")</f>
        <v>2022-07-04T15:44:55.425Z</v>
      </c>
    </row>
    <row r="1762" spans="1:10" x14ac:dyDescent="0.2">
      <c r="A1762" s="2" t="str">
        <f ca="1">IFERROR(__xludf.DUMMYFUNCTION("""COMPUTED_VALUE"""),"https://www.facebook.com/michelle.v.gomonit")</f>
        <v>https://www.facebook.com/michelle.v.gomonit</v>
      </c>
      <c r="B1762" s="1" t="str">
        <f ca="1">IFERROR(__xludf.DUMMYFUNCTION("""COMPUTED_VALUE"""),"Michelle Jumicath Vale Gomonit")</f>
        <v>Michelle Jumicath Vale Gomonit</v>
      </c>
      <c r="C1762" s="1" t="str">
        <f ca="1">IFERROR(__xludf.DUMMYFUNCTION("""COMPUTED_VALUE"""),"Michelle")</f>
        <v>Michelle</v>
      </c>
      <c r="D1762" s="1" t="str">
        <f ca="1">IFERROR(__xludf.DUMMYFUNCTION("""COMPUTED_VALUE"""),"Jumicath Vale Gomonit")</f>
        <v>Jumicath Vale Gomonit</v>
      </c>
      <c r="E1762" s="1" t="str">
        <f ca="1">IFERROR(__xludf.DUMMYFUNCTION("""COMPUTED_VALUE"""),"PRAYERS AND FAITH TO GOD are the best weapon para sa atin lahat..")</f>
        <v>PRAYERS AND FAITH TO GOD are the best weapon para sa atin lahat..</v>
      </c>
      <c r="F1762" s="1"/>
      <c r="G1762" s="1" t="str">
        <f ca="1">IFERROR(__xludf.DUMMYFUNCTION("""COMPUTED_VALUE"""),"3 mos")</f>
        <v>3 mos</v>
      </c>
      <c r="H1762" s="1" t="str">
        <f ca="1">IFERROR(__xludf.DUMMYFUNCTION("""COMPUTED_VALUE"""),"comment")</f>
        <v>comment</v>
      </c>
      <c r="I1762" s="2" t="str">
        <f ca="1">IFERROR(__xludf.DUMMYFUNCTION("""COMPUTED_VALUE"""),"https://www.facebook.com/rapplerdotcom/photos/a.317154781638645/5595372260483511/")</f>
        <v>https://www.facebook.com/rapplerdotcom/photos/a.317154781638645/5595372260483511/</v>
      </c>
      <c r="J1762" s="1" t="str">
        <f ca="1">IFERROR(__xludf.DUMMYFUNCTION("""COMPUTED_VALUE"""),"2022-07-04T15:44:55.425Z")</f>
        <v>2022-07-04T15:44:55.425Z</v>
      </c>
    </row>
    <row r="1763" spans="1:10" x14ac:dyDescent="0.2">
      <c r="A1763" s="2" t="str">
        <f ca="1">IFERROR(__xludf.DUMMYFUNCTION("""COMPUTED_VALUE"""),"https://www.facebook.com/icmayordo")</f>
        <v>https://www.facebook.com/icmayordo</v>
      </c>
      <c r="B1763" s="1" t="str">
        <f ca="1">IFERROR(__xludf.DUMMYFUNCTION("""COMPUTED_VALUE"""),"Ian Christopher Mayordo")</f>
        <v>Ian Christopher Mayordo</v>
      </c>
      <c r="C1763" s="1" t="str">
        <f ca="1">IFERROR(__xludf.DUMMYFUNCTION("""COMPUTED_VALUE"""),"Ian")</f>
        <v>Ian</v>
      </c>
      <c r="D1763" s="1" t="str">
        <f ca="1">IFERROR(__xludf.DUMMYFUNCTION("""COMPUTED_VALUE"""),"Christopher Mayordo")</f>
        <v>Christopher Mayordo</v>
      </c>
      <c r="E1763" s="1" t="str">
        <f ca="1">IFERROR(__xludf.DUMMYFUNCTION("""COMPUTED_VALUE"""),"Edi tipaklong!")</f>
        <v>Edi tipaklong!</v>
      </c>
      <c r="F1763" s="1"/>
      <c r="G1763" s="1" t="str">
        <f ca="1">IFERROR(__xludf.DUMMYFUNCTION("""COMPUTED_VALUE"""),"3 mos")</f>
        <v>3 mos</v>
      </c>
      <c r="H1763" s="1" t="str">
        <f ca="1">IFERROR(__xludf.DUMMYFUNCTION("""COMPUTED_VALUE"""),"comment")</f>
        <v>comment</v>
      </c>
      <c r="I1763" s="2" t="str">
        <f ca="1">IFERROR(__xludf.DUMMYFUNCTION("""COMPUTED_VALUE"""),"https://www.facebook.com/rapplerdotcom/photos/a.317154781638645/5595372260483511/")</f>
        <v>https://www.facebook.com/rapplerdotcom/photos/a.317154781638645/5595372260483511/</v>
      </c>
      <c r="J1763" s="1" t="str">
        <f ca="1">IFERROR(__xludf.DUMMYFUNCTION("""COMPUTED_VALUE"""),"2022-07-04T15:44:55.425Z")</f>
        <v>2022-07-04T15:44:55.425Z</v>
      </c>
    </row>
    <row r="1764" spans="1:10" x14ac:dyDescent="0.2">
      <c r="A1764" s="2" t="str">
        <f ca="1">IFERROR(__xludf.DUMMYFUNCTION("""COMPUTED_VALUE"""),"https://www.facebook.com/eveloren.gulla")</f>
        <v>https://www.facebook.com/eveloren.gulla</v>
      </c>
      <c r="B1764" s="1" t="str">
        <f ca="1">IFERROR(__xludf.DUMMYFUNCTION("""COMPUTED_VALUE"""),"Ree Yah")</f>
        <v>Ree Yah</v>
      </c>
      <c r="C1764" s="1" t="str">
        <f ca="1">IFERROR(__xludf.DUMMYFUNCTION("""COMPUTED_VALUE"""),"Ree")</f>
        <v>Ree</v>
      </c>
      <c r="D1764" s="1" t="str">
        <f ca="1">IFERROR(__xludf.DUMMYFUNCTION("""COMPUTED_VALUE"""),"Yah")</f>
        <v>Yah</v>
      </c>
      <c r="E1764" s="1" t="str">
        <f ca="1">IFERROR(__xludf.DUMMYFUNCTION("""COMPUTED_VALUE"""),"Basta mag pray lang madam :)")</f>
        <v>Basta mag pray lang madam :)</v>
      </c>
      <c r="F1764" s="1"/>
      <c r="G1764" s="1" t="str">
        <f ca="1">IFERROR(__xludf.DUMMYFUNCTION("""COMPUTED_VALUE"""),"3 mos")</f>
        <v>3 mos</v>
      </c>
      <c r="H1764" s="1" t="str">
        <f ca="1">IFERROR(__xludf.DUMMYFUNCTION("""COMPUTED_VALUE"""),"comment")</f>
        <v>comment</v>
      </c>
      <c r="I1764" s="2" t="str">
        <f ca="1">IFERROR(__xludf.DUMMYFUNCTION("""COMPUTED_VALUE"""),"https://www.facebook.com/rapplerdotcom/photos/a.317154781638645/5595372260483511/")</f>
        <v>https://www.facebook.com/rapplerdotcom/photos/a.317154781638645/5595372260483511/</v>
      </c>
      <c r="J1764" s="1" t="str">
        <f ca="1">IFERROR(__xludf.DUMMYFUNCTION("""COMPUTED_VALUE"""),"2022-07-04T15:44:55.425Z")</f>
        <v>2022-07-04T15:44:55.425Z</v>
      </c>
    </row>
    <row r="1765" spans="1:10" x14ac:dyDescent="0.2">
      <c r="A1765" s="2" t="str">
        <f ca="1">IFERROR(__xludf.DUMMYFUNCTION("""COMPUTED_VALUE"""),"https://www.facebook.com/schezo12")</f>
        <v>https://www.facebook.com/schezo12</v>
      </c>
      <c r="B1765" s="1" t="str">
        <f ca="1">IFERROR(__xludf.DUMMYFUNCTION("""COMPUTED_VALUE"""),"Abd Shakur Indasan Amilhamja")</f>
        <v>Abd Shakur Indasan Amilhamja</v>
      </c>
      <c r="C1765" s="1" t="str">
        <f ca="1">IFERROR(__xludf.DUMMYFUNCTION("""COMPUTED_VALUE"""),"Abd")</f>
        <v>Abd</v>
      </c>
      <c r="D1765" s="1" t="str">
        <f ca="1">IFERROR(__xludf.DUMMYFUNCTION("""COMPUTED_VALUE"""),"Shakur Indasan Amilhamja")</f>
        <v>Shakur Indasan Amilhamja</v>
      </c>
      <c r="E1765" s="1" t="str">
        <f ca="1">IFERROR(__xludf.DUMMYFUNCTION("""COMPUTED_VALUE"""),"Amen🤥🤚")</f>
        <v>Amen🤥🤚</v>
      </c>
      <c r="F1765" s="1"/>
      <c r="G1765" s="1" t="str">
        <f ca="1">IFERROR(__xludf.DUMMYFUNCTION("""COMPUTED_VALUE"""),"3 mos")</f>
        <v>3 mos</v>
      </c>
      <c r="H1765" s="1" t="str">
        <f ca="1">IFERROR(__xludf.DUMMYFUNCTION("""COMPUTED_VALUE"""),"comment")</f>
        <v>comment</v>
      </c>
      <c r="I1765" s="2" t="str">
        <f ca="1">IFERROR(__xludf.DUMMYFUNCTION("""COMPUTED_VALUE"""),"https://www.facebook.com/rapplerdotcom/photos/a.317154781638645/5595372260483511/")</f>
        <v>https://www.facebook.com/rapplerdotcom/photos/a.317154781638645/5595372260483511/</v>
      </c>
      <c r="J1765" s="1" t="str">
        <f ca="1">IFERROR(__xludf.DUMMYFUNCTION("""COMPUTED_VALUE"""),"2022-07-04T15:44:55.425Z")</f>
        <v>2022-07-04T15:44:55.425Z</v>
      </c>
    </row>
    <row r="1766" spans="1:10" x14ac:dyDescent="0.2">
      <c r="A1766" s="2" t="str">
        <f ca="1">IFERROR(__xludf.DUMMYFUNCTION("""COMPUTED_VALUE"""),"https://www.facebook.com/ferdinandferdinandzein")</f>
        <v>https://www.facebook.com/ferdinandferdinandzein</v>
      </c>
      <c r="B1766" s="1" t="str">
        <f ca="1">IFERROR(__xludf.DUMMYFUNCTION("""COMPUTED_VALUE"""),"Zein Zein")</f>
        <v>Zein Zein</v>
      </c>
      <c r="C1766" s="1" t="str">
        <f ca="1">IFERROR(__xludf.DUMMYFUNCTION("""COMPUTED_VALUE"""),"Zein")</f>
        <v>Zein</v>
      </c>
      <c r="D1766" s="1" t="str">
        <f ca="1">IFERROR(__xludf.DUMMYFUNCTION("""COMPUTED_VALUE"""),"Zein")</f>
        <v>Zein</v>
      </c>
      <c r="E1766" s="1" t="str">
        <f ca="1">IFERROR(__xludf.DUMMYFUNCTION("""COMPUTED_VALUE"""),"Amen")</f>
        <v>Amen</v>
      </c>
      <c r="F1766" s="1"/>
      <c r="G1766" s="1" t="str">
        <f ca="1">IFERROR(__xludf.DUMMYFUNCTION("""COMPUTED_VALUE"""),"3 mos")</f>
        <v>3 mos</v>
      </c>
      <c r="H1766" s="1" t="str">
        <f ca="1">IFERROR(__xludf.DUMMYFUNCTION("""COMPUTED_VALUE"""),"comment")</f>
        <v>comment</v>
      </c>
      <c r="I1766" s="2" t="str">
        <f ca="1">IFERROR(__xludf.DUMMYFUNCTION("""COMPUTED_VALUE"""),"https://www.facebook.com/rapplerdotcom/photos/a.317154781638645/5595372260483511/")</f>
        <v>https://www.facebook.com/rapplerdotcom/photos/a.317154781638645/5595372260483511/</v>
      </c>
      <c r="J1766" s="1" t="str">
        <f ca="1">IFERROR(__xludf.DUMMYFUNCTION("""COMPUTED_VALUE"""),"2022-07-04T15:44:55.425Z")</f>
        <v>2022-07-04T15:44:55.425Z</v>
      </c>
    </row>
    <row r="1767" spans="1:10" x14ac:dyDescent="0.2">
      <c r="A1767" s="2" t="str">
        <f ca="1">IFERROR(__xludf.DUMMYFUNCTION("""COMPUTED_VALUE"""),"https://www.facebook.com/ed.saenz")</f>
        <v>https://www.facebook.com/ed.saenz</v>
      </c>
      <c r="B1767" s="1" t="str">
        <f ca="1">IFERROR(__xludf.DUMMYFUNCTION("""COMPUTED_VALUE"""),"E.G. Saenz")</f>
        <v>E.G. Saenz</v>
      </c>
      <c r="C1767" s="1" t="str">
        <f ca="1">IFERROR(__xludf.DUMMYFUNCTION("""COMPUTED_VALUE"""),"E.G.")</f>
        <v>E.G.</v>
      </c>
      <c r="D1767" s="1" t="str">
        <f ca="1">IFERROR(__xludf.DUMMYFUNCTION("""COMPUTED_VALUE"""),"Saenz")</f>
        <v>Saenz</v>
      </c>
      <c r="E1767" s="1" t="str">
        <f ca="1">IFERROR(__xludf.DUMMYFUNCTION("""COMPUTED_VALUE"""),"Hay naku wala yan kay Junior... solusyon sa teenage pregnancy... Unity!")</f>
        <v>Hay naku wala yan kay Junior... solusyon sa teenage pregnancy... Unity!</v>
      </c>
      <c r="F1767" s="1">
        <f ca="1">IFERROR(__xludf.DUMMYFUNCTION("""COMPUTED_VALUE"""),2)</f>
        <v>2</v>
      </c>
      <c r="G1767" s="1" t="str">
        <f ca="1">IFERROR(__xludf.DUMMYFUNCTION("""COMPUTED_VALUE"""),"3 mos")</f>
        <v>3 mos</v>
      </c>
      <c r="H1767" s="1" t="str">
        <f ca="1">IFERROR(__xludf.DUMMYFUNCTION("""COMPUTED_VALUE"""),"comment")</f>
        <v>comment</v>
      </c>
      <c r="I1767" s="2" t="str">
        <f ca="1">IFERROR(__xludf.DUMMYFUNCTION("""COMPUTED_VALUE"""),"https://www.facebook.com/rapplerdotcom/photos/a.317154781638645/5595372260483511/")</f>
        <v>https://www.facebook.com/rapplerdotcom/photos/a.317154781638645/5595372260483511/</v>
      </c>
      <c r="J1767" s="1" t="str">
        <f ca="1">IFERROR(__xludf.DUMMYFUNCTION("""COMPUTED_VALUE"""),"2022-07-04T15:44:55.425Z")</f>
        <v>2022-07-04T15:44:55.425Z</v>
      </c>
    </row>
    <row r="1768" spans="1:10" x14ac:dyDescent="0.2">
      <c r="A1768" s="2" t="str">
        <f ca="1">IFERROR(__xludf.DUMMYFUNCTION("""COMPUTED_VALUE"""),"https://www.facebook.com/edwin.portillo.100")</f>
        <v>https://www.facebook.com/edwin.portillo.100</v>
      </c>
      <c r="B1768" s="1" t="str">
        <f ca="1">IFERROR(__xludf.DUMMYFUNCTION("""COMPUTED_VALUE"""),"Edwin Portillo")</f>
        <v>Edwin Portillo</v>
      </c>
      <c r="C1768" s="1" t="str">
        <f ca="1">IFERROR(__xludf.DUMMYFUNCTION("""COMPUTED_VALUE"""),"Edwin")</f>
        <v>Edwin</v>
      </c>
      <c r="D1768" s="1" t="str">
        <f ca="1">IFERROR(__xludf.DUMMYFUNCTION("""COMPUTED_VALUE"""),"Portillo")</f>
        <v>Portillo</v>
      </c>
      <c r="E1768" s="1" t="str">
        <f ca="1">IFERROR(__xludf.DUMMYFUNCTION("""COMPUTED_VALUE"""),"ito yung may maliwang na mensahe at pamamaraan ng salitang unity,  HINDI UNI-THIEVES ni narcos jr. at sara!  ang layo kaya ng pinagkaiba nun! 😅😂🤣")</f>
        <v>ito yung may maliwang na mensahe at pamamaraan ng salitang unity,  HINDI UNI-THIEVES ni narcos jr. at sara!  ang layo kaya ng pinagkaiba nun! 😅😂🤣</v>
      </c>
      <c r="F1768" s="1">
        <f ca="1">IFERROR(__xludf.DUMMYFUNCTION("""COMPUTED_VALUE"""),3)</f>
        <v>3</v>
      </c>
      <c r="G1768" s="1" t="str">
        <f ca="1">IFERROR(__xludf.DUMMYFUNCTION("""COMPUTED_VALUE"""),"3 mos")</f>
        <v>3 mos</v>
      </c>
      <c r="H1768" s="1" t="str">
        <f ca="1">IFERROR(__xludf.DUMMYFUNCTION("""COMPUTED_VALUE"""),"comment")</f>
        <v>comment</v>
      </c>
      <c r="I1768" s="2" t="str">
        <f ca="1">IFERROR(__xludf.DUMMYFUNCTION("""COMPUTED_VALUE"""),"https://www.facebook.com/rapplerdotcom/photos/a.317154781638645/5595372260483511/")</f>
        <v>https://www.facebook.com/rapplerdotcom/photos/a.317154781638645/5595372260483511/</v>
      </c>
      <c r="J1768" s="1" t="str">
        <f ca="1">IFERROR(__xludf.DUMMYFUNCTION("""COMPUTED_VALUE"""),"2022-07-04T15:44:55.425Z")</f>
        <v>2022-07-04T15:44:55.425Z</v>
      </c>
    </row>
    <row r="1769" spans="1:10" x14ac:dyDescent="0.2">
      <c r="A1769" s="2" t="str">
        <f ca="1">IFERROR(__xludf.DUMMYFUNCTION("""COMPUTED_VALUE"""),"https://www.facebook.com/rohan2009")</f>
        <v>https://www.facebook.com/rohan2009</v>
      </c>
      <c r="B1769" s="1" t="str">
        <f ca="1">IFERROR(__xludf.DUMMYFUNCTION("""COMPUTED_VALUE"""),"Nan Nan")</f>
        <v>Nan Nan</v>
      </c>
      <c r="C1769" s="1" t="str">
        <f ca="1">IFERROR(__xludf.DUMMYFUNCTION("""COMPUTED_VALUE"""),"Nan")</f>
        <v>Nan</v>
      </c>
      <c r="D1769" s="1" t="str">
        <f ca="1">IFERROR(__xludf.DUMMYFUNCTION("""COMPUTED_VALUE"""),"Nan")</f>
        <v>Nan</v>
      </c>
      <c r="E1769" s="1" t="str">
        <f ca="1">IFERROR(__xludf.DUMMYFUNCTION("""COMPUTED_VALUE"""),"Nag gagamitan lang kayo ng Simbahan😕")</f>
        <v>Nag gagamitan lang kayo ng Simbahan😕</v>
      </c>
      <c r="F1769" s="1">
        <f ca="1">IFERROR(__xludf.DUMMYFUNCTION("""COMPUTED_VALUE"""),4)</f>
        <v>4</v>
      </c>
      <c r="G1769" s="1" t="str">
        <f ca="1">IFERROR(__xludf.DUMMYFUNCTION("""COMPUTED_VALUE"""),"3 mos")</f>
        <v>3 mos</v>
      </c>
      <c r="H1769" s="1" t="str">
        <f ca="1">IFERROR(__xludf.DUMMYFUNCTION("""COMPUTED_VALUE"""),"comment")</f>
        <v>comment</v>
      </c>
      <c r="I1769" s="2" t="str">
        <f ca="1">IFERROR(__xludf.DUMMYFUNCTION("""COMPUTED_VALUE"""),"https://www.facebook.com/rapplerdotcom/photos/a.317154781638645/5595372260483511/")</f>
        <v>https://www.facebook.com/rapplerdotcom/photos/a.317154781638645/5595372260483511/</v>
      </c>
      <c r="J1769" s="1" t="str">
        <f ca="1">IFERROR(__xludf.DUMMYFUNCTION("""COMPUTED_VALUE"""),"2022-07-04T15:44:55.425Z")</f>
        <v>2022-07-04T15:44:55.425Z</v>
      </c>
    </row>
    <row r="1770" spans="1:10" x14ac:dyDescent="0.2">
      <c r="A1770" s="2" t="str">
        <f ca="1">IFERROR(__xludf.DUMMYFUNCTION("""COMPUTED_VALUE"""),"https://www.facebook.com/jerome.sebedorio")</f>
        <v>https://www.facebook.com/jerome.sebedorio</v>
      </c>
      <c r="B1770" s="1" t="str">
        <f ca="1">IFERROR(__xludf.DUMMYFUNCTION("""COMPUTED_VALUE"""),"Jerome Sebedorio")</f>
        <v>Jerome Sebedorio</v>
      </c>
      <c r="C1770" s="1" t="str">
        <f ca="1">IFERROR(__xludf.DUMMYFUNCTION("""COMPUTED_VALUE"""),"Jerome")</f>
        <v>Jerome</v>
      </c>
      <c r="D1770" s="1" t="str">
        <f ca="1">IFERROR(__xludf.DUMMYFUNCTION("""COMPUTED_VALUE"""),"Sebedorio")</f>
        <v>Sebedorio</v>
      </c>
      <c r="E1770" s="1" t="str">
        <f ca="1">IFERROR(__xludf.DUMMYFUNCTION("""COMPUTED_VALUE"""),"Nan Nan atleast si Jesus ang Diyos hindi si quiboloy❤️💚✌️")</f>
        <v>Nan Nan atleast si Jesus ang Diyos hindi si quiboloy❤️💚✌️</v>
      </c>
      <c r="F1770" s="1"/>
      <c r="G1770" s="1" t="str">
        <f ca="1">IFERROR(__xludf.DUMMYFUNCTION("""COMPUTED_VALUE"""),"3 mos")</f>
        <v>3 mos</v>
      </c>
      <c r="H1770" s="1" t="str">
        <f ca="1">IFERROR(__xludf.DUMMYFUNCTION("""COMPUTED_VALUE"""),"reply")</f>
        <v>reply</v>
      </c>
      <c r="I1770" s="2" t="str">
        <f ca="1">IFERROR(__xludf.DUMMYFUNCTION("""COMPUTED_VALUE"""),"https://www.facebook.com/rapplerdotcom/photos/a.317154781638645/5595372260483511/")</f>
        <v>https://www.facebook.com/rapplerdotcom/photos/a.317154781638645/5595372260483511/</v>
      </c>
      <c r="J1770" s="1" t="str">
        <f ca="1">IFERROR(__xludf.DUMMYFUNCTION("""COMPUTED_VALUE"""),"2022-07-04T15:44:55.425Z")</f>
        <v>2022-07-04T15:44:55.425Z</v>
      </c>
    </row>
    <row r="1771" spans="1:10" x14ac:dyDescent="0.2">
      <c r="A1771" s="2" t="str">
        <f ca="1">IFERROR(__xludf.DUMMYFUNCTION("""COMPUTED_VALUE"""),"https://www.facebook.com/cyrilljoy.baldera.3")</f>
        <v>https://www.facebook.com/cyrilljoy.baldera.3</v>
      </c>
      <c r="B1771" s="1" t="str">
        <f ca="1">IFERROR(__xludf.DUMMYFUNCTION("""COMPUTED_VALUE"""),"Cyrill Joy Baldera")</f>
        <v>Cyrill Joy Baldera</v>
      </c>
      <c r="C1771" s="1" t="str">
        <f ca="1">IFERROR(__xludf.DUMMYFUNCTION("""COMPUTED_VALUE"""),"Cyrill")</f>
        <v>Cyrill</v>
      </c>
      <c r="D1771" s="1" t="str">
        <f ca="1">IFERROR(__xludf.DUMMYFUNCTION("""COMPUTED_VALUE"""),"Joy Baldera")</f>
        <v>Joy Baldera</v>
      </c>
      <c r="E1771" s="1" t="str">
        <f ca="1">IFERROR(__xludf.DUMMYFUNCTION("""COMPUTED_VALUE"""),"Nan Nan  atleast hindi si Quiboloy na wanted sa US😊")</f>
        <v>Nan Nan  atleast hindi si Quiboloy na wanted sa US😊</v>
      </c>
      <c r="F1771" s="1"/>
      <c r="G1771" s="1" t="str">
        <f ca="1">IFERROR(__xludf.DUMMYFUNCTION("""COMPUTED_VALUE"""),"3 mos")</f>
        <v>3 mos</v>
      </c>
      <c r="H1771" s="1" t="str">
        <f ca="1">IFERROR(__xludf.DUMMYFUNCTION("""COMPUTED_VALUE"""),"reply")</f>
        <v>reply</v>
      </c>
      <c r="I1771" s="2" t="str">
        <f ca="1">IFERROR(__xludf.DUMMYFUNCTION("""COMPUTED_VALUE"""),"https://www.facebook.com/rapplerdotcom/photos/a.317154781638645/5595372260483511/")</f>
        <v>https://www.facebook.com/rapplerdotcom/photos/a.317154781638645/5595372260483511/</v>
      </c>
      <c r="J1771" s="1" t="str">
        <f ca="1">IFERROR(__xludf.DUMMYFUNCTION("""COMPUTED_VALUE"""),"2022-07-04T15:44:55.425Z")</f>
        <v>2022-07-04T15:44:55.425Z</v>
      </c>
    </row>
    <row r="1772" spans="1:10" x14ac:dyDescent="0.2">
      <c r="A1772" s="2" t="str">
        <f ca="1">IFERROR(__xludf.DUMMYFUNCTION("""COMPUTED_VALUE"""),"https://www.facebook.com/emilyanne.viar.50")</f>
        <v>https://www.facebook.com/emilyanne.viar.50</v>
      </c>
      <c r="B1772" s="1" t="str">
        <f ca="1">IFERROR(__xludf.DUMMYFUNCTION("""COMPUTED_VALUE"""),"Emily Anne Viar")</f>
        <v>Emily Anne Viar</v>
      </c>
      <c r="C1772" s="1" t="str">
        <f ca="1">IFERROR(__xludf.DUMMYFUNCTION("""COMPUTED_VALUE"""),"Emily")</f>
        <v>Emily</v>
      </c>
      <c r="D1772" s="1" t="str">
        <f ca="1">IFERROR(__xludf.DUMMYFUNCTION("""COMPUTED_VALUE"""),"Anne Viar")</f>
        <v>Anne Viar</v>
      </c>
      <c r="E1772" s="1" t="str">
        <f ca="1">IFERROR(__xludf.DUMMYFUNCTION("""COMPUTED_VALUE"""),"kuya Louigie Bautista Santos tama bang husgahan ninyo ang nasa kabilang partido? to be prank hindi kayo patas")</f>
        <v>kuya Louigie Bautista Santos tama bang husgahan ninyo ang nasa kabilang partido? to be prank hindi kayo patas</v>
      </c>
      <c r="F1772" s="1"/>
      <c r="G1772" s="1" t="str">
        <f ca="1">IFERROR(__xludf.DUMMYFUNCTION("""COMPUTED_VALUE"""),"3 mos")</f>
        <v>3 mos</v>
      </c>
      <c r="H1772" s="1" t="str">
        <f ca="1">IFERROR(__xludf.DUMMYFUNCTION("""COMPUTED_VALUE"""),"comment")</f>
        <v>comment</v>
      </c>
      <c r="I1772" s="2" t="str">
        <f ca="1">IFERROR(__xludf.DUMMYFUNCTION("""COMPUTED_VALUE"""),"https://www.facebook.com/rapplerdotcom/photos/a.317154781638645/5595372260483511/")</f>
        <v>https://www.facebook.com/rapplerdotcom/photos/a.317154781638645/5595372260483511/</v>
      </c>
      <c r="J1772" s="1" t="str">
        <f ca="1">IFERROR(__xludf.DUMMYFUNCTION("""COMPUTED_VALUE"""),"2022-07-04T15:44:55.425Z")</f>
        <v>2022-07-04T15:44:55.425Z</v>
      </c>
    </row>
    <row r="1773" spans="1:10" x14ac:dyDescent="0.2">
      <c r="A1773" s="2" t="str">
        <f ca="1">IFERROR(__xludf.DUMMYFUNCTION("""COMPUTED_VALUE"""),"https://www.facebook.com/wagakopre123")</f>
        <v>https://www.facebook.com/wagakopre123</v>
      </c>
      <c r="B1773" s="1" t="str">
        <f ca="1">IFERROR(__xludf.DUMMYFUNCTION("""COMPUTED_VALUE"""),"Summers Philip")</f>
        <v>Summers Philip</v>
      </c>
      <c r="C1773" s="1" t="str">
        <f ca="1">IFERROR(__xludf.DUMMYFUNCTION("""COMPUTED_VALUE"""),"Summers")</f>
        <v>Summers</v>
      </c>
      <c r="D1773" s="1" t="str">
        <f ca="1">IFERROR(__xludf.DUMMYFUNCTION("""COMPUTED_VALUE"""),"Philip")</f>
        <v>Philip</v>
      </c>
      <c r="E1773" s="1" t="str">
        <f ca="1">IFERROR(__xludf.DUMMYFUNCTION("""COMPUTED_VALUE"""),"Eto yung example sa kanta ng Yano!! Banal na Aso Santong Kabayo")</f>
        <v>Eto yung example sa kanta ng Yano!! Banal na Aso Santong Kabayo</v>
      </c>
      <c r="F1773" s="1"/>
      <c r="G1773" s="1" t="str">
        <f ca="1">IFERROR(__xludf.DUMMYFUNCTION("""COMPUTED_VALUE"""),"3 mos")</f>
        <v>3 mos</v>
      </c>
      <c r="H1773" s="1" t="str">
        <f ca="1">IFERROR(__xludf.DUMMYFUNCTION("""COMPUTED_VALUE"""),"comment")</f>
        <v>comment</v>
      </c>
      <c r="I1773" s="2" t="str">
        <f ca="1">IFERROR(__xludf.DUMMYFUNCTION("""COMPUTED_VALUE"""),"https://www.facebook.com/rapplerdotcom/photos/a.317154781638645/5595372260483511/")</f>
        <v>https://www.facebook.com/rapplerdotcom/photos/a.317154781638645/5595372260483511/</v>
      </c>
      <c r="J1773" s="1" t="str">
        <f ca="1">IFERROR(__xludf.DUMMYFUNCTION("""COMPUTED_VALUE"""),"2022-07-04T15:44:55.425Z")</f>
        <v>2022-07-04T15:44:55.425Z</v>
      </c>
    </row>
    <row r="1774" spans="1:10" x14ac:dyDescent="0.2">
      <c r="A1774" s="2" t="str">
        <f ca="1">IFERROR(__xludf.DUMMYFUNCTION("""COMPUTED_VALUE"""),"https://www.facebook.com/mussulleni.vega")</f>
        <v>https://www.facebook.com/mussulleni.vega</v>
      </c>
      <c r="B1774" s="1" t="str">
        <f ca="1">IFERROR(__xludf.DUMMYFUNCTION("""COMPUTED_VALUE"""),"Mussulleni Vega")</f>
        <v>Mussulleni Vega</v>
      </c>
      <c r="C1774" s="1" t="str">
        <f ca="1">IFERROR(__xludf.DUMMYFUNCTION("""COMPUTED_VALUE"""),"Mussulleni")</f>
        <v>Mussulleni</v>
      </c>
      <c r="D1774" s="1" t="str">
        <f ca="1">IFERROR(__xludf.DUMMYFUNCTION("""COMPUTED_VALUE"""),"Vega")</f>
        <v>Vega</v>
      </c>
      <c r="E1774" s="1" t="str">
        <f ca="1">IFERROR(__xludf.DUMMYFUNCTION("""COMPUTED_VALUE"""),"Mga obispo na taliwas din ang utak kaya kasama kau")</f>
        <v>Mga obispo na taliwas din ang utak kaya kasama kau</v>
      </c>
      <c r="F1774" s="1"/>
      <c r="G1774" s="1" t="str">
        <f ca="1">IFERROR(__xludf.DUMMYFUNCTION("""COMPUTED_VALUE"""),"3 mos")</f>
        <v>3 mos</v>
      </c>
      <c r="H1774" s="1" t="str">
        <f ca="1">IFERROR(__xludf.DUMMYFUNCTION("""COMPUTED_VALUE"""),"comment")</f>
        <v>comment</v>
      </c>
      <c r="I1774" s="2" t="str">
        <f ca="1">IFERROR(__xludf.DUMMYFUNCTION("""COMPUTED_VALUE"""),"https://www.facebook.com/rapplerdotcom/photos/a.317154781638645/5595372260483511/")</f>
        <v>https://www.facebook.com/rapplerdotcom/photos/a.317154781638645/5595372260483511/</v>
      </c>
      <c r="J1774" s="1" t="str">
        <f ca="1">IFERROR(__xludf.DUMMYFUNCTION("""COMPUTED_VALUE"""),"2022-07-04T15:44:55.425Z")</f>
        <v>2022-07-04T15:44:55.425Z</v>
      </c>
    </row>
    <row r="1775" spans="1:10" x14ac:dyDescent="0.2">
      <c r="A1775" s="2" t="str">
        <f ca="1">IFERROR(__xludf.DUMMYFUNCTION("""COMPUTED_VALUE"""),"https://www.facebook.com/jasperg5")</f>
        <v>https://www.facebook.com/jasperg5</v>
      </c>
      <c r="B1775" s="1" t="str">
        <f ca="1">IFERROR(__xludf.DUMMYFUNCTION("""COMPUTED_VALUE"""),"Jasper Ian Lopez Gonzales")</f>
        <v>Jasper Ian Lopez Gonzales</v>
      </c>
      <c r="C1775" s="1" t="str">
        <f ca="1">IFERROR(__xludf.DUMMYFUNCTION("""COMPUTED_VALUE"""),"Jasper")</f>
        <v>Jasper</v>
      </c>
      <c r="D1775" s="1" t="str">
        <f ca="1">IFERROR(__xludf.DUMMYFUNCTION("""COMPUTED_VALUE"""),"Ian Lopez Gonzales")</f>
        <v>Ian Lopez Gonzales</v>
      </c>
      <c r="E1775" s="1" t="str">
        <f ca="1">IFERROR(__xludf.DUMMYFUNCTION("""COMPUTED_VALUE"""),"Makulay ang teleserye dito sa channel ni VP.")</f>
        <v>Makulay ang teleserye dito sa channel ni VP.</v>
      </c>
      <c r="F1775" s="1">
        <f ca="1">IFERROR(__xludf.DUMMYFUNCTION("""COMPUTED_VALUE"""),1)</f>
        <v>1</v>
      </c>
      <c r="G1775" s="1" t="str">
        <f ca="1">IFERROR(__xludf.DUMMYFUNCTION("""COMPUTED_VALUE"""),"3 mos")</f>
        <v>3 mos</v>
      </c>
      <c r="H1775" s="1" t="str">
        <f ca="1">IFERROR(__xludf.DUMMYFUNCTION("""COMPUTED_VALUE"""),"comment")</f>
        <v>comment</v>
      </c>
      <c r="I1775" s="2" t="str">
        <f ca="1">IFERROR(__xludf.DUMMYFUNCTION("""COMPUTED_VALUE"""),"https://www.facebook.com/rapplerdotcom/photos/a.317154781638645/5595372260483511/")</f>
        <v>https://www.facebook.com/rapplerdotcom/photos/a.317154781638645/5595372260483511/</v>
      </c>
      <c r="J1775" s="1" t="str">
        <f ca="1">IFERROR(__xludf.DUMMYFUNCTION("""COMPUTED_VALUE"""),"2022-07-04T15:44:55.425Z")</f>
        <v>2022-07-04T15:44:55.425Z</v>
      </c>
    </row>
    <row r="1776" spans="1:10" x14ac:dyDescent="0.2">
      <c r="A1776" s="2" t="str">
        <f ca="1">IFERROR(__xludf.DUMMYFUNCTION("""COMPUTED_VALUE"""),"https://www.facebook.com/bautista.jimmy.98")</f>
        <v>https://www.facebook.com/bautista.jimmy.98</v>
      </c>
      <c r="B1776" s="1" t="str">
        <f ca="1">IFERROR(__xludf.DUMMYFUNCTION("""COMPUTED_VALUE"""),"Bautista Jimmy")</f>
        <v>Bautista Jimmy</v>
      </c>
      <c r="C1776" s="1" t="str">
        <f ca="1">IFERROR(__xludf.DUMMYFUNCTION("""COMPUTED_VALUE"""),"Bautista")</f>
        <v>Bautista</v>
      </c>
      <c r="D1776" s="1" t="str">
        <f ca="1">IFERROR(__xludf.DUMMYFUNCTION("""COMPUTED_VALUE"""),"Jimmy")</f>
        <v>Jimmy</v>
      </c>
      <c r="E1776" s="1" t="str">
        <f ca="1">IFERROR(__xludf.DUMMYFUNCTION("""COMPUTED_VALUE"""),"Maya Maya lng buburahin n mga share ko")</f>
        <v>Maya Maya lng buburahin n mga share ko</v>
      </c>
      <c r="F1776" s="1"/>
      <c r="G1776" s="1" t="str">
        <f ca="1">IFERROR(__xludf.DUMMYFUNCTION("""COMPUTED_VALUE"""),"3 mos")</f>
        <v>3 mos</v>
      </c>
      <c r="H1776" s="1" t="str">
        <f ca="1">IFERROR(__xludf.DUMMYFUNCTION("""COMPUTED_VALUE"""),"comment")</f>
        <v>comment</v>
      </c>
      <c r="I1776" s="2" t="str">
        <f ca="1">IFERROR(__xludf.DUMMYFUNCTION("""COMPUTED_VALUE"""),"https://www.facebook.com/rapplerdotcom/photos/a.317154781638645/5595372260483511/")</f>
        <v>https://www.facebook.com/rapplerdotcom/photos/a.317154781638645/5595372260483511/</v>
      </c>
      <c r="J1776" s="1" t="str">
        <f ca="1">IFERROR(__xludf.DUMMYFUNCTION("""COMPUTED_VALUE"""),"2022-07-04T15:44:55.425Z")</f>
        <v>2022-07-04T15:44:55.425Z</v>
      </c>
    </row>
    <row r="1777" spans="1:10" x14ac:dyDescent="0.2">
      <c r="A1777" s="2" t="str">
        <f ca="1">IFERROR(__xludf.DUMMYFUNCTION("""COMPUTED_VALUE"""),"https://www.facebook.com/bautista.jimmy.98")</f>
        <v>https://www.facebook.com/bautista.jimmy.98</v>
      </c>
      <c r="B1777" s="1" t="str">
        <f ca="1">IFERROR(__xludf.DUMMYFUNCTION("""COMPUTED_VALUE"""),"Bautista Jimmy")</f>
        <v>Bautista Jimmy</v>
      </c>
      <c r="C1777" s="1" t="str">
        <f ca="1">IFERROR(__xludf.DUMMYFUNCTION("""COMPUTED_VALUE"""),"Bautista")</f>
        <v>Bautista</v>
      </c>
      <c r="D1777" s="1" t="str">
        <f ca="1">IFERROR(__xludf.DUMMYFUNCTION("""COMPUTED_VALUE"""),"Jimmy")</f>
        <v>Jimmy</v>
      </c>
      <c r="E1777" s="1" t="str">
        <f ca="1">IFERROR(__xludf.DUMMYFUNCTION("""COMPUTED_VALUE"""),"Anu unity k n din")</f>
        <v>Anu unity k n din</v>
      </c>
      <c r="F1777" s="1"/>
      <c r="G1777" s="1" t="str">
        <f ca="1">IFERROR(__xludf.DUMMYFUNCTION("""COMPUTED_VALUE"""),"3 mos")</f>
        <v>3 mos</v>
      </c>
      <c r="H1777" s="1" t="str">
        <f ca="1">IFERROR(__xludf.DUMMYFUNCTION("""COMPUTED_VALUE"""),"comment")</f>
        <v>comment</v>
      </c>
      <c r="I1777" s="2" t="str">
        <f ca="1">IFERROR(__xludf.DUMMYFUNCTION("""COMPUTED_VALUE"""),"https://www.facebook.com/rapplerdotcom/photos/a.317154781638645/5595372260483511/")</f>
        <v>https://www.facebook.com/rapplerdotcom/photos/a.317154781638645/5595372260483511/</v>
      </c>
      <c r="J1777" s="1" t="str">
        <f ca="1">IFERROR(__xludf.DUMMYFUNCTION("""COMPUTED_VALUE"""),"2022-07-04T15:44:55.425Z")</f>
        <v>2022-07-04T15:44:55.425Z</v>
      </c>
    </row>
    <row r="1778" spans="1:10" x14ac:dyDescent="0.2">
      <c r="A1778" s="2" t="str">
        <f ca="1">IFERROR(__xludf.DUMMYFUNCTION("""COMPUTED_VALUE"""),"https://www.facebook.com/bautista.jimmy.98")</f>
        <v>https://www.facebook.com/bautista.jimmy.98</v>
      </c>
      <c r="B1778" s="1" t="str">
        <f ca="1">IFERROR(__xludf.DUMMYFUNCTION("""COMPUTED_VALUE"""),"Bautista Jimmy")</f>
        <v>Bautista Jimmy</v>
      </c>
      <c r="C1778" s="1" t="str">
        <f ca="1">IFERROR(__xludf.DUMMYFUNCTION("""COMPUTED_VALUE"""),"Bautista")</f>
        <v>Bautista</v>
      </c>
      <c r="D1778" s="1" t="str">
        <f ca="1">IFERROR(__xludf.DUMMYFUNCTION("""COMPUTED_VALUE"""),"Jimmy")</f>
        <v>Jimmy</v>
      </c>
      <c r="E1778" s="1" t="str">
        <f ca="1">IFERROR(__xludf.DUMMYFUNCTION("""COMPUTED_VALUE"""),"KW b nkipag unite KY du30 DBA wla kng ginawa SA abroud kundi batikusin ang gobyerno ntin")</f>
        <v>KW b nkipag unite KY du30 DBA wla kng ginawa SA abroud kundi batikusin ang gobyerno ntin</v>
      </c>
      <c r="F1778" s="1">
        <f ca="1">IFERROR(__xludf.DUMMYFUNCTION("""COMPUTED_VALUE"""),9)</f>
        <v>9</v>
      </c>
      <c r="G1778" s="1" t="str">
        <f ca="1">IFERROR(__xludf.DUMMYFUNCTION("""COMPUTED_VALUE"""),"3 mos")</f>
        <v>3 mos</v>
      </c>
      <c r="H1778" s="1" t="str">
        <f ca="1">IFERROR(__xludf.DUMMYFUNCTION("""COMPUTED_VALUE"""),"comment")</f>
        <v>comment</v>
      </c>
      <c r="I1778" s="2" t="str">
        <f ca="1">IFERROR(__xludf.DUMMYFUNCTION("""COMPUTED_VALUE"""),"https://www.facebook.com/rapplerdotcom/photos/a.317154781638645/5595372260483511/")</f>
        <v>https://www.facebook.com/rapplerdotcom/photos/a.317154781638645/5595372260483511/</v>
      </c>
      <c r="J1778" s="1" t="str">
        <f ca="1">IFERROR(__xludf.DUMMYFUNCTION("""COMPUTED_VALUE"""),"2022-07-04T15:44:55.425Z")</f>
        <v>2022-07-04T15:44:55.425Z</v>
      </c>
    </row>
    <row r="1779" spans="1:10" x14ac:dyDescent="0.2">
      <c r="A1779" s="2" t="str">
        <f ca="1">IFERROR(__xludf.DUMMYFUNCTION("""COMPUTED_VALUE"""),"https://www.facebook.com/ann070694")</f>
        <v>https://www.facebook.com/ann070694</v>
      </c>
      <c r="B1779" s="1" t="str">
        <f ca="1">IFERROR(__xludf.DUMMYFUNCTION("""COMPUTED_VALUE"""),"Ana Alfonso")</f>
        <v>Ana Alfonso</v>
      </c>
      <c r="C1779" s="1" t="str">
        <f ca="1">IFERROR(__xludf.DUMMYFUNCTION("""COMPUTED_VALUE"""),"Ana")</f>
        <v>Ana</v>
      </c>
      <c r="D1779" s="1" t="str">
        <f ca="1">IFERROR(__xludf.DUMMYFUNCTION("""COMPUTED_VALUE"""),"Alfonso")</f>
        <v>Alfonso</v>
      </c>
      <c r="E1779" s="1" t="str">
        <f ca="1">IFERROR(__xludf.DUMMYFUNCTION("""COMPUTED_VALUE"""),"Bautista Jimmy makipagunite ka din sa utak mo nang magkasense sinasabi mo")</f>
        <v>Bautista Jimmy makipagunite ka din sa utak mo nang magkasense sinasabi mo</v>
      </c>
      <c r="F1779" s="1">
        <f ca="1">IFERROR(__xludf.DUMMYFUNCTION("""COMPUTED_VALUE"""),6)</f>
        <v>6</v>
      </c>
      <c r="G1779" s="1" t="str">
        <f ca="1">IFERROR(__xludf.DUMMYFUNCTION("""COMPUTED_VALUE"""),"3 mos")</f>
        <v>3 mos</v>
      </c>
      <c r="H1779" s="1" t="str">
        <f ca="1">IFERROR(__xludf.DUMMYFUNCTION("""COMPUTED_VALUE"""),"reply")</f>
        <v>reply</v>
      </c>
      <c r="I1779" s="2" t="str">
        <f ca="1">IFERROR(__xludf.DUMMYFUNCTION("""COMPUTED_VALUE"""),"https://www.facebook.com/rapplerdotcom/photos/a.317154781638645/5595372260483511/")</f>
        <v>https://www.facebook.com/rapplerdotcom/photos/a.317154781638645/5595372260483511/</v>
      </c>
      <c r="J1779" s="1" t="str">
        <f ca="1">IFERROR(__xludf.DUMMYFUNCTION("""COMPUTED_VALUE"""),"2022-07-04T15:44:55.425Z")</f>
        <v>2022-07-04T15:44:55.425Z</v>
      </c>
    </row>
    <row r="1780" spans="1:10" x14ac:dyDescent="0.2">
      <c r="A1780" s="2" t="str">
        <f ca="1">IFERROR(__xludf.DUMMYFUNCTION("""COMPUTED_VALUE"""),"https://www.facebook.com/bautista.jimmy.98")</f>
        <v>https://www.facebook.com/bautista.jimmy.98</v>
      </c>
      <c r="B1780" s="1" t="str">
        <f ca="1">IFERROR(__xludf.DUMMYFUNCTION("""COMPUTED_VALUE"""),"Bautista Jimmy")</f>
        <v>Bautista Jimmy</v>
      </c>
      <c r="C1780" s="1" t="str">
        <f ca="1">IFERROR(__xludf.DUMMYFUNCTION("""COMPUTED_VALUE"""),"Bautista")</f>
        <v>Bautista</v>
      </c>
      <c r="D1780" s="1" t="str">
        <f ca="1">IFERROR(__xludf.DUMMYFUNCTION("""COMPUTED_VALUE"""),"Jimmy")</f>
        <v>Jimmy</v>
      </c>
      <c r="E1780" s="1" t="str">
        <f ca="1">IFERROR(__xludf.DUMMYFUNCTION("""COMPUTED_VALUE"""),"Ana Alfonso TMA Ka wla nga Ka senxe sence")</f>
        <v>Ana Alfonso TMA Ka wla nga Ka senxe sence</v>
      </c>
      <c r="F1780" s="1">
        <f ca="1">IFERROR(__xludf.DUMMYFUNCTION("""COMPUTED_VALUE"""),1)</f>
        <v>1</v>
      </c>
      <c r="G1780" s="1" t="str">
        <f ca="1">IFERROR(__xludf.DUMMYFUNCTION("""COMPUTED_VALUE"""),"3 mos")</f>
        <v>3 mos</v>
      </c>
      <c r="H1780" s="1" t="str">
        <f ca="1">IFERROR(__xludf.DUMMYFUNCTION("""COMPUTED_VALUE"""),"reply")</f>
        <v>reply</v>
      </c>
      <c r="I1780" s="2" t="str">
        <f ca="1">IFERROR(__xludf.DUMMYFUNCTION("""COMPUTED_VALUE"""),"https://www.facebook.com/rapplerdotcom/photos/a.317154781638645/5595372260483511/")</f>
        <v>https://www.facebook.com/rapplerdotcom/photos/a.317154781638645/5595372260483511/</v>
      </c>
      <c r="J1780" s="1" t="str">
        <f ca="1">IFERROR(__xludf.DUMMYFUNCTION("""COMPUTED_VALUE"""),"2022-07-04T15:44:55.425Z")</f>
        <v>2022-07-04T15:44:55.425Z</v>
      </c>
    </row>
    <row r="1781" spans="1:10" x14ac:dyDescent="0.2">
      <c r="A1781" s="2" t="str">
        <f ca="1">IFERROR(__xludf.DUMMYFUNCTION("""COMPUTED_VALUE"""),"https://www.facebook.com/cyrilljoy.baldera.3")</f>
        <v>https://www.facebook.com/cyrilljoy.baldera.3</v>
      </c>
      <c r="B1781" s="1" t="str">
        <f ca="1">IFERROR(__xludf.DUMMYFUNCTION("""COMPUTED_VALUE"""),"Cyrill Joy Baldera")</f>
        <v>Cyrill Joy Baldera</v>
      </c>
      <c r="C1781" s="1" t="str">
        <f ca="1">IFERROR(__xludf.DUMMYFUNCTION("""COMPUTED_VALUE"""),"Cyrill")</f>
        <v>Cyrill</v>
      </c>
      <c r="D1781" s="1" t="str">
        <f ca="1">IFERROR(__xludf.DUMMYFUNCTION("""COMPUTED_VALUE"""),"Joy Baldera")</f>
        <v>Joy Baldera</v>
      </c>
      <c r="E1781" s="1" t="str">
        <f ca="1">IFERROR(__xludf.DUMMYFUNCTION("""COMPUTED_VALUE"""),"Bautista Jimmy  ikaw sinasabihan niya kuya HAHAHAHAH")</f>
        <v>Bautista Jimmy  ikaw sinasabihan niya kuya HAHAHAHAH</v>
      </c>
      <c r="F1781" s="1">
        <f ca="1">IFERROR(__xludf.DUMMYFUNCTION("""COMPUTED_VALUE"""),3)</f>
        <v>3</v>
      </c>
      <c r="G1781" s="1" t="str">
        <f ca="1">IFERROR(__xludf.DUMMYFUNCTION("""COMPUTED_VALUE"""),"3 mos")</f>
        <v>3 mos</v>
      </c>
      <c r="H1781" s="1" t="str">
        <f ca="1">IFERROR(__xludf.DUMMYFUNCTION("""COMPUTED_VALUE"""),"reply")</f>
        <v>reply</v>
      </c>
      <c r="I1781" s="2" t="str">
        <f ca="1">IFERROR(__xludf.DUMMYFUNCTION("""COMPUTED_VALUE"""),"https://www.facebook.com/rapplerdotcom/photos/a.317154781638645/5595372260483511/")</f>
        <v>https://www.facebook.com/rapplerdotcom/photos/a.317154781638645/5595372260483511/</v>
      </c>
      <c r="J1781" s="1" t="str">
        <f ca="1">IFERROR(__xludf.DUMMYFUNCTION("""COMPUTED_VALUE"""),"2022-07-04T15:44:55.425Z")</f>
        <v>2022-07-04T15:44:55.425Z</v>
      </c>
    </row>
    <row r="1782" spans="1:10" x14ac:dyDescent="0.2">
      <c r="A1782" s="2" t="str">
        <f ca="1">IFERROR(__xludf.DUMMYFUNCTION("""COMPUTED_VALUE"""),"https://www.facebook.com/bautista.jimmy.98")</f>
        <v>https://www.facebook.com/bautista.jimmy.98</v>
      </c>
      <c r="B1782" s="1" t="str">
        <f ca="1">IFERROR(__xludf.DUMMYFUNCTION("""COMPUTED_VALUE"""),"Bautista Jimmy")</f>
        <v>Bautista Jimmy</v>
      </c>
      <c r="C1782" s="1" t="str">
        <f ca="1">IFERROR(__xludf.DUMMYFUNCTION("""COMPUTED_VALUE"""),"Bautista")</f>
        <v>Bautista</v>
      </c>
      <c r="D1782" s="1" t="str">
        <f ca="1">IFERROR(__xludf.DUMMYFUNCTION("""COMPUTED_VALUE"""),"Jimmy")</f>
        <v>Jimmy</v>
      </c>
      <c r="E1782" s="1" t="str">
        <f ca="1">IFERROR(__xludf.DUMMYFUNCTION("""COMPUTED_VALUE"""),"Cyrill Joy Baldera uu")</f>
        <v>Cyrill Joy Baldera uu</v>
      </c>
      <c r="F1782" s="1"/>
      <c r="G1782" s="1" t="str">
        <f ca="1">IFERROR(__xludf.DUMMYFUNCTION("""COMPUTED_VALUE"""),"3 mos")</f>
        <v>3 mos</v>
      </c>
      <c r="H1782" s="1" t="str">
        <f ca="1">IFERROR(__xludf.DUMMYFUNCTION("""COMPUTED_VALUE"""),"reply")</f>
        <v>reply</v>
      </c>
      <c r="I1782" s="2" t="str">
        <f ca="1">IFERROR(__xludf.DUMMYFUNCTION("""COMPUTED_VALUE"""),"https://www.facebook.com/rapplerdotcom/photos/a.317154781638645/5595372260483511/")</f>
        <v>https://www.facebook.com/rapplerdotcom/photos/a.317154781638645/5595372260483511/</v>
      </c>
      <c r="J1782" s="1" t="str">
        <f ca="1">IFERROR(__xludf.DUMMYFUNCTION("""COMPUTED_VALUE"""),"2022-07-04T15:44:55.425Z")</f>
        <v>2022-07-04T15:44:55.425Z</v>
      </c>
    </row>
    <row r="1783" spans="1:10" x14ac:dyDescent="0.2">
      <c r="A1783" s="2" t="str">
        <f ca="1">IFERROR(__xludf.DUMMYFUNCTION("""COMPUTED_VALUE"""),"https://www.facebook.com/bautista.jimmy.98")</f>
        <v>https://www.facebook.com/bautista.jimmy.98</v>
      </c>
      <c r="B1783" s="1" t="str">
        <f ca="1">IFERROR(__xludf.DUMMYFUNCTION("""COMPUTED_VALUE"""),"Bautista Jimmy")</f>
        <v>Bautista Jimmy</v>
      </c>
      <c r="C1783" s="1" t="str">
        <f ca="1">IFERROR(__xludf.DUMMYFUNCTION("""COMPUTED_VALUE"""),"Bautista")</f>
        <v>Bautista</v>
      </c>
      <c r="D1783" s="1" t="str">
        <f ca="1">IFERROR(__xludf.DUMMYFUNCTION("""COMPUTED_VALUE"""),"Jimmy")</f>
        <v>Jimmy</v>
      </c>
      <c r="E1783" s="1" t="str">
        <f ca="1">IFERROR(__xludf.DUMMYFUNCTION("""COMPUTED_VALUE"""),"Hirap kc mga lutang")</f>
        <v>Hirap kc mga lutang</v>
      </c>
      <c r="F1783" s="1"/>
      <c r="G1783" s="1" t="str">
        <f ca="1">IFERROR(__xludf.DUMMYFUNCTION("""COMPUTED_VALUE"""),"3 mos")</f>
        <v>3 mos</v>
      </c>
      <c r="H1783" s="1" t="str">
        <f ca="1">IFERROR(__xludf.DUMMYFUNCTION("""COMPUTED_VALUE"""),"reply")</f>
        <v>reply</v>
      </c>
      <c r="I1783" s="2" t="str">
        <f ca="1">IFERROR(__xludf.DUMMYFUNCTION("""COMPUTED_VALUE"""),"https://www.facebook.com/rapplerdotcom/photos/a.317154781638645/5595372260483511/")</f>
        <v>https://www.facebook.com/rapplerdotcom/photos/a.317154781638645/5595372260483511/</v>
      </c>
      <c r="J1783" s="1" t="str">
        <f ca="1">IFERROR(__xludf.DUMMYFUNCTION("""COMPUTED_VALUE"""),"2022-07-04T15:44:55.425Z")</f>
        <v>2022-07-04T15:44:55.425Z</v>
      </c>
    </row>
    <row r="1784" spans="1:10" x14ac:dyDescent="0.2">
      <c r="A1784" s="2" t="str">
        <f ca="1">IFERROR(__xludf.DUMMYFUNCTION("""COMPUTED_VALUE"""),"https://www.facebook.com/cyrilljoy.baldera.3")</f>
        <v>https://www.facebook.com/cyrilljoy.baldera.3</v>
      </c>
      <c r="B1784" s="1" t="str">
        <f ca="1">IFERROR(__xludf.DUMMYFUNCTION("""COMPUTED_VALUE"""),"Cyrill Joy Baldera")</f>
        <v>Cyrill Joy Baldera</v>
      </c>
      <c r="C1784" s="1" t="str">
        <f ca="1">IFERROR(__xludf.DUMMYFUNCTION("""COMPUTED_VALUE"""),"Cyrill")</f>
        <v>Cyrill</v>
      </c>
      <c r="D1784" s="1" t="str">
        <f ca="1">IFERROR(__xludf.DUMMYFUNCTION("""COMPUTED_VALUE"""),"Joy Baldera")</f>
        <v>Joy Baldera</v>
      </c>
      <c r="E1784" s="1" t="str">
        <f ca="1">IFERROR(__xludf.DUMMYFUNCTION("""COMPUTED_VALUE"""),"Bautista Jimmy  pagod sayo tulog ka")</f>
        <v>Bautista Jimmy  pagod sayo tulog ka</v>
      </c>
      <c r="F1784" s="1">
        <f ca="1">IFERROR(__xludf.DUMMYFUNCTION("""COMPUTED_VALUE"""),2)</f>
        <v>2</v>
      </c>
      <c r="G1784" s="1" t="str">
        <f ca="1">IFERROR(__xludf.DUMMYFUNCTION("""COMPUTED_VALUE"""),"3 mos")</f>
        <v>3 mos</v>
      </c>
      <c r="H1784" s="1" t="str">
        <f ca="1">IFERROR(__xludf.DUMMYFUNCTION("""COMPUTED_VALUE"""),"reply")</f>
        <v>reply</v>
      </c>
      <c r="I1784" s="2" t="str">
        <f ca="1">IFERROR(__xludf.DUMMYFUNCTION("""COMPUTED_VALUE"""),"https://www.facebook.com/rapplerdotcom/photos/a.317154781638645/5595372260483511/")</f>
        <v>https://www.facebook.com/rapplerdotcom/photos/a.317154781638645/5595372260483511/</v>
      </c>
      <c r="J1784" s="1" t="str">
        <f ca="1">IFERROR(__xludf.DUMMYFUNCTION("""COMPUTED_VALUE"""),"2022-07-04T15:44:55.425Z")</f>
        <v>2022-07-04T15:44:55.425Z</v>
      </c>
    </row>
    <row r="1785" spans="1:10" x14ac:dyDescent="0.2">
      <c r="A1785" s="2" t="str">
        <f ca="1">IFERROR(__xludf.DUMMYFUNCTION("""COMPUTED_VALUE"""),"https://www.facebook.com/jose.ladiana")</f>
        <v>https://www.facebook.com/jose.ladiana</v>
      </c>
      <c r="B1785" s="1" t="str">
        <f ca="1">IFERROR(__xludf.DUMMYFUNCTION("""COMPUTED_VALUE"""),"Jose Ladiana")</f>
        <v>Jose Ladiana</v>
      </c>
      <c r="C1785" s="1" t="str">
        <f ca="1">IFERROR(__xludf.DUMMYFUNCTION("""COMPUTED_VALUE"""),"Jose")</f>
        <v>Jose</v>
      </c>
      <c r="D1785" s="1" t="str">
        <f ca="1">IFERROR(__xludf.DUMMYFUNCTION("""COMPUTED_VALUE"""),"Ladiana")</f>
        <v>Ladiana</v>
      </c>
      <c r="E1785" s="1" t="str">
        <f ca="1">IFERROR(__xludf.DUMMYFUNCTION("""COMPUTED_VALUE"""),"Bautista Jimmy umayos dapat ng matino ang gobyerno kung ayaw mabatikos.")</f>
        <v>Bautista Jimmy umayos dapat ng matino ang gobyerno kung ayaw mabatikos.</v>
      </c>
      <c r="F1785" s="1"/>
      <c r="G1785" s="1" t="str">
        <f ca="1">IFERROR(__xludf.DUMMYFUNCTION("""COMPUTED_VALUE"""),"3 mos")</f>
        <v>3 mos</v>
      </c>
      <c r="H1785" s="1" t="str">
        <f ca="1">IFERROR(__xludf.DUMMYFUNCTION("""COMPUTED_VALUE"""),"reply")</f>
        <v>reply</v>
      </c>
      <c r="I1785" s="2" t="str">
        <f ca="1">IFERROR(__xludf.DUMMYFUNCTION("""COMPUTED_VALUE"""),"https://www.facebook.com/rapplerdotcom/photos/a.317154781638645/5595372260483511/")</f>
        <v>https://www.facebook.com/rapplerdotcom/photos/a.317154781638645/5595372260483511/</v>
      </c>
      <c r="J1785" s="1" t="str">
        <f ca="1">IFERROR(__xludf.DUMMYFUNCTION("""COMPUTED_VALUE"""),"2022-07-04T15:44:55.425Z")</f>
        <v>2022-07-04T15:44:55.425Z</v>
      </c>
    </row>
    <row r="1786" spans="1:10" x14ac:dyDescent="0.2">
      <c r="A1786" s="2" t="str">
        <f ca="1">IFERROR(__xludf.DUMMYFUNCTION("""COMPUTED_VALUE"""),"https://www.facebook.com/bautista.jimmy.98")</f>
        <v>https://www.facebook.com/bautista.jimmy.98</v>
      </c>
      <c r="B1786" s="1" t="str">
        <f ca="1">IFERROR(__xludf.DUMMYFUNCTION("""COMPUTED_VALUE"""),"Bautista Jimmy")</f>
        <v>Bautista Jimmy</v>
      </c>
      <c r="C1786" s="1" t="str">
        <f ca="1">IFERROR(__xludf.DUMMYFUNCTION("""COMPUTED_VALUE"""),"Bautista")</f>
        <v>Bautista</v>
      </c>
      <c r="D1786" s="1" t="str">
        <f ca="1">IFERROR(__xludf.DUMMYFUNCTION("""COMPUTED_VALUE"""),"Jimmy")</f>
        <v>Jimmy</v>
      </c>
      <c r="E1786" s="1" t="str">
        <f ca="1">IFERROR(__xludf.DUMMYFUNCTION("""COMPUTED_VALUE"""),"Maganda ang hangarin Ng gobyern pinapapangit lng Ng mga klaban...  Ktulad Ng isko nyo")</f>
        <v>Maganda ang hangarin Ng gobyern pinapapangit lng Ng mga klaban...  Ktulad Ng isko nyo</v>
      </c>
      <c r="F1786" s="1"/>
      <c r="G1786" s="1" t="str">
        <f ca="1">IFERROR(__xludf.DUMMYFUNCTION("""COMPUTED_VALUE"""),"3 mos")</f>
        <v>3 mos</v>
      </c>
      <c r="H1786" s="1" t="str">
        <f ca="1">IFERROR(__xludf.DUMMYFUNCTION("""COMPUTED_VALUE"""),"reply")</f>
        <v>reply</v>
      </c>
      <c r="I1786" s="2" t="str">
        <f ca="1">IFERROR(__xludf.DUMMYFUNCTION("""COMPUTED_VALUE"""),"https://www.facebook.com/rapplerdotcom/photos/a.317154781638645/5595372260483511/")</f>
        <v>https://www.facebook.com/rapplerdotcom/photos/a.317154781638645/5595372260483511/</v>
      </c>
      <c r="J1786" s="1" t="str">
        <f ca="1">IFERROR(__xludf.DUMMYFUNCTION("""COMPUTED_VALUE"""),"2022-07-04T15:44:55.425Z")</f>
        <v>2022-07-04T15:44:55.425Z</v>
      </c>
    </row>
    <row r="1787" spans="1:10" x14ac:dyDescent="0.2">
      <c r="A1787" s="2" t="str">
        <f ca="1">IFERROR(__xludf.DUMMYFUNCTION("""COMPUTED_VALUE"""),"https://www.facebook.com/profile.php?id=100070381902310")</f>
        <v>https://www.facebook.com/profile.php?id=100070381902310</v>
      </c>
      <c r="B1787" s="1" t="str">
        <f ca="1">IFERROR(__xludf.DUMMYFUNCTION("""COMPUTED_VALUE"""),"Princess Anne Ytable")</f>
        <v>Princess Anne Ytable</v>
      </c>
      <c r="C1787" s="1" t="str">
        <f ca="1">IFERROR(__xludf.DUMMYFUNCTION("""COMPUTED_VALUE"""),"Princess")</f>
        <v>Princess</v>
      </c>
      <c r="D1787" s="1" t="str">
        <f ca="1">IFERROR(__xludf.DUMMYFUNCTION("""COMPUTED_VALUE"""),"Anne Ytable")</f>
        <v>Anne Ytable</v>
      </c>
      <c r="E1787" s="1" t="str">
        <f ca="1">IFERROR(__xludf.DUMMYFUNCTION("""COMPUTED_VALUE"""),"Jose Ladiana uu ng eh kaso khit nsa ayos Ala p din mkkliwa p din c lenlen")</f>
        <v>Jose Ladiana uu ng eh kaso khit nsa ayos Ala p din mkkliwa p din c lenlen</v>
      </c>
      <c r="F1787" s="1"/>
      <c r="G1787" s="1" t="str">
        <f ca="1">IFERROR(__xludf.DUMMYFUNCTION("""COMPUTED_VALUE"""),"3 mos")</f>
        <v>3 mos</v>
      </c>
      <c r="H1787" s="1" t="str">
        <f ca="1">IFERROR(__xludf.DUMMYFUNCTION("""COMPUTED_VALUE"""),"reply")</f>
        <v>reply</v>
      </c>
      <c r="I1787" s="2" t="str">
        <f ca="1">IFERROR(__xludf.DUMMYFUNCTION("""COMPUTED_VALUE"""),"https://www.facebook.com/rapplerdotcom/photos/a.317154781638645/5595372260483511/")</f>
        <v>https://www.facebook.com/rapplerdotcom/photos/a.317154781638645/5595372260483511/</v>
      </c>
      <c r="J1787" s="1" t="str">
        <f ca="1">IFERROR(__xludf.DUMMYFUNCTION("""COMPUTED_VALUE"""),"2022-07-04T15:44:55.425Z")</f>
        <v>2022-07-04T15:44:55.425Z</v>
      </c>
    </row>
    <row r="1788" spans="1:10" x14ac:dyDescent="0.2">
      <c r="A1788" s="2" t="str">
        <f ca="1">IFERROR(__xludf.DUMMYFUNCTION("""COMPUTED_VALUE"""),"https://www.facebook.com/profile.php?id=100060978745003")</f>
        <v>https://www.facebook.com/profile.php?id=100060978745003</v>
      </c>
      <c r="B1788" s="1" t="str">
        <f ca="1">IFERROR(__xludf.DUMMYFUNCTION("""COMPUTED_VALUE"""),"Maria Perla Bandola")</f>
        <v>Maria Perla Bandola</v>
      </c>
      <c r="C1788" s="1" t="str">
        <f ca="1">IFERROR(__xludf.DUMMYFUNCTION("""COMPUTED_VALUE"""),"Maria")</f>
        <v>Maria</v>
      </c>
      <c r="D1788" s="1" t="str">
        <f ca="1">IFERROR(__xludf.DUMMYFUNCTION("""COMPUTED_VALUE"""),"Perla Bandola")</f>
        <v>Perla Bandola</v>
      </c>
      <c r="E1788" s="1" t="str">
        <f ca="1">IFERROR(__xludf.DUMMYFUNCTION("""COMPUTED_VALUE"""),"Naku yan na naman makadios makatao pero walang respito sa kapwa!!!")</f>
        <v>Naku yan na naman makadios makatao pero walang respito sa kapwa!!!</v>
      </c>
      <c r="F1788" s="1">
        <f ca="1">IFERROR(__xludf.DUMMYFUNCTION("""COMPUTED_VALUE"""),2)</f>
        <v>2</v>
      </c>
      <c r="G1788" s="1" t="str">
        <f ca="1">IFERROR(__xludf.DUMMYFUNCTION("""COMPUTED_VALUE"""),"3 mos")</f>
        <v>3 mos</v>
      </c>
      <c r="H1788" s="1" t="str">
        <f ca="1">IFERROR(__xludf.DUMMYFUNCTION("""COMPUTED_VALUE"""),"comment")</f>
        <v>comment</v>
      </c>
      <c r="I1788" s="2" t="str">
        <f ca="1">IFERROR(__xludf.DUMMYFUNCTION("""COMPUTED_VALUE"""),"https://www.facebook.com/rapplerdotcom/photos/a.317154781638645/5595372260483511/")</f>
        <v>https://www.facebook.com/rapplerdotcom/photos/a.317154781638645/5595372260483511/</v>
      </c>
      <c r="J1788" s="1" t="str">
        <f ca="1">IFERROR(__xludf.DUMMYFUNCTION("""COMPUTED_VALUE"""),"2022-07-04T15:44:55.425Z")</f>
        <v>2022-07-04T15:44:55.425Z</v>
      </c>
    </row>
    <row r="1789" spans="1:10" x14ac:dyDescent="0.2">
      <c r="A1789" s="2" t="str">
        <f ca="1">IFERROR(__xludf.DUMMYFUNCTION("""COMPUTED_VALUE"""),"https://www.facebook.com/profile.php?id=100072514314651")</f>
        <v>https://www.facebook.com/profile.php?id=100072514314651</v>
      </c>
      <c r="B1789" s="1" t="str">
        <f ca="1">IFERROR(__xludf.DUMMYFUNCTION("""COMPUTED_VALUE"""),"Robert Bagayao")</f>
        <v>Robert Bagayao</v>
      </c>
      <c r="C1789" s="1" t="str">
        <f ca="1">IFERROR(__xludf.DUMMYFUNCTION("""COMPUTED_VALUE"""),"Robert")</f>
        <v>Robert</v>
      </c>
      <c r="D1789" s="1" t="str">
        <f ca="1">IFERROR(__xludf.DUMMYFUNCTION("""COMPUTED_VALUE"""),"Bagayao")</f>
        <v>Bagayao</v>
      </c>
      <c r="E1789" s="1" t="str">
        <f ca="1">IFERROR(__xludf.DUMMYFUNCTION("""COMPUTED_VALUE"""),"Ambabaw")</f>
        <v>Ambabaw</v>
      </c>
      <c r="F1789" s="1"/>
      <c r="G1789" s="1" t="str">
        <f ca="1">IFERROR(__xludf.DUMMYFUNCTION("""COMPUTED_VALUE"""),"3 mos")</f>
        <v>3 mos</v>
      </c>
      <c r="H1789" s="1" t="str">
        <f ca="1">IFERROR(__xludf.DUMMYFUNCTION("""COMPUTED_VALUE"""),"comment")</f>
        <v>comment</v>
      </c>
      <c r="I1789" s="2" t="str">
        <f ca="1">IFERROR(__xludf.DUMMYFUNCTION("""COMPUTED_VALUE"""),"https://www.facebook.com/rapplerdotcom/photos/a.317154781638645/5595372260483511/")</f>
        <v>https://www.facebook.com/rapplerdotcom/photos/a.317154781638645/5595372260483511/</v>
      </c>
      <c r="J1789" s="1" t="str">
        <f ca="1">IFERROR(__xludf.DUMMYFUNCTION("""COMPUTED_VALUE"""),"2022-07-04T15:44:55.425Z")</f>
        <v>2022-07-04T15:44:55.425Z</v>
      </c>
    </row>
    <row r="1790" spans="1:10" x14ac:dyDescent="0.2">
      <c r="A1790" s="2" t="str">
        <f ca="1">IFERROR(__xludf.DUMMYFUNCTION("""COMPUTED_VALUE"""),"https://www.facebook.com/louigie012")</f>
        <v>https://www.facebook.com/louigie012</v>
      </c>
      <c r="B1790" s="1" t="str">
        <f ca="1">IFERROR(__xludf.DUMMYFUNCTION("""COMPUTED_VALUE"""),"Louigie Bautista Santos")</f>
        <v>Louigie Bautista Santos</v>
      </c>
      <c r="C1790" s="1" t="str">
        <f ca="1">IFERROR(__xludf.DUMMYFUNCTION("""COMPUTED_VALUE"""),"Louigie")</f>
        <v>Louigie</v>
      </c>
      <c r="D1790" s="1" t="str">
        <f ca="1">IFERROR(__xludf.DUMMYFUNCTION("""COMPUTED_VALUE"""),"Bautista Santos")</f>
        <v>Bautista Santos</v>
      </c>
      <c r="E1790" s="1" t="str">
        <f ca="1">IFERROR(__xludf.DUMMYFUNCTION("""COMPUTED_VALUE"""),"I agree. May haha react ng hindi nag iisip kasi nalugaw na kakabbm.")</f>
        <v>I agree. May haha react ng hindi nag iisip kasi nalugaw na kakabbm.</v>
      </c>
      <c r="F1790" s="1"/>
      <c r="G1790" s="1" t="str">
        <f ca="1">IFERROR(__xludf.DUMMYFUNCTION("""COMPUTED_VALUE"""),"3 mos")</f>
        <v>3 mos</v>
      </c>
      <c r="H1790" s="1" t="str">
        <f ca="1">IFERROR(__xludf.DUMMYFUNCTION("""COMPUTED_VALUE"""),"comment")</f>
        <v>comment</v>
      </c>
      <c r="I1790" s="2" t="str">
        <f ca="1">IFERROR(__xludf.DUMMYFUNCTION("""COMPUTED_VALUE"""),"https://www.facebook.com/rapplerdotcom/photos/a.317154781638645/5595372260483511/")</f>
        <v>https://www.facebook.com/rapplerdotcom/photos/a.317154781638645/5595372260483511/</v>
      </c>
      <c r="J1790" s="1" t="str">
        <f ca="1">IFERROR(__xludf.DUMMYFUNCTION("""COMPUTED_VALUE"""),"2022-07-04T15:44:55.425Z")</f>
        <v>2022-07-04T15:44:55.425Z</v>
      </c>
    </row>
    <row r="1791" spans="1:10" x14ac:dyDescent="0.2">
      <c r="A1791" s="2" t="str">
        <f ca="1">IFERROR(__xludf.DUMMYFUNCTION("""COMPUTED_VALUE"""),"https://www.facebook.com/francisco.sabado.585")</f>
        <v>https://www.facebook.com/francisco.sabado.585</v>
      </c>
      <c r="B1791" s="1" t="str">
        <f ca="1">IFERROR(__xludf.DUMMYFUNCTION("""COMPUTED_VALUE"""),"Francisco Sabado")</f>
        <v>Francisco Sabado</v>
      </c>
      <c r="C1791" s="1" t="str">
        <f ca="1">IFERROR(__xludf.DUMMYFUNCTION("""COMPUTED_VALUE"""),"Francisco")</f>
        <v>Francisco</v>
      </c>
      <c r="D1791" s="1" t="str">
        <f ca="1">IFERROR(__xludf.DUMMYFUNCTION("""COMPUTED_VALUE"""),"Sabado")</f>
        <v>Sabado</v>
      </c>
      <c r="E1791" s="1" t="str">
        <f ca="1">IFERROR(__xludf.DUMMYFUNCTION("""COMPUTED_VALUE"""),"Dapat  mga pari at Obispo dito sa Pilipinas   isumbong Kay pop Francis  dahil nakikialam Sila sa mga Politiko   imbis na mangaral        Nakikialam Sila  kaya Yong mga katoliko lulipat sa  iBang  Relihiyon    parang mga loko")</f>
        <v>Dapat  mga pari at Obispo dito sa Pilipinas   isumbong Kay pop Francis  dahil nakikialam Sila sa mga Politiko   imbis na mangaral        Nakikialam Sila  kaya Yong mga katoliko lulipat sa  iBang  Relihiyon    parang mga loko</v>
      </c>
      <c r="F1791" s="1">
        <f ca="1">IFERROR(__xludf.DUMMYFUNCTION("""COMPUTED_VALUE"""),1)</f>
        <v>1</v>
      </c>
      <c r="G1791" s="1" t="str">
        <f ca="1">IFERROR(__xludf.DUMMYFUNCTION("""COMPUTED_VALUE"""),"3 mos")</f>
        <v>3 mos</v>
      </c>
      <c r="H1791" s="1" t="str">
        <f ca="1">IFERROR(__xludf.DUMMYFUNCTION("""COMPUTED_VALUE"""),"comment")</f>
        <v>comment</v>
      </c>
      <c r="I1791" s="2" t="str">
        <f ca="1">IFERROR(__xludf.DUMMYFUNCTION("""COMPUTED_VALUE"""),"https://www.facebook.com/rapplerdotcom/photos/a.317154781638645/5595372260483511/")</f>
        <v>https://www.facebook.com/rapplerdotcom/photos/a.317154781638645/5595372260483511/</v>
      </c>
      <c r="J1791" s="1" t="str">
        <f ca="1">IFERROR(__xludf.DUMMYFUNCTION("""COMPUTED_VALUE"""),"2022-07-04T15:44:55.425Z")</f>
        <v>2022-07-04T15:44:55.425Z</v>
      </c>
    </row>
    <row r="1792" spans="1:10" x14ac:dyDescent="0.2">
      <c r="A1792" s="2" t="str">
        <f ca="1">IFERROR(__xludf.DUMMYFUNCTION("""COMPUTED_VALUE"""),"https://www.facebook.com/pol.lareza.9")</f>
        <v>https://www.facebook.com/pol.lareza.9</v>
      </c>
      <c r="B1792" s="1" t="str">
        <f ca="1">IFERROR(__xludf.DUMMYFUNCTION("""COMPUTED_VALUE"""),"Pol Lareza")</f>
        <v>Pol Lareza</v>
      </c>
      <c r="C1792" s="1" t="str">
        <f ca="1">IFERROR(__xludf.DUMMYFUNCTION("""COMPUTED_VALUE"""),"Pol")</f>
        <v>Pol</v>
      </c>
      <c r="D1792" s="1" t="str">
        <f ca="1">IFERROR(__xludf.DUMMYFUNCTION("""COMPUTED_VALUE"""),"Lareza")</f>
        <v>Lareza</v>
      </c>
      <c r="E1792" s="1" t="str">
        <f ca="1">IFERROR(__xludf.DUMMYFUNCTION("""COMPUTED_VALUE"""),"Paano kaya yun eh faith kay Kiboloy ang gusto nung isa...")</f>
        <v>Paano kaya yun eh faith kay Kiboloy ang gusto nung isa...</v>
      </c>
      <c r="F1792" s="1"/>
      <c r="G1792" s="1" t="str">
        <f ca="1">IFERROR(__xludf.DUMMYFUNCTION("""COMPUTED_VALUE"""),"3 mos")</f>
        <v>3 mos</v>
      </c>
      <c r="H1792" s="1" t="str">
        <f ca="1">IFERROR(__xludf.DUMMYFUNCTION("""COMPUTED_VALUE"""),"comment")</f>
        <v>comment</v>
      </c>
      <c r="I1792" s="2" t="str">
        <f ca="1">IFERROR(__xludf.DUMMYFUNCTION("""COMPUTED_VALUE"""),"https://www.facebook.com/rapplerdotcom/photos/a.317154781638645/5595372260483511/")</f>
        <v>https://www.facebook.com/rapplerdotcom/photos/a.317154781638645/5595372260483511/</v>
      </c>
      <c r="J1792" s="1" t="str">
        <f ca="1">IFERROR(__xludf.DUMMYFUNCTION("""COMPUTED_VALUE"""),"2022-07-04T15:44:55.425Z")</f>
        <v>2022-07-04T15:44:55.425Z</v>
      </c>
    </row>
    <row r="1793" spans="1:10" x14ac:dyDescent="0.2">
      <c r="A1793" s="2" t="str">
        <f ca="1">IFERROR(__xludf.DUMMYFUNCTION("""COMPUTED_VALUE"""),"https://www.facebook.com/sham.cunanan.7")</f>
        <v>https://www.facebook.com/sham.cunanan.7</v>
      </c>
      <c r="B1793" s="1" t="str">
        <f ca="1">IFERROR(__xludf.DUMMYFUNCTION("""COMPUTED_VALUE"""),"Sha Ma")</f>
        <v>Sha Ma</v>
      </c>
      <c r="C1793" s="1" t="str">
        <f ca="1">IFERROR(__xludf.DUMMYFUNCTION("""COMPUTED_VALUE"""),"Sha")</f>
        <v>Sha</v>
      </c>
      <c r="D1793" s="1" t="str">
        <f ca="1">IFERROR(__xludf.DUMMYFUNCTION("""COMPUTED_VALUE"""),"Ma")</f>
        <v>Ma</v>
      </c>
      <c r="E1793" s="1" t="str">
        <f ca="1">IFERROR(__xludf.DUMMYFUNCTION("""COMPUTED_VALUE"""),"🤦la nakong masabi pa😂")</f>
        <v>🤦la nakong masabi pa😂</v>
      </c>
      <c r="F1793" s="1"/>
      <c r="G1793" s="1" t="str">
        <f ca="1">IFERROR(__xludf.DUMMYFUNCTION("""COMPUTED_VALUE"""),"3 mos")</f>
        <v>3 mos</v>
      </c>
      <c r="H1793" s="1" t="str">
        <f ca="1">IFERROR(__xludf.DUMMYFUNCTION("""COMPUTED_VALUE"""),"comment")</f>
        <v>comment</v>
      </c>
      <c r="I1793" s="2" t="str">
        <f ca="1">IFERROR(__xludf.DUMMYFUNCTION("""COMPUTED_VALUE"""),"https://www.facebook.com/rapplerdotcom/photos/a.317154781638645/5595372260483511/")</f>
        <v>https://www.facebook.com/rapplerdotcom/photos/a.317154781638645/5595372260483511/</v>
      </c>
      <c r="J1793" s="1" t="str">
        <f ca="1">IFERROR(__xludf.DUMMYFUNCTION("""COMPUTED_VALUE"""),"2022-07-04T15:44:55.425Z")</f>
        <v>2022-07-04T15:44:55.425Z</v>
      </c>
    </row>
    <row r="1794" spans="1:10" x14ac:dyDescent="0.2">
      <c r="A1794" s="2" t="str">
        <f ca="1">IFERROR(__xludf.DUMMYFUNCTION("""COMPUTED_VALUE"""),"https://www.facebook.com/rlduldulao")</f>
        <v>https://www.facebook.com/rlduldulao</v>
      </c>
      <c r="B1794" s="1" t="str">
        <f ca="1">IFERROR(__xludf.DUMMYFUNCTION("""COMPUTED_VALUE"""),"Randy Duldulao")</f>
        <v>Randy Duldulao</v>
      </c>
      <c r="C1794" s="1" t="str">
        <f ca="1">IFERROR(__xludf.DUMMYFUNCTION("""COMPUTED_VALUE"""),"Randy")</f>
        <v>Randy</v>
      </c>
      <c r="D1794" s="1" t="str">
        <f ca="1">IFERROR(__xludf.DUMMYFUNCTION("""COMPUTED_VALUE"""),"Duldulao")</f>
        <v>Duldulao</v>
      </c>
      <c r="E1794" s="1" t="str">
        <f ca="1">IFERROR(__xludf.DUMMYFUNCTION("""COMPUTED_VALUE"""),"📍 SOLEMN dapat, disente, at walang bahid-dungis. CBCP forum ito. 🤭🤣")</f>
        <v>📍 SOLEMN dapat, disente, at walang bahid-dungis. CBCP forum ito. 🤭🤣</v>
      </c>
      <c r="F1794" s="1"/>
      <c r="G1794" s="1" t="str">
        <f ca="1">IFERROR(__xludf.DUMMYFUNCTION("""COMPUTED_VALUE"""),"3 mos")</f>
        <v>3 mos</v>
      </c>
      <c r="H1794" s="1" t="str">
        <f ca="1">IFERROR(__xludf.DUMMYFUNCTION("""COMPUTED_VALUE"""),"comment")</f>
        <v>comment</v>
      </c>
      <c r="I1794" s="2" t="str">
        <f ca="1">IFERROR(__xludf.DUMMYFUNCTION("""COMPUTED_VALUE"""),"https://www.facebook.com/rapplerdotcom/photos/a.317154781638645/5595372260483511/")</f>
        <v>https://www.facebook.com/rapplerdotcom/photos/a.317154781638645/5595372260483511/</v>
      </c>
      <c r="J1794" s="1" t="str">
        <f ca="1">IFERROR(__xludf.DUMMYFUNCTION("""COMPUTED_VALUE"""),"2022-07-04T15:44:55.425Z")</f>
        <v>2022-07-04T15:44:55.425Z</v>
      </c>
    </row>
    <row r="1795" spans="1:10" x14ac:dyDescent="0.2">
      <c r="A1795" s="2" t="str">
        <f ca="1">IFERROR(__xludf.DUMMYFUNCTION("""COMPUTED_VALUE"""),"https://www.facebook.com/clark.collin.583")</f>
        <v>https://www.facebook.com/clark.collin.583</v>
      </c>
      <c r="B1795" s="1" t="str">
        <f ca="1">IFERROR(__xludf.DUMMYFUNCTION("""COMPUTED_VALUE"""),"Clark Collin")</f>
        <v>Clark Collin</v>
      </c>
      <c r="C1795" s="1" t="str">
        <f ca="1">IFERROR(__xludf.DUMMYFUNCTION("""COMPUTED_VALUE"""),"Clark")</f>
        <v>Clark</v>
      </c>
      <c r="D1795" s="1" t="str">
        <f ca="1">IFERROR(__xludf.DUMMYFUNCTION("""COMPUTED_VALUE"""),"Collin")</f>
        <v>Collin</v>
      </c>
      <c r="E1795" s="1" t="str">
        <f ca="1">IFERROR(__xludf.DUMMYFUNCTION("""COMPUTED_VALUE"""),"Ewan ko d mhirap k tlga mgexplain")</f>
        <v>Ewan ko d mhirap k tlga mgexplain</v>
      </c>
      <c r="F1795" s="1"/>
      <c r="G1795" s="1" t="str">
        <f ca="1">IFERROR(__xludf.DUMMYFUNCTION("""COMPUTED_VALUE"""),"3 mos")</f>
        <v>3 mos</v>
      </c>
      <c r="H1795" s="1" t="str">
        <f ca="1">IFERROR(__xludf.DUMMYFUNCTION("""COMPUTED_VALUE"""),"comment")</f>
        <v>comment</v>
      </c>
      <c r="I1795" s="2" t="str">
        <f ca="1">IFERROR(__xludf.DUMMYFUNCTION("""COMPUTED_VALUE"""),"https://www.facebook.com/rapplerdotcom/photos/a.317154781638645/5595372260483511/")</f>
        <v>https://www.facebook.com/rapplerdotcom/photos/a.317154781638645/5595372260483511/</v>
      </c>
      <c r="J1795" s="1" t="str">
        <f ca="1">IFERROR(__xludf.DUMMYFUNCTION("""COMPUTED_VALUE"""),"2022-07-04T15:44:55.425Z")</f>
        <v>2022-07-04T15:44:55.425Z</v>
      </c>
    </row>
    <row r="1796" spans="1:10" x14ac:dyDescent="0.2">
      <c r="A1796" s="2" t="str">
        <f ca="1">IFERROR(__xludf.DUMMYFUNCTION("""COMPUTED_VALUE"""),"https://www.facebook.com/profile.php?id=100074949353472")</f>
        <v>https://www.facebook.com/profile.php?id=100074949353472</v>
      </c>
      <c r="B1796" s="1" t="str">
        <f ca="1">IFERROR(__xludf.DUMMYFUNCTION("""COMPUTED_VALUE"""),"Kram Ynothna")</f>
        <v>Kram Ynothna</v>
      </c>
      <c r="C1796" s="1" t="str">
        <f ca="1">IFERROR(__xludf.DUMMYFUNCTION("""COMPUTED_VALUE"""),"Kram")</f>
        <v>Kram</v>
      </c>
      <c r="D1796" s="1" t="str">
        <f ca="1">IFERROR(__xludf.DUMMYFUNCTION("""COMPUTED_VALUE"""),"Ynothna")</f>
        <v>Ynothna</v>
      </c>
      <c r="E1796" s="1" t="str">
        <f ca="1">IFERROR(__xludf.DUMMYFUNCTION("""COMPUTED_VALUE"""),"ANg Pilipinas ay pAra sa mga Pilipino kaya't Mahalin Natin ito💚♥️... #bayanbangonmuli #bbmsarauniteam2022 #BBMPARASAPAGBABAGO #indaysaraforvicepresident2022 #BBMPresident2022")</f>
        <v>ANg Pilipinas ay pAra sa mga Pilipino kaya't Mahalin Natin ito💚♥️... #bayanbangonmuli #bbmsarauniteam2022 #BBMPARASAPAGBABAGO #indaysaraforvicepresident2022 #BBMPresident2022</v>
      </c>
      <c r="F1796" s="1"/>
      <c r="G1796" s="1" t="str">
        <f ca="1">IFERROR(__xludf.DUMMYFUNCTION("""COMPUTED_VALUE"""),"3 mos")</f>
        <v>3 mos</v>
      </c>
      <c r="H1796" s="1" t="str">
        <f ca="1">IFERROR(__xludf.DUMMYFUNCTION("""COMPUTED_VALUE"""),"comment")</f>
        <v>comment</v>
      </c>
      <c r="I1796" s="2" t="str">
        <f ca="1">IFERROR(__xludf.DUMMYFUNCTION("""COMPUTED_VALUE"""),"https://www.facebook.com/rapplerdotcom/photos/a.317154781638645/5595372260483511/")</f>
        <v>https://www.facebook.com/rapplerdotcom/photos/a.317154781638645/5595372260483511/</v>
      </c>
      <c r="J1796" s="1" t="str">
        <f ca="1">IFERROR(__xludf.DUMMYFUNCTION("""COMPUTED_VALUE"""),"2022-07-04T15:44:55.425Z")</f>
        <v>2022-07-04T15:44:55.425Z</v>
      </c>
    </row>
    <row r="1797" spans="1:10" x14ac:dyDescent="0.2">
      <c r="A1797" s="2" t="str">
        <f ca="1">IFERROR(__xludf.DUMMYFUNCTION("""COMPUTED_VALUE"""),"https://www.facebook.com/rolando.adriano")</f>
        <v>https://www.facebook.com/rolando.adriano</v>
      </c>
      <c r="B1797" s="1" t="str">
        <f ca="1">IFERROR(__xludf.DUMMYFUNCTION("""COMPUTED_VALUE"""),"Adrianne Rolly")</f>
        <v>Adrianne Rolly</v>
      </c>
      <c r="C1797" s="1" t="str">
        <f ca="1">IFERROR(__xludf.DUMMYFUNCTION("""COMPUTED_VALUE"""),"Adrianne")</f>
        <v>Adrianne</v>
      </c>
      <c r="D1797" s="1" t="str">
        <f ca="1">IFERROR(__xludf.DUMMYFUNCTION("""COMPUTED_VALUE"""),"Rolly")</f>
        <v>Rolly</v>
      </c>
      <c r="E1797" s="1" t="str">
        <f ca="1">IFERROR(__xludf.DUMMYFUNCTION("""COMPUTED_VALUE"""),"Summary niyan Unity! Nangopya na naman. Kasi kasi kasi..ung lalaban ako nung una wala na?")</f>
        <v>Summary niyan Unity! Nangopya na naman. Kasi kasi kasi..ung lalaban ako nung una wala na?</v>
      </c>
      <c r="F1797" s="1"/>
      <c r="G1797" s="1" t="str">
        <f ca="1">IFERROR(__xludf.DUMMYFUNCTION("""COMPUTED_VALUE"""),"3 mos")</f>
        <v>3 mos</v>
      </c>
      <c r="H1797" s="1" t="str">
        <f ca="1">IFERROR(__xludf.DUMMYFUNCTION("""COMPUTED_VALUE"""),"comment")</f>
        <v>comment</v>
      </c>
      <c r="I1797" s="2" t="str">
        <f ca="1">IFERROR(__xludf.DUMMYFUNCTION("""COMPUTED_VALUE"""),"https://www.facebook.com/rapplerdotcom/photos/a.317154781638645/5595372260483511/")</f>
        <v>https://www.facebook.com/rapplerdotcom/photos/a.317154781638645/5595372260483511/</v>
      </c>
      <c r="J1797" s="1" t="str">
        <f ca="1">IFERROR(__xludf.DUMMYFUNCTION("""COMPUTED_VALUE"""),"2022-07-04T15:44:55.425Z")</f>
        <v>2022-07-04T15:44:55.425Z</v>
      </c>
    </row>
    <row r="1798" spans="1:10" x14ac:dyDescent="0.2">
      <c r="A1798" s="2" t="str">
        <f ca="1">IFERROR(__xludf.DUMMYFUNCTION("""COMPUTED_VALUE"""),"https://www.facebook.com/profile.php?id=100078467486543")</f>
        <v>https://www.facebook.com/profile.php?id=100078467486543</v>
      </c>
      <c r="B1798" s="1" t="str">
        <f ca="1">IFERROR(__xludf.DUMMYFUNCTION("""COMPUTED_VALUE"""),"Terence Hill Fetalsana")</f>
        <v>Terence Hill Fetalsana</v>
      </c>
      <c r="C1798" s="1" t="str">
        <f ca="1">IFERROR(__xludf.DUMMYFUNCTION("""COMPUTED_VALUE"""),"Terence")</f>
        <v>Terence</v>
      </c>
      <c r="D1798" s="1" t="str">
        <f ca="1">IFERROR(__xludf.DUMMYFUNCTION("""COMPUTED_VALUE"""),"Hill Fetalsana")</f>
        <v>Hill Fetalsana</v>
      </c>
      <c r="E1798" s="1" t="str">
        <f ca="1">IFERROR(__xludf.DUMMYFUNCTION("""COMPUTED_VALUE"""),"BBMSARA po✌️✌️✌️👊👊👊")</f>
        <v>BBMSARA po✌️✌️✌️👊👊👊</v>
      </c>
      <c r="F1798" s="1"/>
      <c r="G1798" s="1" t="str">
        <f ca="1">IFERROR(__xludf.DUMMYFUNCTION("""COMPUTED_VALUE"""),"3 mos")</f>
        <v>3 mos</v>
      </c>
      <c r="H1798" s="1" t="str">
        <f ca="1">IFERROR(__xludf.DUMMYFUNCTION("""COMPUTED_VALUE"""),"comment")</f>
        <v>comment</v>
      </c>
      <c r="I1798" s="2" t="str">
        <f ca="1">IFERROR(__xludf.DUMMYFUNCTION("""COMPUTED_VALUE"""),"https://www.facebook.com/rapplerdotcom/photos/a.317154781638645/5595372260483511/")</f>
        <v>https://www.facebook.com/rapplerdotcom/photos/a.317154781638645/5595372260483511/</v>
      </c>
      <c r="J1798" s="1" t="str">
        <f ca="1">IFERROR(__xludf.DUMMYFUNCTION("""COMPUTED_VALUE"""),"2022-07-04T15:44:55.425Z")</f>
        <v>2022-07-04T15:44:55.425Z</v>
      </c>
    </row>
    <row r="1799" spans="1:10" x14ac:dyDescent="0.2">
      <c r="A1799" s="2" t="str">
        <f ca="1">IFERROR(__xludf.DUMMYFUNCTION("""COMPUTED_VALUE"""),"https://www.facebook.com/tony.deguzman.104")</f>
        <v>https://www.facebook.com/tony.deguzman.104</v>
      </c>
      <c r="B1799" s="1" t="str">
        <f ca="1">IFERROR(__xludf.DUMMYFUNCTION("""COMPUTED_VALUE"""),"Tony de Guzman")</f>
        <v>Tony de Guzman</v>
      </c>
      <c r="C1799" s="1" t="str">
        <f ca="1">IFERROR(__xludf.DUMMYFUNCTION("""COMPUTED_VALUE"""),"Tony")</f>
        <v>Tony</v>
      </c>
      <c r="D1799" s="1" t="str">
        <f ca="1">IFERROR(__xludf.DUMMYFUNCTION("""COMPUTED_VALUE"""),"de Guzman")</f>
        <v>de Guzman</v>
      </c>
      <c r="E1799" s="1" t="str">
        <f ca="1">IFERROR(__xludf.DUMMYFUNCTION("""COMPUTED_VALUE"""),"Kay Prof. Carlos k magpaliwanag,😂😂")</f>
        <v>Kay Prof. Carlos k magpaliwanag,😂😂</v>
      </c>
      <c r="F1799" s="1"/>
      <c r="G1799" s="1" t="str">
        <f ca="1">IFERROR(__xludf.DUMMYFUNCTION("""COMPUTED_VALUE"""),"3 mos")</f>
        <v>3 mos</v>
      </c>
      <c r="H1799" s="1" t="str">
        <f ca="1">IFERROR(__xludf.DUMMYFUNCTION("""COMPUTED_VALUE"""),"comment")</f>
        <v>comment</v>
      </c>
      <c r="I1799" s="2" t="str">
        <f ca="1">IFERROR(__xludf.DUMMYFUNCTION("""COMPUTED_VALUE"""),"https://www.facebook.com/rapplerdotcom/photos/a.317154781638645/5595372260483511/")</f>
        <v>https://www.facebook.com/rapplerdotcom/photos/a.317154781638645/5595372260483511/</v>
      </c>
      <c r="J1799" s="1" t="str">
        <f ca="1">IFERROR(__xludf.DUMMYFUNCTION("""COMPUTED_VALUE"""),"2022-07-04T15:44:55.425Z")</f>
        <v>2022-07-04T15:44:55.425Z</v>
      </c>
    </row>
    <row r="1800" spans="1:10" x14ac:dyDescent="0.2">
      <c r="A1800" s="2" t="str">
        <f ca="1">IFERROR(__xludf.DUMMYFUNCTION("""COMPUTED_VALUE"""),"https://www.facebook.com/elmer.cordero.3")</f>
        <v>https://www.facebook.com/elmer.cordero.3</v>
      </c>
      <c r="B1800" s="1" t="str">
        <f ca="1">IFERROR(__xludf.DUMMYFUNCTION("""COMPUTED_VALUE"""),"Elmer Cordero")</f>
        <v>Elmer Cordero</v>
      </c>
      <c r="C1800" s="1" t="str">
        <f ca="1">IFERROR(__xludf.DUMMYFUNCTION("""COMPUTED_VALUE"""),"Elmer")</f>
        <v>Elmer</v>
      </c>
      <c r="D1800" s="1" t="str">
        <f ca="1">IFERROR(__xludf.DUMMYFUNCTION("""COMPUTED_VALUE"""),"Cordero")</f>
        <v>Cordero</v>
      </c>
      <c r="E1800" s="1" t="str">
        <f ca="1">IFERROR(__xludf.DUMMYFUNCTION("""COMPUTED_VALUE"""),"hndi ba UNITY lang sagot jan? sa lahat ng problema ng bansa unity lng at day care 😂🤣🤣🤣")</f>
        <v>hndi ba UNITY lang sagot jan? sa lahat ng problema ng bansa unity lng at day care 😂🤣🤣🤣</v>
      </c>
      <c r="F1800" s="1"/>
      <c r="G1800" s="1" t="str">
        <f ca="1">IFERROR(__xludf.DUMMYFUNCTION("""COMPUTED_VALUE"""),"3 mos")</f>
        <v>3 mos</v>
      </c>
      <c r="H1800" s="1" t="str">
        <f ca="1">IFERROR(__xludf.DUMMYFUNCTION("""COMPUTED_VALUE"""),"comment")</f>
        <v>comment</v>
      </c>
      <c r="I1800" s="2" t="str">
        <f ca="1">IFERROR(__xludf.DUMMYFUNCTION("""COMPUTED_VALUE"""),"https://www.facebook.com/rapplerdotcom/photos/a.317154781638645/5595372260483511/")</f>
        <v>https://www.facebook.com/rapplerdotcom/photos/a.317154781638645/5595372260483511/</v>
      </c>
      <c r="J1800" s="1" t="str">
        <f ca="1">IFERROR(__xludf.DUMMYFUNCTION("""COMPUTED_VALUE"""),"2022-07-04T15:44:55.425Z")</f>
        <v>2022-07-04T15:44:55.425Z</v>
      </c>
    </row>
    <row r="1801" spans="1:10" x14ac:dyDescent="0.2">
      <c r="A1801" s="2" t="str">
        <f ca="1">IFERROR(__xludf.DUMMYFUNCTION("""COMPUTED_VALUE"""),"https://www.facebook.com/profile.php?id=100077069798588")</f>
        <v>https://www.facebook.com/profile.php?id=100077069798588</v>
      </c>
      <c r="B1801" s="1" t="str">
        <f ca="1">IFERROR(__xludf.DUMMYFUNCTION("""COMPUTED_VALUE"""),"Al Vin")</f>
        <v>Al Vin</v>
      </c>
      <c r="C1801" s="1" t="str">
        <f ca="1">IFERROR(__xludf.DUMMYFUNCTION("""COMPUTED_VALUE"""),"Al")</f>
        <v>Al</v>
      </c>
      <c r="D1801" s="1" t="str">
        <f ca="1">IFERROR(__xludf.DUMMYFUNCTION("""COMPUTED_VALUE"""),"Vin")</f>
        <v>Vin</v>
      </c>
      <c r="E1801" s="1" t="str">
        <f ca="1">IFERROR(__xludf.DUMMYFUNCTION("""COMPUTED_VALUE"""),"Correct po nakaka tulong sa consensiya it help us double think kung tama ba to or hindi &lt;3 💌💌💌💌💌 #OurVoteOurFuture #LeniKiko2022 #BangonPilipinas #VotePH #TheFilipinoVotes #RosasAngKulayNgBukas #GobyernongTapatAngatBuhayLahat #HusayAtTibay #bilangpil"&amp;"ipino2022 http://lazada.cyou/leni2022")</f>
        <v>Correct po nakaka tulong sa consensiya it help us double think kung tama ba to or hindi &lt;3 💌💌💌💌💌 #OurVoteOurFuture #LeniKiko2022 #BangonPilipinas #VotePH #TheFilipinoVotes #RosasAngKulayNgBukas #GobyernongTapatAngatBuhayLahat #HusayAtTibay #bilangpilipino2022 http://lazada.cyou/leni2022</v>
      </c>
      <c r="F1801" s="1"/>
      <c r="G1801" s="1" t="str">
        <f ca="1">IFERROR(__xludf.DUMMYFUNCTION("""COMPUTED_VALUE"""),"3 mos")</f>
        <v>3 mos</v>
      </c>
      <c r="H1801" s="1" t="str">
        <f ca="1">IFERROR(__xludf.DUMMYFUNCTION("""COMPUTED_VALUE"""),"comment")</f>
        <v>comment</v>
      </c>
      <c r="I1801" s="2" t="str">
        <f ca="1">IFERROR(__xludf.DUMMYFUNCTION("""COMPUTED_VALUE"""),"https://www.facebook.com/rapplerdotcom/photos/a.317154781638645/5595372260483511/")</f>
        <v>https://www.facebook.com/rapplerdotcom/photos/a.317154781638645/5595372260483511/</v>
      </c>
      <c r="J1801" s="1" t="str">
        <f ca="1">IFERROR(__xludf.DUMMYFUNCTION("""COMPUTED_VALUE"""),"2022-07-04T15:44:55.425Z")</f>
        <v>2022-07-04T15:44:55.425Z</v>
      </c>
    </row>
    <row r="1802" spans="1:10" x14ac:dyDescent="0.2">
      <c r="A1802" s="2" t="str">
        <f ca="1">IFERROR(__xludf.DUMMYFUNCTION("""COMPUTED_VALUE"""),"https://www.facebook.com/profile.php?id=100079452280429")</f>
        <v>https://www.facebook.com/profile.php?id=100079452280429</v>
      </c>
      <c r="B1802" s="1" t="str">
        <f ca="1">IFERROR(__xludf.DUMMYFUNCTION("""COMPUTED_VALUE"""),"Emmanuel Kenneth Escalante")</f>
        <v>Emmanuel Kenneth Escalante</v>
      </c>
      <c r="C1802" s="1" t="str">
        <f ca="1">IFERROR(__xludf.DUMMYFUNCTION("""COMPUTED_VALUE"""),"Emmanuel")</f>
        <v>Emmanuel</v>
      </c>
      <c r="D1802" s="1" t="str">
        <f ca="1">IFERROR(__xludf.DUMMYFUNCTION("""COMPUTED_VALUE"""),"Kenneth Escalante")</f>
        <v>Kenneth Escalante</v>
      </c>
      <c r="E1802" s="1" t="str">
        <f ca="1">IFERROR(__xludf.DUMMYFUNCTION("""COMPUTED_VALUE"""),"Accurate, that's the best thing to do. It is strategic in a way that Filipinos tend to believe in religious leaders because they use the 'teachings of God' in ordering their church members in terms of moral aspect. When Church is involved, it can influenc"&amp;"e the minds of their believers regards with this topic. This is also a long-term solution because 'mind-conditioning' especially when Bible teachings are concerned, will seed the moral mindset of everyone.")</f>
        <v>Accurate, that's the best thing to do. It is strategic in a way that Filipinos tend to believe in religious leaders because they use the 'teachings of God' in ordering their church members in terms of moral aspect. When Church is involved, it can influence the minds of their believers regards with this topic. This is also a long-term solution because 'mind-conditioning' especially when Bible teachings are concerned, will seed the moral mindset of everyone.</v>
      </c>
      <c r="F1802" s="1"/>
      <c r="G1802" s="1" t="str">
        <f ca="1">IFERROR(__xludf.DUMMYFUNCTION("""COMPUTED_VALUE"""),"3 mos")</f>
        <v>3 mos</v>
      </c>
      <c r="H1802" s="1" t="str">
        <f ca="1">IFERROR(__xludf.DUMMYFUNCTION("""COMPUTED_VALUE"""),"comment")</f>
        <v>comment</v>
      </c>
      <c r="I1802" s="2" t="str">
        <f ca="1">IFERROR(__xludf.DUMMYFUNCTION("""COMPUTED_VALUE"""),"https://www.facebook.com/rapplerdotcom/photos/a.317154781638645/5595372260483511/")</f>
        <v>https://www.facebook.com/rapplerdotcom/photos/a.317154781638645/5595372260483511/</v>
      </c>
      <c r="J1802" s="1" t="str">
        <f ca="1">IFERROR(__xludf.DUMMYFUNCTION("""COMPUTED_VALUE"""),"2022-07-04T15:44:55.425Z")</f>
        <v>2022-07-04T15:44:55.425Z</v>
      </c>
    </row>
    <row r="1803" spans="1:10" x14ac:dyDescent="0.2">
      <c r="A1803" s="2" t="str">
        <f ca="1">IFERROR(__xludf.DUMMYFUNCTION("""COMPUTED_VALUE"""),"https://www.facebook.com/claridad.delfin")</f>
        <v>https://www.facebook.com/claridad.delfin</v>
      </c>
      <c r="B1803" s="1" t="str">
        <f ca="1">IFERROR(__xludf.DUMMYFUNCTION("""COMPUTED_VALUE"""),"Boyetski Delfin Lavapiez Claridad III")</f>
        <v>Boyetski Delfin Lavapiez Claridad III</v>
      </c>
      <c r="C1803" s="1" t="str">
        <f ca="1">IFERROR(__xludf.DUMMYFUNCTION("""COMPUTED_VALUE"""),"Boyetski")</f>
        <v>Boyetski</v>
      </c>
      <c r="D1803" s="1" t="str">
        <f ca="1">IFERROR(__xludf.DUMMYFUNCTION("""COMPUTED_VALUE"""),"Delfin Lavapiez Claridad III")</f>
        <v>Delfin Lavapiez Claridad III</v>
      </c>
      <c r="E1803" s="1" t="str">
        <f ca="1">IFERROR(__xludf.DUMMYFUNCTION("""COMPUTED_VALUE"""),"Wag gamitin ang simbahan sa katarantadohan nyo.")</f>
        <v>Wag gamitin ang simbahan sa katarantadohan nyo.</v>
      </c>
      <c r="F1803" s="1"/>
      <c r="G1803" s="1" t="str">
        <f ca="1">IFERROR(__xludf.DUMMYFUNCTION("""COMPUTED_VALUE"""),"3 mos")</f>
        <v>3 mos</v>
      </c>
      <c r="H1803" s="1" t="str">
        <f ca="1">IFERROR(__xludf.DUMMYFUNCTION("""COMPUTED_VALUE"""),"comment")</f>
        <v>comment</v>
      </c>
      <c r="I1803" s="2" t="str">
        <f ca="1">IFERROR(__xludf.DUMMYFUNCTION("""COMPUTED_VALUE"""),"https://www.facebook.com/rapplerdotcom/photos/a.317154781638645/5595372260483511/")</f>
        <v>https://www.facebook.com/rapplerdotcom/photos/a.317154781638645/5595372260483511/</v>
      </c>
      <c r="J1803" s="1" t="str">
        <f ca="1">IFERROR(__xludf.DUMMYFUNCTION("""COMPUTED_VALUE"""),"2022-07-04T15:44:55.425Z")</f>
        <v>2022-07-04T15:44:55.425Z</v>
      </c>
    </row>
    <row r="1804" spans="1:10" x14ac:dyDescent="0.2">
      <c r="A1804" s="2" t="str">
        <f ca="1">IFERROR(__xludf.DUMMYFUNCTION("""COMPUTED_VALUE"""),"https://www.facebook.com/little.master.7792")</f>
        <v>https://www.facebook.com/little.master.7792</v>
      </c>
      <c r="B1804" s="1" t="str">
        <f ca="1">IFERROR(__xludf.DUMMYFUNCTION("""COMPUTED_VALUE"""),"Little Master")</f>
        <v>Little Master</v>
      </c>
      <c r="C1804" s="1" t="str">
        <f ca="1">IFERROR(__xludf.DUMMYFUNCTION("""COMPUTED_VALUE"""),"Little")</f>
        <v>Little</v>
      </c>
      <c r="D1804" s="1" t="str">
        <f ca="1">IFERROR(__xludf.DUMMYFUNCTION("""COMPUTED_VALUE"""),"Master")</f>
        <v>Master</v>
      </c>
      <c r="E1804" s="1" t="str">
        <f ca="1">IFERROR(__xludf.DUMMYFUNCTION("""COMPUTED_VALUE"""),"Dapat naka pink ka para solid kayo triple kara")</f>
        <v>Dapat naka pink ka para solid kayo triple kara</v>
      </c>
      <c r="F1804" s="1"/>
      <c r="G1804" s="1" t="str">
        <f ca="1">IFERROR(__xludf.DUMMYFUNCTION("""COMPUTED_VALUE"""),"3 mos")</f>
        <v>3 mos</v>
      </c>
      <c r="H1804" s="1" t="str">
        <f ca="1">IFERROR(__xludf.DUMMYFUNCTION("""COMPUTED_VALUE"""),"comment")</f>
        <v>comment</v>
      </c>
      <c r="I1804" s="2" t="str">
        <f ca="1">IFERROR(__xludf.DUMMYFUNCTION("""COMPUTED_VALUE"""),"https://www.facebook.com/rapplerdotcom/photos/a.317154781638645/5595372260483511/")</f>
        <v>https://www.facebook.com/rapplerdotcom/photos/a.317154781638645/5595372260483511/</v>
      </c>
      <c r="J1804" s="1" t="str">
        <f ca="1">IFERROR(__xludf.DUMMYFUNCTION("""COMPUTED_VALUE"""),"2022-07-04T15:44:55.425Z")</f>
        <v>2022-07-04T15:44:55.425Z</v>
      </c>
    </row>
    <row r="1805" spans="1:10" x14ac:dyDescent="0.2">
      <c r="A1805" s="2" t="str">
        <f ca="1">IFERROR(__xludf.DUMMYFUNCTION("""COMPUTED_VALUE"""),"https://www.facebook.com/marlon.pumicpic")</f>
        <v>https://www.facebook.com/marlon.pumicpic</v>
      </c>
      <c r="B1805" s="1" t="str">
        <f ca="1">IFERROR(__xludf.DUMMYFUNCTION("""COMPUTED_VALUE"""),"Marlon Pump")</f>
        <v>Marlon Pump</v>
      </c>
      <c r="C1805" s="1" t="str">
        <f ca="1">IFERROR(__xludf.DUMMYFUNCTION("""COMPUTED_VALUE"""),"Marlon")</f>
        <v>Marlon</v>
      </c>
      <c r="D1805" s="1" t="str">
        <f ca="1">IFERROR(__xludf.DUMMYFUNCTION("""COMPUTED_VALUE"""),"Pump")</f>
        <v>Pump</v>
      </c>
      <c r="E1805" s="1" t="str">
        <f ca="1">IFERROR(__xludf.DUMMYFUNCTION("""COMPUTED_VALUE"""),"Ayan na naman ang Mother of all Mother Statement 🤣🤣🤣🤣🤣🤣")</f>
        <v>Ayan na naman ang Mother of all Mother Statement 🤣🤣🤣🤣🤣🤣</v>
      </c>
      <c r="F1805" s="1"/>
      <c r="G1805" s="1" t="str">
        <f ca="1">IFERROR(__xludf.DUMMYFUNCTION("""COMPUTED_VALUE"""),"3 mos")</f>
        <v>3 mos</v>
      </c>
      <c r="H1805" s="1" t="str">
        <f ca="1">IFERROR(__xludf.DUMMYFUNCTION("""COMPUTED_VALUE"""),"comment")</f>
        <v>comment</v>
      </c>
      <c r="I1805" s="2" t="str">
        <f ca="1">IFERROR(__xludf.DUMMYFUNCTION("""COMPUTED_VALUE"""),"https://www.facebook.com/rapplerdotcom/photos/a.317154781638645/5595372260483511/")</f>
        <v>https://www.facebook.com/rapplerdotcom/photos/a.317154781638645/5595372260483511/</v>
      </c>
      <c r="J1805" s="1" t="str">
        <f ca="1">IFERROR(__xludf.DUMMYFUNCTION("""COMPUTED_VALUE"""),"2022-07-04T15:44:55.426Z")</f>
        <v>2022-07-04T15:44:55.426Z</v>
      </c>
    </row>
    <row r="1806" spans="1:10" x14ac:dyDescent="0.2">
      <c r="A1806" s="2" t="str">
        <f ca="1">IFERROR(__xludf.DUMMYFUNCTION("""COMPUTED_VALUE"""),"https://www.facebook.com/profile.php?id=100079481263558")</f>
        <v>https://www.facebook.com/profile.php?id=100079481263558</v>
      </c>
      <c r="B1806" s="1" t="str">
        <f ca="1">IFERROR(__xludf.DUMMYFUNCTION("""COMPUTED_VALUE"""),"Aiko To")</f>
        <v>Aiko To</v>
      </c>
      <c r="C1806" s="1" t="str">
        <f ca="1">IFERROR(__xludf.DUMMYFUNCTION("""COMPUTED_VALUE"""),"Aiko")</f>
        <v>Aiko</v>
      </c>
      <c r="D1806" s="1" t="str">
        <f ca="1">IFERROR(__xludf.DUMMYFUNCTION("""COMPUTED_VALUE"""),"To")</f>
        <v>To</v>
      </c>
      <c r="E1806" s="1" t="str">
        <f ca="1">IFERROR(__xludf.DUMMYFUNCTION("""COMPUTED_VALUE"""),"Prng c pakyaw lang ah...")</f>
        <v>Prng c pakyaw lang ah...</v>
      </c>
      <c r="F1806" s="1"/>
      <c r="G1806" s="1" t="str">
        <f ca="1">IFERROR(__xludf.DUMMYFUNCTION("""COMPUTED_VALUE"""),"3 mos")</f>
        <v>3 mos</v>
      </c>
      <c r="H1806" s="1" t="str">
        <f ca="1">IFERROR(__xludf.DUMMYFUNCTION("""COMPUTED_VALUE"""),"comment")</f>
        <v>comment</v>
      </c>
      <c r="I1806" s="2" t="str">
        <f ca="1">IFERROR(__xludf.DUMMYFUNCTION("""COMPUTED_VALUE"""),"https://www.facebook.com/rapplerdotcom/photos/a.317154781638645/5595372260483511/")</f>
        <v>https://www.facebook.com/rapplerdotcom/photos/a.317154781638645/5595372260483511/</v>
      </c>
      <c r="J1806" s="1" t="str">
        <f ca="1">IFERROR(__xludf.DUMMYFUNCTION("""COMPUTED_VALUE"""),"2022-07-04T15:44:55.426Z")</f>
        <v>2022-07-04T15:44:55.426Z</v>
      </c>
    </row>
    <row r="1807" spans="1:10" x14ac:dyDescent="0.2">
      <c r="A1807" s="2" t="str">
        <f ca="1">IFERROR(__xludf.DUMMYFUNCTION("""COMPUTED_VALUE"""),"https://www.facebook.com/jeanpaul.jazmin")</f>
        <v>https://www.facebook.com/jeanpaul.jazmin</v>
      </c>
      <c r="B1807" s="1" t="str">
        <f ca="1">IFERROR(__xludf.DUMMYFUNCTION("""COMPUTED_VALUE"""),"Jaypee Jazmin")</f>
        <v>Jaypee Jazmin</v>
      </c>
      <c r="C1807" s="1" t="str">
        <f ca="1">IFERROR(__xludf.DUMMYFUNCTION("""COMPUTED_VALUE"""),"Jaypee")</f>
        <v>Jaypee</v>
      </c>
      <c r="D1807" s="1" t="str">
        <f ca="1">IFERROR(__xludf.DUMMYFUNCTION("""COMPUTED_VALUE"""),"Jazmin")</f>
        <v>Jazmin</v>
      </c>
      <c r="E1807" s="1" t="str">
        <f ca="1">IFERROR(__xludf.DUMMYFUNCTION("""COMPUTED_VALUE"""),"Aiko To so daycare at retraining ng mga ofw  ang sagot o dapat Unity o pagkakaisa? 💚❤️✌️")</f>
        <v>Aiko To so daycare at retraining ng mga ofw  ang sagot o dapat Unity o pagkakaisa? 💚❤️✌️</v>
      </c>
      <c r="F1807" s="1"/>
      <c r="G1807" s="1" t="str">
        <f ca="1">IFERROR(__xludf.DUMMYFUNCTION("""COMPUTED_VALUE"""),"3 mos")</f>
        <v>3 mos</v>
      </c>
      <c r="H1807" s="1" t="str">
        <f ca="1">IFERROR(__xludf.DUMMYFUNCTION("""COMPUTED_VALUE"""),"reply")</f>
        <v>reply</v>
      </c>
      <c r="I1807" s="2" t="str">
        <f ca="1">IFERROR(__xludf.DUMMYFUNCTION("""COMPUTED_VALUE"""),"https://www.facebook.com/rapplerdotcom/photos/a.317154781638645/5595372260483511/")</f>
        <v>https://www.facebook.com/rapplerdotcom/photos/a.317154781638645/5595372260483511/</v>
      </c>
      <c r="J1807" s="1" t="str">
        <f ca="1">IFERROR(__xludf.DUMMYFUNCTION("""COMPUTED_VALUE"""),"2022-07-04T15:44:55.426Z")</f>
        <v>2022-07-04T15:44:55.426Z</v>
      </c>
    </row>
    <row r="1808" spans="1:10" x14ac:dyDescent="0.2">
      <c r="A1808" s="2" t="str">
        <f ca="1">IFERROR(__xludf.DUMMYFUNCTION("""COMPUTED_VALUE"""),"https://www.facebook.com/irisjem.sanidad.9")</f>
        <v>https://www.facebook.com/irisjem.sanidad.9</v>
      </c>
      <c r="B1808" s="1" t="str">
        <f ca="1">IFERROR(__xludf.DUMMYFUNCTION("""COMPUTED_VALUE"""),"Ij Sanidad - TSi")</f>
        <v>Ij Sanidad - TSi</v>
      </c>
      <c r="C1808" s="1" t="str">
        <f ca="1">IFERROR(__xludf.DUMMYFUNCTION("""COMPUTED_VALUE"""),"Ij")</f>
        <v>Ij</v>
      </c>
      <c r="D1808" s="1" t="str">
        <f ca="1">IFERROR(__xludf.DUMMYFUNCTION("""COMPUTED_VALUE"""),"Sanidad - TSi")</f>
        <v>Sanidad - TSi</v>
      </c>
      <c r="E1808" s="1" t="str">
        <f ca="1">IFERROR(__xludf.DUMMYFUNCTION("""COMPUTED_VALUE"""),"dami nio alam..may 9 is coming ..bilisan nio  pa..")</f>
        <v>dami nio alam..may 9 is coming ..bilisan nio  pa..</v>
      </c>
      <c r="F1808" s="1"/>
      <c r="G1808" s="1" t="str">
        <f ca="1">IFERROR(__xludf.DUMMYFUNCTION("""COMPUTED_VALUE"""),"3 mos")</f>
        <v>3 mos</v>
      </c>
      <c r="H1808" s="1" t="str">
        <f ca="1">IFERROR(__xludf.DUMMYFUNCTION("""COMPUTED_VALUE"""),"comment")</f>
        <v>comment</v>
      </c>
      <c r="I1808" s="2" t="str">
        <f ca="1">IFERROR(__xludf.DUMMYFUNCTION("""COMPUTED_VALUE"""),"https://www.facebook.com/rapplerdotcom/photos/a.317154781638645/5595372260483511/")</f>
        <v>https://www.facebook.com/rapplerdotcom/photos/a.317154781638645/5595372260483511/</v>
      </c>
      <c r="J1808" s="1" t="str">
        <f ca="1">IFERROR(__xludf.DUMMYFUNCTION("""COMPUTED_VALUE"""),"2022-07-04T15:44:55.426Z")</f>
        <v>2022-07-04T15:44:55.426Z</v>
      </c>
    </row>
    <row r="1809" spans="1:10" x14ac:dyDescent="0.2">
      <c r="A1809" s="2" t="str">
        <f ca="1">IFERROR(__xludf.DUMMYFUNCTION("""COMPUTED_VALUE"""),"https://www.facebook.com/202angelocruz")</f>
        <v>https://www.facebook.com/202angelocruz</v>
      </c>
      <c r="B1809" s="1" t="str">
        <f ca="1">IFERROR(__xludf.DUMMYFUNCTION("""COMPUTED_VALUE"""),"Angelo Cruz")</f>
        <v>Angelo Cruz</v>
      </c>
      <c r="C1809" s="1" t="str">
        <f ca="1">IFERROR(__xludf.DUMMYFUNCTION("""COMPUTED_VALUE"""),"Angelo")</f>
        <v>Angelo</v>
      </c>
      <c r="D1809" s="1" t="str">
        <f ca="1">IFERROR(__xludf.DUMMYFUNCTION("""COMPUTED_VALUE"""),"Cruz")</f>
        <v>Cruz</v>
      </c>
      <c r="E1809" s="1" t="str">
        <f ca="1">IFERROR(__xludf.DUMMYFUNCTION("""COMPUTED_VALUE"""),"I will vote and support •Pamilya Muna Party-list! Para sa atin to!")</f>
        <v>I will vote and support •Pamilya Muna Party-list! Para sa atin to!</v>
      </c>
      <c r="F1809" s="1"/>
      <c r="G1809" s="1" t="str">
        <f ca="1">IFERROR(__xludf.DUMMYFUNCTION("""COMPUTED_VALUE"""),"3 mos")</f>
        <v>3 mos</v>
      </c>
      <c r="H1809" s="1" t="str">
        <f ca="1">IFERROR(__xludf.DUMMYFUNCTION("""COMPUTED_VALUE"""),"comment")</f>
        <v>comment</v>
      </c>
      <c r="I1809" s="2" t="str">
        <f ca="1">IFERROR(__xludf.DUMMYFUNCTION("""COMPUTED_VALUE"""),"https://www.facebook.com/rapplerdotcom/photos/a.317154781638645/5595372260483511/")</f>
        <v>https://www.facebook.com/rapplerdotcom/photos/a.317154781638645/5595372260483511/</v>
      </c>
      <c r="J1809" s="1" t="str">
        <f ca="1">IFERROR(__xludf.DUMMYFUNCTION("""COMPUTED_VALUE"""),"2022-07-04T15:44:55.426Z")</f>
        <v>2022-07-04T15:44:55.426Z</v>
      </c>
    </row>
    <row r="1810" spans="1:10" x14ac:dyDescent="0.2">
      <c r="A1810" s="2" t="str">
        <f ca="1">IFERROR(__xludf.DUMMYFUNCTION("""COMPUTED_VALUE"""),"https://www.facebook.com/pepe.ledesma.7140")</f>
        <v>https://www.facebook.com/pepe.ledesma.7140</v>
      </c>
      <c r="B1810" s="1" t="str">
        <f ca="1">IFERROR(__xludf.DUMMYFUNCTION("""COMPUTED_VALUE"""),"Pepe Ledesma")</f>
        <v>Pepe Ledesma</v>
      </c>
      <c r="C1810" s="1" t="str">
        <f ca="1">IFERROR(__xludf.DUMMYFUNCTION("""COMPUTED_VALUE"""),"Pepe")</f>
        <v>Pepe</v>
      </c>
      <c r="D1810" s="1" t="str">
        <f ca="1">IFERROR(__xludf.DUMMYFUNCTION("""COMPUTED_VALUE"""),"Ledesma")</f>
        <v>Ledesma</v>
      </c>
      <c r="E1810" s="1" t="str">
        <f ca="1">IFERROR(__xludf.DUMMYFUNCTION("""COMPUTED_VALUE"""),"#RosasAngKulayNgBukas #GobyernongTapatAngatBuhayLahat #KayLeniKikoPanaloAngPilipino #HusayAtTibay #BangonPilipinas #TaraIpanalNaNa10To")</f>
        <v>#RosasAngKulayNgBukas #GobyernongTapatAngatBuhayLahat #KayLeniKikoPanaloAngPilipino #HusayAtTibay #BangonPilipinas #TaraIpanalNaNa10To</v>
      </c>
      <c r="F1810" s="1"/>
      <c r="G1810" s="1" t="str">
        <f ca="1">IFERROR(__xludf.DUMMYFUNCTION("""COMPUTED_VALUE"""),"3 mos")</f>
        <v>3 mos</v>
      </c>
      <c r="H1810" s="1" t="str">
        <f ca="1">IFERROR(__xludf.DUMMYFUNCTION("""COMPUTED_VALUE"""),"comment")</f>
        <v>comment</v>
      </c>
      <c r="I1810" s="2" t="str">
        <f ca="1">IFERROR(__xludf.DUMMYFUNCTION("""COMPUTED_VALUE"""),"https://www.facebook.com/rapplerdotcom/photos/a.317154781638645/5595372260483511/")</f>
        <v>https://www.facebook.com/rapplerdotcom/photos/a.317154781638645/5595372260483511/</v>
      </c>
      <c r="J1810" s="1" t="str">
        <f ca="1">IFERROR(__xludf.DUMMYFUNCTION("""COMPUTED_VALUE"""),"2022-07-04T15:44:55.426Z")</f>
        <v>2022-07-04T15:44:55.426Z</v>
      </c>
    </row>
    <row r="1811" spans="1:10" x14ac:dyDescent="0.2">
      <c r="A1811" s="2" t="str">
        <f ca="1">IFERROR(__xludf.DUMMYFUNCTION("""COMPUTED_VALUE"""),"https://www.facebook.com/dez.delmundosamson")</f>
        <v>https://www.facebook.com/dez.delmundosamson</v>
      </c>
      <c r="B1811" s="1" t="str">
        <f ca="1">IFERROR(__xludf.DUMMYFUNCTION("""COMPUTED_VALUE"""),"Theysee Theearth Samson")</f>
        <v>Theysee Theearth Samson</v>
      </c>
      <c r="C1811" s="1" t="str">
        <f ca="1">IFERROR(__xludf.DUMMYFUNCTION("""COMPUTED_VALUE"""),"Theysee")</f>
        <v>Theysee</v>
      </c>
      <c r="D1811" s="1" t="str">
        <f ca="1">IFERROR(__xludf.DUMMYFUNCTION("""COMPUTED_VALUE"""),"Theearth Samson")</f>
        <v>Theearth Samson</v>
      </c>
      <c r="E1811" s="1" t="str">
        <f ca="1">IFERROR(__xludf.DUMMYFUNCTION("""COMPUTED_VALUE"""),"#LetLeniLeadThePhilippines #VoteStraightTropangAngat #KulayRosasNaBukas #ParaSaMagandangBukas #SWITCHtoLeniKikoNaKabayan #TunayNaUnityKayLeniMatapang#LetLeniLeadThePhilippines #VoteStraightTropangAngat #KulayRosasNaBukas #ParaSaMagandangBukas #SWITCHtoLen"&amp;"iKikoNaKabayan #TunayNaUnityKayLeniMatapang")</f>
        <v>#LetLeniLeadThePhilippines #VoteStraightTropangAngat #KulayRosasNaBukas #ParaSaMagandangBukas #SWITCHtoLeniKikoNaKabayan #TunayNaUnityKayLeniMatapang#LetLeniLeadThePhilippines #VoteStraightTropangAngat #KulayRosasNaBukas #ParaSaMagandangBukas #SWITCHtoLeniKikoNaKabayan #TunayNaUnityKayLeniMatapang</v>
      </c>
      <c r="F1811" s="1">
        <f ca="1">IFERROR(__xludf.DUMMYFUNCTION("""COMPUTED_VALUE"""),16)</f>
        <v>16</v>
      </c>
      <c r="G1811" s="1" t="str">
        <f ca="1">IFERROR(__xludf.DUMMYFUNCTION("""COMPUTED_VALUE"""),"3 mos")</f>
        <v>3 mos</v>
      </c>
      <c r="H1811" s="1" t="str">
        <f ca="1">IFERROR(__xludf.DUMMYFUNCTION("""COMPUTED_VALUE"""),"comment")</f>
        <v>comment</v>
      </c>
      <c r="I1811" s="2" t="str">
        <f ca="1">IFERROR(__xludf.DUMMYFUNCTION("""COMPUTED_VALUE"""),"https://www.facebook.com/rapplerdotcom/photos/a.317154781638645/5595372260483511/")</f>
        <v>https://www.facebook.com/rapplerdotcom/photos/a.317154781638645/5595372260483511/</v>
      </c>
      <c r="J1811" s="1" t="str">
        <f ca="1">IFERROR(__xludf.DUMMYFUNCTION("""COMPUTED_VALUE"""),"2022-07-04T15:44:55.426Z")</f>
        <v>2022-07-04T15:44:55.426Z</v>
      </c>
    </row>
    <row r="1812" spans="1:10" x14ac:dyDescent="0.2">
      <c r="A1812" s="2" t="str">
        <f ca="1">IFERROR(__xludf.DUMMYFUNCTION("""COMPUTED_VALUE"""),"https://www.facebook.com/dez.delmundosamson")</f>
        <v>https://www.facebook.com/dez.delmundosamson</v>
      </c>
      <c r="B1812" s="1" t="str">
        <f ca="1">IFERROR(__xludf.DUMMYFUNCTION("""COMPUTED_VALUE"""),"Theysee Theearth Samson")</f>
        <v>Theysee Theearth Samson</v>
      </c>
      <c r="C1812" s="1" t="str">
        <f ca="1">IFERROR(__xludf.DUMMYFUNCTION("""COMPUTED_VALUE"""),"Theysee")</f>
        <v>Theysee</v>
      </c>
      <c r="D1812" s="1" t="str">
        <f ca="1">IFERROR(__xludf.DUMMYFUNCTION("""COMPUTED_VALUE"""),"Theearth Samson")</f>
        <v>Theearth Samson</v>
      </c>
      <c r="E1812" s="1" t="str">
        <f ca="1">IFERROR(__xludf.DUMMYFUNCTION("""COMPUTED_VALUE"""),"In ur imagination")</f>
        <v>In ur imagination</v>
      </c>
      <c r="F1812" s="1"/>
      <c r="G1812" s="1" t="str">
        <f ca="1">IFERROR(__xludf.DUMMYFUNCTION("""COMPUTED_VALUE"""),"3 mos")</f>
        <v>3 mos</v>
      </c>
      <c r="H1812" s="1" t="str">
        <f ca="1">IFERROR(__xludf.DUMMYFUNCTION("""COMPUTED_VALUE"""),"reply")</f>
        <v>reply</v>
      </c>
      <c r="I1812" s="2" t="str">
        <f ca="1">IFERROR(__xludf.DUMMYFUNCTION("""COMPUTED_VALUE"""),"https://www.facebook.com/rapplerdotcom/photos/a.317154781638645/5595372260483511/")</f>
        <v>https://www.facebook.com/rapplerdotcom/photos/a.317154781638645/5595372260483511/</v>
      </c>
      <c r="J1812" s="1" t="str">
        <f ca="1">IFERROR(__xludf.DUMMYFUNCTION("""COMPUTED_VALUE"""),"2022-07-04T15:44:55.426Z")</f>
        <v>2022-07-04T15:44:55.426Z</v>
      </c>
    </row>
    <row r="1813" spans="1:10" x14ac:dyDescent="0.2">
      <c r="A1813" s="2" t="str">
        <f ca="1">IFERROR(__xludf.DUMMYFUNCTION("""COMPUTED_VALUE"""),"https://www.facebook.com/dr.julius.uy")</f>
        <v>https://www.facebook.com/dr.julius.uy</v>
      </c>
      <c r="B1813" s="1" t="str">
        <f ca="1">IFERROR(__xludf.DUMMYFUNCTION("""COMPUTED_VALUE"""),"Julius Uy")</f>
        <v>Julius Uy</v>
      </c>
      <c r="C1813" s="1" t="str">
        <f ca="1">IFERROR(__xludf.DUMMYFUNCTION("""COMPUTED_VALUE"""),"Julius")</f>
        <v>Julius</v>
      </c>
      <c r="D1813" s="1" t="str">
        <f ca="1">IFERROR(__xludf.DUMMYFUNCTION("""COMPUTED_VALUE"""),"Uy")</f>
        <v>Uy</v>
      </c>
      <c r="E1813" s="1" t="str">
        <f ca="1">IFERROR(__xludf.DUMMYFUNCTION("""COMPUTED_VALUE"""),"#RosasAngKulayNgBukas #GobyernongTapatAngatBuhayLahat #KayLeniKikoPanaloAngPilipino #HusayAtTibay #BangonPilipinas #TaraIpanalNaNa10To")</f>
        <v>#RosasAngKulayNgBukas #GobyernongTapatAngatBuhayLahat #KayLeniKikoPanaloAngPilipino #HusayAtTibay #BangonPilipinas #TaraIpanalNaNa10To</v>
      </c>
      <c r="F1813" s="1"/>
      <c r="G1813" s="1" t="str">
        <f ca="1">IFERROR(__xludf.DUMMYFUNCTION("""COMPUTED_VALUE"""),"3 mos")</f>
        <v>3 mos</v>
      </c>
      <c r="H1813" s="1" t="str">
        <f ca="1">IFERROR(__xludf.DUMMYFUNCTION("""COMPUTED_VALUE"""),"comment")</f>
        <v>comment</v>
      </c>
      <c r="I1813" s="2" t="str">
        <f ca="1">IFERROR(__xludf.DUMMYFUNCTION("""COMPUTED_VALUE"""),"https://www.facebook.com/rapplerdotcom/photos/a.317154781638645/5595372260483511/")</f>
        <v>https://www.facebook.com/rapplerdotcom/photos/a.317154781638645/5595372260483511/</v>
      </c>
      <c r="J1813" s="1" t="str">
        <f ca="1">IFERROR(__xludf.DUMMYFUNCTION("""COMPUTED_VALUE"""),"2022-07-04T15:44:55.426Z")</f>
        <v>2022-07-04T15:44:55.426Z</v>
      </c>
    </row>
    <row r="1814" spans="1:10" x14ac:dyDescent="0.2">
      <c r="A1814" s="2" t="str">
        <f ca="1">IFERROR(__xludf.DUMMYFUNCTION("""COMPUTED_VALUE"""),"https://www.facebook.com/johndiazcortez")</f>
        <v>https://www.facebook.com/johndiazcortez</v>
      </c>
      <c r="B1814" s="1" t="str">
        <f ca="1">IFERROR(__xludf.DUMMYFUNCTION("""COMPUTED_VALUE"""),"John Diaz Cortez")</f>
        <v>John Diaz Cortez</v>
      </c>
      <c r="C1814" s="1" t="str">
        <f ca="1">IFERROR(__xludf.DUMMYFUNCTION("""COMPUTED_VALUE"""),"John")</f>
        <v>John</v>
      </c>
      <c r="D1814" s="1" t="str">
        <f ca="1">IFERROR(__xludf.DUMMYFUNCTION("""COMPUTED_VALUE"""),"Diaz Cortez")</f>
        <v>Diaz Cortez</v>
      </c>
      <c r="E1814" s="1" t="str">
        <f ca="1">IFERROR(__xludf.DUMMYFUNCTION("""COMPUTED_VALUE"""),"#PinkRevolution  #KakamPINK #LetLeniLead #LeniKiko2022 #AngatBuhayLahat #KulayRosasAngBukas")</f>
        <v>#PinkRevolution  #KakamPINK #LetLeniLead #LeniKiko2022 #AngatBuhayLahat #KulayRosasAngBukas</v>
      </c>
      <c r="F1814" s="1"/>
      <c r="G1814" s="1" t="str">
        <f ca="1">IFERROR(__xludf.DUMMYFUNCTION("""COMPUTED_VALUE"""),"3 mos")</f>
        <v>3 mos</v>
      </c>
      <c r="H1814" s="1" t="str">
        <f ca="1">IFERROR(__xludf.DUMMYFUNCTION("""COMPUTED_VALUE"""),"comment")</f>
        <v>comment</v>
      </c>
      <c r="I1814" s="2" t="str">
        <f ca="1">IFERROR(__xludf.DUMMYFUNCTION("""COMPUTED_VALUE"""),"https://www.facebook.com/rapplerdotcom/photos/a.317154781638645/5595372260483511/")</f>
        <v>https://www.facebook.com/rapplerdotcom/photos/a.317154781638645/5595372260483511/</v>
      </c>
      <c r="J1814" s="1" t="str">
        <f ca="1">IFERROR(__xludf.DUMMYFUNCTION("""COMPUTED_VALUE"""),"2022-07-04T15:44:55.426Z")</f>
        <v>2022-07-04T15:44:55.426Z</v>
      </c>
    </row>
    <row r="1815" spans="1:10" x14ac:dyDescent="0.2">
      <c r="A1815" s="2" t="str">
        <f ca="1">IFERROR(__xludf.DUMMYFUNCTION("""COMPUTED_VALUE"""),"https://www.facebook.com/dez.delmundosamson")</f>
        <v>https://www.facebook.com/dez.delmundosamson</v>
      </c>
      <c r="B1815" s="1" t="str">
        <f ca="1">IFERROR(__xludf.DUMMYFUNCTION("""COMPUTED_VALUE"""),"Theysee Theearth Samson")</f>
        <v>Theysee Theearth Samson</v>
      </c>
      <c r="C1815" s="1" t="str">
        <f ca="1">IFERROR(__xludf.DUMMYFUNCTION("""COMPUTED_VALUE"""),"Theysee")</f>
        <v>Theysee</v>
      </c>
      <c r="D1815" s="1" t="str">
        <f ca="1">IFERROR(__xludf.DUMMYFUNCTION("""COMPUTED_VALUE"""),"Theearth Samson")</f>
        <v>Theearth Samson</v>
      </c>
      <c r="E1815" s="1" t="str">
        <f ca="1">IFERROR(__xludf.DUMMYFUNCTION("""COMPUTED_VALUE"""),"#ParaSaMagandangPagbabago #IbotoSiLENIatKIKOSaMay92022 #GobyernongTapatAngatBuhayLahat #VoteStraightTropamgAngat #4TransparencyAndGudGovernance")</f>
        <v>#ParaSaMagandangPagbabago #IbotoSiLENIatKIKOSaMay92022 #GobyernongTapatAngatBuhayLahat #VoteStraightTropamgAngat #4TransparencyAndGudGovernance</v>
      </c>
      <c r="F1815" s="1">
        <f ca="1">IFERROR(__xludf.DUMMYFUNCTION("""COMPUTED_VALUE"""),4)</f>
        <v>4</v>
      </c>
      <c r="G1815" s="1" t="str">
        <f ca="1">IFERROR(__xludf.DUMMYFUNCTION("""COMPUTED_VALUE"""),"3 mos")</f>
        <v>3 mos</v>
      </c>
      <c r="H1815" s="1" t="str">
        <f ca="1">IFERROR(__xludf.DUMMYFUNCTION("""COMPUTED_VALUE"""),"comment")</f>
        <v>comment</v>
      </c>
      <c r="I1815" s="2" t="str">
        <f ca="1">IFERROR(__xludf.DUMMYFUNCTION("""COMPUTED_VALUE"""),"https://www.facebook.com/rapplerdotcom/photos/a.317154781638645/5595372260483511/")</f>
        <v>https://www.facebook.com/rapplerdotcom/photos/a.317154781638645/5595372260483511/</v>
      </c>
      <c r="J1815" s="1" t="str">
        <f ca="1">IFERROR(__xludf.DUMMYFUNCTION("""COMPUTED_VALUE"""),"2022-07-04T15:44:55.426Z")</f>
        <v>2022-07-04T15:44:55.426Z</v>
      </c>
    </row>
    <row r="1816" spans="1:10" x14ac:dyDescent="0.2">
      <c r="A1816" s="2" t="str">
        <f ca="1">IFERROR(__xludf.DUMMYFUNCTION("""COMPUTED_VALUE"""),"https://www.facebook.com/chitocmorales")</f>
        <v>https://www.facebook.com/chitocmorales</v>
      </c>
      <c r="B1816" s="1" t="str">
        <f ca="1">IFERROR(__xludf.DUMMYFUNCTION("""COMPUTED_VALUE"""),"Chito Morales")</f>
        <v>Chito Morales</v>
      </c>
      <c r="C1816" s="1" t="str">
        <f ca="1">IFERROR(__xludf.DUMMYFUNCTION("""COMPUTED_VALUE"""),"Chito")</f>
        <v>Chito</v>
      </c>
      <c r="D1816" s="1" t="str">
        <f ca="1">IFERROR(__xludf.DUMMYFUNCTION("""COMPUTED_VALUE"""),"Morales")</f>
        <v>Morales</v>
      </c>
      <c r="E1816" s="1" t="str">
        <f ca="1">IFERROR(__xludf.DUMMYFUNCTION("""COMPUTED_VALUE"""),"#KayLeniPanaloTayo  #KayLeniTayo  #KayLeniTayoAngPanalo  #IpanaloNa10To  #beyondsurvey  #GobyernongTapatAngatBuhayAngLahat #KayLeniAngatBuhayLahat #10RobredoPresident #7KikoPangilinanVicePresident #LeniKiko2022")</f>
        <v>#KayLeniPanaloTayo  #KayLeniTayo  #KayLeniTayoAngPanalo  #IpanaloNa10To  #beyondsurvey  #GobyernongTapatAngatBuhayAngLahat #KayLeniAngatBuhayLahat #10RobredoPresident #7KikoPangilinanVicePresident #LeniKiko2022</v>
      </c>
      <c r="F1816" s="1">
        <f ca="1">IFERROR(__xludf.DUMMYFUNCTION("""COMPUTED_VALUE"""),1)</f>
        <v>1</v>
      </c>
      <c r="G1816" s="1" t="str">
        <f ca="1">IFERROR(__xludf.DUMMYFUNCTION("""COMPUTED_VALUE"""),"3 mos")</f>
        <v>3 mos</v>
      </c>
      <c r="H1816" s="1" t="str">
        <f ca="1">IFERROR(__xludf.DUMMYFUNCTION("""COMPUTED_VALUE"""),"comment")</f>
        <v>comment</v>
      </c>
      <c r="I1816" s="2" t="str">
        <f ca="1">IFERROR(__xludf.DUMMYFUNCTION("""COMPUTED_VALUE"""),"https://www.facebook.com/rapplerdotcom/photos/a.317154781638645/5595372260483511/")</f>
        <v>https://www.facebook.com/rapplerdotcom/photos/a.317154781638645/5595372260483511/</v>
      </c>
      <c r="J1816" s="1" t="str">
        <f ca="1">IFERROR(__xludf.DUMMYFUNCTION("""COMPUTED_VALUE"""),"2022-07-04T15:44:55.426Z")</f>
        <v>2022-07-04T15:44:55.426Z</v>
      </c>
    </row>
    <row r="1817" spans="1:10" x14ac:dyDescent="0.2">
      <c r="A1817" s="2" t="str">
        <f ca="1">IFERROR(__xludf.DUMMYFUNCTION("""COMPUTED_VALUE"""),"https://www.facebook.com/lina.tomboconmiralles")</f>
        <v>https://www.facebook.com/lina.tomboconmiralles</v>
      </c>
      <c r="B1817" s="1" t="str">
        <f ca="1">IFERROR(__xludf.DUMMYFUNCTION("""COMPUTED_VALUE"""),"Lina Tombocon Miralles")</f>
        <v>Lina Tombocon Miralles</v>
      </c>
      <c r="C1817" s="1" t="str">
        <f ca="1">IFERROR(__xludf.DUMMYFUNCTION("""COMPUTED_VALUE"""),"Lina")</f>
        <v>Lina</v>
      </c>
      <c r="D1817" s="1" t="str">
        <f ca="1">IFERROR(__xludf.DUMMYFUNCTION("""COMPUTED_VALUE"""),"Tombocon Miralles")</f>
        <v>Tombocon Miralles</v>
      </c>
      <c r="E1817" s="1" t="str">
        <f ca="1">IFERROR(__xludf.DUMMYFUNCTION("""COMPUTED_VALUE"""),"#LeniKikoAllTheWay")</f>
        <v>#LeniKikoAllTheWay</v>
      </c>
      <c r="F1817" s="1"/>
      <c r="G1817" s="1" t="str">
        <f ca="1">IFERROR(__xludf.DUMMYFUNCTION("""COMPUTED_VALUE"""),"3 mos")</f>
        <v>3 mos</v>
      </c>
      <c r="H1817" s="1" t="str">
        <f ca="1">IFERROR(__xludf.DUMMYFUNCTION("""COMPUTED_VALUE"""),"comment")</f>
        <v>comment</v>
      </c>
      <c r="I1817" s="2" t="str">
        <f ca="1">IFERROR(__xludf.DUMMYFUNCTION("""COMPUTED_VALUE"""),"https://www.facebook.com/rapplerdotcom/photos/a.317154781638645/5595372260483511/")</f>
        <v>https://www.facebook.com/rapplerdotcom/photos/a.317154781638645/5595372260483511/</v>
      </c>
      <c r="J1817" s="1" t="str">
        <f ca="1">IFERROR(__xludf.DUMMYFUNCTION("""COMPUTED_VALUE"""),"2022-07-04T15:44:55.426Z")</f>
        <v>2022-07-04T15:44:55.426Z</v>
      </c>
    </row>
    <row r="1818" spans="1:10" x14ac:dyDescent="0.2">
      <c r="A1818" s="2" t="str">
        <f ca="1">IFERROR(__xludf.DUMMYFUNCTION("""COMPUTED_VALUE"""),"https://www.facebook.com/profile.php?id=100014924436490")</f>
        <v>https://www.facebook.com/profile.php?id=100014924436490</v>
      </c>
      <c r="B1818" s="1" t="str">
        <f ca="1">IFERROR(__xludf.DUMMYFUNCTION("""COMPUTED_VALUE"""),"Alona Grifaldia")</f>
        <v>Alona Grifaldia</v>
      </c>
      <c r="C1818" s="1" t="str">
        <f ca="1">IFERROR(__xludf.DUMMYFUNCTION("""COMPUTED_VALUE"""),"Alona")</f>
        <v>Alona</v>
      </c>
      <c r="D1818" s="1" t="str">
        <f ca="1">IFERROR(__xludf.DUMMYFUNCTION("""COMPUTED_VALUE"""),"Grifaldia")</f>
        <v>Grifaldia</v>
      </c>
      <c r="E1818" s="1" t="str">
        <f ca="1">IFERROR(__xludf.DUMMYFUNCTION("""COMPUTED_VALUE"""),"#LeniKikoTeam2022💗💗💗💗💗")</f>
        <v>#LeniKikoTeam2022💗💗💗💗💗</v>
      </c>
      <c r="F1818" s="1"/>
      <c r="G1818" s="1" t="str">
        <f ca="1">IFERROR(__xludf.DUMMYFUNCTION("""COMPUTED_VALUE"""),"3 mos")</f>
        <v>3 mos</v>
      </c>
      <c r="H1818" s="1" t="str">
        <f ca="1">IFERROR(__xludf.DUMMYFUNCTION("""COMPUTED_VALUE"""),"comment")</f>
        <v>comment</v>
      </c>
      <c r="I1818" s="2" t="str">
        <f ca="1">IFERROR(__xludf.DUMMYFUNCTION("""COMPUTED_VALUE"""),"https://www.facebook.com/rapplerdotcom/photos/a.317154781638645/5595372260483511/")</f>
        <v>https://www.facebook.com/rapplerdotcom/photos/a.317154781638645/5595372260483511/</v>
      </c>
      <c r="J1818" s="1" t="str">
        <f ca="1">IFERROR(__xludf.DUMMYFUNCTION("""COMPUTED_VALUE"""),"2022-07-04T15:44:55.426Z")</f>
        <v>2022-07-04T15:44:55.426Z</v>
      </c>
    </row>
    <row r="1819" spans="1:10" x14ac:dyDescent="0.2">
      <c r="A1819" s="2" t="str">
        <f ca="1">IFERROR(__xludf.DUMMYFUNCTION("""COMPUTED_VALUE"""),"https://www.facebook.com/adelina.francisco.3")</f>
        <v>https://www.facebook.com/adelina.francisco.3</v>
      </c>
      <c r="B1819" s="1" t="str">
        <f ca="1">IFERROR(__xludf.DUMMYFUNCTION("""COMPUTED_VALUE"""),"Adelina Francisco")</f>
        <v>Adelina Francisco</v>
      </c>
      <c r="C1819" s="1" t="str">
        <f ca="1">IFERROR(__xludf.DUMMYFUNCTION("""COMPUTED_VALUE"""),"Adelina")</f>
        <v>Adelina</v>
      </c>
      <c r="D1819" s="1" t="str">
        <f ca="1">IFERROR(__xludf.DUMMYFUNCTION("""COMPUTED_VALUE"""),"Francisco")</f>
        <v>Francisco</v>
      </c>
      <c r="E1819" s="1" t="str">
        <f ca="1">IFERROR(__xludf.DUMMYFUNCTION("""COMPUTED_VALUE"""),"#gobyernongtapatangatbuhaylahatlenikiko2022")</f>
        <v>#gobyernongtapatangatbuhaylahatlenikiko2022</v>
      </c>
      <c r="F1819" s="1">
        <f ca="1">IFERROR(__xludf.DUMMYFUNCTION("""COMPUTED_VALUE"""),1)</f>
        <v>1</v>
      </c>
      <c r="G1819" s="1" t="str">
        <f ca="1">IFERROR(__xludf.DUMMYFUNCTION("""COMPUTED_VALUE"""),"3 mos")</f>
        <v>3 mos</v>
      </c>
      <c r="H1819" s="1" t="str">
        <f ca="1">IFERROR(__xludf.DUMMYFUNCTION("""COMPUTED_VALUE"""),"comment")</f>
        <v>comment</v>
      </c>
      <c r="I1819" s="2" t="str">
        <f ca="1">IFERROR(__xludf.DUMMYFUNCTION("""COMPUTED_VALUE"""),"https://www.facebook.com/rapplerdotcom/photos/a.317154781638645/5595372260483511/")</f>
        <v>https://www.facebook.com/rapplerdotcom/photos/a.317154781638645/5595372260483511/</v>
      </c>
      <c r="J1819" s="1" t="str">
        <f ca="1">IFERROR(__xludf.DUMMYFUNCTION("""COMPUTED_VALUE"""),"2022-07-04T15:44:55.426Z")</f>
        <v>2022-07-04T15:44:55.426Z</v>
      </c>
    </row>
    <row r="1820" spans="1:10" x14ac:dyDescent="0.2">
      <c r="A1820" s="2" t="str">
        <f ca="1">IFERROR(__xludf.DUMMYFUNCTION("""COMPUTED_VALUE"""),"https://www.facebook.com/pilar.alejo.9")</f>
        <v>https://www.facebook.com/pilar.alejo.9</v>
      </c>
      <c r="B1820" s="1" t="str">
        <f ca="1">IFERROR(__xludf.DUMMYFUNCTION("""COMPUTED_VALUE"""),"Pilar Alejo")</f>
        <v>Pilar Alejo</v>
      </c>
      <c r="C1820" s="1" t="str">
        <f ca="1">IFERROR(__xludf.DUMMYFUNCTION("""COMPUTED_VALUE"""),"Pilar")</f>
        <v>Pilar</v>
      </c>
      <c r="D1820" s="1" t="str">
        <f ca="1">IFERROR(__xludf.DUMMYFUNCTION("""COMPUTED_VALUE"""),"Alejo")</f>
        <v>Alejo</v>
      </c>
      <c r="E1820" s="1" t="str">
        <f ca="1">IFERROR(__xludf.DUMMYFUNCTION("""COMPUTED_VALUE"""),"#KulayRosasAngBukas")</f>
        <v>#KulayRosasAngBukas</v>
      </c>
      <c r="F1820" s="1">
        <f ca="1">IFERROR(__xludf.DUMMYFUNCTION("""COMPUTED_VALUE"""),3)</f>
        <v>3</v>
      </c>
      <c r="G1820" s="1" t="str">
        <f ca="1">IFERROR(__xludf.DUMMYFUNCTION("""COMPUTED_VALUE"""),"3 mos")</f>
        <v>3 mos</v>
      </c>
      <c r="H1820" s="1" t="str">
        <f ca="1">IFERROR(__xludf.DUMMYFUNCTION("""COMPUTED_VALUE"""),"comment")</f>
        <v>comment</v>
      </c>
      <c r="I1820" s="2" t="str">
        <f ca="1">IFERROR(__xludf.DUMMYFUNCTION("""COMPUTED_VALUE"""),"https://www.facebook.com/rapplerdotcom/photos/a.317154781638645/5595372260483511/")</f>
        <v>https://www.facebook.com/rapplerdotcom/photos/a.317154781638645/5595372260483511/</v>
      </c>
      <c r="J1820" s="1" t="str">
        <f ca="1">IFERROR(__xludf.DUMMYFUNCTION("""COMPUTED_VALUE"""),"2022-07-04T15:44:55.426Z")</f>
        <v>2022-07-04T15:44:55.426Z</v>
      </c>
    </row>
    <row r="1821" spans="1:10" x14ac:dyDescent="0.2">
      <c r="A1821" s="2" t="str">
        <f ca="1">IFERROR(__xludf.DUMMYFUNCTION("""COMPUTED_VALUE"""),"https://www.facebook.com/reginald.gavini")</f>
        <v>https://www.facebook.com/reginald.gavini</v>
      </c>
      <c r="B1821" s="1" t="str">
        <f ca="1">IFERROR(__xludf.DUMMYFUNCTION("""COMPUTED_VALUE"""),"Reggie Gavini")</f>
        <v>Reggie Gavini</v>
      </c>
      <c r="C1821" s="1" t="str">
        <f ca="1">IFERROR(__xludf.DUMMYFUNCTION("""COMPUTED_VALUE"""),"Reggie")</f>
        <v>Reggie</v>
      </c>
      <c r="D1821" s="1" t="str">
        <f ca="1">IFERROR(__xludf.DUMMYFUNCTION("""COMPUTED_VALUE"""),"Gavini")</f>
        <v>Gavini</v>
      </c>
      <c r="E1821" s="1" t="str">
        <f ca="1">IFERROR(__xludf.DUMMYFUNCTION("""COMPUTED_VALUE"""),"#ThankYouGOD4LENI2022 #AdMajoremDeiGloriam")</f>
        <v>#ThankYouGOD4LENI2022 #AdMajoremDeiGloriam</v>
      </c>
      <c r="F1821" s="1">
        <f ca="1">IFERROR(__xludf.DUMMYFUNCTION("""COMPUTED_VALUE"""),1)</f>
        <v>1</v>
      </c>
      <c r="G1821" s="1" t="str">
        <f ca="1">IFERROR(__xludf.DUMMYFUNCTION("""COMPUTED_VALUE"""),"3 mos")</f>
        <v>3 mos</v>
      </c>
      <c r="H1821" s="1" t="str">
        <f ca="1">IFERROR(__xludf.DUMMYFUNCTION("""COMPUTED_VALUE"""),"comment")</f>
        <v>comment</v>
      </c>
      <c r="I1821" s="2" t="str">
        <f ca="1">IFERROR(__xludf.DUMMYFUNCTION("""COMPUTED_VALUE"""),"https://www.facebook.com/rapplerdotcom/photos/a.317154781638645/5595372260483511/")</f>
        <v>https://www.facebook.com/rapplerdotcom/photos/a.317154781638645/5595372260483511/</v>
      </c>
      <c r="J1821" s="1" t="str">
        <f ca="1">IFERROR(__xludf.DUMMYFUNCTION("""COMPUTED_VALUE"""),"2022-07-04T15:44:55.426Z")</f>
        <v>2022-07-04T15:44:55.426Z</v>
      </c>
    </row>
    <row r="1822" spans="1:10" x14ac:dyDescent="0.2">
      <c r="A1822" s="2" t="str">
        <f ca="1">IFERROR(__xludf.DUMMYFUNCTION("""COMPUTED_VALUE"""),"https://www.facebook.com/vinceian06")</f>
        <v>https://www.facebook.com/vinceian06</v>
      </c>
      <c r="B1822" s="1" t="str">
        <f ca="1">IFERROR(__xludf.DUMMYFUNCTION("""COMPUTED_VALUE"""),"Vince Jordan Pepito")</f>
        <v>Vince Jordan Pepito</v>
      </c>
      <c r="C1822" s="1" t="str">
        <f ca="1">IFERROR(__xludf.DUMMYFUNCTION("""COMPUTED_VALUE"""),"Vince")</f>
        <v>Vince</v>
      </c>
      <c r="D1822" s="1" t="str">
        <f ca="1">IFERROR(__xludf.DUMMYFUNCTION("""COMPUTED_VALUE"""),"Jordan Pepito")</f>
        <v>Jordan Pepito</v>
      </c>
      <c r="E1822" s="1" t="str">
        <f ca="1">IFERROR(__xludf.DUMMYFUNCTION("""COMPUTED_VALUE"""),"Azehr Asolliro Smith")</f>
        <v>Azehr Asolliro Smith</v>
      </c>
      <c r="F1822" s="1"/>
      <c r="G1822" s="1" t="str">
        <f ca="1">IFERROR(__xludf.DUMMYFUNCTION("""COMPUTED_VALUE"""),"3 mos")</f>
        <v>3 mos</v>
      </c>
      <c r="H1822" s="1" t="str">
        <f ca="1">IFERROR(__xludf.DUMMYFUNCTION("""COMPUTED_VALUE"""),"comment")</f>
        <v>comment</v>
      </c>
      <c r="I1822" s="2" t="str">
        <f ca="1">IFERROR(__xludf.DUMMYFUNCTION("""COMPUTED_VALUE"""),"https://www.facebook.com/rapplerdotcom/photos/a.317154781638645/5595372260483511/")</f>
        <v>https://www.facebook.com/rapplerdotcom/photos/a.317154781638645/5595372260483511/</v>
      </c>
      <c r="J1822" s="1" t="str">
        <f ca="1">IFERROR(__xludf.DUMMYFUNCTION("""COMPUTED_VALUE"""),"2022-07-04T15:44:55.426Z")</f>
        <v>2022-07-04T15:44:55.426Z</v>
      </c>
    </row>
    <row r="1823" spans="1:10" x14ac:dyDescent="0.2">
      <c r="A1823" s="2" t="str">
        <f ca="1">IFERROR(__xludf.DUMMYFUNCTION("""COMPUTED_VALUE"""),"https://www.facebook.com/joshybanez")</f>
        <v>https://www.facebook.com/joshybanez</v>
      </c>
      <c r="B1823" s="1" t="str">
        <f ca="1">IFERROR(__xludf.DUMMYFUNCTION("""COMPUTED_VALUE"""),"Josh Ybañez")</f>
        <v>Josh Ybañez</v>
      </c>
      <c r="C1823" s="1" t="str">
        <f ca="1">IFERROR(__xludf.DUMMYFUNCTION("""COMPUTED_VALUE"""),"Josh")</f>
        <v>Josh</v>
      </c>
      <c r="D1823" s="1" t="str">
        <f ca="1">IFERROR(__xludf.DUMMYFUNCTION("""COMPUTED_VALUE"""),"Ybañez")</f>
        <v>Ybañez</v>
      </c>
      <c r="E1823" s="1" t="str">
        <f ca="1">IFERROR(__xludf.DUMMYFUNCTION("""COMPUTED_VALUE"""),"#LeniKiko2022")</f>
        <v>#LeniKiko2022</v>
      </c>
      <c r="F1823" s="1"/>
      <c r="G1823" s="1" t="str">
        <f ca="1">IFERROR(__xludf.DUMMYFUNCTION("""COMPUTED_VALUE"""),"3 mos")</f>
        <v>3 mos</v>
      </c>
      <c r="H1823" s="1" t="str">
        <f ca="1">IFERROR(__xludf.DUMMYFUNCTION("""COMPUTED_VALUE"""),"comment")</f>
        <v>comment</v>
      </c>
      <c r="I1823" s="2" t="str">
        <f ca="1">IFERROR(__xludf.DUMMYFUNCTION("""COMPUTED_VALUE"""),"https://www.facebook.com/rapplerdotcom/photos/a.317154781638645/5595372260483511/")</f>
        <v>https://www.facebook.com/rapplerdotcom/photos/a.317154781638645/5595372260483511/</v>
      </c>
      <c r="J1823" s="1" t="str">
        <f ca="1">IFERROR(__xludf.DUMMYFUNCTION("""COMPUTED_VALUE"""),"2022-07-04T15:44:55.426Z")</f>
        <v>2022-07-04T15:44:55.426Z</v>
      </c>
    </row>
    <row r="1824" spans="1:10" x14ac:dyDescent="0.2">
      <c r="A1824" s="2" t="str">
        <f ca="1">IFERROR(__xludf.DUMMYFUNCTION("""COMPUTED_VALUE"""),"https://www.facebook.com/champoybulletelbow")</f>
        <v>https://www.facebook.com/champoybulletelbow</v>
      </c>
      <c r="B1824" s="1" t="str">
        <f ca="1">IFERROR(__xludf.DUMMYFUNCTION("""COMPUTED_VALUE"""),"March NJ")</f>
        <v>March NJ</v>
      </c>
      <c r="C1824" s="1" t="str">
        <f ca="1">IFERROR(__xludf.DUMMYFUNCTION("""COMPUTED_VALUE"""),"March")</f>
        <v>March</v>
      </c>
      <c r="D1824" s="1" t="str">
        <f ca="1">IFERROR(__xludf.DUMMYFUNCTION("""COMPUTED_VALUE"""),"NJ")</f>
        <v>NJ</v>
      </c>
      <c r="E1824" s="1" t="str">
        <f ca="1">IFERROR(__xludf.DUMMYFUNCTION("""COMPUTED_VALUE"""),"#LeniKiko2022 #TeamRObredoPAngilinan2022  #GobyernongTapatAngatBuhayLahat  🙏🌷🌱🙏")</f>
        <v>#LeniKiko2022 #TeamRObredoPAngilinan2022  #GobyernongTapatAngatBuhayLahat  🙏🌷🌱🙏</v>
      </c>
      <c r="F1824" s="1"/>
      <c r="G1824" s="1" t="str">
        <f ca="1">IFERROR(__xludf.DUMMYFUNCTION("""COMPUTED_VALUE"""),"3 mos")</f>
        <v>3 mos</v>
      </c>
      <c r="H1824" s="1" t="str">
        <f ca="1">IFERROR(__xludf.DUMMYFUNCTION("""COMPUTED_VALUE"""),"comment")</f>
        <v>comment</v>
      </c>
      <c r="I1824" s="2" t="str">
        <f ca="1">IFERROR(__xludf.DUMMYFUNCTION("""COMPUTED_VALUE"""),"https://www.facebook.com/rapplerdotcom/photos/a.317154781638645/5595372260483511/")</f>
        <v>https://www.facebook.com/rapplerdotcom/photos/a.317154781638645/5595372260483511/</v>
      </c>
      <c r="J1824" s="1" t="str">
        <f ca="1">IFERROR(__xludf.DUMMYFUNCTION("""COMPUTED_VALUE"""),"2022-07-04T15:44:55.426Z")</f>
        <v>2022-07-04T15:44:55.426Z</v>
      </c>
    </row>
    <row r="1825" spans="1:10" x14ac:dyDescent="0.2">
      <c r="A1825" s="2" t="str">
        <f ca="1">IFERROR(__xludf.DUMMYFUNCTION("""COMPUTED_VALUE"""),"https://www.facebook.com/maleolore.piczon")</f>
        <v>https://www.facebook.com/maleolore.piczon</v>
      </c>
      <c r="B1825" s="1" t="str">
        <f ca="1">IFERROR(__xludf.DUMMYFUNCTION("""COMPUTED_VALUE"""),"Onzcip Ameroloel")</f>
        <v>Onzcip Ameroloel</v>
      </c>
      <c r="C1825" s="1" t="str">
        <f ca="1">IFERROR(__xludf.DUMMYFUNCTION("""COMPUTED_VALUE"""),"Onzcip")</f>
        <v>Onzcip</v>
      </c>
      <c r="D1825" s="1" t="str">
        <f ca="1">IFERROR(__xludf.DUMMYFUNCTION("""COMPUTED_VALUE"""),"Ameroloel")</f>
        <v>Ameroloel</v>
      </c>
      <c r="E1825" s="1" t="str">
        <f ca="1">IFERROR(__xludf.DUMMYFUNCTION("""COMPUTED_VALUE"""),"Onzcip Ameroloel")</f>
        <v>Onzcip Ameroloel</v>
      </c>
      <c r="F1825" s="1">
        <f ca="1">IFERROR(__xludf.DUMMYFUNCTION("""COMPUTED_VALUE"""),1)</f>
        <v>1</v>
      </c>
      <c r="G1825" s="1" t="str">
        <f ca="1">IFERROR(__xludf.DUMMYFUNCTION("""COMPUTED_VALUE"""),"3 mos")</f>
        <v>3 mos</v>
      </c>
      <c r="H1825" s="1" t="str">
        <f ca="1">IFERROR(__xludf.DUMMYFUNCTION("""COMPUTED_VALUE"""),"comment")</f>
        <v>comment</v>
      </c>
      <c r="I1825" s="2" t="str">
        <f ca="1">IFERROR(__xludf.DUMMYFUNCTION("""COMPUTED_VALUE"""),"https://www.facebook.com/rapplerdotcom/photos/a.317154781638645/5595372260483511/")</f>
        <v>https://www.facebook.com/rapplerdotcom/photos/a.317154781638645/5595372260483511/</v>
      </c>
      <c r="J1825" s="1" t="str">
        <f ca="1">IFERROR(__xludf.DUMMYFUNCTION("""COMPUTED_VALUE"""),"2022-07-04T15:44:55.426Z")</f>
        <v>2022-07-04T15:44:55.426Z</v>
      </c>
    </row>
    <row r="1826" spans="1:10" x14ac:dyDescent="0.2">
      <c r="A1826" s="2" t="str">
        <f ca="1">IFERROR(__xludf.DUMMYFUNCTION("""COMPUTED_VALUE"""),"https://www.facebook.com/john.f.papa")</f>
        <v>https://www.facebook.com/john.f.papa</v>
      </c>
      <c r="B1826" s="1" t="str">
        <f ca="1">IFERROR(__xludf.DUMMYFUNCTION("""COMPUTED_VALUE"""),"John Eric Papa")</f>
        <v>John Eric Papa</v>
      </c>
      <c r="C1826" s="1" t="str">
        <f ca="1">IFERROR(__xludf.DUMMYFUNCTION("""COMPUTED_VALUE"""),"John")</f>
        <v>John</v>
      </c>
      <c r="D1826" s="1" t="str">
        <f ca="1">IFERROR(__xludf.DUMMYFUNCTION("""COMPUTED_VALUE"""),"Eric Papa")</f>
        <v>Eric Papa</v>
      </c>
      <c r="E1826" s="1" t="str">
        <f ca="1">IFERROR(__xludf.DUMMYFUNCTION("""COMPUTED_VALUE"""),"John Eric Papa")</f>
        <v>John Eric Papa</v>
      </c>
      <c r="F1826" s="1"/>
      <c r="G1826" s="1" t="str">
        <f ca="1">IFERROR(__xludf.DUMMYFUNCTION("""COMPUTED_VALUE"""),"3 mos")</f>
        <v>3 mos</v>
      </c>
      <c r="H1826" s="1" t="str">
        <f ca="1">IFERROR(__xludf.DUMMYFUNCTION("""COMPUTED_VALUE"""),"comment")</f>
        <v>comment</v>
      </c>
      <c r="I1826" s="2" t="str">
        <f ca="1">IFERROR(__xludf.DUMMYFUNCTION("""COMPUTED_VALUE"""),"https://www.facebook.com/rapplerdotcom/photos/a.317154781638645/5595372260483511/")</f>
        <v>https://www.facebook.com/rapplerdotcom/photos/a.317154781638645/5595372260483511/</v>
      </c>
      <c r="J1826" s="1" t="str">
        <f ca="1">IFERROR(__xludf.DUMMYFUNCTION("""COMPUTED_VALUE"""),"2022-07-04T15:44:55.426Z")</f>
        <v>2022-07-04T15:44:55.426Z</v>
      </c>
    </row>
    <row r="1827" spans="1:10" x14ac:dyDescent="0.2">
      <c r="A1827" s="2" t="str">
        <f ca="1">IFERROR(__xludf.DUMMYFUNCTION("""COMPUTED_VALUE"""),"https://www.facebook.com/davidlacsina4")</f>
        <v>https://www.facebook.com/davidlacsina4</v>
      </c>
      <c r="B1827" s="1" t="str">
        <f ca="1">IFERROR(__xludf.DUMMYFUNCTION("""COMPUTED_VALUE"""),"David Lacsina")</f>
        <v>David Lacsina</v>
      </c>
      <c r="C1827" s="1" t="str">
        <f ca="1">IFERROR(__xludf.DUMMYFUNCTION("""COMPUTED_VALUE"""),"David")</f>
        <v>David</v>
      </c>
      <c r="D1827" s="1" t="str">
        <f ca="1">IFERROR(__xludf.DUMMYFUNCTION("""COMPUTED_VALUE"""),"Lacsina")</f>
        <v>Lacsina</v>
      </c>
      <c r="E1827" s="1" t="str">
        <f ca="1">IFERROR(__xludf.DUMMYFUNCTION("""COMPUTED_VALUE"""),"David Lacsina")</f>
        <v>David Lacsina</v>
      </c>
      <c r="F1827" s="1"/>
      <c r="G1827" s="1" t="str">
        <f ca="1">IFERROR(__xludf.DUMMYFUNCTION("""COMPUTED_VALUE"""),"3 mos")</f>
        <v>3 mos</v>
      </c>
      <c r="H1827" s="1" t="str">
        <f ca="1">IFERROR(__xludf.DUMMYFUNCTION("""COMPUTED_VALUE"""),"comment")</f>
        <v>comment</v>
      </c>
      <c r="I1827" s="2" t="str">
        <f ca="1">IFERROR(__xludf.DUMMYFUNCTION("""COMPUTED_VALUE"""),"https://www.facebook.com/rapplerdotcom/photos/a.317154781638645/5595372260483511/")</f>
        <v>https://www.facebook.com/rapplerdotcom/photos/a.317154781638645/5595372260483511/</v>
      </c>
      <c r="J1827" s="1" t="str">
        <f ca="1">IFERROR(__xludf.DUMMYFUNCTION("""COMPUTED_VALUE"""),"2022-07-04T15:44:55.426Z")</f>
        <v>2022-07-04T15:44:55.426Z</v>
      </c>
    </row>
    <row r="1828" spans="1:10" x14ac:dyDescent="0.2">
      <c r="A1828" s="2" t="str">
        <f ca="1">IFERROR(__xludf.DUMMYFUNCTION("""COMPUTED_VALUE"""),"https://www.facebook.com/john.f.papa")</f>
        <v>https://www.facebook.com/john.f.papa</v>
      </c>
      <c r="B1828" s="1" t="str">
        <f ca="1">IFERROR(__xludf.DUMMYFUNCTION("""COMPUTED_VALUE"""),"John Eric Papa")</f>
        <v>John Eric Papa</v>
      </c>
      <c r="C1828" s="1" t="str">
        <f ca="1">IFERROR(__xludf.DUMMYFUNCTION("""COMPUTED_VALUE"""),"John")</f>
        <v>John</v>
      </c>
      <c r="D1828" s="1" t="str">
        <f ca="1">IFERROR(__xludf.DUMMYFUNCTION("""COMPUTED_VALUE"""),"Eric Papa")</f>
        <v>Eric Papa</v>
      </c>
      <c r="E1828" s="1" t="str">
        <f ca="1">IFERROR(__xludf.DUMMYFUNCTION("""COMPUTED_VALUE"""),"John Eric Papa")</f>
        <v>John Eric Papa</v>
      </c>
      <c r="F1828" s="1"/>
      <c r="G1828" s="1" t="str">
        <f ca="1">IFERROR(__xludf.DUMMYFUNCTION("""COMPUTED_VALUE"""),"3 mos")</f>
        <v>3 mos</v>
      </c>
      <c r="H1828" s="1" t="str">
        <f ca="1">IFERROR(__xludf.DUMMYFUNCTION("""COMPUTED_VALUE"""),"comment")</f>
        <v>comment</v>
      </c>
      <c r="I1828" s="2" t="str">
        <f ca="1">IFERROR(__xludf.DUMMYFUNCTION("""COMPUTED_VALUE"""),"https://www.facebook.com/rapplerdotcom/photos/a.317154781638645/5595372260483511/")</f>
        <v>https://www.facebook.com/rapplerdotcom/photos/a.317154781638645/5595372260483511/</v>
      </c>
      <c r="J1828" s="1" t="str">
        <f ca="1">IFERROR(__xludf.DUMMYFUNCTION("""COMPUTED_VALUE"""),"2022-07-04T15:44:55.426Z")</f>
        <v>2022-07-04T15:44:55.426Z</v>
      </c>
    </row>
    <row r="1829" spans="1:10" x14ac:dyDescent="0.2">
      <c r="A1829" s="2" t="str">
        <f ca="1">IFERROR(__xludf.DUMMYFUNCTION("""COMPUTED_VALUE"""),"https://www.facebook.com/araceli.ceciliobaduria")</f>
        <v>https://www.facebook.com/araceli.ceciliobaduria</v>
      </c>
      <c r="B1829" s="1" t="str">
        <f ca="1">IFERROR(__xludf.DUMMYFUNCTION("""COMPUTED_VALUE"""),"Araceli Cecilio Baduria")</f>
        <v>Araceli Cecilio Baduria</v>
      </c>
      <c r="C1829" s="1" t="str">
        <f ca="1">IFERROR(__xludf.DUMMYFUNCTION("""COMPUTED_VALUE"""),"Araceli")</f>
        <v>Araceli</v>
      </c>
      <c r="D1829" s="1" t="str">
        <f ca="1">IFERROR(__xludf.DUMMYFUNCTION("""COMPUTED_VALUE"""),"Cecilio Baduria")</f>
        <v>Cecilio Baduria</v>
      </c>
      <c r="E1829" s="1" t="str">
        <f ca="1">IFERROR(__xludf.DUMMYFUNCTION("""COMPUTED_VALUE"""),"Araceli Cecilio Baduria")</f>
        <v>Araceli Cecilio Baduria</v>
      </c>
      <c r="F1829" s="1"/>
      <c r="G1829" s="1" t="str">
        <f ca="1">IFERROR(__xludf.DUMMYFUNCTION("""COMPUTED_VALUE"""),"3 mos")</f>
        <v>3 mos</v>
      </c>
      <c r="H1829" s="1" t="str">
        <f ca="1">IFERROR(__xludf.DUMMYFUNCTION("""COMPUTED_VALUE"""),"comment")</f>
        <v>comment</v>
      </c>
      <c r="I1829" s="2" t="str">
        <f ca="1">IFERROR(__xludf.DUMMYFUNCTION("""COMPUTED_VALUE"""),"https://www.facebook.com/rapplerdotcom/photos/a.317154781638645/5595372260483511/")</f>
        <v>https://www.facebook.com/rapplerdotcom/photos/a.317154781638645/5595372260483511/</v>
      </c>
      <c r="J1829" s="1" t="str">
        <f ca="1">IFERROR(__xludf.DUMMYFUNCTION("""COMPUTED_VALUE"""),"2022-07-04T15:44:55.426Z")</f>
        <v>2022-07-04T15:44:55.426Z</v>
      </c>
    </row>
    <row r="1830" spans="1:10" x14ac:dyDescent="0.2">
      <c r="A1830" s="2" t="str">
        <f ca="1">IFERROR(__xludf.DUMMYFUNCTION("""COMPUTED_VALUE"""),"https://www.facebook.com/cherryl.manjares.14")</f>
        <v>https://www.facebook.com/cherryl.manjares.14</v>
      </c>
      <c r="B1830" s="1" t="str">
        <f ca="1">IFERROR(__xludf.DUMMYFUNCTION("""COMPUTED_VALUE"""),"Cherryl Manjares")</f>
        <v>Cherryl Manjares</v>
      </c>
      <c r="C1830" s="1" t="str">
        <f ca="1">IFERROR(__xludf.DUMMYFUNCTION("""COMPUTED_VALUE"""),"Cherryl")</f>
        <v>Cherryl</v>
      </c>
      <c r="D1830" s="1" t="str">
        <f ca="1">IFERROR(__xludf.DUMMYFUNCTION("""COMPUTED_VALUE"""),"Manjares")</f>
        <v>Manjares</v>
      </c>
      <c r="E1830" s="1" t="str">
        <f ca="1">IFERROR(__xludf.DUMMYFUNCTION("""COMPUTED_VALUE"""),"Cherryl Manjares")</f>
        <v>Cherryl Manjares</v>
      </c>
      <c r="F1830" s="1"/>
      <c r="G1830" s="1" t="str">
        <f ca="1">IFERROR(__xludf.DUMMYFUNCTION("""COMPUTED_VALUE"""),"3 mos")</f>
        <v>3 mos</v>
      </c>
      <c r="H1830" s="1" t="str">
        <f ca="1">IFERROR(__xludf.DUMMYFUNCTION("""COMPUTED_VALUE"""),"comment")</f>
        <v>comment</v>
      </c>
      <c r="I1830" s="2" t="str">
        <f ca="1">IFERROR(__xludf.DUMMYFUNCTION("""COMPUTED_VALUE"""),"https://www.facebook.com/rapplerdotcom/photos/a.317154781638645/5595372260483511/")</f>
        <v>https://www.facebook.com/rapplerdotcom/photos/a.317154781638645/5595372260483511/</v>
      </c>
      <c r="J1830" s="1" t="str">
        <f ca="1">IFERROR(__xludf.DUMMYFUNCTION("""COMPUTED_VALUE"""),"2022-07-04T15:44:55.426Z")</f>
        <v>2022-07-04T15:44:55.426Z</v>
      </c>
    </row>
    <row r="1831" spans="1:10" x14ac:dyDescent="0.2">
      <c r="A1831" s="2" t="str">
        <f ca="1">IFERROR(__xludf.DUMMYFUNCTION("""COMPUTED_VALUE"""),"https://www.facebook.com/dale.paypa")</f>
        <v>https://www.facebook.com/dale.paypa</v>
      </c>
      <c r="B1831" s="1" t="str">
        <f ca="1">IFERROR(__xludf.DUMMYFUNCTION("""COMPUTED_VALUE"""),"Dale Paypa")</f>
        <v>Dale Paypa</v>
      </c>
      <c r="C1831" s="1" t="str">
        <f ca="1">IFERROR(__xludf.DUMMYFUNCTION("""COMPUTED_VALUE"""),"Dale")</f>
        <v>Dale</v>
      </c>
      <c r="D1831" s="1" t="str">
        <f ca="1">IFERROR(__xludf.DUMMYFUNCTION("""COMPUTED_VALUE"""),"Paypa")</f>
        <v>Paypa</v>
      </c>
      <c r="E1831" s="1" t="str">
        <f ca="1">IFERROR(__xludf.DUMMYFUNCTION("""COMPUTED_VALUE"""),"Dale Paypa")</f>
        <v>Dale Paypa</v>
      </c>
      <c r="F1831" s="1"/>
      <c r="G1831" s="1" t="str">
        <f ca="1">IFERROR(__xludf.DUMMYFUNCTION("""COMPUTED_VALUE"""),"3 mos")</f>
        <v>3 mos</v>
      </c>
      <c r="H1831" s="1" t="str">
        <f ca="1">IFERROR(__xludf.DUMMYFUNCTION("""COMPUTED_VALUE"""),"comment")</f>
        <v>comment</v>
      </c>
      <c r="I1831" s="2" t="str">
        <f ca="1">IFERROR(__xludf.DUMMYFUNCTION("""COMPUTED_VALUE"""),"https://www.facebook.com/rapplerdotcom/photos/a.317154781638645/5595372260483511/")</f>
        <v>https://www.facebook.com/rapplerdotcom/photos/a.317154781638645/5595372260483511/</v>
      </c>
      <c r="J1831" s="1" t="str">
        <f ca="1">IFERROR(__xludf.DUMMYFUNCTION("""COMPUTED_VALUE"""),"2022-07-04T15:44:55.426Z")</f>
        <v>2022-07-04T15:44:55.426Z</v>
      </c>
    </row>
    <row r="1832" spans="1:10" x14ac:dyDescent="0.2">
      <c r="A1832" s="2" t="str">
        <f ca="1">IFERROR(__xludf.DUMMYFUNCTION("""COMPUTED_VALUE"""),"https://www.facebook.com/cora.ropeta")</f>
        <v>https://www.facebook.com/cora.ropeta</v>
      </c>
      <c r="B1832" s="1" t="str">
        <f ca="1">IFERROR(__xludf.DUMMYFUNCTION("""COMPUTED_VALUE"""),"Cors M Ropeta")</f>
        <v>Cors M Ropeta</v>
      </c>
      <c r="C1832" s="1" t="str">
        <f ca="1">IFERROR(__xludf.DUMMYFUNCTION("""COMPUTED_VALUE"""),"Cors")</f>
        <v>Cors</v>
      </c>
      <c r="D1832" s="1" t="str">
        <f ca="1">IFERROR(__xludf.DUMMYFUNCTION("""COMPUTED_VALUE"""),"M Ropeta")</f>
        <v>M Ropeta</v>
      </c>
      <c r="E1832" s="1" t="str">
        <f ca="1">IFERROR(__xludf.DUMMYFUNCTION("""COMPUTED_VALUE"""),"Cors M Ropeta")</f>
        <v>Cors M Ropeta</v>
      </c>
      <c r="F1832" s="1">
        <f ca="1">IFERROR(__xludf.DUMMYFUNCTION("""COMPUTED_VALUE"""),1)</f>
        <v>1</v>
      </c>
      <c r="G1832" s="1" t="str">
        <f ca="1">IFERROR(__xludf.DUMMYFUNCTION("""COMPUTED_VALUE"""),"3 mos")</f>
        <v>3 mos</v>
      </c>
      <c r="H1832" s="1" t="str">
        <f ca="1">IFERROR(__xludf.DUMMYFUNCTION("""COMPUTED_VALUE"""),"comment")</f>
        <v>comment</v>
      </c>
      <c r="I1832" s="2" t="str">
        <f ca="1">IFERROR(__xludf.DUMMYFUNCTION("""COMPUTED_VALUE"""),"https://www.facebook.com/rapplerdotcom/photos/a.317154781638645/5595372260483511/")</f>
        <v>https://www.facebook.com/rapplerdotcom/photos/a.317154781638645/5595372260483511/</v>
      </c>
      <c r="J1832" s="1" t="str">
        <f ca="1">IFERROR(__xludf.DUMMYFUNCTION("""COMPUTED_VALUE"""),"2022-07-04T15:44:55.426Z")</f>
        <v>2022-07-04T15:44:55.426Z</v>
      </c>
    </row>
    <row r="1833" spans="1:10" x14ac:dyDescent="0.2">
      <c r="A1833" s="2" t="str">
        <f ca="1">IFERROR(__xludf.DUMMYFUNCTION("""COMPUTED_VALUE"""),"https://www.facebook.com/malikbin6.581730")</f>
        <v>https://www.facebook.com/malikbin6.581730</v>
      </c>
      <c r="B1833" s="1" t="str">
        <f ca="1">IFERROR(__xludf.DUMMYFUNCTION("""COMPUTED_VALUE"""),"Teo R. Rilla")</f>
        <v>Teo R. Rilla</v>
      </c>
      <c r="C1833" s="1" t="str">
        <f ca="1">IFERROR(__xludf.DUMMYFUNCTION("""COMPUTED_VALUE"""),"Teo")</f>
        <v>Teo</v>
      </c>
      <c r="D1833" s="1" t="str">
        <f ca="1">IFERROR(__xludf.DUMMYFUNCTION("""COMPUTED_VALUE"""),"R. Rilla")</f>
        <v>R. Rilla</v>
      </c>
      <c r="E1833" s="1" t="str">
        <f ca="1">IFERROR(__xludf.DUMMYFUNCTION("""COMPUTED_VALUE"""),"Teo R. Rilla")</f>
        <v>Teo R. Rilla</v>
      </c>
      <c r="F1833" s="1">
        <f ca="1">IFERROR(__xludf.DUMMYFUNCTION("""COMPUTED_VALUE"""),2)</f>
        <v>2</v>
      </c>
      <c r="G1833" s="1" t="str">
        <f ca="1">IFERROR(__xludf.DUMMYFUNCTION("""COMPUTED_VALUE"""),"3 mos")</f>
        <v>3 mos</v>
      </c>
      <c r="H1833" s="1" t="str">
        <f ca="1">IFERROR(__xludf.DUMMYFUNCTION("""COMPUTED_VALUE"""),"comment")</f>
        <v>comment</v>
      </c>
      <c r="I1833" s="2" t="str">
        <f ca="1">IFERROR(__xludf.DUMMYFUNCTION("""COMPUTED_VALUE"""),"https://www.facebook.com/rapplerdotcom/photos/a.317154781638645/5595372260483511/")</f>
        <v>https://www.facebook.com/rapplerdotcom/photos/a.317154781638645/5595372260483511/</v>
      </c>
      <c r="J1833" s="1" t="str">
        <f ca="1">IFERROR(__xludf.DUMMYFUNCTION("""COMPUTED_VALUE"""),"2022-07-04T15:44:55.426Z")</f>
        <v>2022-07-04T15:44:55.426Z</v>
      </c>
    </row>
    <row r="1834" spans="1:10" x14ac:dyDescent="0.2">
      <c r="A1834" s="2" t="str">
        <f ca="1">IFERROR(__xludf.DUMMYFUNCTION("""COMPUTED_VALUE"""),"https://www.facebook.com/yvic.delapena")</f>
        <v>https://www.facebook.com/yvic.delapena</v>
      </c>
      <c r="B1834" s="1" t="str">
        <f ca="1">IFERROR(__xludf.DUMMYFUNCTION("""COMPUTED_VALUE"""),"Yvic Delapeña")</f>
        <v>Yvic Delapeña</v>
      </c>
      <c r="C1834" s="1" t="str">
        <f ca="1">IFERROR(__xludf.DUMMYFUNCTION("""COMPUTED_VALUE"""),"Yvic")</f>
        <v>Yvic</v>
      </c>
      <c r="D1834" s="1" t="str">
        <f ca="1">IFERROR(__xludf.DUMMYFUNCTION("""COMPUTED_VALUE"""),"Delapeña")</f>
        <v>Delapeña</v>
      </c>
      <c r="E1834" s="1" t="str">
        <f ca="1">IFERROR(__xludf.DUMMYFUNCTION("""COMPUTED_VALUE"""),"Yvic Delapeña")</f>
        <v>Yvic Delapeña</v>
      </c>
      <c r="F1834" s="1"/>
      <c r="G1834" s="1" t="str">
        <f ca="1">IFERROR(__xludf.DUMMYFUNCTION("""COMPUTED_VALUE"""),"3 mos")</f>
        <v>3 mos</v>
      </c>
      <c r="H1834" s="1" t="str">
        <f ca="1">IFERROR(__xludf.DUMMYFUNCTION("""COMPUTED_VALUE"""),"comment")</f>
        <v>comment</v>
      </c>
      <c r="I1834" s="2" t="str">
        <f ca="1">IFERROR(__xludf.DUMMYFUNCTION("""COMPUTED_VALUE"""),"https://www.facebook.com/rapplerdotcom/photos/a.317154781638645/5595372260483511/")</f>
        <v>https://www.facebook.com/rapplerdotcom/photos/a.317154781638645/5595372260483511/</v>
      </c>
      <c r="J1834" s="1" t="str">
        <f ca="1">IFERROR(__xludf.DUMMYFUNCTION("""COMPUTED_VALUE"""),"2022-07-04T15:44:55.426Z")</f>
        <v>2022-07-04T15:44:55.426Z</v>
      </c>
    </row>
    <row r="1835" spans="1:10" x14ac:dyDescent="0.2">
      <c r="A1835" s="2" t="str">
        <f ca="1">IFERROR(__xludf.DUMMYFUNCTION("""COMPUTED_VALUE"""),"https://www.facebook.com/xtudie")</f>
        <v>https://www.facebook.com/xtudie</v>
      </c>
      <c r="B1835" s="1" t="str">
        <f ca="1">IFERROR(__xludf.DUMMYFUNCTION("""COMPUTED_VALUE"""),"Christian Tudtud Farrales")</f>
        <v>Christian Tudtud Farrales</v>
      </c>
      <c r="C1835" s="1" t="str">
        <f ca="1">IFERROR(__xludf.DUMMYFUNCTION("""COMPUTED_VALUE"""),"Christian")</f>
        <v>Christian</v>
      </c>
      <c r="D1835" s="1" t="str">
        <f ca="1">IFERROR(__xludf.DUMMYFUNCTION("""COMPUTED_VALUE"""),"Tudtud Farrales")</f>
        <v>Tudtud Farrales</v>
      </c>
      <c r="E1835" s="1" t="str">
        <f ca="1">IFERROR(__xludf.DUMMYFUNCTION("""COMPUTED_VALUE"""),"🥇")</f>
        <v>🥇</v>
      </c>
      <c r="F1835" s="1"/>
      <c r="G1835" s="1" t="str">
        <f ca="1">IFERROR(__xludf.DUMMYFUNCTION("""COMPUTED_VALUE"""),"3 mos")</f>
        <v>3 mos</v>
      </c>
      <c r="H1835" s="1" t="str">
        <f ca="1">IFERROR(__xludf.DUMMYFUNCTION("""COMPUTED_VALUE"""),"comment")</f>
        <v>comment</v>
      </c>
      <c r="I1835" s="2" t="str">
        <f ca="1">IFERROR(__xludf.DUMMYFUNCTION("""COMPUTED_VALUE"""),"https://www.facebook.com/rapplerdotcom/photos/a.317154781638645/5595372260483511/")</f>
        <v>https://www.facebook.com/rapplerdotcom/photos/a.317154781638645/5595372260483511/</v>
      </c>
      <c r="J1835" s="1" t="str">
        <f ca="1">IFERROR(__xludf.DUMMYFUNCTION("""COMPUTED_VALUE"""),"2022-07-04T15:44:55.426Z")</f>
        <v>2022-07-04T15:44:55.426Z</v>
      </c>
    </row>
    <row r="1836" spans="1:10" x14ac:dyDescent="0.2">
      <c r="A1836" s="2" t="str">
        <f ca="1">IFERROR(__xludf.DUMMYFUNCTION("""COMPUTED_VALUE"""),"https://www.facebook.com/jf.ortega.9")</f>
        <v>https://www.facebook.com/jf.ortega.9</v>
      </c>
      <c r="B1836" s="1" t="str">
        <f ca="1">IFERROR(__xludf.DUMMYFUNCTION("""COMPUTED_VALUE"""),"Andy Ortega")</f>
        <v>Andy Ortega</v>
      </c>
      <c r="C1836" s="1" t="str">
        <f ca="1">IFERROR(__xludf.DUMMYFUNCTION("""COMPUTED_VALUE"""),"Andy")</f>
        <v>Andy</v>
      </c>
      <c r="D1836" s="1" t="str">
        <f ca="1">IFERROR(__xludf.DUMMYFUNCTION("""COMPUTED_VALUE"""),"Ortega")</f>
        <v>Ortega</v>
      </c>
      <c r="E1836" s="1" t="str">
        <f ca="1">IFERROR(__xludf.DUMMYFUNCTION("""COMPUTED_VALUE"""),"#NeverAgainToMarcoses")</f>
        <v>#NeverAgainToMarcoses</v>
      </c>
      <c r="F1836" s="1">
        <f ca="1">IFERROR(__xludf.DUMMYFUNCTION("""COMPUTED_VALUE"""),8)</f>
        <v>8</v>
      </c>
      <c r="G1836" s="1" t="str">
        <f ca="1">IFERROR(__xludf.DUMMYFUNCTION("""COMPUTED_VALUE"""),"3 mos")</f>
        <v>3 mos</v>
      </c>
      <c r="H1836" s="1" t="str">
        <f ca="1">IFERROR(__xludf.DUMMYFUNCTION("""COMPUTED_VALUE"""),"comment")</f>
        <v>comment</v>
      </c>
      <c r="I1836" s="2" t="str">
        <f ca="1">IFERROR(__xludf.DUMMYFUNCTION("""COMPUTED_VALUE"""),"https://www.facebook.com/rapplerdotcom/photos/a.317154781638645/5595162900504447/")</f>
        <v>https://www.facebook.com/rapplerdotcom/photos/a.317154781638645/5595162900504447/</v>
      </c>
      <c r="J1836" s="1" t="str">
        <f ca="1">IFERROR(__xludf.DUMMYFUNCTION("""COMPUTED_VALUE"""),"2022-07-04T15:45:33.649Z")</f>
        <v>2022-07-04T15:45:33.649Z</v>
      </c>
    </row>
    <row r="1837" spans="1:10" x14ac:dyDescent="0.2">
      <c r="A1837" s="2" t="str">
        <f ca="1">IFERROR(__xludf.DUMMYFUNCTION("""COMPUTED_VALUE"""),"https://www.facebook.com/ngorab.ngidnam")</f>
        <v>https://www.facebook.com/ngorab.ngidnam</v>
      </c>
      <c r="B1837" s="1" t="str">
        <f ca="1">IFERROR(__xludf.DUMMYFUNCTION("""COMPUTED_VALUE"""),"Vic B Dal")</f>
        <v>Vic B Dal</v>
      </c>
      <c r="C1837" s="1" t="str">
        <f ca="1">IFERROR(__xludf.DUMMYFUNCTION("""COMPUTED_VALUE"""),"Vic")</f>
        <v>Vic</v>
      </c>
      <c r="D1837" s="1" t="str">
        <f ca="1">IFERROR(__xludf.DUMMYFUNCTION("""COMPUTED_VALUE"""),"B Dal")</f>
        <v>B Dal</v>
      </c>
      <c r="E1837" s="1" t="str">
        <f ca="1">IFERROR(__xludf.DUMMYFUNCTION("""COMPUTED_VALUE"""),"Political dynasties: The Marcoses, Arroyos, Farinas, Dutertes, Binays, Estradas, Villafuertes, Zamoras, Remullas, Villars, etc., treat public office like an inheritance which they could pass to their children/heirs. These political dynasties have lorded a"&amp;"nd wielded the reins of power in their bailiwicks for many decades, but majority of their constituents remained poor, who kept on voting these political dynasties due to their false messianic hope from these political dynasties that they could resurrect t"&amp;"he majority of their constituents from the graveyard of poverty when in reality these political dynasties buried the majority of their constituents more than 6 feet below the ground, which there could be no more resurrection from their haplessness and hel"&amp;"plessness.")</f>
        <v>Political dynasties: The Marcoses, Arroyos, Farinas, Dutertes, Binays, Estradas, Villafuertes, Zamoras, Remullas, Villars, etc., treat public office like an inheritance which they could pass to their children/heirs. These political dynasties have lorded and wielded the reins of power in their bailiwicks for many decades, but majority of their constituents remained poor, who kept on voting these political dynasties due to their false messianic hope from these political dynasties that they could resurrect the majority of their constituents from the graveyard of poverty when in reality these political dynasties buried the majority of their constituents more than 6 feet below the ground, which there could be no more resurrection from their haplessness and helplessness.</v>
      </c>
      <c r="F1837" s="1">
        <f ca="1">IFERROR(__xludf.DUMMYFUNCTION("""COMPUTED_VALUE"""),19)</f>
        <v>19</v>
      </c>
      <c r="G1837" s="1" t="str">
        <f ca="1">IFERROR(__xludf.DUMMYFUNCTION("""COMPUTED_VALUE"""),"3 mos")</f>
        <v>3 mos</v>
      </c>
      <c r="H1837" s="1" t="str">
        <f ca="1">IFERROR(__xludf.DUMMYFUNCTION("""COMPUTED_VALUE"""),"comment")</f>
        <v>comment</v>
      </c>
      <c r="I1837" s="2" t="str">
        <f ca="1">IFERROR(__xludf.DUMMYFUNCTION("""COMPUTED_VALUE"""),"https://www.facebook.com/rapplerdotcom/photos/a.317154781638645/5595162900504447/")</f>
        <v>https://www.facebook.com/rapplerdotcom/photos/a.317154781638645/5595162900504447/</v>
      </c>
      <c r="J1837" s="1" t="str">
        <f ca="1">IFERROR(__xludf.DUMMYFUNCTION("""COMPUTED_VALUE"""),"2022-07-04T15:45:33.649Z")</f>
        <v>2022-07-04T15:45:33.649Z</v>
      </c>
    </row>
    <row r="1838" spans="1:10" x14ac:dyDescent="0.2">
      <c r="A1838" s="2" t="str">
        <f ca="1">IFERROR(__xludf.DUMMYFUNCTION("""COMPUTED_VALUE"""),"https://www.facebook.com/jimmy.ballesteros")</f>
        <v>https://www.facebook.com/jimmy.ballesteros</v>
      </c>
      <c r="B1838" s="1" t="str">
        <f ca="1">IFERROR(__xludf.DUMMYFUNCTION("""COMPUTED_VALUE"""),"Jim Bal")</f>
        <v>Jim Bal</v>
      </c>
      <c r="C1838" s="1" t="str">
        <f ca="1">IFERROR(__xludf.DUMMYFUNCTION("""COMPUTED_VALUE"""),"Jim")</f>
        <v>Jim</v>
      </c>
      <c r="D1838" s="1" t="str">
        <f ca="1">IFERROR(__xludf.DUMMYFUNCTION("""COMPUTED_VALUE"""),"Bal")</f>
        <v>Bal</v>
      </c>
      <c r="E1838" s="1" t="str">
        <f ca="1">IFERROR(__xludf.DUMMYFUNCTION("""COMPUTED_VALUE"""),"Vic B Dal REMULLAS OF COURSE")</f>
        <v>Vic B Dal REMULLAS OF COURSE</v>
      </c>
      <c r="F1838" s="1"/>
      <c r="G1838" s="1" t="str">
        <f ca="1">IFERROR(__xludf.DUMMYFUNCTION("""COMPUTED_VALUE"""),"3 mos")</f>
        <v>3 mos</v>
      </c>
      <c r="H1838" s="1" t="str">
        <f ca="1">IFERROR(__xludf.DUMMYFUNCTION("""COMPUTED_VALUE"""),"reply")</f>
        <v>reply</v>
      </c>
      <c r="I1838" s="2" t="str">
        <f ca="1">IFERROR(__xludf.DUMMYFUNCTION("""COMPUTED_VALUE"""),"https://www.facebook.com/rapplerdotcom/photos/a.317154781638645/5595162900504447/")</f>
        <v>https://www.facebook.com/rapplerdotcom/photos/a.317154781638645/5595162900504447/</v>
      </c>
      <c r="J1838" s="1" t="str">
        <f ca="1">IFERROR(__xludf.DUMMYFUNCTION("""COMPUTED_VALUE"""),"2022-07-04T15:45:33.649Z")</f>
        <v>2022-07-04T15:45:33.649Z</v>
      </c>
    </row>
    <row r="1839" spans="1:10" x14ac:dyDescent="0.2">
      <c r="A1839" s="2" t="str">
        <f ca="1">IFERROR(__xludf.DUMMYFUNCTION("""COMPUTED_VALUE"""),"https://www.facebook.com/celia.menaje")</f>
        <v>https://www.facebook.com/celia.menaje</v>
      </c>
      <c r="B1839" s="1" t="str">
        <f ca="1">IFERROR(__xludf.DUMMYFUNCTION("""COMPUTED_VALUE"""),"Celia Paclibar Menaje")</f>
        <v>Celia Paclibar Menaje</v>
      </c>
      <c r="C1839" s="1" t="str">
        <f ca="1">IFERROR(__xludf.DUMMYFUNCTION("""COMPUTED_VALUE"""),"Celia")</f>
        <v>Celia</v>
      </c>
      <c r="D1839" s="1" t="str">
        <f ca="1">IFERROR(__xludf.DUMMYFUNCTION("""COMPUTED_VALUE"""),"Paclibar Menaje")</f>
        <v>Paclibar Menaje</v>
      </c>
      <c r="E1839" s="1" t="str">
        <f ca="1">IFERROR(__xludf.DUMMYFUNCTION("""COMPUTED_VALUE"""),"Meron pang dynasty Villar at Cayetano..dumadami lahi nila")</f>
        <v>Meron pang dynasty Villar at Cayetano..dumadami lahi nila</v>
      </c>
      <c r="F1839" s="1"/>
      <c r="G1839" s="1" t="str">
        <f ca="1">IFERROR(__xludf.DUMMYFUNCTION("""COMPUTED_VALUE"""),"3 mos")</f>
        <v>3 mos</v>
      </c>
      <c r="H1839" s="1" t="str">
        <f ca="1">IFERROR(__xludf.DUMMYFUNCTION("""COMPUTED_VALUE"""),"reply")</f>
        <v>reply</v>
      </c>
      <c r="I1839" s="2" t="str">
        <f ca="1">IFERROR(__xludf.DUMMYFUNCTION("""COMPUTED_VALUE"""),"https://www.facebook.com/rapplerdotcom/photos/a.317154781638645/5595162900504447/")</f>
        <v>https://www.facebook.com/rapplerdotcom/photos/a.317154781638645/5595162900504447/</v>
      </c>
      <c r="J1839" s="1" t="str">
        <f ca="1">IFERROR(__xludf.DUMMYFUNCTION("""COMPUTED_VALUE"""),"2022-07-04T15:45:33.649Z")</f>
        <v>2022-07-04T15:45:33.649Z</v>
      </c>
    </row>
    <row r="1840" spans="1:10" x14ac:dyDescent="0.2">
      <c r="A1840" s="2" t="str">
        <f ca="1">IFERROR(__xludf.DUMMYFUNCTION("""COMPUTED_VALUE"""),"https://www.facebook.com/alma.deguzman.5891")</f>
        <v>https://www.facebook.com/alma.deguzman.5891</v>
      </c>
      <c r="B1840" s="1" t="str">
        <f ca="1">IFERROR(__xludf.DUMMYFUNCTION("""COMPUTED_VALUE"""),"La Etaira")</f>
        <v>La Etaira</v>
      </c>
      <c r="C1840" s="1" t="str">
        <f ca="1">IFERROR(__xludf.DUMMYFUNCTION("""COMPUTED_VALUE"""),"La")</f>
        <v>La</v>
      </c>
      <c r="D1840" s="1" t="str">
        <f ca="1">IFERROR(__xludf.DUMMYFUNCTION("""COMPUTED_VALUE"""),"Etaira")</f>
        <v>Etaira</v>
      </c>
      <c r="E1840" s="1" t="str">
        <f ca="1">IFERROR(__xludf.DUMMYFUNCTION("""COMPUTED_VALUE"""),"Vic B Dal may kulang pa,si arroyo")</f>
        <v>Vic B Dal may kulang pa,si arroyo</v>
      </c>
      <c r="F1840" s="1"/>
      <c r="G1840" s="1" t="str">
        <f ca="1">IFERROR(__xludf.DUMMYFUNCTION("""COMPUTED_VALUE"""),"3 mos")</f>
        <v>3 mos</v>
      </c>
      <c r="H1840" s="1" t="str">
        <f ca="1">IFERROR(__xludf.DUMMYFUNCTION("""COMPUTED_VALUE"""),"reply")</f>
        <v>reply</v>
      </c>
      <c r="I1840" s="2" t="str">
        <f ca="1">IFERROR(__xludf.DUMMYFUNCTION("""COMPUTED_VALUE"""),"https://www.facebook.com/rapplerdotcom/photos/a.317154781638645/5595162900504447/")</f>
        <v>https://www.facebook.com/rapplerdotcom/photos/a.317154781638645/5595162900504447/</v>
      </c>
      <c r="J1840" s="1" t="str">
        <f ca="1">IFERROR(__xludf.DUMMYFUNCTION("""COMPUTED_VALUE"""),"2022-07-04T15:45:33.649Z")</f>
        <v>2022-07-04T15:45:33.649Z</v>
      </c>
    </row>
    <row r="1841" spans="1:10" x14ac:dyDescent="0.2">
      <c r="A1841" s="2" t="str">
        <f ca="1">IFERROR(__xludf.DUMMYFUNCTION("""COMPUTED_VALUE"""),"https://www.facebook.com/profile.php?id=100076244510404")</f>
        <v>https://www.facebook.com/profile.php?id=100076244510404</v>
      </c>
      <c r="B1841" s="1" t="str">
        <f ca="1">IFERROR(__xludf.DUMMYFUNCTION("""COMPUTED_VALUE"""),"Danddy Parinas")</f>
        <v>Danddy Parinas</v>
      </c>
      <c r="C1841" s="1" t="str">
        <f ca="1">IFERROR(__xludf.DUMMYFUNCTION("""COMPUTED_VALUE"""),"Danddy")</f>
        <v>Danddy</v>
      </c>
      <c r="D1841" s="1" t="str">
        <f ca="1">IFERROR(__xludf.DUMMYFUNCTION("""COMPUTED_VALUE"""),"Parinas")</f>
        <v>Parinas</v>
      </c>
      <c r="E1841" s="1" t="str">
        <f ca="1">IFERROR(__xludf.DUMMYFUNCTION("""COMPUTED_VALUE"""),"Pur0 pagkakaisa bkt...plata porma ba ang pagkkaisa nakkain ba ang pagkkaisa nakkasawa na kau !!!!!")</f>
        <v>Pur0 pagkakaisa bkt...plata porma ba ang pagkkaisa nakkain ba ang pagkkaisa nakkasawa na kau !!!!!</v>
      </c>
      <c r="F1841" s="1">
        <f ca="1">IFERROR(__xludf.DUMMYFUNCTION("""COMPUTED_VALUE"""),20)</f>
        <v>20</v>
      </c>
      <c r="G1841" s="1" t="str">
        <f ca="1">IFERROR(__xludf.DUMMYFUNCTION("""COMPUTED_VALUE"""),"3 mos")</f>
        <v>3 mos</v>
      </c>
      <c r="H1841" s="1" t="str">
        <f ca="1">IFERROR(__xludf.DUMMYFUNCTION("""COMPUTED_VALUE"""),"comment")</f>
        <v>comment</v>
      </c>
      <c r="I1841" s="2" t="str">
        <f ca="1">IFERROR(__xludf.DUMMYFUNCTION("""COMPUTED_VALUE"""),"https://www.facebook.com/rapplerdotcom/photos/a.317154781638645/5595162900504447/")</f>
        <v>https://www.facebook.com/rapplerdotcom/photos/a.317154781638645/5595162900504447/</v>
      </c>
      <c r="J1841" s="1" t="str">
        <f ca="1">IFERROR(__xludf.DUMMYFUNCTION("""COMPUTED_VALUE"""),"2022-07-04T15:45:33.649Z")</f>
        <v>2022-07-04T15:45:33.649Z</v>
      </c>
    </row>
    <row r="1842" spans="1:10" x14ac:dyDescent="0.2">
      <c r="A1842" s="2" t="str">
        <f ca="1">IFERROR(__xludf.DUMMYFUNCTION("""COMPUTED_VALUE"""),"https://www.facebook.com/rolan.conos")</f>
        <v>https://www.facebook.com/rolan.conos</v>
      </c>
      <c r="B1842" s="1" t="str">
        <f ca="1">IFERROR(__xludf.DUMMYFUNCTION("""COMPUTED_VALUE"""),"Roland Cons")</f>
        <v>Roland Cons</v>
      </c>
      <c r="C1842" s="1" t="str">
        <f ca="1">IFERROR(__xludf.DUMMYFUNCTION("""COMPUTED_VALUE"""),"Roland")</f>
        <v>Roland</v>
      </c>
      <c r="D1842" s="1" t="str">
        <f ca="1">IFERROR(__xludf.DUMMYFUNCTION("""COMPUTED_VALUE"""),"Cons")</f>
        <v>Cons</v>
      </c>
      <c r="E1842" s="1" t="str">
        <f ca="1">IFERROR(__xludf.DUMMYFUNCTION("""COMPUTED_VALUE"""),"Danddy Parinas pagkakaisa na nakawin ang kaban NG Bayan, Yun daw ang unity Para sa kanila")</f>
        <v>Danddy Parinas pagkakaisa na nakawin ang kaban NG Bayan, Yun daw ang unity Para sa kanila</v>
      </c>
      <c r="F1842" s="1">
        <f ca="1">IFERROR(__xludf.DUMMYFUNCTION("""COMPUTED_VALUE"""),6)</f>
        <v>6</v>
      </c>
      <c r="G1842" s="1" t="str">
        <f ca="1">IFERROR(__xludf.DUMMYFUNCTION("""COMPUTED_VALUE"""),"3 mos")</f>
        <v>3 mos</v>
      </c>
      <c r="H1842" s="1" t="str">
        <f ca="1">IFERROR(__xludf.DUMMYFUNCTION("""COMPUTED_VALUE"""),"reply")</f>
        <v>reply</v>
      </c>
      <c r="I1842" s="2" t="str">
        <f ca="1">IFERROR(__xludf.DUMMYFUNCTION("""COMPUTED_VALUE"""),"https://www.facebook.com/rapplerdotcom/photos/a.317154781638645/5595162900504447/")</f>
        <v>https://www.facebook.com/rapplerdotcom/photos/a.317154781638645/5595162900504447/</v>
      </c>
      <c r="J1842" s="1" t="str">
        <f ca="1">IFERROR(__xludf.DUMMYFUNCTION("""COMPUTED_VALUE"""),"2022-07-04T15:45:33.649Z")</f>
        <v>2022-07-04T15:45:33.649Z</v>
      </c>
    </row>
    <row r="1843" spans="1:10" x14ac:dyDescent="0.2">
      <c r="A1843" s="2" t="str">
        <f ca="1">IFERROR(__xludf.DUMMYFUNCTION("""COMPUTED_VALUE"""),"https://www.facebook.com/JayArziiGee")</f>
        <v>https://www.facebook.com/JayArziiGee</v>
      </c>
      <c r="B1843" s="1" t="str">
        <f ca="1">IFERROR(__xludf.DUMMYFUNCTION("""COMPUTED_VALUE"""),"Jay ArZi Gee")</f>
        <v>Jay ArZi Gee</v>
      </c>
      <c r="C1843" s="1" t="str">
        <f ca="1">IFERROR(__xludf.DUMMYFUNCTION("""COMPUTED_VALUE"""),"Jay")</f>
        <v>Jay</v>
      </c>
      <c r="D1843" s="1" t="str">
        <f ca="1">IFERROR(__xludf.DUMMYFUNCTION("""COMPUTED_VALUE"""),"ArZi Gee")</f>
        <v>ArZi Gee</v>
      </c>
      <c r="E1843" s="1" t="str">
        <f ca="1">IFERROR(__xludf.DUMMYFUNCTION("""COMPUTED_VALUE"""),"Danddy Parinas uniTHIEVES!")</f>
        <v>Danddy Parinas uniTHIEVES!</v>
      </c>
      <c r="F1843" s="1">
        <f ca="1">IFERROR(__xludf.DUMMYFUNCTION("""COMPUTED_VALUE"""),1)</f>
        <v>1</v>
      </c>
      <c r="G1843" s="1" t="str">
        <f ca="1">IFERROR(__xludf.DUMMYFUNCTION("""COMPUTED_VALUE"""),"3 mos")</f>
        <v>3 mos</v>
      </c>
      <c r="H1843" s="1" t="str">
        <f ca="1">IFERROR(__xludf.DUMMYFUNCTION("""COMPUTED_VALUE"""),"reply")</f>
        <v>reply</v>
      </c>
      <c r="I1843" s="2" t="str">
        <f ca="1">IFERROR(__xludf.DUMMYFUNCTION("""COMPUTED_VALUE"""),"https://www.facebook.com/rapplerdotcom/photos/a.317154781638645/5595162900504447/")</f>
        <v>https://www.facebook.com/rapplerdotcom/photos/a.317154781638645/5595162900504447/</v>
      </c>
      <c r="J1843" s="1" t="str">
        <f ca="1">IFERROR(__xludf.DUMMYFUNCTION("""COMPUTED_VALUE"""),"2022-07-04T15:45:33.649Z")</f>
        <v>2022-07-04T15:45:33.649Z</v>
      </c>
    </row>
    <row r="1844" spans="1:10" x14ac:dyDescent="0.2">
      <c r="A1844" s="2" t="str">
        <f ca="1">IFERROR(__xludf.DUMMYFUNCTION("""COMPUTED_VALUE"""),"https://www.facebook.com/bodick.cruz")</f>
        <v>https://www.facebook.com/bodick.cruz</v>
      </c>
      <c r="B1844" s="1" t="str">
        <f ca="1">IFERROR(__xludf.DUMMYFUNCTION("""COMPUTED_VALUE"""),"Bodick Cruz")</f>
        <v>Bodick Cruz</v>
      </c>
      <c r="C1844" s="1" t="str">
        <f ca="1">IFERROR(__xludf.DUMMYFUNCTION("""COMPUTED_VALUE"""),"Bodick")</f>
        <v>Bodick</v>
      </c>
      <c r="D1844" s="1" t="str">
        <f ca="1">IFERROR(__xludf.DUMMYFUNCTION("""COMPUTED_VALUE"""),"Cruz")</f>
        <v>Cruz</v>
      </c>
      <c r="E1844" s="1" t="str">
        <f ca="1">IFERROR(__xludf.DUMMYFUNCTION("""COMPUTED_VALUE"""),"Politics is big business lalo sa ilocos norte ang mayayaman ay naka -puesto sa kapangyarihan magandang mansion ang mahirap nasa bukid sakahan' ng mga pulitiko.lahat ay ganun din halos sa buong bansa.")</f>
        <v>Politics is big business lalo sa ilocos norte ang mayayaman ay naka -puesto sa kapangyarihan magandang mansion ang mahirap nasa bukid sakahan' ng mga pulitiko.lahat ay ganun din halos sa buong bansa.</v>
      </c>
      <c r="F1844" s="1">
        <f ca="1">IFERROR(__xludf.DUMMYFUNCTION("""COMPUTED_VALUE"""),10)</f>
        <v>10</v>
      </c>
      <c r="G1844" s="1" t="str">
        <f ca="1">IFERROR(__xludf.DUMMYFUNCTION("""COMPUTED_VALUE"""),"3 mos")</f>
        <v>3 mos</v>
      </c>
      <c r="H1844" s="1" t="str">
        <f ca="1">IFERROR(__xludf.DUMMYFUNCTION("""COMPUTED_VALUE"""),"comment")</f>
        <v>comment</v>
      </c>
      <c r="I1844" s="2" t="str">
        <f ca="1">IFERROR(__xludf.DUMMYFUNCTION("""COMPUTED_VALUE"""),"https://www.facebook.com/rapplerdotcom/photos/a.317154781638645/5595162900504447/")</f>
        <v>https://www.facebook.com/rapplerdotcom/photos/a.317154781638645/5595162900504447/</v>
      </c>
      <c r="J1844" s="1" t="str">
        <f ca="1">IFERROR(__xludf.DUMMYFUNCTION("""COMPUTED_VALUE"""),"2022-07-04T15:45:33.649Z")</f>
        <v>2022-07-04T15:45:33.649Z</v>
      </c>
    </row>
    <row r="1845" spans="1:10" x14ac:dyDescent="0.2">
      <c r="A1845" s="2" t="str">
        <f ca="1">IFERROR(__xludf.DUMMYFUNCTION("""COMPUTED_VALUE"""),"https://www.facebook.com/linda.gardon")</f>
        <v>https://www.facebook.com/linda.gardon</v>
      </c>
      <c r="B1845" s="1" t="str">
        <f ca="1">IFERROR(__xludf.DUMMYFUNCTION("""COMPUTED_VALUE"""),"Linda Gardon")</f>
        <v>Linda Gardon</v>
      </c>
      <c r="C1845" s="1" t="str">
        <f ca="1">IFERROR(__xludf.DUMMYFUNCTION("""COMPUTED_VALUE"""),"Linda")</f>
        <v>Linda</v>
      </c>
      <c r="D1845" s="1" t="str">
        <f ca="1">IFERROR(__xludf.DUMMYFUNCTION("""COMPUTED_VALUE"""),"Gardon")</f>
        <v>Gardon</v>
      </c>
      <c r="E1845" s="1" t="str">
        <f ca="1">IFERROR(__xludf.DUMMYFUNCTION("""COMPUTED_VALUE"""),"Sana kung may bago na politician iyan ang iboboto para matakot mga politicians na hindi magtrabaho at magiging honest sila")</f>
        <v>Sana kung may bago na politician iyan ang iboboto para matakot mga politicians na hindi magtrabaho at magiging honest sila</v>
      </c>
      <c r="F1845" s="1">
        <f ca="1">IFERROR(__xludf.DUMMYFUNCTION("""COMPUTED_VALUE"""),1)</f>
        <v>1</v>
      </c>
      <c r="G1845" s="1" t="str">
        <f ca="1">IFERROR(__xludf.DUMMYFUNCTION("""COMPUTED_VALUE"""),"3 mos")</f>
        <v>3 mos</v>
      </c>
      <c r="H1845" s="1" t="str">
        <f ca="1">IFERROR(__xludf.DUMMYFUNCTION("""COMPUTED_VALUE"""),"comment")</f>
        <v>comment</v>
      </c>
      <c r="I1845" s="2" t="str">
        <f ca="1">IFERROR(__xludf.DUMMYFUNCTION("""COMPUTED_VALUE"""),"https://www.facebook.com/rapplerdotcom/photos/a.317154781638645/5595162900504447/")</f>
        <v>https://www.facebook.com/rapplerdotcom/photos/a.317154781638645/5595162900504447/</v>
      </c>
      <c r="J1845" s="1" t="str">
        <f ca="1">IFERROR(__xludf.DUMMYFUNCTION("""COMPUTED_VALUE"""),"2022-07-04T15:45:33.649Z")</f>
        <v>2022-07-04T15:45:33.649Z</v>
      </c>
    </row>
    <row r="1846" spans="1:10" x14ac:dyDescent="0.2">
      <c r="A1846" s="2" t="str">
        <f ca="1">IFERROR(__xludf.DUMMYFUNCTION("""COMPUTED_VALUE"""),"https://www.facebook.com/maricel.delacruz.399")</f>
        <v>https://www.facebook.com/maricel.delacruz.399</v>
      </c>
      <c r="B1846" s="1" t="str">
        <f ca="1">IFERROR(__xludf.DUMMYFUNCTION("""COMPUTED_VALUE"""),"Mads C Kwon")</f>
        <v>Mads C Kwon</v>
      </c>
      <c r="C1846" s="1" t="str">
        <f ca="1">IFERROR(__xludf.DUMMYFUNCTION("""COMPUTED_VALUE"""),"Mads")</f>
        <v>Mads</v>
      </c>
      <c r="D1846" s="1" t="str">
        <f ca="1">IFERROR(__xludf.DUMMYFUNCTION("""COMPUTED_VALUE"""),"C Kwon")</f>
        <v>C Kwon</v>
      </c>
      <c r="E1846" s="1" t="str">
        <f ca="1">IFERROR(__xludf.DUMMYFUNCTION("""COMPUTED_VALUE"""),"Nasa politika nga ang pera!!!!kaya ginawa nilang family bussiness")</f>
        <v>Nasa politika nga ang pera!!!!kaya ginawa nilang family bussiness</v>
      </c>
      <c r="F1846" s="1">
        <f ca="1">IFERROR(__xludf.DUMMYFUNCTION("""COMPUTED_VALUE"""),22)</f>
        <v>22</v>
      </c>
      <c r="G1846" s="1" t="str">
        <f ca="1">IFERROR(__xludf.DUMMYFUNCTION("""COMPUTED_VALUE"""),"3 mos")</f>
        <v>3 mos</v>
      </c>
      <c r="H1846" s="1" t="str">
        <f ca="1">IFERROR(__xludf.DUMMYFUNCTION("""COMPUTED_VALUE"""),"comment")</f>
        <v>comment</v>
      </c>
      <c r="I1846" s="2" t="str">
        <f ca="1">IFERROR(__xludf.DUMMYFUNCTION("""COMPUTED_VALUE"""),"https://www.facebook.com/rapplerdotcom/photos/a.317154781638645/5595162900504447/")</f>
        <v>https://www.facebook.com/rapplerdotcom/photos/a.317154781638645/5595162900504447/</v>
      </c>
      <c r="J1846" s="1" t="str">
        <f ca="1">IFERROR(__xludf.DUMMYFUNCTION("""COMPUTED_VALUE"""),"2022-07-04T15:45:33.649Z")</f>
        <v>2022-07-04T15:45:33.649Z</v>
      </c>
    </row>
    <row r="1847" spans="1:10" x14ac:dyDescent="0.2">
      <c r="A1847" s="2" t="str">
        <f ca="1">IFERROR(__xludf.DUMMYFUNCTION("""COMPUTED_VALUE"""),"https://www.facebook.com/annabelle.cruz.98")</f>
        <v>https://www.facebook.com/annabelle.cruz.98</v>
      </c>
      <c r="B1847" s="1" t="str">
        <f ca="1">IFERROR(__xludf.DUMMYFUNCTION("""COMPUTED_VALUE"""),"Annabelle Cruz")</f>
        <v>Annabelle Cruz</v>
      </c>
      <c r="C1847" s="1" t="str">
        <f ca="1">IFERROR(__xludf.DUMMYFUNCTION("""COMPUTED_VALUE"""),"Annabelle")</f>
        <v>Annabelle</v>
      </c>
      <c r="D1847" s="1" t="str">
        <f ca="1">IFERROR(__xludf.DUMMYFUNCTION("""COMPUTED_VALUE"""),"Cruz")</f>
        <v>Cruz</v>
      </c>
      <c r="E1847" s="1" t="str">
        <f ca="1">IFERROR(__xludf.DUMMYFUNCTION("""COMPUTED_VALUE"""),"Mads C Kwon hahaha kaya siguro my 800m c lenlen ba binigay ky Alvarez 🤣😅")</f>
        <v>Mads C Kwon hahaha kaya siguro my 800m c lenlen ba binigay ky Alvarez 🤣😅</v>
      </c>
      <c r="F1847" s="1">
        <f ca="1">IFERROR(__xludf.DUMMYFUNCTION("""COMPUTED_VALUE"""),1)</f>
        <v>1</v>
      </c>
      <c r="G1847" s="1" t="str">
        <f ca="1">IFERROR(__xludf.DUMMYFUNCTION("""COMPUTED_VALUE"""),"3 mos")</f>
        <v>3 mos</v>
      </c>
      <c r="H1847" s="1" t="str">
        <f ca="1">IFERROR(__xludf.DUMMYFUNCTION("""COMPUTED_VALUE"""),"reply")</f>
        <v>reply</v>
      </c>
      <c r="I1847" s="2" t="str">
        <f ca="1">IFERROR(__xludf.DUMMYFUNCTION("""COMPUTED_VALUE"""),"https://www.facebook.com/rapplerdotcom/photos/a.317154781638645/5595162900504447/")</f>
        <v>https://www.facebook.com/rapplerdotcom/photos/a.317154781638645/5595162900504447/</v>
      </c>
      <c r="J1847" s="1" t="str">
        <f ca="1">IFERROR(__xludf.DUMMYFUNCTION("""COMPUTED_VALUE"""),"2022-07-04T15:45:33.649Z")</f>
        <v>2022-07-04T15:45:33.649Z</v>
      </c>
    </row>
    <row r="1848" spans="1:10" x14ac:dyDescent="0.2">
      <c r="A1848" s="2" t="str">
        <f ca="1">IFERROR(__xludf.DUMMYFUNCTION("""COMPUTED_VALUE"""),"https://www.facebook.com/sally.benasfre")</f>
        <v>https://www.facebook.com/sally.benasfre</v>
      </c>
      <c r="B1848" s="1" t="str">
        <f ca="1">IFERROR(__xludf.DUMMYFUNCTION("""COMPUTED_VALUE"""),"Sally Beñasfre Rafales")</f>
        <v>Sally Beñasfre Rafales</v>
      </c>
      <c r="C1848" s="1" t="str">
        <f ca="1">IFERROR(__xludf.DUMMYFUNCTION("""COMPUTED_VALUE"""),"Sally")</f>
        <v>Sally</v>
      </c>
      <c r="D1848" s="1" t="str">
        <f ca="1">IFERROR(__xludf.DUMMYFUNCTION("""COMPUTED_VALUE"""),"Beñasfre Rafales")</f>
        <v>Beñasfre Rafales</v>
      </c>
      <c r="E1848" s="1" t="str">
        <f ca="1">IFERROR(__xludf.DUMMYFUNCTION("""COMPUTED_VALUE"""),"Mads C Kwon may kasabihan nga kng gusto mong yumaman pumasok k s politika andyan maraming pera maryosep kawawa mga botante nagddildil ng asin hay!")</f>
        <v>Mads C Kwon may kasabihan nga kng gusto mong yumaman pumasok k s politika andyan maraming pera maryosep kawawa mga botante nagddildil ng asin hay!</v>
      </c>
      <c r="F1848" s="1"/>
      <c r="G1848" s="1" t="str">
        <f ca="1">IFERROR(__xludf.DUMMYFUNCTION("""COMPUTED_VALUE"""),"3 mos")</f>
        <v>3 mos</v>
      </c>
      <c r="H1848" s="1" t="str">
        <f ca="1">IFERROR(__xludf.DUMMYFUNCTION("""COMPUTED_VALUE"""),"reply")</f>
        <v>reply</v>
      </c>
      <c r="I1848" s="2" t="str">
        <f ca="1">IFERROR(__xludf.DUMMYFUNCTION("""COMPUTED_VALUE"""),"https://www.facebook.com/rapplerdotcom/photos/a.317154781638645/5595162900504447/")</f>
        <v>https://www.facebook.com/rapplerdotcom/photos/a.317154781638645/5595162900504447/</v>
      </c>
      <c r="J1848" s="1" t="str">
        <f ca="1">IFERROR(__xludf.DUMMYFUNCTION("""COMPUTED_VALUE"""),"2022-07-04T15:45:33.649Z")</f>
        <v>2022-07-04T15:45:33.649Z</v>
      </c>
    </row>
    <row r="1849" spans="1:10" x14ac:dyDescent="0.2">
      <c r="A1849" s="2" t="str">
        <f ca="1">IFERROR(__xludf.DUMMYFUNCTION("""COMPUTED_VALUE"""),"https://www.facebook.com/maricel.delacruz.399")</f>
        <v>https://www.facebook.com/maricel.delacruz.399</v>
      </c>
      <c r="B1849" s="1" t="str">
        <f ca="1">IFERROR(__xludf.DUMMYFUNCTION("""COMPUTED_VALUE"""),"Mads C Kwon")</f>
        <v>Mads C Kwon</v>
      </c>
      <c r="C1849" s="1" t="str">
        <f ca="1">IFERROR(__xludf.DUMMYFUNCTION("""COMPUTED_VALUE"""),"Mads")</f>
        <v>Mads</v>
      </c>
      <c r="D1849" s="1" t="str">
        <f ca="1">IFERROR(__xludf.DUMMYFUNCTION("""COMPUTED_VALUE"""),"C Kwon")</f>
        <v>C Kwon</v>
      </c>
      <c r="E1849" s="1" t="str">
        <f ca="1">IFERROR(__xludf.DUMMYFUNCTION("""COMPUTED_VALUE"""),"Sally Beñasfre Rafales oo nga buti nalang mga kakampink  matino kung mag isip..")</f>
        <v>Sally Beñasfre Rafales oo nga buti nalang mga kakampink  matino kung mag isip..</v>
      </c>
      <c r="F1849" s="1"/>
      <c r="G1849" s="1" t="str">
        <f ca="1">IFERROR(__xludf.DUMMYFUNCTION("""COMPUTED_VALUE"""),"3 mos")</f>
        <v>3 mos</v>
      </c>
      <c r="H1849" s="1" t="str">
        <f ca="1">IFERROR(__xludf.DUMMYFUNCTION("""COMPUTED_VALUE"""),"reply")</f>
        <v>reply</v>
      </c>
      <c r="I1849" s="2" t="str">
        <f ca="1">IFERROR(__xludf.DUMMYFUNCTION("""COMPUTED_VALUE"""),"https://www.facebook.com/rapplerdotcom/photos/a.317154781638645/5595162900504447/")</f>
        <v>https://www.facebook.com/rapplerdotcom/photos/a.317154781638645/5595162900504447/</v>
      </c>
      <c r="J1849" s="1" t="str">
        <f ca="1">IFERROR(__xludf.DUMMYFUNCTION("""COMPUTED_VALUE"""),"2022-07-04T15:45:33.649Z")</f>
        <v>2022-07-04T15:45:33.649Z</v>
      </c>
    </row>
    <row r="1850" spans="1:10" x14ac:dyDescent="0.2">
      <c r="A1850" s="2" t="str">
        <f ca="1">IFERROR(__xludf.DUMMYFUNCTION("""COMPUTED_VALUE"""),"https://www.facebook.com/wystanc")</f>
        <v>https://www.facebook.com/wystanc</v>
      </c>
      <c r="B1850" s="1" t="str">
        <f ca="1">IFERROR(__xludf.DUMMYFUNCTION("""COMPUTED_VALUE"""),"Wys Tan")</f>
        <v>Wys Tan</v>
      </c>
      <c r="C1850" s="1" t="str">
        <f ca="1">IFERROR(__xludf.DUMMYFUNCTION("""COMPUTED_VALUE"""),"Wys")</f>
        <v>Wys</v>
      </c>
      <c r="D1850" s="1" t="str">
        <f ca="1">IFERROR(__xludf.DUMMYFUNCTION("""COMPUTED_VALUE"""),"Tan")</f>
        <v>Tan</v>
      </c>
      <c r="E1850" s="1" t="str">
        <f ca="1">IFERROR(__xludf.DUMMYFUNCTION("""COMPUTED_VALUE"""),"Sila yung walang business pero ang daming pera dahil lahat sila nka pwesto sa gobyerno. Ginawang gatasan ang posisyon.")</f>
        <v>Sila yung walang business pero ang daming pera dahil lahat sila nka pwesto sa gobyerno. Ginawang gatasan ang posisyon.</v>
      </c>
      <c r="F1850" s="1">
        <f ca="1">IFERROR(__xludf.DUMMYFUNCTION("""COMPUTED_VALUE"""),11)</f>
        <v>11</v>
      </c>
      <c r="G1850" s="1" t="str">
        <f ca="1">IFERROR(__xludf.DUMMYFUNCTION("""COMPUTED_VALUE"""),"3 mos")</f>
        <v>3 mos</v>
      </c>
      <c r="H1850" s="1" t="str">
        <f ca="1">IFERROR(__xludf.DUMMYFUNCTION("""COMPUTED_VALUE"""),"comment")</f>
        <v>comment</v>
      </c>
      <c r="I1850" s="2" t="str">
        <f ca="1">IFERROR(__xludf.DUMMYFUNCTION("""COMPUTED_VALUE"""),"https://www.facebook.com/rapplerdotcom/photos/a.317154781638645/5595162900504447/")</f>
        <v>https://www.facebook.com/rapplerdotcom/photos/a.317154781638645/5595162900504447/</v>
      </c>
      <c r="J1850" s="1" t="str">
        <f ca="1">IFERROR(__xludf.DUMMYFUNCTION("""COMPUTED_VALUE"""),"2022-07-04T15:45:33.649Z")</f>
        <v>2022-07-04T15:45:33.649Z</v>
      </c>
    </row>
    <row r="1851" spans="1:10" x14ac:dyDescent="0.2">
      <c r="A1851" s="2" t="str">
        <f ca="1">IFERROR(__xludf.DUMMYFUNCTION("""COMPUTED_VALUE"""),"https://www.facebook.com/pepe.jacinto")</f>
        <v>https://www.facebook.com/pepe.jacinto</v>
      </c>
      <c r="B1851" s="1" t="str">
        <f ca="1">IFERROR(__xludf.DUMMYFUNCTION("""COMPUTED_VALUE"""),"Eufemio Jacinto")</f>
        <v>Eufemio Jacinto</v>
      </c>
      <c r="C1851" s="1" t="str">
        <f ca="1">IFERROR(__xludf.DUMMYFUNCTION("""COMPUTED_VALUE"""),"Eufemio")</f>
        <v>Eufemio</v>
      </c>
      <c r="D1851" s="1" t="str">
        <f ca="1">IFERROR(__xludf.DUMMYFUNCTION("""COMPUTED_VALUE"""),"Jacinto")</f>
        <v>Jacinto</v>
      </c>
      <c r="E1851" s="1" t="str">
        <f ca="1">IFERROR(__xludf.DUMMYFUNCTION("""COMPUTED_VALUE"""),"end political dynasty")</f>
        <v>end political dynasty</v>
      </c>
      <c r="F1851" s="1">
        <f ca="1">IFERROR(__xludf.DUMMYFUNCTION("""COMPUTED_VALUE"""),21)</f>
        <v>21</v>
      </c>
      <c r="G1851" s="1" t="str">
        <f ca="1">IFERROR(__xludf.DUMMYFUNCTION("""COMPUTED_VALUE"""),"3 mos")</f>
        <v>3 mos</v>
      </c>
      <c r="H1851" s="1" t="str">
        <f ca="1">IFERROR(__xludf.DUMMYFUNCTION("""COMPUTED_VALUE"""),"comment")</f>
        <v>comment</v>
      </c>
      <c r="I1851" s="2" t="str">
        <f ca="1">IFERROR(__xludf.DUMMYFUNCTION("""COMPUTED_VALUE"""),"https://www.facebook.com/rapplerdotcom/photos/a.317154781638645/5595162900504447/")</f>
        <v>https://www.facebook.com/rapplerdotcom/photos/a.317154781638645/5595162900504447/</v>
      </c>
      <c r="J1851" s="1" t="str">
        <f ca="1">IFERROR(__xludf.DUMMYFUNCTION("""COMPUTED_VALUE"""),"2022-07-04T15:45:33.649Z")</f>
        <v>2022-07-04T15:45:33.649Z</v>
      </c>
    </row>
    <row r="1852" spans="1:10" x14ac:dyDescent="0.2">
      <c r="A1852" s="2" t="str">
        <f ca="1">IFERROR(__xludf.DUMMYFUNCTION("""COMPUTED_VALUE"""),"https://www.facebook.com/jimmy.ballesteros")</f>
        <v>https://www.facebook.com/jimmy.ballesteros</v>
      </c>
      <c r="B1852" s="1" t="str">
        <f ca="1">IFERROR(__xludf.DUMMYFUNCTION("""COMPUTED_VALUE"""),"Jim Bal")</f>
        <v>Jim Bal</v>
      </c>
      <c r="C1852" s="1" t="str">
        <f ca="1">IFERROR(__xludf.DUMMYFUNCTION("""COMPUTED_VALUE"""),"Jim")</f>
        <v>Jim</v>
      </c>
      <c r="D1852" s="1" t="str">
        <f ca="1">IFERROR(__xludf.DUMMYFUNCTION("""COMPUTED_VALUE"""),"Bal")</f>
        <v>Bal</v>
      </c>
      <c r="E1852" s="1" t="str">
        <f ca="1">IFERROR(__xludf.DUMMYFUNCTION("""COMPUTED_VALUE"""),"Jacinto Pepe we should end this in May 9 .. and make a law never again to Dynasty . ❌ NEVER AGAIN TO DYNASTY ❌")</f>
        <v>Jacinto Pepe we should end this in May 9 .. and make a law never again to Dynasty . ❌ NEVER AGAIN TO DYNASTY ❌</v>
      </c>
      <c r="F1852" s="1"/>
      <c r="G1852" s="1" t="str">
        <f ca="1">IFERROR(__xludf.DUMMYFUNCTION("""COMPUTED_VALUE"""),"3 mos")</f>
        <v>3 mos</v>
      </c>
      <c r="H1852" s="1" t="str">
        <f ca="1">IFERROR(__xludf.DUMMYFUNCTION("""COMPUTED_VALUE"""),"reply")</f>
        <v>reply</v>
      </c>
      <c r="I1852" s="2" t="str">
        <f ca="1">IFERROR(__xludf.DUMMYFUNCTION("""COMPUTED_VALUE"""),"https://www.facebook.com/rapplerdotcom/photos/a.317154781638645/5595162900504447/")</f>
        <v>https://www.facebook.com/rapplerdotcom/photos/a.317154781638645/5595162900504447/</v>
      </c>
      <c r="J1852" s="1" t="str">
        <f ca="1">IFERROR(__xludf.DUMMYFUNCTION("""COMPUTED_VALUE"""),"2022-07-04T15:45:33.649Z")</f>
        <v>2022-07-04T15:45:33.649Z</v>
      </c>
    </row>
    <row r="1853" spans="1:10" x14ac:dyDescent="0.2">
      <c r="A1853" s="2" t="str">
        <f ca="1">IFERROR(__xludf.DUMMYFUNCTION("""COMPUTED_VALUE"""),"https://www.facebook.com/profile.php?id=100070542605397")</f>
        <v>https://www.facebook.com/profile.php?id=100070542605397</v>
      </c>
      <c r="B1853" s="1" t="str">
        <f ca="1">IFERROR(__xludf.DUMMYFUNCTION("""COMPUTED_VALUE"""),"Jimmy Andaya")</f>
        <v>Jimmy Andaya</v>
      </c>
      <c r="C1853" s="1" t="str">
        <f ca="1">IFERROR(__xludf.DUMMYFUNCTION("""COMPUTED_VALUE"""),"Jimmy")</f>
        <v>Jimmy</v>
      </c>
      <c r="D1853" s="1" t="str">
        <f ca="1">IFERROR(__xludf.DUMMYFUNCTION("""COMPUTED_VALUE"""),"Andaya")</f>
        <v>Andaya</v>
      </c>
      <c r="E1853" s="1" t="str">
        <f ca="1">IFERROR(__xludf.DUMMYFUNCTION("""COMPUTED_VALUE"""),"Ginawa nyo ng hanapbuhay ang pagiging pulutiko mga gahaman.")</f>
        <v>Ginawa nyo ng hanapbuhay ang pagiging pulutiko mga gahaman.</v>
      </c>
      <c r="F1853" s="1">
        <f ca="1">IFERROR(__xludf.DUMMYFUNCTION("""COMPUTED_VALUE"""),2)</f>
        <v>2</v>
      </c>
      <c r="G1853" s="1" t="str">
        <f ca="1">IFERROR(__xludf.DUMMYFUNCTION("""COMPUTED_VALUE"""),"3 mos")</f>
        <v>3 mos</v>
      </c>
      <c r="H1853" s="1" t="str">
        <f ca="1">IFERROR(__xludf.DUMMYFUNCTION("""COMPUTED_VALUE"""),"comment")</f>
        <v>comment</v>
      </c>
      <c r="I1853" s="2" t="str">
        <f ca="1">IFERROR(__xludf.DUMMYFUNCTION("""COMPUTED_VALUE"""),"https://www.facebook.com/rapplerdotcom/photos/a.317154781638645/5595162900504447/")</f>
        <v>https://www.facebook.com/rapplerdotcom/photos/a.317154781638645/5595162900504447/</v>
      </c>
      <c r="J1853" s="1" t="str">
        <f ca="1">IFERROR(__xludf.DUMMYFUNCTION("""COMPUTED_VALUE"""),"2022-07-04T15:45:33.649Z")</f>
        <v>2022-07-04T15:45:33.649Z</v>
      </c>
    </row>
    <row r="1854" spans="1:10" x14ac:dyDescent="0.2">
      <c r="A1854" s="2" t="str">
        <f ca="1">IFERROR(__xludf.DUMMYFUNCTION("""COMPUTED_VALUE"""),"https://www.facebook.com/smileydokie")</f>
        <v>https://www.facebook.com/smileydokie</v>
      </c>
      <c r="B1854" s="1" t="str">
        <f ca="1">IFERROR(__xludf.DUMMYFUNCTION("""COMPUTED_VALUE"""),"Cyrile Eleda Ddm")</f>
        <v>Cyrile Eleda Ddm</v>
      </c>
      <c r="C1854" s="1" t="str">
        <f ca="1">IFERROR(__xludf.DUMMYFUNCTION("""COMPUTED_VALUE"""),"Cyrile")</f>
        <v>Cyrile</v>
      </c>
      <c r="D1854" s="1" t="str">
        <f ca="1">IFERROR(__xludf.DUMMYFUNCTION("""COMPUTED_VALUE"""),"Eleda Ddm")</f>
        <v>Eleda Ddm</v>
      </c>
      <c r="E1854" s="1" t="str">
        <f ca="1">IFERROR(__xludf.DUMMYFUNCTION("""COMPUTED_VALUE"""),"Political dynasty 🤔🙄,, sana matuto n ang taong bayan piliin natin yung alam natin na may nagagawa para s mga pangangailangan ng mamayan hindi yung dahil sikat lang ,, minsan n nating naranasan ang kanilang panunungkulan ,,ang taong may nabago s pamumuha"&amp;"y natin??? Ngayon gusto nyo na nmn na sial ang iupo ,, bakit d natin subukan ang bago mas bata at may naipakita ng nagawa s maynila ,, God First ,☝️,Isko Willie ,para s tuloy tuloy na pagbabagong naumpisahan ni tatay digong")</f>
        <v>Political dynasty 🤔🙄,, sana matuto n ang taong bayan piliin natin yung alam natin na may nagagawa para s mga pangangailangan ng mamayan hindi yung dahil sikat lang ,, minsan n nating naranasan ang kanilang panunungkulan ,,ang taong may nabago s pamumuhay natin??? Ngayon gusto nyo na nmn na sial ang iupo ,, bakit d natin subukan ang bago mas bata at may naipakita ng nagawa s maynila ,, God First ,☝️,Isko Willie ,para s tuloy tuloy na pagbabagong naumpisahan ni tatay digong</v>
      </c>
      <c r="F1854" s="1">
        <f ca="1">IFERROR(__xludf.DUMMYFUNCTION("""COMPUTED_VALUE"""),5)</f>
        <v>5</v>
      </c>
      <c r="G1854" s="1" t="str">
        <f ca="1">IFERROR(__xludf.DUMMYFUNCTION("""COMPUTED_VALUE"""),"3 mos")</f>
        <v>3 mos</v>
      </c>
      <c r="H1854" s="1" t="str">
        <f ca="1">IFERROR(__xludf.DUMMYFUNCTION("""COMPUTED_VALUE"""),"comment")</f>
        <v>comment</v>
      </c>
      <c r="I1854" s="2" t="str">
        <f ca="1">IFERROR(__xludf.DUMMYFUNCTION("""COMPUTED_VALUE"""),"https://www.facebook.com/rapplerdotcom/photos/a.317154781638645/5595162900504447/")</f>
        <v>https://www.facebook.com/rapplerdotcom/photos/a.317154781638645/5595162900504447/</v>
      </c>
      <c r="J1854" s="1" t="str">
        <f ca="1">IFERROR(__xludf.DUMMYFUNCTION("""COMPUTED_VALUE"""),"2022-07-04T15:45:33.649Z")</f>
        <v>2022-07-04T15:45:33.649Z</v>
      </c>
    </row>
    <row r="1855" spans="1:10" x14ac:dyDescent="0.2">
      <c r="A1855" s="2" t="str">
        <f ca="1">IFERROR(__xludf.DUMMYFUNCTION("""COMPUTED_VALUE"""),"https://www.facebook.com/profile.php?id=100008376073692")</f>
        <v>https://www.facebook.com/profile.php?id=100008376073692</v>
      </c>
      <c r="B1855" s="1" t="str">
        <f ca="1">IFERROR(__xludf.DUMMYFUNCTION("""COMPUTED_VALUE"""),"Linlin Avila Calapano")</f>
        <v>Linlin Avila Calapano</v>
      </c>
      <c r="C1855" s="1" t="str">
        <f ca="1">IFERROR(__xludf.DUMMYFUNCTION("""COMPUTED_VALUE"""),"Linlin")</f>
        <v>Linlin</v>
      </c>
      <c r="D1855" s="1" t="str">
        <f ca="1">IFERROR(__xludf.DUMMYFUNCTION("""COMPUTED_VALUE"""),"Avila Calapano")</f>
        <v>Avila Calapano</v>
      </c>
      <c r="E1855" s="1" t="str">
        <f ca="1">IFERROR(__xludf.DUMMYFUNCTION("""COMPUTED_VALUE"""),"ganyan naman ang politika sa pinas dynasty style tatay pasa sa nanay pasa sa anak, apo up to the next generation..")</f>
        <v>ganyan naman ang politika sa pinas dynasty style tatay pasa sa nanay pasa sa anak, apo up to the next generation..</v>
      </c>
      <c r="F1855" s="1"/>
      <c r="G1855" s="1" t="str">
        <f ca="1">IFERROR(__xludf.DUMMYFUNCTION("""COMPUTED_VALUE"""),"3 mos")</f>
        <v>3 mos</v>
      </c>
      <c r="H1855" s="1" t="str">
        <f ca="1">IFERROR(__xludf.DUMMYFUNCTION("""COMPUTED_VALUE"""),"comment")</f>
        <v>comment</v>
      </c>
      <c r="I1855" s="2" t="str">
        <f ca="1">IFERROR(__xludf.DUMMYFUNCTION("""COMPUTED_VALUE"""),"https://www.facebook.com/rapplerdotcom/photos/a.317154781638645/5595162900504447/")</f>
        <v>https://www.facebook.com/rapplerdotcom/photos/a.317154781638645/5595162900504447/</v>
      </c>
      <c r="J1855" s="1" t="str">
        <f ca="1">IFERROR(__xludf.DUMMYFUNCTION("""COMPUTED_VALUE"""),"2022-07-04T15:45:33.649Z")</f>
        <v>2022-07-04T15:45:33.649Z</v>
      </c>
    </row>
    <row r="1856" spans="1:10" x14ac:dyDescent="0.2">
      <c r="A1856" s="2" t="str">
        <f ca="1">IFERROR(__xludf.DUMMYFUNCTION("""COMPUTED_VALUE"""),"https://www.facebook.com/jimmy.ballesteros")</f>
        <v>https://www.facebook.com/jimmy.ballesteros</v>
      </c>
      <c r="B1856" s="1" t="str">
        <f ca="1">IFERROR(__xludf.DUMMYFUNCTION("""COMPUTED_VALUE"""),"Jim Bal")</f>
        <v>Jim Bal</v>
      </c>
      <c r="C1856" s="1" t="str">
        <f ca="1">IFERROR(__xludf.DUMMYFUNCTION("""COMPUTED_VALUE"""),"Jim")</f>
        <v>Jim</v>
      </c>
      <c r="D1856" s="1" t="str">
        <f ca="1">IFERROR(__xludf.DUMMYFUNCTION("""COMPUTED_VALUE"""),"Bal")</f>
        <v>Bal</v>
      </c>
      <c r="E1856" s="1" t="str">
        <f ca="1">IFERROR(__xludf.DUMMYFUNCTION("""COMPUTED_VALUE"""),"Jim Bal")</f>
        <v>Jim Bal</v>
      </c>
      <c r="F1856" s="1">
        <f ca="1">IFERROR(__xludf.DUMMYFUNCTION("""COMPUTED_VALUE"""),6)</f>
        <v>6</v>
      </c>
      <c r="G1856" s="1" t="str">
        <f ca="1">IFERROR(__xludf.DUMMYFUNCTION("""COMPUTED_VALUE"""),"3 mos")</f>
        <v>3 mos</v>
      </c>
      <c r="H1856" s="1" t="str">
        <f ca="1">IFERROR(__xludf.DUMMYFUNCTION("""COMPUTED_VALUE"""),"comment")</f>
        <v>comment</v>
      </c>
      <c r="I1856" s="2" t="str">
        <f ca="1">IFERROR(__xludf.DUMMYFUNCTION("""COMPUTED_VALUE"""),"https://www.facebook.com/rapplerdotcom/photos/a.317154781638645/5595162900504447/")</f>
        <v>https://www.facebook.com/rapplerdotcom/photos/a.317154781638645/5595162900504447/</v>
      </c>
      <c r="J1856" s="1" t="str">
        <f ca="1">IFERROR(__xludf.DUMMYFUNCTION("""COMPUTED_VALUE"""),"2022-07-04T15:45:33.650Z")</f>
        <v>2022-07-04T15:45:33.650Z</v>
      </c>
    </row>
    <row r="1857" spans="1:10" x14ac:dyDescent="0.2">
      <c r="A1857" s="2" t="str">
        <f ca="1">IFERROR(__xludf.DUMMYFUNCTION("""COMPUTED_VALUE"""),"https://www.facebook.com/rey.sumam")</f>
        <v>https://www.facebook.com/rey.sumam</v>
      </c>
      <c r="B1857" s="1" t="str">
        <f ca="1">IFERROR(__xludf.DUMMYFUNCTION("""COMPUTED_VALUE"""),"Rey Sumam")</f>
        <v>Rey Sumam</v>
      </c>
      <c r="C1857" s="1" t="str">
        <f ca="1">IFERROR(__xludf.DUMMYFUNCTION("""COMPUTED_VALUE"""),"Rey")</f>
        <v>Rey</v>
      </c>
      <c r="D1857" s="1" t="str">
        <f ca="1">IFERROR(__xludf.DUMMYFUNCTION("""COMPUTED_VALUE"""),"Sumam")</f>
        <v>Sumam</v>
      </c>
      <c r="E1857" s="1" t="str">
        <f ca="1">IFERROR(__xludf.DUMMYFUNCTION("""COMPUTED_VALUE"""),"Unti-unti na nagigising mga taga Ilocos! That's good.")</f>
        <v>Unti-unti na nagigising mga taga Ilocos! That's good.</v>
      </c>
      <c r="F1857" s="1">
        <f ca="1">IFERROR(__xludf.DUMMYFUNCTION("""COMPUTED_VALUE"""),14)</f>
        <v>14</v>
      </c>
      <c r="G1857" s="1" t="str">
        <f ca="1">IFERROR(__xludf.DUMMYFUNCTION("""COMPUTED_VALUE"""),"3 mos")</f>
        <v>3 mos</v>
      </c>
      <c r="H1857" s="1" t="str">
        <f ca="1">IFERROR(__xludf.DUMMYFUNCTION("""COMPUTED_VALUE"""),"comment")</f>
        <v>comment</v>
      </c>
      <c r="I1857" s="2" t="str">
        <f ca="1">IFERROR(__xludf.DUMMYFUNCTION("""COMPUTED_VALUE"""),"https://www.facebook.com/rapplerdotcom/photos/a.317154781638645/5595162900504447/")</f>
        <v>https://www.facebook.com/rapplerdotcom/photos/a.317154781638645/5595162900504447/</v>
      </c>
      <c r="J1857" s="1" t="str">
        <f ca="1">IFERROR(__xludf.DUMMYFUNCTION("""COMPUTED_VALUE"""),"2022-07-04T15:45:33.650Z")</f>
        <v>2022-07-04T15:45:33.650Z</v>
      </c>
    </row>
    <row r="1858" spans="1:10" x14ac:dyDescent="0.2">
      <c r="A1858" s="2" t="str">
        <f ca="1">IFERROR(__xludf.DUMMYFUNCTION("""COMPUTED_VALUE"""),"https://www.facebook.com/profile.php?id=100079524022087")</f>
        <v>https://www.facebook.com/profile.php?id=100079524022087</v>
      </c>
      <c r="B1858" s="1" t="str">
        <f ca="1">IFERROR(__xludf.DUMMYFUNCTION("""COMPUTED_VALUE"""),"Sunshine Noypi")</f>
        <v>Sunshine Noypi</v>
      </c>
      <c r="C1858" s="1" t="str">
        <f ca="1">IFERROR(__xludf.DUMMYFUNCTION("""COMPUTED_VALUE"""),"Sunshine")</f>
        <v>Sunshine</v>
      </c>
      <c r="D1858" s="1" t="str">
        <f ca="1">IFERROR(__xludf.DUMMYFUNCTION("""COMPUTED_VALUE"""),"Noypi")</f>
        <v>Noypi</v>
      </c>
      <c r="E1858" s="1" t="str">
        <f ca="1">IFERROR(__xludf.DUMMYFUNCTION("""COMPUTED_VALUE"""),"Wala Ng check and balance pag mag kakamag anak Ang naka upo")</f>
        <v>Wala Ng check and balance pag mag kakamag anak Ang naka upo</v>
      </c>
      <c r="F1858" s="1">
        <f ca="1">IFERROR(__xludf.DUMMYFUNCTION("""COMPUTED_VALUE"""),9)</f>
        <v>9</v>
      </c>
      <c r="G1858" s="1" t="str">
        <f ca="1">IFERROR(__xludf.DUMMYFUNCTION("""COMPUTED_VALUE"""),"3 mos")</f>
        <v>3 mos</v>
      </c>
      <c r="H1858" s="1" t="str">
        <f ca="1">IFERROR(__xludf.DUMMYFUNCTION("""COMPUTED_VALUE"""),"comment")</f>
        <v>comment</v>
      </c>
      <c r="I1858" s="2" t="str">
        <f ca="1">IFERROR(__xludf.DUMMYFUNCTION("""COMPUTED_VALUE"""),"https://www.facebook.com/rapplerdotcom/photos/a.317154781638645/5595162900504447/")</f>
        <v>https://www.facebook.com/rapplerdotcom/photos/a.317154781638645/5595162900504447/</v>
      </c>
      <c r="J1858" s="1" t="str">
        <f ca="1">IFERROR(__xludf.DUMMYFUNCTION("""COMPUTED_VALUE"""),"2022-07-04T15:45:33.650Z")</f>
        <v>2022-07-04T15:45:33.650Z</v>
      </c>
    </row>
    <row r="1859" spans="1:10" x14ac:dyDescent="0.2">
      <c r="A1859" s="2" t="str">
        <f ca="1">IFERROR(__xludf.DUMMYFUNCTION("""COMPUTED_VALUE"""),"https://www.facebook.com/johndel.abella.7")</f>
        <v>https://www.facebook.com/johndel.abella.7</v>
      </c>
      <c r="B1859" s="1" t="str">
        <f ca="1">IFERROR(__xludf.DUMMYFUNCTION("""COMPUTED_VALUE"""),"Johndel")</f>
        <v>Johndel</v>
      </c>
      <c r="C1859" s="1" t="str">
        <f ca="1">IFERROR(__xludf.DUMMYFUNCTION("""COMPUTED_VALUE"""),"Johndel")</f>
        <v>Johndel</v>
      </c>
      <c r="D1859" s="1"/>
      <c r="E1859" s="1" t="str">
        <f ca="1">IFERROR(__xludf.DUMMYFUNCTION("""COMPUTED_VALUE"""),"Mga kakampinks ganito kayo 🤏🧠")</f>
        <v>Mga kakampinks ganito kayo 🤏🧠</v>
      </c>
      <c r="F1859" s="1">
        <f ca="1">IFERROR(__xludf.DUMMYFUNCTION("""COMPUTED_VALUE"""),3)</f>
        <v>3</v>
      </c>
      <c r="G1859" s="1" t="str">
        <f ca="1">IFERROR(__xludf.DUMMYFUNCTION("""COMPUTED_VALUE"""),"3 mos")</f>
        <v>3 mos</v>
      </c>
      <c r="H1859" s="1" t="str">
        <f ca="1">IFERROR(__xludf.DUMMYFUNCTION("""COMPUTED_VALUE"""),"comment")</f>
        <v>comment</v>
      </c>
      <c r="I1859" s="2" t="str">
        <f ca="1">IFERROR(__xludf.DUMMYFUNCTION("""COMPUTED_VALUE"""),"https://www.facebook.com/rapplerdotcom/photos/a.317154781638645/5595162900504447/")</f>
        <v>https://www.facebook.com/rapplerdotcom/photos/a.317154781638645/5595162900504447/</v>
      </c>
      <c r="J1859" s="1" t="str">
        <f ca="1">IFERROR(__xludf.DUMMYFUNCTION("""COMPUTED_VALUE"""),"2022-07-04T15:45:33.650Z")</f>
        <v>2022-07-04T15:45:33.650Z</v>
      </c>
    </row>
    <row r="1860" spans="1:10" x14ac:dyDescent="0.2">
      <c r="A1860" s="2" t="str">
        <f ca="1">IFERROR(__xludf.DUMMYFUNCTION("""COMPUTED_VALUE"""),"https://www.facebook.com/hansel.brown.100")</f>
        <v>https://www.facebook.com/hansel.brown.100</v>
      </c>
      <c r="B1860" s="1" t="str">
        <f ca="1">IFERROR(__xludf.DUMMYFUNCTION("""COMPUTED_VALUE"""),"Hansel Brown")</f>
        <v>Hansel Brown</v>
      </c>
      <c r="C1860" s="1" t="str">
        <f ca="1">IFERROR(__xludf.DUMMYFUNCTION("""COMPUTED_VALUE"""),"Hansel")</f>
        <v>Hansel</v>
      </c>
      <c r="D1860" s="1" t="str">
        <f ca="1">IFERROR(__xludf.DUMMYFUNCTION("""COMPUTED_VALUE"""),"Brown")</f>
        <v>Brown</v>
      </c>
      <c r="E1860" s="1" t="str">
        <f ca="1">IFERROR(__xludf.DUMMYFUNCTION("""COMPUTED_VALUE"""),"Negosyo kasi nila yan,dyan sila yumaman...😅😅😅")</f>
        <v>Negosyo kasi nila yan,dyan sila yumaman...😅😅😅</v>
      </c>
      <c r="F1860" s="1"/>
      <c r="G1860" s="1" t="str">
        <f ca="1">IFERROR(__xludf.DUMMYFUNCTION("""COMPUTED_VALUE"""),"3 mos")</f>
        <v>3 mos</v>
      </c>
      <c r="H1860" s="1" t="str">
        <f ca="1">IFERROR(__xludf.DUMMYFUNCTION("""COMPUTED_VALUE"""),"comment")</f>
        <v>comment</v>
      </c>
      <c r="I1860" s="2" t="str">
        <f ca="1">IFERROR(__xludf.DUMMYFUNCTION("""COMPUTED_VALUE"""),"https://www.facebook.com/rapplerdotcom/photos/a.317154781638645/5595162900504447/")</f>
        <v>https://www.facebook.com/rapplerdotcom/photos/a.317154781638645/5595162900504447/</v>
      </c>
      <c r="J1860" s="1" t="str">
        <f ca="1">IFERROR(__xludf.DUMMYFUNCTION("""COMPUTED_VALUE"""),"2022-07-04T15:45:33.650Z")</f>
        <v>2022-07-04T15:45:33.650Z</v>
      </c>
    </row>
    <row r="1861" spans="1:10" x14ac:dyDescent="0.2">
      <c r="A1861" s="2" t="str">
        <f ca="1">IFERROR(__xludf.DUMMYFUNCTION("""COMPUTED_VALUE"""),"https://www.facebook.com/ameliaarana12345")</f>
        <v>https://www.facebook.com/ameliaarana12345</v>
      </c>
      <c r="B1861" s="1" t="str">
        <f ca="1">IFERROR(__xludf.DUMMYFUNCTION("""COMPUTED_VALUE"""),"Ame Arana")</f>
        <v>Ame Arana</v>
      </c>
      <c r="C1861" s="1" t="str">
        <f ca="1">IFERROR(__xludf.DUMMYFUNCTION("""COMPUTED_VALUE"""),"Ame")</f>
        <v>Ame</v>
      </c>
      <c r="D1861" s="1" t="str">
        <f ca="1">IFERROR(__xludf.DUMMYFUNCTION("""COMPUTED_VALUE"""),"Arana")</f>
        <v>Arana</v>
      </c>
      <c r="E1861" s="1" t="str">
        <f ca="1">IFERROR(__xludf.DUMMYFUNCTION("""COMPUTED_VALUE"""),"pagkakaisa ALAMANO")</f>
        <v>pagkakaisa ALAMANO</v>
      </c>
      <c r="F1861" s="1">
        <f ca="1">IFERROR(__xludf.DUMMYFUNCTION("""COMPUTED_VALUE"""),1)</f>
        <v>1</v>
      </c>
      <c r="G1861" s="1" t="str">
        <f ca="1">IFERROR(__xludf.DUMMYFUNCTION("""COMPUTED_VALUE"""),"3 mos")</f>
        <v>3 mos</v>
      </c>
      <c r="H1861" s="1" t="str">
        <f ca="1">IFERROR(__xludf.DUMMYFUNCTION("""COMPUTED_VALUE"""),"comment")</f>
        <v>comment</v>
      </c>
      <c r="I1861" s="2" t="str">
        <f ca="1">IFERROR(__xludf.DUMMYFUNCTION("""COMPUTED_VALUE"""),"https://www.facebook.com/rapplerdotcom/photos/a.317154781638645/5595162900504447/")</f>
        <v>https://www.facebook.com/rapplerdotcom/photos/a.317154781638645/5595162900504447/</v>
      </c>
      <c r="J1861" s="1" t="str">
        <f ca="1">IFERROR(__xludf.DUMMYFUNCTION("""COMPUTED_VALUE"""),"2022-07-04T15:45:33.650Z")</f>
        <v>2022-07-04T15:45:33.650Z</v>
      </c>
    </row>
    <row r="1862" spans="1:10" x14ac:dyDescent="0.2">
      <c r="A1862" s="2" t="str">
        <f ca="1">IFERROR(__xludf.DUMMYFUNCTION("""COMPUTED_VALUE"""),"https://www.facebook.com/profile.php?id=100007713915539")</f>
        <v>https://www.facebook.com/profile.php?id=100007713915539</v>
      </c>
      <c r="B1862" s="1" t="str">
        <f ca="1">IFERROR(__xludf.DUMMYFUNCTION("""COMPUTED_VALUE"""),"Rabago Luna Ephraim")</f>
        <v>Rabago Luna Ephraim</v>
      </c>
      <c r="C1862" s="1" t="str">
        <f ca="1">IFERROR(__xludf.DUMMYFUNCTION("""COMPUTED_VALUE"""),"Rabago")</f>
        <v>Rabago</v>
      </c>
      <c r="D1862" s="1" t="str">
        <f ca="1">IFERROR(__xludf.DUMMYFUNCTION("""COMPUTED_VALUE"""),"Luna Ephraim")</f>
        <v>Luna Ephraim</v>
      </c>
      <c r="E1862" s="1" t="str">
        <f ca="1">IFERROR(__xludf.DUMMYFUNCTION("""COMPUTED_VALUE"""),"Talo yan")</f>
        <v>Talo yan</v>
      </c>
      <c r="F1862" s="1">
        <f ca="1">IFERROR(__xludf.DUMMYFUNCTION("""COMPUTED_VALUE"""),2)</f>
        <v>2</v>
      </c>
      <c r="G1862" s="1" t="str">
        <f ca="1">IFERROR(__xludf.DUMMYFUNCTION("""COMPUTED_VALUE"""),"3 mos")</f>
        <v>3 mos</v>
      </c>
      <c r="H1862" s="1" t="str">
        <f ca="1">IFERROR(__xludf.DUMMYFUNCTION("""COMPUTED_VALUE"""),"comment")</f>
        <v>comment</v>
      </c>
      <c r="I1862" s="2" t="str">
        <f ca="1">IFERROR(__xludf.DUMMYFUNCTION("""COMPUTED_VALUE"""),"https://www.facebook.com/rapplerdotcom/photos/a.317154781638645/5595162900504447/")</f>
        <v>https://www.facebook.com/rapplerdotcom/photos/a.317154781638645/5595162900504447/</v>
      </c>
      <c r="J1862" s="1" t="str">
        <f ca="1">IFERROR(__xludf.DUMMYFUNCTION("""COMPUTED_VALUE"""),"2022-07-04T15:45:33.650Z")</f>
        <v>2022-07-04T15:45:33.650Z</v>
      </c>
    </row>
    <row r="1863" spans="1:10" x14ac:dyDescent="0.2">
      <c r="A1863" s="2" t="str">
        <f ca="1">IFERROR(__xludf.DUMMYFUNCTION("""COMPUTED_VALUE"""),"https://www.facebook.com/profile.php?id=100040658171991")</f>
        <v>https://www.facebook.com/profile.php?id=100040658171991</v>
      </c>
      <c r="B1863" s="1" t="str">
        <f ca="1">IFERROR(__xludf.DUMMYFUNCTION("""COMPUTED_VALUE"""),"Ben Jammin")</f>
        <v>Ben Jammin</v>
      </c>
      <c r="C1863" s="1" t="str">
        <f ca="1">IFERROR(__xludf.DUMMYFUNCTION("""COMPUTED_VALUE"""),"Ben")</f>
        <v>Ben</v>
      </c>
      <c r="D1863" s="1" t="str">
        <f ca="1">IFERROR(__xludf.DUMMYFUNCTION("""COMPUTED_VALUE"""),"Jammin")</f>
        <v>Jammin</v>
      </c>
      <c r="E1863" s="1" t="str">
        <f ca="1">IFERROR(__xludf.DUMMYFUNCTION("""COMPUTED_VALUE"""),"Ben Jammin")</f>
        <v>Ben Jammin</v>
      </c>
      <c r="F1863" s="1">
        <f ca="1">IFERROR(__xludf.DUMMYFUNCTION("""COMPUTED_VALUE"""),8)</f>
        <v>8</v>
      </c>
      <c r="G1863" s="1" t="str">
        <f ca="1">IFERROR(__xludf.DUMMYFUNCTION("""COMPUTED_VALUE"""),"3 mos")</f>
        <v>3 mos</v>
      </c>
      <c r="H1863" s="1" t="str">
        <f ca="1">IFERROR(__xludf.DUMMYFUNCTION("""COMPUTED_VALUE"""),"comment")</f>
        <v>comment</v>
      </c>
      <c r="I1863" s="2" t="str">
        <f ca="1">IFERROR(__xludf.DUMMYFUNCTION("""COMPUTED_VALUE"""),"https://www.facebook.com/rapplerdotcom/photos/a.317154781638645/5595162900504447/")</f>
        <v>https://www.facebook.com/rapplerdotcom/photos/a.317154781638645/5595162900504447/</v>
      </c>
      <c r="J1863" s="1" t="str">
        <f ca="1">IFERROR(__xludf.DUMMYFUNCTION("""COMPUTED_VALUE"""),"2022-07-04T15:45:33.650Z")</f>
        <v>2022-07-04T15:45:33.650Z</v>
      </c>
    </row>
    <row r="1864" spans="1:10" x14ac:dyDescent="0.2">
      <c r="A1864" s="2" t="str">
        <f ca="1">IFERROR(__xludf.DUMMYFUNCTION("""COMPUTED_VALUE"""),"https://www.facebook.com/butz.arribe")</f>
        <v>https://www.facebook.com/butz.arribe</v>
      </c>
      <c r="B1864" s="1" t="str">
        <f ca="1">IFERROR(__xludf.DUMMYFUNCTION("""COMPUTED_VALUE"""),"Butz Arribe")</f>
        <v>Butz Arribe</v>
      </c>
      <c r="C1864" s="1" t="str">
        <f ca="1">IFERROR(__xludf.DUMMYFUNCTION("""COMPUTED_VALUE"""),"Butz")</f>
        <v>Butz</v>
      </c>
      <c r="D1864" s="1" t="str">
        <f ca="1">IFERROR(__xludf.DUMMYFUNCTION("""COMPUTED_VALUE"""),"Arribe")</f>
        <v>Arribe</v>
      </c>
      <c r="E1864" s="1" t="str">
        <f ca="1">IFERROR(__xludf.DUMMYFUNCTION("""COMPUTED_VALUE"""),"Ok lang yan para tuluyan na kayo makaigit sa inggit")</f>
        <v>Ok lang yan para tuluyan na kayo makaigit sa inggit</v>
      </c>
      <c r="F1864" s="1"/>
      <c r="G1864" s="1" t="str">
        <f ca="1">IFERROR(__xludf.DUMMYFUNCTION("""COMPUTED_VALUE"""),"3 mos")</f>
        <v>3 mos</v>
      </c>
      <c r="H1864" s="1" t="str">
        <f ca="1">IFERROR(__xludf.DUMMYFUNCTION("""COMPUTED_VALUE"""),"comment")</f>
        <v>comment</v>
      </c>
      <c r="I1864" s="2" t="str">
        <f ca="1">IFERROR(__xludf.DUMMYFUNCTION("""COMPUTED_VALUE"""),"https://www.facebook.com/rapplerdotcom/photos/a.317154781638645/5595162900504447/")</f>
        <v>https://www.facebook.com/rapplerdotcom/photos/a.317154781638645/5595162900504447/</v>
      </c>
      <c r="J1864" s="1" t="str">
        <f ca="1">IFERROR(__xludf.DUMMYFUNCTION("""COMPUTED_VALUE"""),"2022-07-04T15:45:33.650Z")</f>
        <v>2022-07-04T15:45:33.650Z</v>
      </c>
    </row>
    <row r="1865" spans="1:10" x14ac:dyDescent="0.2">
      <c r="A1865" s="2" t="str">
        <f ca="1">IFERROR(__xludf.DUMMYFUNCTION("""COMPUTED_VALUE"""),"https://www.facebook.com/holaissa.jaboneta")</f>
        <v>https://www.facebook.com/holaissa.jaboneta</v>
      </c>
      <c r="B1865" s="1" t="str">
        <f ca="1">IFERROR(__xludf.DUMMYFUNCTION("""COMPUTED_VALUE"""),"Holaissa Jaboneta")</f>
        <v>Holaissa Jaboneta</v>
      </c>
      <c r="C1865" s="1" t="str">
        <f ca="1">IFERROR(__xludf.DUMMYFUNCTION("""COMPUTED_VALUE"""),"Holaissa")</f>
        <v>Holaissa</v>
      </c>
      <c r="D1865" s="1" t="str">
        <f ca="1">IFERROR(__xludf.DUMMYFUNCTION("""COMPUTED_VALUE"""),"Jaboneta")</f>
        <v>Jaboneta</v>
      </c>
      <c r="E1865" s="1" t="str">
        <f ca="1">IFERROR(__xludf.DUMMYFUNCTION("""COMPUTED_VALUE"""),"🤭")</f>
        <v>🤭</v>
      </c>
      <c r="F1865" s="1"/>
      <c r="G1865" s="1" t="str">
        <f ca="1">IFERROR(__xludf.DUMMYFUNCTION("""COMPUTED_VALUE"""),"3 mos")</f>
        <v>3 mos</v>
      </c>
      <c r="H1865" s="1" t="str">
        <f ca="1">IFERROR(__xludf.DUMMYFUNCTION("""COMPUTED_VALUE"""),"comment")</f>
        <v>comment</v>
      </c>
      <c r="I1865" s="2" t="str">
        <f ca="1">IFERROR(__xludf.DUMMYFUNCTION("""COMPUTED_VALUE"""),"https://www.facebook.com/rapplerdotcom/photos/a.317154781638645/5595162900504447/")</f>
        <v>https://www.facebook.com/rapplerdotcom/photos/a.317154781638645/5595162900504447/</v>
      </c>
      <c r="J1865" s="1" t="str">
        <f ca="1">IFERROR(__xludf.DUMMYFUNCTION("""COMPUTED_VALUE"""),"2022-07-04T15:45:33.650Z")</f>
        <v>2022-07-04T15:45:33.650Z</v>
      </c>
    </row>
    <row r="1866" spans="1:10" x14ac:dyDescent="0.2">
      <c r="A1866" s="2" t="str">
        <f ca="1">IFERROR(__xludf.DUMMYFUNCTION("""COMPUTED_VALUE"""),"https://www.facebook.com/JayArziiGee")</f>
        <v>https://www.facebook.com/JayArziiGee</v>
      </c>
      <c r="B1866" s="1" t="str">
        <f ca="1">IFERROR(__xludf.DUMMYFUNCTION("""COMPUTED_VALUE"""),"Jay ArZi Gee")</f>
        <v>Jay ArZi Gee</v>
      </c>
      <c r="C1866" s="1" t="str">
        <f ca="1">IFERROR(__xludf.DUMMYFUNCTION("""COMPUTED_VALUE"""),"Jay")</f>
        <v>Jay</v>
      </c>
      <c r="D1866" s="1" t="str">
        <f ca="1">IFERROR(__xludf.DUMMYFUNCTION("""COMPUTED_VALUE"""),"ArZi Gee")</f>
        <v>ArZi Gee</v>
      </c>
      <c r="E1866" s="1" t="str">
        <f ca="1">IFERROR(__xludf.DUMMYFUNCTION("""COMPUTED_VALUE"""),"no to political dynasty. no to uniTHIEVES. NEVER TO MARCOSES")</f>
        <v>no to political dynasty. no to uniTHIEVES. NEVER TO MARCOSES</v>
      </c>
      <c r="F1866" s="1">
        <f ca="1">IFERROR(__xludf.DUMMYFUNCTION("""COMPUTED_VALUE"""),6)</f>
        <v>6</v>
      </c>
      <c r="G1866" s="1" t="str">
        <f ca="1">IFERROR(__xludf.DUMMYFUNCTION("""COMPUTED_VALUE"""),"3 mos")</f>
        <v>3 mos</v>
      </c>
      <c r="H1866" s="1" t="str">
        <f ca="1">IFERROR(__xludf.DUMMYFUNCTION("""COMPUTED_VALUE"""),"comment")</f>
        <v>comment</v>
      </c>
      <c r="I1866" s="2" t="str">
        <f ca="1">IFERROR(__xludf.DUMMYFUNCTION("""COMPUTED_VALUE"""),"https://www.facebook.com/rapplerdotcom/photos/a.317154781638645/5595162900504447/")</f>
        <v>https://www.facebook.com/rapplerdotcom/photos/a.317154781638645/5595162900504447/</v>
      </c>
      <c r="J1866" s="1" t="str">
        <f ca="1">IFERROR(__xludf.DUMMYFUNCTION("""COMPUTED_VALUE"""),"2022-07-04T15:45:33.650Z")</f>
        <v>2022-07-04T15:45:33.650Z</v>
      </c>
    </row>
    <row r="1867" spans="1:10" x14ac:dyDescent="0.2">
      <c r="A1867" s="2" t="str">
        <f ca="1">IFERROR(__xludf.DUMMYFUNCTION("""COMPUTED_VALUE"""),"https://www.facebook.com/profile.php?id=100075210031359")</f>
        <v>https://www.facebook.com/profile.php?id=100075210031359</v>
      </c>
      <c r="B1867" s="1" t="str">
        <f ca="1">IFERROR(__xludf.DUMMYFUNCTION("""COMPUTED_VALUE"""),"Yna Dayao")</f>
        <v>Yna Dayao</v>
      </c>
      <c r="C1867" s="1" t="str">
        <f ca="1">IFERROR(__xludf.DUMMYFUNCTION("""COMPUTED_VALUE"""),"Yna")</f>
        <v>Yna</v>
      </c>
      <c r="D1867" s="1" t="str">
        <f ca="1">IFERROR(__xludf.DUMMYFUNCTION("""COMPUTED_VALUE"""),"Dayao")</f>
        <v>Dayao</v>
      </c>
      <c r="E1867" s="1" t="str">
        <f ca="1">IFERROR(__xludf.DUMMYFUNCTION("""COMPUTED_VALUE"""),"Popular of being liar")</f>
        <v>Popular of being liar</v>
      </c>
      <c r="F1867" s="1">
        <f ca="1">IFERROR(__xludf.DUMMYFUNCTION("""COMPUTED_VALUE"""),4)</f>
        <v>4</v>
      </c>
      <c r="G1867" s="1" t="str">
        <f ca="1">IFERROR(__xludf.DUMMYFUNCTION("""COMPUTED_VALUE"""),"3 mos")</f>
        <v>3 mos</v>
      </c>
      <c r="H1867" s="1" t="str">
        <f ca="1">IFERROR(__xludf.DUMMYFUNCTION("""COMPUTED_VALUE"""),"comment")</f>
        <v>comment</v>
      </c>
      <c r="I1867" s="2" t="str">
        <f ca="1">IFERROR(__xludf.DUMMYFUNCTION("""COMPUTED_VALUE"""),"https://www.facebook.com/rapplerdotcom/photos/a.317154781638645/5595162900504447/")</f>
        <v>https://www.facebook.com/rapplerdotcom/photos/a.317154781638645/5595162900504447/</v>
      </c>
      <c r="J1867" s="1" t="str">
        <f ca="1">IFERROR(__xludf.DUMMYFUNCTION("""COMPUTED_VALUE"""),"2022-07-04T15:45:33.650Z")</f>
        <v>2022-07-04T15:45:33.650Z</v>
      </c>
    </row>
    <row r="1868" spans="1:10" x14ac:dyDescent="0.2">
      <c r="A1868" s="2" t="str">
        <f ca="1">IFERROR(__xludf.DUMMYFUNCTION("""COMPUTED_VALUE"""),"https://www.facebook.com/jimmy.ballesteros")</f>
        <v>https://www.facebook.com/jimmy.ballesteros</v>
      </c>
      <c r="B1868" s="1" t="str">
        <f ca="1">IFERROR(__xludf.DUMMYFUNCTION("""COMPUTED_VALUE"""),"Jim Bal")</f>
        <v>Jim Bal</v>
      </c>
      <c r="C1868" s="1" t="str">
        <f ca="1">IFERROR(__xludf.DUMMYFUNCTION("""COMPUTED_VALUE"""),"Jim")</f>
        <v>Jim</v>
      </c>
      <c r="D1868" s="1" t="str">
        <f ca="1">IFERROR(__xludf.DUMMYFUNCTION("""COMPUTED_VALUE"""),"Bal")</f>
        <v>Bal</v>
      </c>
      <c r="E1868" s="1" t="str">
        <f ca="1">IFERROR(__xludf.DUMMYFUNCTION("""COMPUTED_VALUE"""),"Yna Dayao FOREVER THEY SHALL STEAL ..🐊🐊🐊")</f>
        <v>Yna Dayao FOREVER THEY SHALL STEAL ..🐊🐊🐊</v>
      </c>
      <c r="F1868" s="1"/>
      <c r="G1868" s="1" t="str">
        <f ca="1">IFERROR(__xludf.DUMMYFUNCTION("""COMPUTED_VALUE"""),"3 mos")</f>
        <v>3 mos</v>
      </c>
      <c r="H1868" s="1" t="str">
        <f ca="1">IFERROR(__xludf.DUMMYFUNCTION("""COMPUTED_VALUE"""),"reply")</f>
        <v>reply</v>
      </c>
      <c r="I1868" s="2" t="str">
        <f ca="1">IFERROR(__xludf.DUMMYFUNCTION("""COMPUTED_VALUE"""),"https://www.facebook.com/rapplerdotcom/photos/a.317154781638645/5595162900504447/")</f>
        <v>https://www.facebook.com/rapplerdotcom/photos/a.317154781638645/5595162900504447/</v>
      </c>
      <c r="J1868" s="1" t="str">
        <f ca="1">IFERROR(__xludf.DUMMYFUNCTION("""COMPUTED_VALUE"""),"2022-07-04T15:45:33.650Z")</f>
        <v>2022-07-04T15:45:33.650Z</v>
      </c>
    </row>
    <row r="1869" spans="1:10" x14ac:dyDescent="0.2">
      <c r="A1869" s="2" t="str">
        <f ca="1">IFERROR(__xludf.DUMMYFUNCTION("""COMPUTED_VALUE"""),"https://www.facebook.com/jimmy.ballesteros")</f>
        <v>https://www.facebook.com/jimmy.ballesteros</v>
      </c>
      <c r="B1869" s="1" t="str">
        <f ca="1">IFERROR(__xludf.DUMMYFUNCTION("""COMPUTED_VALUE"""),"Jim Bal")</f>
        <v>Jim Bal</v>
      </c>
      <c r="C1869" s="1" t="str">
        <f ca="1">IFERROR(__xludf.DUMMYFUNCTION("""COMPUTED_VALUE"""),"Jim")</f>
        <v>Jim</v>
      </c>
      <c r="D1869" s="1" t="str">
        <f ca="1">IFERROR(__xludf.DUMMYFUNCTION("""COMPUTED_VALUE"""),"Bal")</f>
        <v>Bal</v>
      </c>
      <c r="E1869" s="1" t="str">
        <f ca="1">IFERROR(__xludf.DUMMYFUNCTION("""COMPUTED_VALUE"""),"Poro gutom .. the power hungry MARCOSES .. still needs more power to OWN THE PHILIPPINES.. #LENIKIKO")</f>
        <v>Poro gutom .. the power hungry MARCOSES .. still needs more power to OWN THE PHILIPPINES.. #LENIKIKO</v>
      </c>
      <c r="F1869" s="1">
        <f ca="1">IFERROR(__xludf.DUMMYFUNCTION("""COMPUTED_VALUE"""),10)</f>
        <v>10</v>
      </c>
      <c r="G1869" s="1" t="str">
        <f ca="1">IFERROR(__xludf.DUMMYFUNCTION("""COMPUTED_VALUE"""),"3 mos")</f>
        <v>3 mos</v>
      </c>
      <c r="H1869" s="1" t="str">
        <f ca="1">IFERROR(__xludf.DUMMYFUNCTION("""COMPUTED_VALUE"""),"comment")</f>
        <v>comment</v>
      </c>
      <c r="I1869" s="2" t="str">
        <f ca="1">IFERROR(__xludf.DUMMYFUNCTION("""COMPUTED_VALUE"""),"https://www.facebook.com/rapplerdotcom/photos/a.317154781638645/5595162900504447/")</f>
        <v>https://www.facebook.com/rapplerdotcom/photos/a.317154781638645/5595162900504447/</v>
      </c>
      <c r="J1869" s="1" t="str">
        <f ca="1">IFERROR(__xludf.DUMMYFUNCTION("""COMPUTED_VALUE"""),"2022-07-04T15:45:33.650Z")</f>
        <v>2022-07-04T15:45:33.650Z</v>
      </c>
    </row>
    <row r="1870" spans="1:10" x14ac:dyDescent="0.2">
      <c r="A1870" s="2" t="str">
        <f ca="1">IFERROR(__xludf.DUMMYFUNCTION("""COMPUTED_VALUE"""),"https://www.facebook.com/profile.php?id=100011366202531")</f>
        <v>https://www.facebook.com/profile.php?id=100011366202531</v>
      </c>
      <c r="B1870" s="1" t="str">
        <f ca="1">IFERROR(__xludf.DUMMYFUNCTION("""COMPUTED_VALUE"""),"Francis Abel")</f>
        <v>Francis Abel</v>
      </c>
      <c r="C1870" s="1" t="str">
        <f ca="1">IFERROR(__xludf.DUMMYFUNCTION("""COMPUTED_VALUE"""),"Francis")</f>
        <v>Francis</v>
      </c>
      <c r="D1870" s="1" t="str">
        <f ca="1">IFERROR(__xludf.DUMMYFUNCTION("""COMPUTED_VALUE"""),"Abel")</f>
        <v>Abel</v>
      </c>
      <c r="E1870" s="1" t="str">
        <f ca="1">IFERROR(__xludf.DUMMYFUNCTION("""COMPUTED_VALUE"""),"Sa totoong buhay, may mga tao talagang ok lang for them na kahit Harapan nang niloloko. It's there life anyway...")</f>
        <v>Sa totoong buhay, may mga tao talagang ok lang for them na kahit Harapan nang niloloko. It's there life anyway...</v>
      </c>
      <c r="F1870" s="1">
        <f ca="1">IFERROR(__xludf.DUMMYFUNCTION("""COMPUTED_VALUE"""),1)</f>
        <v>1</v>
      </c>
      <c r="G1870" s="1" t="str">
        <f ca="1">IFERROR(__xludf.DUMMYFUNCTION("""COMPUTED_VALUE"""),"3 mos")</f>
        <v>3 mos</v>
      </c>
      <c r="H1870" s="1" t="str">
        <f ca="1">IFERROR(__xludf.DUMMYFUNCTION("""COMPUTED_VALUE"""),"comment")</f>
        <v>comment</v>
      </c>
      <c r="I1870" s="2" t="str">
        <f ca="1">IFERROR(__xludf.DUMMYFUNCTION("""COMPUTED_VALUE"""),"https://www.facebook.com/rapplerdotcom/photos/a.317154781638645/5595162900504447/")</f>
        <v>https://www.facebook.com/rapplerdotcom/photos/a.317154781638645/5595162900504447/</v>
      </c>
      <c r="J1870" s="1" t="str">
        <f ca="1">IFERROR(__xludf.DUMMYFUNCTION("""COMPUTED_VALUE"""),"2022-07-04T15:45:33.650Z")</f>
        <v>2022-07-04T15:45:33.650Z</v>
      </c>
    </row>
    <row r="1871" spans="1:10" x14ac:dyDescent="0.2">
      <c r="A1871" s="2" t="str">
        <f ca="1">IFERROR(__xludf.DUMMYFUNCTION("""COMPUTED_VALUE"""),"https://www.facebook.com/ferdy.romualdez")</f>
        <v>https://www.facebook.com/ferdy.romualdez</v>
      </c>
      <c r="B1871" s="1" t="str">
        <f ca="1">IFERROR(__xludf.DUMMYFUNCTION("""COMPUTED_VALUE"""),"Ferdy Romualdez")</f>
        <v>Ferdy Romualdez</v>
      </c>
      <c r="C1871" s="1" t="str">
        <f ca="1">IFERROR(__xludf.DUMMYFUNCTION("""COMPUTED_VALUE"""),"Ferdy")</f>
        <v>Ferdy</v>
      </c>
      <c r="D1871" s="1" t="str">
        <f ca="1">IFERROR(__xludf.DUMMYFUNCTION("""COMPUTED_VALUE"""),"Romualdez")</f>
        <v>Romualdez</v>
      </c>
      <c r="E1871" s="1" t="str">
        <f ca="1">IFERROR(__xludf.DUMMYFUNCTION("""COMPUTED_VALUE"""),"Kung ayaw ng tao sa isang pamilya walang magagawa ang pamilyang yun..gaya nang nangyari sa mga estrada nakaraang eleksyon. Halos lahat sila natalo..")</f>
        <v>Kung ayaw ng tao sa isang pamilya walang magagawa ang pamilyang yun..gaya nang nangyari sa mga estrada nakaraang eleksyon. Halos lahat sila natalo..</v>
      </c>
      <c r="F1871" s="1">
        <f ca="1">IFERROR(__xludf.DUMMYFUNCTION("""COMPUTED_VALUE"""),3)</f>
        <v>3</v>
      </c>
      <c r="G1871" s="1" t="str">
        <f ca="1">IFERROR(__xludf.DUMMYFUNCTION("""COMPUTED_VALUE"""),"3 mos")</f>
        <v>3 mos</v>
      </c>
      <c r="H1871" s="1" t="str">
        <f ca="1">IFERROR(__xludf.DUMMYFUNCTION("""COMPUTED_VALUE"""),"comment")</f>
        <v>comment</v>
      </c>
      <c r="I1871" s="2" t="str">
        <f ca="1">IFERROR(__xludf.DUMMYFUNCTION("""COMPUTED_VALUE"""),"https://www.facebook.com/rapplerdotcom/photos/a.317154781638645/5595162900504447/")</f>
        <v>https://www.facebook.com/rapplerdotcom/photos/a.317154781638645/5595162900504447/</v>
      </c>
      <c r="J1871" s="1" t="str">
        <f ca="1">IFERROR(__xludf.DUMMYFUNCTION("""COMPUTED_VALUE"""),"2022-07-04T15:45:33.650Z")</f>
        <v>2022-07-04T15:45:33.650Z</v>
      </c>
    </row>
    <row r="1872" spans="1:10" x14ac:dyDescent="0.2">
      <c r="A1872" s="2" t="str">
        <f ca="1">IFERROR(__xludf.DUMMYFUNCTION("""COMPUTED_VALUE"""),"https://www.facebook.com/profile.php?id=100009351123949")</f>
        <v>https://www.facebook.com/profile.php?id=100009351123949</v>
      </c>
      <c r="B1872" s="1" t="str">
        <f ca="1">IFERROR(__xludf.DUMMYFUNCTION("""COMPUTED_VALUE"""),"Lucibar Gidayawan")</f>
        <v>Lucibar Gidayawan</v>
      </c>
      <c r="C1872" s="1" t="str">
        <f ca="1">IFERROR(__xludf.DUMMYFUNCTION("""COMPUTED_VALUE"""),"Lucibar")</f>
        <v>Lucibar</v>
      </c>
      <c r="D1872" s="1" t="str">
        <f ca="1">IFERROR(__xludf.DUMMYFUNCTION("""COMPUTED_VALUE"""),"Gidayawan")</f>
        <v>Gidayawan</v>
      </c>
      <c r="E1872" s="1" t="str">
        <f ca="1">IFERROR(__xludf.DUMMYFUNCTION("""COMPUTED_VALUE"""),"Nakakasuka. Sindikato talaga hindi na politiko.")</f>
        <v>Nakakasuka. Sindikato talaga hindi na politiko.</v>
      </c>
      <c r="F1872" s="1">
        <f ca="1">IFERROR(__xludf.DUMMYFUNCTION("""COMPUTED_VALUE"""),4)</f>
        <v>4</v>
      </c>
      <c r="G1872" s="1" t="str">
        <f ca="1">IFERROR(__xludf.DUMMYFUNCTION("""COMPUTED_VALUE"""),"3 mos")</f>
        <v>3 mos</v>
      </c>
      <c r="H1872" s="1" t="str">
        <f ca="1">IFERROR(__xludf.DUMMYFUNCTION("""COMPUTED_VALUE"""),"comment")</f>
        <v>comment</v>
      </c>
      <c r="I1872" s="2" t="str">
        <f ca="1">IFERROR(__xludf.DUMMYFUNCTION("""COMPUTED_VALUE"""),"https://www.facebook.com/rapplerdotcom/photos/a.317154781638645/5595162900504447/")</f>
        <v>https://www.facebook.com/rapplerdotcom/photos/a.317154781638645/5595162900504447/</v>
      </c>
      <c r="J1872" s="1" t="str">
        <f ca="1">IFERROR(__xludf.DUMMYFUNCTION("""COMPUTED_VALUE"""),"2022-07-04T15:45:33.650Z")</f>
        <v>2022-07-04T15:45:33.650Z</v>
      </c>
    </row>
    <row r="1873" spans="1:10" x14ac:dyDescent="0.2">
      <c r="A1873" s="2" t="str">
        <f ca="1">IFERROR(__xludf.DUMMYFUNCTION("""COMPUTED_VALUE"""),"https://www.facebook.com/jose.tagpi")</f>
        <v>https://www.facebook.com/jose.tagpi</v>
      </c>
      <c r="B1873" s="1" t="str">
        <f ca="1">IFERROR(__xludf.DUMMYFUNCTION("""COMPUTED_VALUE"""),"Jose Tagpi")</f>
        <v>Jose Tagpi</v>
      </c>
      <c r="C1873" s="1" t="str">
        <f ca="1">IFERROR(__xludf.DUMMYFUNCTION("""COMPUTED_VALUE"""),"Jose")</f>
        <v>Jose</v>
      </c>
      <c r="D1873" s="1" t="str">
        <f ca="1">IFERROR(__xludf.DUMMYFUNCTION("""COMPUTED_VALUE"""),"Tagpi")</f>
        <v>Tagpi</v>
      </c>
      <c r="E1873" s="1" t="str">
        <f ca="1">IFERROR(__xludf.DUMMYFUNCTION("""COMPUTED_VALUE"""),"Wala naman mga nagawa halos sa probinsiya nila tapos binoboto pa din")</f>
        <v>Wala naman mga nagawa halos sa probinsiya nila tapos binoboto pa din</v>
      </c>
      <c r="F1873" s="1">
        <f ca="1">IFERROR(__xludf.DUMMYFUNCTION("""COMPUTED_VALUE"""),6)</f>
        <v>6</v>
      </c>
      <c r="G1873" s="1" t="str">
        <f ca="1">IFERROR(__xludf.DUMMYFUNCTION("""COMPUTED_VALUE"""),"3 mos")</f>
        <v>3 mos</v>
      </c>
      <c r="H1873" s="1" t="str">
        <f ca="1">IFERROR(__xludf.DUMMYFUNCTION("""COMPUTED_VALUE"""),"comment")</f>
        <v>comment</v>
      </c>
      <c r="I1873" s="2" t="str">
        <f ca="1">IFERROR(__xludf.DUMMYFUNCTION("""COMPUTED_VALUE"""),"https://www.facebook.com/rapplerdotcom/photos/a.317154781638645/5595162900504447/")</f>
        <v>https://www.facebook.com/rapplerdotcom/photos/a.317154781638645/5595162900504447/</v>
      </c>
      <c r="J1873" s="1" t="str">
        <f ca="1">IFERROR(__xludf.DUMMYFUNCTION("""COMPUTED_VALUE"""),"2022-07-04T15:45:33.650Z")</f>
        <v>2022-07-04T15:45:33.650Z</v>
      </c>
    </row>
    <row r="1874" spans="1:10" x14ac:dyDescent="0.2">
      <c r="A1874" s="2" t="str">
        <f ca="1">IFERROR(__xludf.DUMMYFUNCTION("""COMPUTED_VALUE"""),"https://www.facebook.com/cidernald")</f>
        <v>https://www.facebook.com/cidernald</v>
      </c>
      <c r="B1874" s="1" t="str">
        <f ca="1">IFERROR(__xludf.DUMMYFUNCTION("""COMPUTED_VALUE"""),"Aro Sqr Nhald")</f>
        <v>Aro Sqr Nhald</v>
      </c>
      <c r="C1874" s="1" t="str">
        <f ca="1">IFERROR(__xludf.DUMMYFUNCTION("""COMPUTED_VALUE"""),"Aro")</f>
        <v>Aro</v>
      </c>
      <c r="D1874" s="1" t="str">
        <f ca="1">IFERROR(__xludf.DUMMYFUNCTION("""COMPUTED_VALUE"""),"Sqr Nhald")</f>
        <v>Sqr Nhald</v>
      </c>
      <c r="E1874" s="1" t="str">
        <f ca="1">IFERROR(__xludf.DUMMYFUNCTION("""COMPUTED_VALUE"""),"Awa nlng ... tumigl na kau dmi nio na pera  ...... anu paba need nio  Dun kau sa spain Mag 😑😑MONEY HEIST😶")</f>
        <v>Awa nlng ... tumigl na kau dmi nio na pera  ...... anu paba need nio  Dun kau sa spain Mag 😑😑MONEY HEIST😶</v>
      </c>
      <c r="F1874" s="1">
        <f ca="1">IFERROR(__xludf.DUMMYFUNCTION("""COMPUTED_VALUE"""),5)</f>
        <v>5</v>
      </c>
      <c r="G1874" s="1" t="str">
        <f ca="1">IFERROR(__xludf.DUMMYFUNCTION("""COMPUTED_VALUE"""),"3 mos")</f>
        <v>3 mos</v>
      </c>
      <c r="H1874" s="1" t="str">
        <f ca="1">IFERROR(__xludf.DUMMYFUNCTION("""COMPUTED_VALUE"""),"comment")</f>
        <v>comment</v>
      </c>
      <c r="I1874" s="2" t="str">
        <f ca="1">IFERROR(__xludf.DUMMYFUNCTION("""COMPUTED_VALUE"""),"https://www.facebook.com/rapplerdotcom/photos/a.317154781638645/5595162900504447/")</f>
        <v>https://www.facebook.com/rapplerdotcom/photos/a.317154781638645/5595162900504447/</v>
      </c>
      <c r="J1874" s="1" t="str">
        <f ca="1">IFERROR(__xludf.DUMMYFUNCTION("""COMPUTED_VALUE"""),"2022-07-04T15:45:33.650Z")</f>
        <v>2022-07-04T15:45:33.650Z</v>
      </c>
    </row>
    <row r="1875" spans="1:10" x14ac:dyDescent="0.2">
      <c r="A1875" s="2" t="str">
        <f ca="1">IFERROR(__xludf.DUMMYFUNCTION("""COMPUTED_VALUE"""),"https://www.facebook.com/benjo.albano")</f>
        <v>https://www.facebook.com/benjo.albano</v>
      </c>
      <c r="B1875" s="1" t="str">
        <f ca="1">IFERROR(__xludf.DUMMYFUNCTION("""COMPUTED_VALUE"""),"Benjo Albano")</f>
        <v>Benjo Albano</v>
      </c>
      <c r="C1875" s="1" t="str">
        <f ca="1">IFERROR(__xludf.DUMMYFUNCTION("""COMPUTED_VALUE"""),"Benjo")</f>
        <v>Benjo</v>
      </c>
      <c r="D1875" s="1" t="str">
        <f ca="1">IFERROR(__xludf.DUMMYFUNCTION("""COMPUTED_VALUE"""),"Albano")</f>
        <v>Albano</v>
      </c>
      <c r="E1875" s="1" t="str">
        <f ca="1">IFERROR(__xludf.DUMMYFUNCTION("""COMPUTED_VALUE"""),"Maraming Salamat Caloocan, CAMANAVA  ❤️ 😊  17th President of the Republic of the Philippines, Her Excellency Leni Robredo 😇")</f>
        <v>Maraming Salamat Caloocan, CAMANAVA  ❤️ 😊  17th President of the Republic of the Philippines, Her Excellency Leni Robredo 😇</v>
      </c>
      <c r="F1875" s="1">
        <f ca="1">IFERROR(__xludf.DUMMYFUNCTION("""COMPUTED_VALUE"""),1)</f>
        <v>1</v>
      </c>
      <c r="G1875" s="1" t="str">
        <f ca="1">IFERROR(__xludf.DUMMYFUNCTION("""COMPUTED_VALUE"""),"3 mos")</f>
        <v>3 mos</v>
      </c>
      <c r="H1875" s="1" t="str">
        <f ca="1">IFERROR(__xludf.DUMMYFUNCTION("""COMPUTED_VALUE"""),"comment")</f>
        <v>comment</v>
      </c>
      <c r="I1875"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75" s="1" t="str">
        <f ca="1">IFERROR(__xludf.DUMMYFUNCTION("""COMPUTED_VALUE"""),"2022-07-04T15:46:23.006Z")</f>
        <v>2022-07-04T15:46:23.006Z</v>
      </c>
    </row>
    <row r="1876" spans="1:10" x14ac:dyDescent="0.2">
      <c r="A1876" s="2" t="str">
        <f ca="1">IFERROR(__xludf.DUMMYFUNCTION("""COMPUTED_VALUE"""),"https://www.facebook.com/mabel.c.arboleda")</f>
        <v>https://www.facebook.com/mabel.c.arboleda</v>
      </c>
      <c r="B1876" s="1" t="str">
        <f ca="1">IFERROR(__xludf.DUMMYFUNCTION("""COMPUTED_VALUE"""),"Mabel Coste Arboleda")</f>
        <v>Mabel Coste Arboleda</v>
      </c>
      <c r="C1876" s="1" t="str">
        <f ca="1">IFERROR(__xludf.DUMMYFUNCTION("""COMPUTED_VALUE"""),"Mabel")</f>
        <v>Mabel</v>
      </c>
      <c r="D1876" s="1" t="str">
        <f ca="1">IFERROR(__xludf.DUMMYFUNCTION("""COMPUTED_VALUE"""),"Coste Arboleda")</f>
        <v>Coste Arboleda</v>
      </c>
      <c r="E1876" s="1" t="str">
        <f ca="1">IFERROR(__xludf.DUMMYFUNCTION("""COMPUTED_VALUE"""),"Nandyan kmi ng family ko..Well organized at mkikita m n pinairal din ng mga tao ang disiplina kc nkikinig sila s mga marshall..Separate Ang mga seniors tlgng sinisigurado ns magandang place sila at secured. Umiral din ang bayanihan n traditional n ugali n"&amp;"ting mga Pinoy.Lahat may malasakit s kapwa tao..Sarap mging Pinoy pag ganito ang scenario")</f>
        <v>Nandyan kmi ng family ko..Well organized at mkikita m n pinairal din ng mga tao ang disiplina kc nkikinig sila s mga marshall..Separate Ang mga seniors tlgng sinisigurado ns magandang place sila at secured. Umiral din ang bayanihan n traditional n ugali nting mga Pinoy.Lahat may malasakit s kapwa tao..Sarap mging Pinoy pag ganito ang scenario</v>
      </c>
      <c r="F1876" s="1">
        <f ca="1">IFERROR(__xludf.DUMMYFUNCTION("""COMPUTED_VALUE"""),27)</f>
        <v>27</v>
      </c>
      <c r="G1876" s="1" t="str">
        <f ca="1">IFERROR(__xludf.DUMMYFUNCTION("""COMPUTED_VALUE"""),"3 mos")</f>
        <v>3 mos</v>
      </c>
      <c r="H1876" s="1" t="str">
        <f ca="1">IFERROR(__xludf.DUMMYFUNCTION("""COMPUTED_VALUE"""),"comment")</f>
        <v>comment</v>
      </c>
      <c r="I1876"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76" s="1" t="str">
        <f ca="1">IFERROR(__xludf.DUMMYFUNCTION("""COMPUTED_VALUE"""),"2022-07-04T15:46:23.006Z")</f>
        <v>2022-07-04T15:46:23.006Z</v>
      </c>
    </row>
    <row r="1877" spans="1:10" x14ac:dyDescent="0.2">
      <c r="A1877" s="2" t="str">
        <f ca="1">IFERROR(__xludf.DUMMYFUNCTION("""COMPUTED_VALUE"""),"https://www.facebook.com/reymar.falcunaya")</f>
        <v>https://www.facebook.com/reymar.falcunaya</v>
      </c>
      <c r="B1877" s="1" t="str">
        <f ca="1">IFERROR(__xludf.DUMMYFUNCTION("""COMPUTED_VALUE"""),"Reymar Falcunaya")</f>
        <v>Reymar Falcunaya</v>
      </c>
      <c r="C1877" s="1" t="str">
        <f ca="1">IFERROR(__xludf.DUMMYFUNCTION("""COMPUTED_VALUE"""),"Reymar")</f>
        <v>Reymar</v>
      </c>
      <c r="D1877" s="1" t="str">
        <f ca="1">IFERROR(__xludf.DUMMYFUNCTION("""COMPUTED_VALUE"""),"Falcunaya")</f>
        <v>Falcunaya</v>
      </c>
      <c r="E1877" s="1" t="str">
        <f ca="1">IFERROR(__xludf.DUMMYFUNCTION("""COMPUTED_VALUE"""),"Mabel JordanCoste Arboleda hahhaaa kasi nga malaki pa space kaya organized")</f>
        <v>Mabel JordanCoste Arboleda hahhaaa kasi nga malaki pa space kaya organized</v>
      </c>
      <c r="F1877" s="1">
        <f ca="1">IFERROR(__xludf.DUMMYFUNCTION("""COMPUTED_VALUE"""),3)</f>
        <v>3</v>
      </c>
      <c r="G1877" s="1" t="str">
        <f ca="1">IFERROR(__xludf.DUMMYFUNCTION("""COMPUTED_VALUE"""),"3 mos")</f>
        <v>3 mos</v>
      </c>
      <c r="H1877" s="1" t="str">
        <f ca="1">IFERROR(__xludf.DUMMYFUNCTION("""COMPUTED_VALUE"""),"reply")</f>
        <v>reply</v>
      </c>
      <c r="I1877"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77" s="1" t="str">
        <f ca="1">IFERROR(__xludf.DUMMYFUNCTION("""COMPUTED_VALUE"""),"2022-07-04T15:46:23.006Z")</f>
        <v>2022-07-04T15:46:23.006Z</v>
      </c>
    </row>
    <row r="1878" spans="1:10" x14ac:dyDescent="0.2">
      <c r="A1878" s="2" t="str">
        <f ca="1">IFERROR(__xludf.DUMMYFUNCTION("""COMPUTED_VALUE"""),"https://www.facebook.com/cecile.agobian")</f>
        <v>https://www.facebook.com/cecile.agobian</v>
      </c>
      <c r="B1878" s="1" t="str">
        <f ca="1">IFERROR(__xludf.DUMMYFUNCTION("""COMPUTED_VALUE"""),"Cecile Agobian")</f>
        <v>Cecile Agobian</v>
      </c>
      <c r="C1878" s="1" t="str">
        <f ca="1">IFERROR(__xludf.DUMMYFUNCTION("""COMPUTED_VALUE"""),"Cecile")</f>
        <v>Cecile</v>
      </c>
      <c r="D1878" s="1" t="str">
        <f ca="1">IFERROR(__xludf.DUMMYFUNCTION("""COMPUTED_VALUE"""),"Agobian")</f>
        <v>Agobian</v>
      </c>
      <c r="E1878" s="1" t="str">
        <f ca="1">IFERROR(__xludf.DUMMYFUNCTION("""COMPUTED_VALUE"""),"Reymar Falcunaya troll")</f>
        <v>Reymar Falcunaya troll</v>
      </c>
      <c r="F1878" s="1">
        <f ca="1">IFERROR(__xludf.DUMMYFUNCTION("""COMPUTED_VALUE"""),1)</f>
        <v>1</v>
      </c>
      <c r="G1878" s="1" t="str">
        <f ca="1">IFERROR(__xludf.DUMMYFUNCTION("""COMPUTED_VALUE"""),"3 mos")</f>
        <v>3 mos</v>
      </c>
      <c r="H1878" s="1" t="str">
        <f ca="1">IFERROR(__xludf.DUMMYFUNCTION("""COMPUTED_VALUE"""),"reply")</f>
        <v>reply</v>
      </c>
      <c r="I1878"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78" s="1" t="str">
        <f ca="1">IFERROR(__xludf.DUMMYFUNCTION("""COMPUTED_VALUE"""),"2022-07-04T15:46:23.006Z")</f>
        <v>2022-07-04T15:46:23.006Z</v>
      </c>
    </row>
    <row r="1879" spans="1:10" x14ac:dyDescent="0.2">
      <c r="A1879" s="2" t="str">
        <f ca="1">IFERROR(__xludf.DUMMYFUNCTION("""COMPUTED_VALUE"""),"https://www.facebook.com/poli.lidi")</f>
        <v>https://www.facebook.com/poli.lidi</v>
      </c>
      <c r="B1879" s="1" t="str">
        <f ca="1">IFERROR(__xludf.DUMMYFUNCTION("""COMPUTED_VALUE"""),"Po Li")</f>
        <v>Po Li</v>
      </c>
      <c r="C1879" s="1" t="str">
        <f ca="1">IFERROR(__xludf.DUMMYFUNCTION("""COMPUTED_VALUE"""),"Po")</f>
        <v>Po</v>
      </c>
      <c r="D1879" s="1" t="str">
        <f ca="1">IFERROR(__xludf.DUMMYFUNCTION("""COMPUTED_VALUE"""),"Li")</f>
        <v>Li</v>
      </c>
      <c r="E1879" s="1" t="str">
        <f ca="1">IFERROR(__xludf.DUMMYFUNCTION("""COMPUTED_VALUE"""),"Ingat mga #KAKAMPINK God bless let's#LENIKIKO and our senatorial candidates lead thank you for your hard work💖💗💓💞💕")</f>
        <v>Ingat mga #KAKAMPINK God bless let's#LENIKIKO and our senatorial candidates lead thank you for your hard work💖💗💓💞💕</v>
      </c>
      <c r="F1879" s="1">
        <f ca="1">IFERROR(__xludf.DUMMYFUNCTION("""COMPUTED_VALUE"""),55)</f>
        <v>55</v>
      </c>
      <c r="G1879" s="1" t="str">
        <f ca="1">IFERROR(__xludf.DUMMYFUNCTION("""COMPUTED_VALUE"""),"3 mos")</f>
        <v>3 mos</v>
      </c>
      <c r="H1879" s="1" t="str">
        <f ca="1">IFERROR(__xludf.DUMMYFUNCTION("""COMPUTED_VALUE"""),"comment")</f>
        <v>comment</v>
      </c>
      <c r="I1879"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79" s="1" t="str">
        <f ca="1">IFERROR(__xludf.DUMMYFUNCTION("""COMPUTED_VALUE"""),"2022-07-04T15:46:23.006Z")</f>
        <v>2022-07-04T15:46:23.006Z</v>
      </c>
    </row>
    <row r="1880" spans="1:10" x14ac:dyDescent="0.2">
      <c r="A1880" s="2" t="str">
        <f ca="1">IFERROR(__xludf.DUMMYFUNCTION("""COMPUTED_VALUE"""),"https://www.facebook.com/cehfabre")</f>
        <v>https://www.facebook.com/cehfabre</v>
      </c>
      <c r="B1880" s="1" t="str">
        <f ca="1">IFERROR(__xludf.DUMMYFUNCTION("""COMPUTED_VALUE"""),"Edith H. Fabre")</f>
        <v>Edith H. Fabre</v>
      </c>
      <c r="C1880" s="1" t="str">
        <f ca="1">IFERROR(__xludf.DUMMYFUNCTION("""COMPUTED_VALUE"""),"Edith")</f>
        <v>Edith</v>
      </c>
      <c r="D1880" s="1" t="str">
        <f ca="1">IFERROR(__xludf.DUMMYFUNCTION("""COMPUTED_VALUE"""),"H. Fabre")</f>
        <v>H. Fabre</v>
      </c>
      <c r="E1880" s="1" t="str">
        <f ca="1">IFERROR(__xludf.DUMMYFUNCTION("""COMPUTED_VALUE"""),"Mabuhay kayo CaMaNaVa! #LetLeniKikoLead2022 #KulayRosasAngBukas")</f>
        <v>Mabuhay kayo CaMaNaVa! #LetLeniKikoLead2022 #KulayRosasAngBukas</v>
      </c>
      <c r="F1880" s="1">
        <f ca="1">IFERROR(__xludf.DUMMYFUNCTION("""COMPUTED_VALUE"""),1)</f>
        <v>1</v>
      </c>
      <c r="G1880" s="1" t="str">
        <f ca="1">IFERROR(__xludf.DUMMYFUNCTION("""COMPUTED_VALUE"""),"3 mos")</f>
        <v>3 mos</v>
      </c>
      <c r="H1880" s="1" t="str">
        <f ca="1">IFERROR(__xludf.DUMMYFUNCTION("""COMPUTED_VALUE"""),"comment")</f>
        <v>comment</v>
      </c>
      <c r="I1880"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80" s="1" t="str">
        <f ca="1">IFERROR(__xludf.DUMMYFUNCTION("""COMPUTED_VALUE"""),"2022-07-04T15:46:23.006Z")</f>
        <v>2022-07-04T15:46:23.006Z</v>
      </c>
    </row>
    <row r="1881" spans="1:10" x14ac:dyDescent="0.2">
      <c r="A1881" s="2" t="str">
        <f ca="1">IFERROR(__xludf.DUMMYFUNCTION("""COMPUTED_VALUE"""),"https://www.facebook.com/edna.bautista.37")</f>
        <v>https://www.facebook.com/edna.bautista.37</v>
      </c>
      <c r="B1881" s="1" t="str">
        <f ca="1">IFERROR(__xludf.DUMMYFUNCTION("""COMPUTED_VALUE"""),"Edna Bautista")</f>
        <v>Edna Bautista</v>
      </c>
      <c r="C1881" s="1" t="str">
        <f ca="1">IFERROR(__xludf.DUMMYFUNCTION("""COMPUTED_VALUE"""),"Edna")</f>
        <v>Edna</v>
      </c>
      <c r="D1881" s="1" t="str">
        <f ca="1">IFERROR(__xludf.DUMMYFUNCTION("""COMPUTED_VALUE"""),"Bautista")</f>
        <v>Bautista</v>
      </c>
      <c r="E1881" s="1" t="str">
        <f ca="1">IFERROR(__xludf.DUMMYFUNCTION("""COMPUTED_VALUE"""),"Salamat CAMANAVA. Ingat kayo and God bless everyone 🙏 🌸🌸🌸")</f>
        <v>Salamat CAMANAVA. Ingat kayo and God bless everyone 🙏 🌸🌸🌸</v>
      </c>
      <c r="F1881" s="1">
        <f ca="1">IFERROR(__xludf.DUMMYFUNCTION("""COMPUTED_VALUE"""),54)</f>
        <v>54</v>
      </c>
      <c r="G1881" s="1" t="str">
        <f ca="1">IFERROR(__xludf.DUMMYFUNCTION("""COMPUTED_VALUE"""),"3 mos")</f>
        <v>3 mos</v>
      </c>
      <c r="H1881" s="1" t="str">
        <f ca="1">IFERROR(__xludf.DUMMYFUNCTION("""COMPUTED_VALUE"""),"comment")</f>
        <v>comment</v>
      </c>
      <c r="I1881"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81" s="1" t="str">
        <f ca="1">IFERROR(__xludf.DUMMYFUNCTION("""COMPUTED_VALUE"""),"2022-07-04T15:46:23.006Z")</f>
        <v>2022-07-04T15:46:23.006Z</v>
      </c>
    </row>
    <row r="1882" spans="1:10" x14ac:dyDescent="0.2">
      <c r="A1882" s="2" t="str">
        <f ca="1">IFERROR(__xludf.DUMMYFUNCTION("""COMPUTED_VALUE"""),"https://www.facebook.com/imeldatorres.perocho")</f>
        <v>https://www.facebook.com/imeldatorres.perocho</v>
      </c>
      <c r="B1882" s="1" t="str">
        <f ca="1">IFERROR(__xludf.DUMMYFUNCTION("""COMPUTED_VALUE"""),"Imelda Torres Perocho")</f>
        <v>Imelda Torres Perocho</v>
      </c>
      <c r="C1882" s="1" t="str">
        <f ca="1">IFERROR(__xludf.DUMMYFUNCTION("""COMPUTED_VALUE"""),"Imelda")</f>
        <v>Imelda</v>
      </c>
      <c r="D1882" s="1" t="str">
        <f ca="1">IFERROR(__xludf.DUMMYFUNCTION("""COMPUTED_VALUE"""),"Torres Perocho")</f>
        <v>Torres Perocho</v>
      </c>
      <c r="E1882" s="1" t="str">
        <f ca="1">IFERROR(__xludf.DUMMYFUNCTION("""COMPUTED_VALUE"""),"Edna Bautista ano ibig sabihin nga CAMANAVA?")</f>
        <v>Edna Bautista ano ibig sabihin nga CAMANAVA?</v>
      </c>
      <c r="F1882" s="1">
        <f ca="1">IFERROR(__xludf.DUMMYFUNCTION("""COMPUTED_VALUE"""),1)</f>
        <v>1</v>
      </c>
      <c r="G1882" s="1" t="str">
        <f ca="1">IFERROR(__xludf.DUMMYFUNCTION("""COMPUTED_VALUE"""),"3 mos")</f>
        <v>3 mos</v>
      </c>
      <c r="H1882" s="1" t="str">
        <f ca="1">IFERROR(__xludf.DUMMYFUNCTION("""COMPUTED_VALUE"""),"reply")</f>
        <v>reply</v>
      </c>
      <c r="I1882"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82" s="1" t="str">
        <f ca="1">IFERROR(__xludf.DUMMYFUNCTION("""COMPUTED_VALUE"""),"2022-07-04T15:46:23.006Z")</f>
        <v>2022-07-04T15:46:23.006Z</v>
      </c>
    </row>
    <row r="1883" spans="1:10" x14ac:dyDescent="0.2">
      <c r="A1883" s="2" t="str">
        <f ca="1">IFERROR(__xludf.DUMMYFUNCTION("""COMPUTED_VALUE"""),"https://www.facebook.com/xyrinageneve.tulbe")</f>
        <v>https://www.facebook.com/xyrinageneve.tulbe</v>
      </c>
      <c r="B1883" s="1" t="str">
        <f ca="1">IFERROR(__xludf.DUMMYFUNCTION("""COMPUTED_VALUE"""),"Xyrina Geneve")</f>
        <v>Xyrina Geneve</v>
      </c>
      <c r="C1883" s="1" t="str">
        <f ca="1">IFERROR(__xludf.DUMMYFUNCTION("""COMPUTED_VALUE"""),"Xyrina")</f>
        <v>Xyrina</v>
      </c>
      <c r="D1883" s="1" t="str">
        <f ca="1">IFERROR(__xludf.DUMMYFUNCTION("""COMPUTED_VALUE"""),"Geneve")</f>
        <v>Geneve</v>
      </c>
      <c r="E1883" s="1" t="str">
        <f ca="1">IFERROR(__xludf.DUMMYFUNCTION("""COMPUTED_VALUE"""),"Imelda Torres Perocho Caloocan, Malabon, Navotas, Valenzuela po")</f>
        <v>Imelda Torres Perocho Caloocan, Malabon, Navotas, Valenzuela po</v>
      </c>
      <c r="F1883" s="1">
        <f ca="1">IFERROR(__xludf.DUMMYFUNCTION("""COMPUTED_VALUE"""),2)</f>
        <v>2</v>
      </c>
      <c r="G1883" s="1" t="str">
        <f ca="1">IFERROR(__xludf.DUMMYFUNCTION("""COMPUTED_VALUE"""),"3 mos")</f>
        <v>3 mos</v>
      </c>
      <c r="H1883" s="1" t="str">
        <f ca="1">IFERROR(__xludf.DUMMYFUNCTION("""COMPUTED_VALUE"""),"reply")</f>
        <v>reply</v>
      </c>
      <c r="I1883"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83" s="1" t="str">
        <f ca="1">IFERROR(__xludf.DUMMYFUNCTION("""COMPUTED_VALUE"""),"2022-07-04T15:46:23.006Z")</f>
        <v>2022-07-04T15:46:23.006Z</v>
      </c>
    </row>
    <row r="1884" spans="1:10" x14ac:dyDescent="0.2">
      <c r="A1884" s="2" t="str">
        <f ca="1">IFERROR(__xludf.DUMMYFUNCTION("""COMPUTED_VALUE"""),"https://www.facebook.com/xyrinageneve.tulbe")</f>
        <v>https://www.facebook.com/xyrinageneve.tulbe</v>
      </c>
      <c r="B1884" s="1" t="str">
        <f ca="1">IFERROR(__xludf.DUMMYFUNCTION("""COMPUTED_VALUE"""),"Xyrina Geneve")</f>
        <v>Xyrina Geneve</v>
      </c>
      <c r="C1884" s="1" t="str">
        <f ca="1">IFERROR(__xludf.DUMMYFUNCTION("""COMPUTED_VALUE"""),"Xyrina")</f>
        <v>Xyrina</v>
      </c>
      <c r="D1884" s="1" t="str">
        <f ca="1">IFERROR(__xludf.DUMMYFUNCTION("""COMPUTED_VALUE"""),"Geneve")</f>
        <v>Geneve</v>
      </c>
      <c r="E1884" s="1" t="str">
        <f ca="1">IFERROR(__xludf.DUMMYFUNCTION("""COMPUTED_VALUE"""),"Imelda Torres Perocho lugar po yan hehe")</f>
        <v>Imelda Torres Perocho lugar po yan hehe</v>
      </c>
      <c r="F1884" s="1">
        <f ca="1">IFERROR(__xludf.DUMMYFUNCTION("""COMPUTED_VALUE"""),1)</f>
        <v>1</v>
      </c>
      <c r="G1884" s="1" t="str">
        <f ca="1">IFERROR(__xludf.DUMMYFUNCTION("""COMPUTED_VALUE"""),"3 mos")</f>
        <v>3 mos</v>
      </c>
      <c r="H1884" s="1" t="str">
        <f ca="1">IFERROR(__xludf.DUMMYFUNCTION("""COMPUTED_VALUE"""),"reply")</f>
        <v>reply</v>
      </c>
      <c r="I1884"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84" s="1" t="str">
        <f ca="1">IFERROR(__xludf.DUMMYFUNCTION("""COMPUTED_VALUE"""),"2022-07-04T15:46:23.006Z")</f>
        <v>2022-07-04T15:46:23.006Z</v>
      </c>
    </row>
    <row r="1885" spans="1:10" x14ac:dyDescent="0.2">
      <c r="A1885" s="2" t="str">
        <f ca="1">IFERROR(__xludf.DUMMYFUNCTION("""COMPUTED_VALUE"""),"https://www.facebook.com/edna.bautista.37")</f>
        <v>https://www.facebook.com/edna.bautista.37</v>
      </c>
      <c r="B1885" s="1" t="str">
        <f ca="1">IFERROR(__xludf.DUMMYFUNCTION("""COMPUTED_VALUE"""),"Edna Bautista")</f>
        <v>Edna Bautista</v>
      </c>
      <c r="C1885" s="1" t="str">
        <f ca="1">IFERROR(__xludf.DUMMYFUNCTION("""COMPUTED_VALUE"""),"Edna")</f>
        <v>Edna</v>
      </c>
      <c r="D1885" s="1" t="str">
        <f ca="1">IFERROR(__xludf.DUMMYFUNCTION("""COMPUTED_VALUE"""),"Bautista")</f>
        <v>Bautista</v>
      </c>
      <c r="E1885" s="1" t="str">
        <f ca="1">IFERROR(__xludf.DUMMYFUNCTION("""COMPUTED_VALUE"""),"Imelda Torres Perocho Caloocan, Malabon, Navotas and Valenzuela ma'am")</f>
        <v>Imelda Torres Perocho Caloocan, Malabon, Navotas and Valenzuela ma'am</v>
      </c>
      <c r="F1885" s="1">
        <f ca="1">IFERROR(__xludf.DUMMYFUNCTION("""COMPUTED_VALUE"""),1)</f>
        <v>1</v>
      </c>
      <c r="G1885" s="1" t="str">
        <f ca="1">IFERROR(__xludf.DUMMYFUNCTION("""COMPUTED_VALUE"""),"3 mos")</f>
        <v>3 mos</v>
      </c>
      <c r="H1885" s="1" t="str">
        <f ca="1">IFERROR(__xludf.DUMMYFUNCTION("""COMPUTED_VALUE"""),"reply")</f>
        <v>reply</v>
      </c>
      <c r="I1885"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85" s="1" t="str">
        <f ca="1">IFERROR(__xludf.DUMMYFUNCTION("""COMPUTED_VALUE"""),"2022-07-04T15:46:23.006Z")</f>
        <v>2022-07-04T15:46:23.006Z</v>
      </c>
    </row>
    <row r="1886" spans="1:10" x14ac:dyDescent="0.2">
      <c r="A1886" s="2" t="str">
        <f ca="1">IFERROR(__xludf.DUMMYFUNCTION("""COMPUTED_VALUE"""),"https://www.facebook.com/profile.php?id=100005010463773")</f>
        <v>https://www.facebook.com/profile.php?id=100005010463773</v>
      </c>
      <c r="B1886" s="1" t="str">
        <f ca="1">IFERROR(__xludf.DUMMYFUNCTION("""COMPUTED_VALUE"""),"Nene Fuentes Serraon")</f>
        <v>Nene Fuentes Serraon</v>
      </c>
      <c r="C1886" s="1" t="str">
        <f ca="1">IFERROR(__xludf.DUMMYFUNCTION("""COMPUTED_VALUE"""),"Nene")</f>
        <v>Nene</v>
      </c>
      <c r="D1886" s="1" t="str">
        <f ca="1">IFERROR(__xludf.DUMMYFUNCTION("""COMPUTED_VALUE"""),"Fuentes Serraon")</f>
        <v>Fuentes Serraon</v>
      </c>
      <c r="E1886" s="1" t="str">
        <f ca="1">IFERROR(__xludf.DUMMYFUNCTION("""COMPUTED_VALUE"""),"Xyrina Geneve Thanks! matanong din sana ako😄")</f>
        <v>Xyrina Geneve Thanks! matanong din sana ako😄</v>
      </c>
      <c r="F1886" s="1">
        <f ca="1">IFERROR(__xludf.DUMMYFUNCTION("""COMPUTED_VALUE"""),1)</f>
        <v>1</v>
      </c>
      <c r="G1886" s="1" t="str">
        <f ca="1">IFERROR(__xludf.DUMMYFUNCTION("""COMPUTED_VALUE"""),"3 mos")</f>
        <v>3 mos</v>
      </c>
      <c r="H1886" s="1" t="str">
        <f ca="1">IFERROR(__xludf.DUMMYFUNCTION("""COMPUTED_VALUE"""),"reply")</f>
        <v>reply</v>
      </c>
      <c r="I1886"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86" s="1" t="str">
        <f ca="1">IFERROR(__xludf.DUMMYFUNCTION("""COMPUTED_VALUE"""),"2022-07-04T15:46:23.006Z")</f>
        <v>2022-07-04T15:46:23.006Z</v>
      </c>
    </row>
    <row r="1887" spans="1:10" x14ac:dyDescent="0.2">
      <c r="A1887" s="2" t="str">
        <f ca="1">IFERROR(__xludf.DUMMYFUNCTION("""COMPUTED_VALUE"""),"https://www.facebook.com/imeldatorres.perocho")</f>
        <v>https://www.facebook.com/imeldatorres.perocho</v>
      </c>
      <c r="B1887" s="1" t="str">
        <f ca="1">IFERROR(__xludf.DUMMYFUNCTION("""COMPUTED_VALUE"""),"Imelda Torres Perocho")</f>
        <v>Imelda Torres Perocho</v>
      </c>
      <c r="C1887" s="1" t="str">
        <f ca="1">IFERROR(__xludf.DUMMYFUNCTION("""COMPUTED_VALUE"""),"Imelda")</f>
        <v>Imelda</v>
      </c>
      <c r="D1887" s="1" t="str">
        <f ca="1">IFERROR(__xludf.DUMMYFUNCTION("""COMPUTED_VALUE"""),"Torres Perocho")</f>
        <v>Torres Perocho</v>
      </c>
      <c r="E1887" s="1" t="str">
        <f ca="1">IFERROR(__xludf.DUMMYFUNCTION("""COMPUTED_VALUE"""),"Salamat sa inyo💕")</f>
        <v>Salamat sa inyo💕</v>
      </c>
      <c r="F1887" s="1"/>
      <c r="G1887" s="1" t="str">
        <f ca="1">IFERROR(__xludf.DUMMYFUNCTION("""COMPUTED_VALUE"""),"3 mos")</f>
        <v>3 mos</v>
      </c>
      <c r="H1887" s="1" t="str">
        <f ca="1">IFERROR(__xludf.DUMMYFUNCTION("""COMPUTED_VALUE"""),"reply")</f>
        <v>reply</v>
      </c>
      <c r="I1887"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87" s="1" t="str">
        <f ca="1">IFERROR(__xludf.DUMMYFUNCTION("""COMPUTED_VALUE"""),"2022-07-04T15:46:23.006Z")</f>
        <v>2022-07-04T15:46:23.006Z</v>
      </c>
    </row>
    <row r="1888" spans="1:10" x14ac:dyDescent="0.2">
      <c r="A1888" s="2" t="str">
        <f ca="1">IFERROR(__xludf.DUMMYFUNCTION("""COMPUTED_VALUE"""),"https://www.facebook.com/armando.guevarra.90")</f>
        <v>https://www.facebook.com/armando.guevarra.90</v>
      </c>
      <c r="B1888" s="1" t="str">
        <f ca="1">IFERROR(__xludf.DUMMYFUNCTION("""COMPUTED_VALUE"""),"Armando Guevarra")</f>
        <v>Armando Guevarra</v>
      </c>
      <c r="C1888" s="1" t="str">
        <f ca="1">IFERROR(__xludf.DUMMYFUNCTION("""COMPUTED_VALUE"""),"Armando")</f>
        <v>Armando</v>
      </c>
      <c r="D1888" s="1" t="str">
        <f ca="1">IFERROR(__xludf.DUMMYFUNCTION("""COMPUTED_VALUE"""),"Guevarra")</f>
        <v>Guevarra</v>
      </c>
      <c r="E1888" s="1" t="str">
        <f ca="1">IFERROR(__xludf.DUMMYFUNCTION("""COMPUTED_VALUE"""),"Edna Bautista caloocan malabon navotas valensuela")</f>
        <v>Edna Bautista caloocan malabon navotas valensuela</v>
      </c>
      <c r="F1888" s="1"/>
      <c r="G1888" s="1" t="str">
        <f ca="1">IFERROR(__xludf.DUMMYFUNCTION("""COMPUTED_VALUE"""),"3 mos")</f>
        <v>3 mos</v>
      </c>
      <c r="H1888" s="1" t="str">
        <f ca="1">IFERROR(__xludf.DUMMYFUNCTION("""COMPUTED_VALUE"""),"reply")</f>
        <v>reply</v>
      </c>
      <c r="I1888"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88" s="1" t="str">
        <f ca="1">IFERROR(__xludf.DUMMYFUNCTION("""COMPUTED_VALUE"""),"2022-07-04T15:46:23.006Z")</f>
        <v>2022-07-04T15:46:23.006Z</v>
      </c>
    </row>
    <row r="1889" spans="1:10" x14ac:dyDescent="0.2">
      <c r="A1889" s="2" t="str">
        <f ca="1">IFERROR(__xludf.DUMMYFUNCTION("""COMPUTED_VALUE"""),"https://www.facebook.com/cheryl.belleza")</f>
        <v>https://www.facebook.com/cheryl.belleza</v>
      </c>
      <c r="B1889" s="1" t="str">
        <f ca="1">IFERROR(__xludf.DUMMYFUNCTION("""COMPUTED_VALUE"""),"Belleza Che")</f>
        <v>Belleza Che</v>
      </c>
      <c r="C1889" s="1" t="str">
        <f ca="1">IFERROR(__xludf.DUMMYFUNCTION("""COMPUTED_VALUE"""),"Belleza")</f>
        <v>Belleza</v>
      </c>
      <c r="D1889" s="1" t="str">
        <f ca="1">IFERROR(__xludf.DUMMYFUNCTION("""COMPUTED_VALUE"""),"Che")</f>
        <v>Che</v>
      </c>
      <c r="E1889" s="1" t="str">
        <f ca="1">IFERROR(__xludf.DUMMYFUNCTION("""COMPUTED_VALUE"""),"Keep hydrated mga kakampinks😍💖 Team Bahay, Silang Cavite")</f>
        <v>Keep hydrated mga kakampinks😍💖 Team Bahay, Silang Cavite</v>
      </c>
      <c r="F1889" s="1">
        <f ca="1">IFERROR(__xludf.DUMMYFUNCTION("""COMPUTED_VALUE"""),40)</f>
        <v>40</v>
      </c>
      <c r="G1889" s="1" t="str">
        <f ca="1">IFERROR(__xludf.DUMMYFUNCTION("""COMPUTED_VALUE"""),"3 mos")</f>
        <v>3 mos</v>
      </c>
      <c r="H1889" s="1" t="str">
        <f ca="1">IFERROR(__xludf.DUMMYFUNCTION("""COMPUTED_VALUE"""),"comment")</f>
        <v>comment</v>
      </c>
      <c r="I1889"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89" s="1" t="str">
        <f ca="1">IFERROR(__xludf.DUMMYFUNCTION("""COMPUTED_VALUE"""),"2022-07-04T15:46:23.006Z")</f>
        <v>2022-07-04T15:46:23.006Z</v>
      </c>
    </row>
    <row r="1890" spans="1:10" x14ac:dyDescent="0.2">
      <c r="A1890" s="2" t="str">
        <f ca="1">IFERROR(__xludf.DUMMYFUNCTION("""COMPUTED_VALUE"""),"https://www.facebook.com/velvet.marj")</f>
        <v>https://www.facebook.com/velvet.marj</v>
      </c>
      <c r="B1890" s="1" t="str">
        <f ca="1">IFERROR(__xludf.DUMMYFUNCTION("""COMPUTED_VALUE"""),"Marj Sumagaysay")</f>
        <v>Marj Sumagaysay</v>
      </c>
      <c r="C1890" s="1" t="str">
        <f ca="1">IFERROR(__xludf.DUMMYFUNCTION("""COMPUTED_VALUE"""),"Marj")</f>
        <v>Marj</v>
      </c>
      <c r="D1890" s="1" t="str">
        <f ca="1">IFERROR(__xludf.DUMMYFUNCTION("""COMPUTED_VALUE"""),"Sumagaysay")</f>
        <v>Sumagaysay</v>
      </c>
      <c r="E1890" s="1" t="str">
        <f ca="1">IFERROR(__xludf.DUMMYFUNCTION("""COMPUTED_VALUE"""),"Mahaba pa po ang pila sa labas ng gates. Kaya napilitang buksan ang St. Mary's to accommodate yung mga tao.")</f>
        <v>Mahaba pa po ang pila sa labas ng gates. Kaya napilitang buksan ang St. Mary's to accommodate yung mga tao.</v>
      </c>
      <c r="F1890" s="1">
        <f ca="1">IFERROR(__xludf.DUMMYFUNCTION("""COMPUTED_VALUE"""),26)</f>
        <v>26</v>
      </c>
      <c r="G1890" s="1" t="str">
        <f ca="1">IFERROR(__xludf.DUMMYFUNCTION("""COMPUTED_VALUE"""),"3 mos")</f>
        <v>3 mos</v>
      </c>
      <c r="H1890" s="1" t="str">
        <f ca="1">IFERROR(__xludf.DUMMYFUNCTION("""COMPUTED_VALUE"""),"comment")</f>
        <v>comment</v>
      </c>
      <c r="I1890"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90" s="1" t="str">
        <f ca="1">IFERROR(__xludf.DUMMYFUNCTION("""COMPUTED_VALUE"""),"2022-07-04T15:46:23.006Z")</f>
        <v>2022-07-04T15:46:23.006Z</v>
      </c>
    </row>
    <row r="1891" spans="1:10" x14ac:dyDescent="0.2">
      <c r="A1891" s="2" t="str">
        <f ca="1">IFERROR(__xludf.DUMMYFUNCTION("""COMPUTED_VALUE"""),"https://www.facebook.com/nilo.seda")</f>
        <v>https://www.facebook.com/nilo.seda</v>
      </c>
      <c r="B1891" s="1" t="str">
        <f ca="1">IFERROR(__xludf.DUMMYFUNCTION("""COMPUTED_VALUE"""),"Nilo Sasot Seda")</f>
        <v>Nilo Sasot Seda</v>
      </c>
      <c r="C1891" s="1" t="str">
        <f ca="1">IFERROR(__xludf.DUMMYFUNCTION("""COMPUTED_VALUE"""),"Nilo")</f>
        <v>Nilo</v>
      </c>
      <c r="D1891" s="1" t="str">
        <f ca="1">IFERROR(__xludf.DUMMYFUNCTION("""COMPUTED_VALUE"""),"Sasot Seda")</f>
        <v>Sasot Seda</v>
      </c>
      <c r="E1891" s="1" t="str">
        <f ca="1">IFERROR(__xludf.DUMMYFUNCTION("""COMPUTED_VALUE"""),"Thank you CAMANAVA, IPANALO NATIN #LENIKIKO TEAM.GODBLESS.")</f>
        <v>Thank you CAMANAVA, IPANALO NATIN #LENIKIKO TEAM.GODBLESS.</v>
      </c>
      <c r="F1891" s="1">
        <f ca="1">IFERROR(__xludf.DUMMYFUNCTION("""COMPUTED_VALUE"""),1)</f>
        <v>1</v>
      </c>
      <c r="G1891" s="1" t="str">
        <f ca="1">IFERROR(__xludf.DUMMYFUNCTION("""COMPUTED_VALUE"""),"3 mos")</f>
        <v>3 mos</v>
      </c>
      <c r="H1891" s="1" t="str">
        <f ca="1">IFERROR(__xludf.DUMMYFUNCTION("""COMPUTED_VALUE"""),"comment")</f>
        <v>comment</v>
      </c>
      <c r="I1891"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91" s="1" t="str">
        <f ca="1">IFERROR(__xludf.DUMMYFUNCTION("""COMPUTED_VALUE"""),"2022-07-04T15:46:23.006Z")</f>
        <v>2022-07-04T15:46:23.006Z</v>
      </c>
    </row>
    <row r="1892" spans="1:10" x14ac:dyDescent="0.2">
      <c r="A1892" s="2" t="str">
        <f ca="1">IFERROR(__xludf.DUMMYFUNCTION("""COMPUTED_VALUE"""),"https://www.facebook.com/jamostiago")</f>
        <v>https://www.facebook.com/jamostiago</v>
      </c>
      <c r="B1892" s="1" t="str">
        <f ca="1">IFERROR(__xludf.DUMMYFUNCTION("""COMPUTED_VALUE"""),"James Aaron")</f>
        <v>James Aaron</v>
      </c>
      <c r="C1892" s="1" t="str">
        <f ca="1">IFERROR(__xludf.DUMMYFUNCTION("""COMPUTED_VALUE"""),"James")</f>
        <v>James</v>
      </c>
      <c r="D1892" s="1" t="str">
        <f ca="1">IFERROR(__xludf.DUMMYFUNCTION("""COMPUTED_VALUE"""),"Aaron")</f>
        <v>Aaron</v>
      </c>
      <c r="E1892" s="1" t="str">
        <f ca="1">IFERROR(__xludf.DUMMYFUNCTION("""COMPUTED_VALUE"""),"Kier Ofrasio lapit na mapuno")</f>
        <v>Kier Ofrasio lapit na mapuno</v>
      </c>
      <c r="F1892" s="1">
        <f ca="1">IFERROR(__xludf.DUMMYFUNCTION("""COMPUTED_VALUE"""),5)</f>
        <v>5</v>
      </c>
      <c r="G1892" s="1" t="str">
        <f ca="1">IFERROR(__xludf.DUMMYFUNCTION("""COMPUTED_VALUE"""),"3 mos")</f>
        <v>3 mos</v>
      </c>
      <c r="H1892" s="1" t="str">
        <f ca="1">IFERROR(__xludf.DUMMYFUNCTION("""COMPUTED_VALUE"""),"comment")</f>
        <v>comment</v>
      </c>
      <c r="I1892"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92" s="1" t="str">
        <f ca="1">IFERROR(__xludf.DUMMYFUNCTION("""COMPUTED_VALUE"""),"2022-07-04T15:46:23.006Z")</f>
        <v>2022-07-04T15:46:23.006Z</v>
      </c>
    </row>
    <row r="1893" spans="1:10" x14ac:dyDescent="0.2">
      <c r="A1893" s="2" t="str">
        <f ca="1">IFERROR(__xludf.DUMMYFUNCTION("""COMPUTED_VALUE"""),"https://www.facebook.com/stevenchoocy")</f>
        <v>https://www.facebook.com/stevenchoocy</v>
      </c>
      <c r="B1893" s="1" t="str">
        <f ca="1">IFERROR(__xludf.DUMMYFUNCTION("""COMPUTED_VALUE"""),"Steven Choo")</f>
        <v>Steven Choo</v>
      </c>
      <c r="C1893" s="1" t="str">
        <f ca="1">IFERROR(__xludf.DUMMYFUNCTION("""COMPUTED_VALUE"""),"Steven")</f>
        <v>Steven</v>
      </c>
      <c r="D1893" s="1" t="str">
        <f ca="1">IFERROR(__xludf.DUMMYFUNCTION("""COMPUTED_VALUE"""),"Choo")</f>
        <v>Choo</v>
      </c>
      <c r="E1893" s="1" t="str">
        <f ca="1">IFERROR(__xludf.DUMMYFUNCTION("""COMPUTED_VALUE"""),"Doesn't mean she will be elected  as President")</f>
        <v>Doesn't mean she will be elected  as President</v>
      </c>
      <c r="F1893" s="1">
        <f ca="1">IFERROR(__xludf.DUMMYFUNCTION("""COMPUTED_VALUE"""),2)</f>
        <v>2</v>
      </c>
      <c r="G1893" s="1" t="str">
        <f ca="1">IFERROR(__xludf.DUMMYFUNCTION("""COMPUTED_VALUE"""),"3 mos")</f>
        <v>3 mos</v>
      </c>
      <c r="H1893" s="1" t="str">
        <f ca="1">IFERROR(__xludf.DUMMYFUNCTION("""COMPUTED_VALUE"""),"comment")</f>
        <v>comment</v>
      </c>
      <c r="I1893"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93" s="1" t="str">
        <f ca="1">IFERROR(__xludf.DUMMYFUNCTION("""COMPUTED_VALUE"""),"2022-07-04T15:46:23.006Z")</f>
        <v>2022-07-04T15:46:23.006Z</v>
      </c>
    </row>
    <row r="1894" spans="1:10" x14ac:dyDescent="0.2">
      <c r="A1894" s="2" t="str">
        <f ca="1">IFERROR(__xludf.DUMMYFUNCTION("""COMPUTED_VALUE"""),"https://www.facebook.com/nolie.mantaring")</f>
        <v>https://www.facebook.com/nolie.mantaring</v>
      </c>
      <c r="B1894" s="1" t="str">
        <f ca="1">IFERROR(__xludf.DUMMYFUNCTION("""COMPUTED_VALUE"""),"Nolie HM")</f>
        <v>Nolie HM</v>
      </c>
      <c r="C1894" s="1" t="str">
        <f ca="1">IFERROR(__xludf.DUMMYFUNCTION("""COMPUTED_VALUE"""),"Nolie")</f>
        <v>Nolie</v>
      </c>
      <c r="D1894" s="1" t="str">
        <f ca="1">IFERROR(__xludf.DUMMYFUNCTION("""COMPUTED_VALUE"""),"HM")</f>
        <v>HM</v>
      </c>
      <c r="E1894" s="1" t="str">
        <f ca="1">IFERROR(__xludf.DUMMYFUNCTION("""COMPUTED_VALUE"""),"Steven Choo ...doesn't mean he will be elected as president..😉")</f>
        <v>Steven Choo ...doesn't mean he will be elected as president..😉</v>
      </c>
      <c r="F1894" s="1">
        <f ca="1">IFERROR(__xludf.DUMMYFUNCTION("""COMPUTED_VALUE"""),23)</f>
        <v>23</v>
      </c>
      <c r="G1894" s="1" t="str">
        <f ca="1">IFERROR(__xludf.DUMMYFUNCTION("""COMPUTED_VALUE"""),"3 mos")</f>
        <v>3 mos</v>
      </c>
      <c r="H1894" s="1" t="str">
        <f ca="1">IFERROR(__xludf.DUMMYFUNCTION("""COMPUTED_VALUE"""),"reply")</f>
        <v>reply</v>
      </c>
      <c r="I1894"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94" s="1" t="str">
        <f ca="1">IFERROR(__xludf.DUMMYFUNCTION("""COMPUTED_VALUE"""),"2022-07-04T15:46:23.006Z")</f>
        <v>2022-07-04T15:46:23.006Z</v>
      </c>
    </row>
    <row r="1895" spans="1:10" x14ac:dyDescent="0.2">
      <c r="A1895" s="2" t="str">
        <f ca="1">IFERROR(__xludf.DUMMYFUNCTION("""COMPUTED_VALUE"""),"https://www.facebook.com/profile.php?id=100013497646924")</f>
        <v>https://www.facebook.com/profile.php?id=100013497646924</v>
      </c>
      <c r="B1895" s="1" t="str">
        <f ca="1">IFERROR(__xludf.DUMMYFUNCTION("""COMPUTED_VALUE"""),"John Canalan")</f>
        <v>John Canalan</v>
      </c>
      <c r="C1895" s="1" t="str">
        <f ca="1">IFERROR(__xludf.DUMMYFUNCTION("""COMPUTED_VALUE"""),"John")</f>
        <v>John</v>
      </c>
      <c r="D1895" s="1" t="str">
        <f ca="1">IFERROR(__xludf.DUMMYFUNCTION("""COMPUTED_VALUE"""),"Canalan")</f>
        <v>Canalan</v>
      </c>
      <c r="E1895" s="1" t="str">
        <f ca="1">IFERROR(__xludf.DUMMYFUNCTION("""COMPUTED_VALUE"""),"Nolie HM goodluck sa May 9")</f>
        <v>Nolie HM goodluck sa May 9</v>
      </c>
      <c r="F1895" s="1"/>
      <c r="G1895" s="1" t="str">
        <f ca="1">IFERROR(__xludf.DUMMYFUNCTION("""COMPUTED_VALUE"""),"3 mos")</f>
        <v>3 mos</v>
      </c>
      <c r="H1895" s="1" t="str">
        <f ca="1">IFERROR(__xludf.DUMMYFUNCTION("""COMPUTED_VALUE"""),"reply")</f>
        <v>reply</v>
      </c>
      <c r="I1895"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95" s="1" t="str">
        <f ca="1">IFERROR(__xludf.DUMMYFUNCTION("""COMPUTED_VALUE"""),"2022-07-04T15:46:23.006Z")</f>
        <v>2022-07-04T15:46:23.006Z</v>
      </c>
    </row>
    <row r="1896" spans="1:10" x14ac:dyDescent="0.2">
      <c r="A1896" s="2" t="str">
        <f ca="1">IFERROR(__xludf.DUMMYFUNCTION("""COMPUTED_VALUE"""),"https://www.facebook.com/cecile.agobian")</f>
        <v>https://www.facebook.com/cecile.agobian</v>
      </c>
      <c r="B1896" s="1" t="str">
        <f ca="1">IFERROR(__xludf.DUMMYFUNCTION("""COMPUTED_VALUE"""),"Cecile Agobian")</f>
        <v>Cecile Agobian</v>
      </c>
      <c r="C1896" s="1" t="str">
        <f ca="1">IFERROR(__xludf.DUMMYFUNCTION("""COMPUTED_VALUE"""),"Cecile")</f>
        <v>Cecile</v>
      </c>
      <c r="D1896" s="1" t="str">
        <f ca="1">IFERROR(__xludf.DUMMYFUNCTION("""COMPUTED_VALUE"""),"Agobian")</f>
        <v>Agobian</v>
      </c>
      <c r="E1896" s="1" t="str">
        <f ca="1">IFERROR(__xludf.DUMMYFUNCTION("""COMPUTED_VALUE"""),"Nolie HM a dose of your own arrogance...")</f>
        <v>Nolie HM a dose of your own arrogance...</v>
      </c>
      <c r="F1896" s="1"/>
      <c r="G1896" s="1" t="str">
        <f ca="1">IFERROR(__xludf.DUMMYFUNCTION("""COMPUTED_VALUE"""),"3 mos")</f>
        <v>3 mos</v>
      </c>
      <c r="H1896" s="1" t="str">
        <f ca="1">IFERROR(__xludf.DUMMYFUNCTION("""COMPUTED_VALUE"""),"reply")</f>
        <v>reply</v>
      </c>
      <c r="I1896"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96" s="1" t="str">
        <f ca="1">IFERROR(__xludf.DUMMYFUNCTION("""COMPUTED_VALUE"""),"2022-07-04T15:46:23.006Z")</f>
        <v>2022-07-04T15:46:23.006Z</v>
      </c>
    </row>
    <row r="1897" spans="1:10" x14ac:dyDescent="0.2">
      <c r="A1897" s="2" t="str">
        <f ca="1">IFERROR(__xludf.DUMMYFUNCTION("""COMPUTED_VALUE"""),"https://www.facebook.com/emil.paragas")</f>
        <v>https://www.facebook.com/emil.paragas</v>
      </c>
      <c r="B1897" s="1" t="str">
        <f ca="1">IFERROR(__xludf.DUMMYFUNCTION("""COMPUTED_VALUE"""),"Emil Paragas")</f>
        <v>Emil Paragas</v>
      </c>
      <c r="C1897" s="1" t="str">
        <f ca="1">IFERROR(__xludf.DUMMYFUNCTION("""COMPUTED_VALUE"""),"Emil")</f>
        <v>Emil</v>
      </c>
      <c r="D1897" s="1" t="str">
        <f ca="1">IFERROR(__xludf.DUMMYFUNCTION("""COMPUTED_VALUE"""),"Paragas")</f>
        <v>Paragas</v>
      </c>
      <c r="E1897" s="1" t="str">
        <f ca="1">IFERROR(__xludf.DUMMYFUNCTION("""COMPUTED_VALUE"""),"Maliit yung venue, maraming di makakapasok. Pero, PADAYON mga kaigsuonan... #IpanaloNa10To  #LeniKiko2022  #CaMaNaVaIsPink")</f>
        <v>Maliit yung venue, maraming di makakapasok. Pero, PADAYON mga kaigsuonan... #IpanaloNa10To  #LeniKiko2022  #CaMaNaVaIsPink</v>
      </c>
      <c r="F1897" s="1">
        <f ca="1">IFERROR(__xludf.DUMMYFUNCTION("""COMPUTED_VALUE"""),17)</f>
        <v>17</v>
      </c>
      <c r="G1897" s="1" t="str">
        <f ca="1">IFERROR(__xludf.DUMMYFUNCTION("""COMPUTED_VALUE"""),"3 mos")</f>
        <v>3 mos</v>
      </c>
      <c r="H1897" s="1" t="str">
        <f ca="1">IFERROR(__xludf.DUMMYFUNCTION("""COMPUTED_VALUE"""),"comment")</f>
        <v>comment</v>
      </c>
      <c r="I1897"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97" s="1" t="str">
        <f ca="1">IFERROR(__xludf.DUMMYFUNCTION("""COMPUTED_VALUE"""),"2022-07-04T15:46:23.006Z")</f>
        <v>2022-07-04T15:46:23.006Z</v>
      </c>
    </row>
    <row r="1898" spans="1:10" x14ac:dyDescent="0.2">
      <c r="A1898" s="2" t="str">
        <f ca="1">IFERROR(__xludf.DUMMYFUNCTION("""COMPUTED_VALUE"""),"https://www.facebook.com/nilo.asas")</f>
        <v>https://www.facebook.com/nilo.asas</v>
      </c>
      <c r="B1898" s="1" t="str">
        <f ca="1">IFERROR(__xludf.DUMMYFUNCTION("""COMPUTED_VALUE"""),"Nilo Asas")</f>
        <v>Nilo Asas</v>
      </c>
      <c r="C1898" s="1" t="str">
        <f ca="1">IFERROR(__xludf.DUMMYFUNCTION("""COMPUTED_VALUE"""),"Nilo")</f>
        <v>Nilo</v>
      </c>
      <c r="D1898" s="1" t="str">
        <f ca="1">IFERROR(__xludf.DUMMYFUNCTION("""COMPUTED_VALUE"""),"Asas")</f>
        <v>Asas</v>
      </c>
      <c r="E1898" s="1" t="str">
        <f ca="1">IFERROR(__xludf.DUMMYFUNCTION("""COMPUTED_VALUE"""),"Emil Paragas arang luaga pede mag basketball.")</f>
        <v>Emil Paragas arang luaga pede mag basketball.</v>
      </c>
      <c r="F1898" s="1">
        <f ca="1">IFERROR(__xludf.DUMMYFUNCTION("""COMPUTED_VALUE"""),1)</f>
        <v>1</v>
      </c>
      <c r="G1898" s="1" t="str">
        <f ca="1">IFERROR(__xludf.DUMMYFUNCTION("""COMPUTED_VALUE"""),"3 mos")</f>
        <v>3 mos</v>
      </c>
      <c r="H1898" s="1" t="str">
        <f ca="1">IFERROR(__xludf.DUMMYFUNCTION("""COMPUTED_VALUE"""),"reply")</f>
        <v>reply</v>
      </c>
      <c r="I1898"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98" s="1" t="str">
        <f ca="1">IFERROR(__xludf.DUMMYFUNCTION("""COMPUTED_VALUE"""),"2022-07-04T15:46:23.006Z")</f>
        <v>2022-07-04T15:46:23.006Z</v>
      </c>
    </row>
    <row r="1899" spans="1:10" x14ac:dyDescent="0.2">
      <c r="A1899" s="2" t="str">
        <f ca="1">IFERROR(__xludf.DUMMYFUNCTION("""COMPUTED_VALUE"""),"https://www.facebook.com/ronan.alejandro")</f>
        <v>https://www.facebook.com/ronan.alejandro</v>
      </c>
      <c r="B1899" s="1" t="str">
        <f ca="1">IFERROR(__xludf.DUMMYFUNCTION("""COMPUTED_VALUE"""),"Nanun Nanun Alejandro")</f>
        <v>Nanun Nanun Alejandro</v>
      </c>
      <c r="C1899" s="1" t="str">
        <f ca="1">IFERROR(__xludf.DUMMYFUNCTION("""COMPUTED_VALUE"""),"Nanun")</f>
        <v>Nanun</v>
      </c>
      <c r="D1899" s="1" t="str">
        <f ca="1">IFERROR(__xludf.DUMMYFUNCTION("""COMPUTED_VALUE"""),"Nanun Alejandro")</f>
        <v>Nanun Alejandro</v>
      </c>
      <c r="E1899" s="1" t="str">
        <f ca="1">IFERROR(__xludf.DUMMYFUNCTION("""COMPUTED_VALUE"""),"Emil Paragas bukas din yung kabilang field ng St Mary’s Academy")</f>
        <v>Emil Paragas bukas din yung kabilang field ng St Mary’s Academy</v>
      </c>
      <c r="F1899" s="1">
        <f ca="1">IFERROR(__xludf.DUMMYFUNCTION("""COMPUTED_VALUE"""),1)</f>
        <v>1</v>
      </c>
      <c r="G1899" s="1" t="str">
        <f ca="1">IFERROR(__xludf.DUMMYFUNCTION("""COMPUTED_VALUE"""),"3 mos")</f>
        <v>3 mos</v>
      </c>
      <c r="H1899" s="1" t="str">
        <f ca="1">IFERROR(__xludf.DUMMYFUNCTION("""COMPUTED_VALUE"""),"reply")</f>
        <v>reply</v>
      </c>
      <c r="I1899"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899" s="1" t="str">
        <f ca="1">IFERROR(__xludf.DUMMYFUNCTION("""COMPUTED_VALUE"""),"2022-07-04T15:46:23.006Z")</f>
        <v>2022-07-04T15:46:23.006Z</v>
      </c>
    </row>
    <row r="1900" spans="1:10" x14ac:dyDescent="0.2">
      <c r="A1900" s="2" t="str">
        <f ca="1">IFERROR(__xludf.DUMMYFUNCTION("""COMPUTED_VALUE"""),"https://www.facebook.com/babie.canete")</f>
        <v>https://www.facebook.com/babie.canete</v>
      </c>
      <c r="B1900" s="1" t="str">
        <f ca="1">IFERROR(__xludf.DUMMYFUNCTION("""COMPUTED_VALUE"""),"Babie HC")</f>
        <v>Babie HC</v>
      </c>
      <c r="C1900" s="1" t="str">
        <f ca="1">IFERROR(__xludf.DUMMYFUNCTION("""COMPUTED_VALUE"""),"Babie")</f>
        <v>Babie</v>
      </c>
      <c r="D1900" s="1" t="str">
        <f ca="1">IFERROR(__xludf.DUMMYFUNCTION("""COMPUTED_VALUE"""),"HC")</f>
        <v>HC</v>
      </c>
      <c r="E1900" s="1" t="str">
        <f ca="1">IFERROR(__xludf.DUMMYFUNCTION("""COMPUTED_VALUE"""),"Nilo Asas alas 2 pa lang, hours before ang program magsugod💗")</f>
        <v>Nilo Asas alas 2 pa lang, hours before ang program magsugod💗</v>
      </c>
      <c r="F1900" s="1"/>
      <c r="G1900" s="1" t="str">
        <f ca="1">IFERROR(__xludf.DUMMYFUNCTION("""COMPUTED_VALUE"""),"3 mos")</f>
        <v>3 mos</v>
      </c>
      <c r="H1900" s="1" t="str">
        <f ca="1">IFERROR(__xludf.DUMMYFUNCTION("""COMPUTED_VALUE"""),"reply")</f>
        <v>reply</v>
      </c>
      <c r="I1900"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00" s="1" t="str">
        <f ca="1">IFERROR(__xludf.DUMMYFUNCTION("""COMPUTED_VALUE"""),"2022-07-04T15:46:23.007Z")</f>
        <v>2022-07-04T15:46:23.007Z</v>
      </c>
    </row>
    <row r="1901" spans="1:10" x14ac:dyDescent="0.2">
      <c r="A1901" s="2" t="str">
        <f ca="1">IFERROR(__xludf.DUMMYFUNCTION("""COMPUTED_VALUE"""),"https://www.facebook.com/emil.paragas")</f>
        <v>https://www.facebook.com/emil.paragas</v>
      </c>
      <c r="B1901" s="1" t="str">
        <f ca="1">IFERROR(__xludf.DUMMYFUNCTION("""COMPUTED_VALUE"""),"Emil Paragas")</f>
        <v>Emil Paragas</v>
      </c>
      <c r="C1901" s="1" t="str">
        <f ca="1">IFERROR(__xludf.DUMMYFUNCTION("""COMPUTED_VALUE"""),"Emil")</f>
        <v>Emil</v>
      </c>
      <c r="D1901" s="1" t="str">
        <f ca="1">IFERROR(__xludf.DUMMYFUNCTION("""COMPUTED_VALUE"""),"Paragas")</f>
        <v>Paragas</v>
      </c>
      <c r="E1901" s="1" t="str">
        <f ca="1">IFERROR(__xludf.DUMMYFUNCTION("""COMPUTED_VALUE"""),"Nilo Asas karon, unya, ambot na lang. Nakit-an na jud sa mga rallies, kulang jud ang area. PADAYON gihapon. 💖")</f>
        <v>Nilo Asas karon, unya, ambot na lang. Nakit-an na jud sa mga rallies, kulang jud ang area. PADAYON gihapon. 💖</v>
      </c>
      <c r="F1901" s="1"/>
      <c r="G1901" s="1" t="str">
        <f ca="1">IFERROR(__xludf.DUMMYFUNCTION("""COMPUTED_VALUE"""),"3 mos")</f>
        <v>3 mos</v>
      </c>
      <c r="H1901" s="1" t="str">
        <f ca="1">IFERROR(__xludf.DUMMYFUNCTION("""COMPUTED_VALUE"""),"reply")</f>
        <v>reply</v>
      </c>
      <c r="I1901"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01" s="1" t="str">
        <f ca="1">IFERROR(__xludf.DUMMYFUNCTION("""COMPUTED_VALUE"""),"2022-07-04T15:46:23.007Z")</f>
        <v>2022-07-04T15:46:23.007Z</v>
      </c>
    </row>
    <row r="1902" spans="1:10" x14ac:dyDescent="0.2">
      <c r="A1902" s="2" t="str">
        <f ca="1">IFERROR(__xludf.DUMMYFUNCTION("""COMPUTED_VALUE"""),"https://www.facebook.com/emil.paragas")</f>
        <v>https://www.facebook.com/emil.paragas</v>
      </c>
      <c r="B1902" s="1" t="str">
        <f ca="1">IFERROR(__xludf.DUMMYFUNCTION("""COMPUTED_VALUE"""),"Emil Paragas")</f>
        <v>Emil Paragas</v>
      </c>
      <c r="C1902" s="1" t="str">
        <f ca="1">IFERROR(__xludf.DUMMYFUNCTION("""COMPUTED_VALUE"""),"Emil")</f>
        <v>Emil</v>
      </c>
      <c r="D1902" s="1" t="str">
        <f ca="1">IFERROR(__xludf.DUMMYFUNCTION("""COMPUTED_VALUE"""),"Paragas")</f>
        <v>Paragas</v>
      </c>
      <c r="E1902" s="1" t="str">
        <f ca="1">IFERROR(__xludf.DUMMYFUNCTION("""COMPUTED_VALUE"""),"Nanun Nanun Alejandro St. Mary's, yun po bang OLGA?")</f>
        <v>Nanun Nanun Alejandro St. Mary's, yun po bang OLGA?</v>
      </c>
      <c r="F1902" s="1">
        <f ca="1">IFERROR(__xludf.DUMMYFUNCTION("""COMPUTED_VALUE"""),1)</f>
        <v>1</v>
      </c>
      <c r="G1902" s="1" t="str">
        <f ca="1">IFERROR(__xludf.DUMMYFUNCTION("""COMPUTED_VALUE"""),"3 mos")</f>
        <v>3 mos</v>
      </c>
      <c r="H1902" s="1" t="str">
        <f ca="1">IFERROR(__xludf.DUMMYFUNCTION("""COMPUTED_VALUE"""),"reply")</f>
        <v>reply</v>
      </c>
      <c r="I1902"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02" s="1" t="str">
        <f ca="1">IFERROR(__xludf.DUMMYFUNCTION("""COMPUTED_VALUE"""),"2022-07-04T15:46:23.007Z")</f>
        <v>2022-07-04T15:46:23.007Z</v>
      </c>
    </row>
    <row r="1903" spans="1:10" x14ac:dyDescent="0.2">
      <c r="A1903" s="2" t="str">
        <f ca="1">IFERROR(__xludf.DUMMYFUNCTION("""COMPUTED_VALUE"""),"https://www.facebook.com/ronan.alejandro")</f>
        <v>https://www.facebook.com/ronan.alejandro</v>
      </c>
      <c r="B1903" s="1" t="str">
        <f ca="1">IFERROR(__xludf.DUMMYFUNCTION("""COMPUTED_VALUE"""),"Nanun Nanun Alejandro")</f>
        <v>Nanun Nanun Alejandro</v>
      </c>
      <c r="C1903" s="1" t="str">
        <f ca="1">IFERROR(__xludf.DUMMYFUNCTION("""COMPUTED_VALUE"""),"Nanun")</f>
        <v>Nanun</v>
      </c>
      <c r="D1903" s="1" t="str">
        <f ca="1">IFERROR(__xludf.DUMMYFUNCTION("""COMPUTED_VALUE"""),"Nanun Alejandro")</f>
        <v>Nanun Alejandro</v>
      </c>
      <c r="E1903" s="1" t="str">
        <f ca="1">IFERROR(__xludf.DUMMYFUNCTION("""COMPUTED_VALUE"""),"Emil Paragas yes, iopen din ata")</f>
        <v>Emil Paragas yes, iopen din ata</v>
      </c>
      <c r="F1903" s="1">
        <f ca="1">IFERROR(__xludf.DUMMYFUNCTION("""COMPUTED_VALUE"""),1)</f>
        <v>1</v>
      </c>
      <c r="G1903" s="1" t="str">
        <f ca="1">IFERROR(__xludf.DUMMYFUNCTION("""COMPUTED_VALUE"""),"3 mos")</f>
        <v>3 mos</v>
      </c>
      <c r="H1903" s="1" t="str">
        <f ca="1">IFERROR(__xludf.DUMMYFUNCTION("""COMPUTED_VALUE"""),"reply")</f>
        <v>reply</v>
      </c>
      <c r="I1903"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03" s="1" t="str">
        <f ca="1">IFERROR(__xludf.DUMMYFUNCTION("""COMPUTED_VALUE"""),"2022-07-04T15:46:23.007Z")</f>
        <v>2022-07-04T15:46:23.007Z</v>
      </c>
    </row>
    <row r="1904" spans="1:10" x14ac:dyDescent="0.2">
      <c r="A1904" s="2" t="str">
        <f ca="1">IFERROR(__xludf.DUMMYFUNCTION("""COMPUTED_VALUE"""),"https://www.facebook.com/emil.paragas")</f>
        <v>https://www.facebook.com/emil.paragas</v>
      </c>
      <c r="B1904" s="1" t="str">
        <f ca="1">IFERROR(__xludf.DUMMYFUNCTION("""COMPUTED_VALUE"""),"Emil Paragas")</f>
        <v>Emil Paragas</v>
      </c>
      <c r="C1904" s="1" t="str">
        <f ca="1">IFERROR(__xludf.DUMMYFUNCTION("""COMPUTED_VALUE"""),"Emil")</f>
        <v>Emil</v>
      </c>
      <c r="D1904" s="1" t="str">
        <f ca="1">IFERROR(__xludf.DUMMYFUNCTION("""COMPUTED_VALUE"""),"Paragas")</f>
        <v>Paragas</v>
      </c>
      <c r="E1904" s="1" t="str">
        <f ca="1">IFERROR(__xludf.DUMMYFUNCTION("""COMPUTED_VALUE"""),"Nilo Asas hello po, nakit-an na nimo unsa kadaghan ang tawo? Sayon pa, madoble pa o baka matriple pa ang numero.")</f>
        <v>Nilo Asas hello po, nakit-an na nimo unsa kadaghan ang tawo? Sayon pa, madoble pa o baka matriple pa ang numero.</v>
      </c>
      <c r="F1904" s="1"/>
      <c r="G1904" s="1" t="str">
        <f ca="1">IFERROR(__xludf.DUMMYFUNCTION("""COMPUTED_VALUE"""),"3 mos")</f>
        <v>3 mos</v>
      </c>
      <c r="H1904" s="1" t="str">
        <f ca="1">IFERROR(__xludf.DUMMYFUNCTION("""COMPUTED_VALUE"""),"reply")</f>
        <v>reply</v>
      </c>
      <c r="I1904"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04" s="1" t="str">
        <f ca="1">IFERROR(__xludf.DUMMYFUNCTION("""COMPUTED_VALUE"""),"2022-07-04T15:46:23.007Z")</f>
        <v>2022-07-04T15:46:23.007Z</v>
      </c>
    </row>
    <row r="1905" spans="1:10" x14ac:dyDescent="0.2">
      <c r="A1905" s="2" t="str">
        <f ca="1">IFERROR(__xludf.DUMMYFUNCTION("""COMPUTED_VALUE"""),"https://www.facebook.com/nilo.asas")</f>
        <v>https://www.facebook.com/nilo.asas</v>
      </c>
      <c r="B1905" s="1" t="str">
        <f ca="1">IFERROR(__xludf.DUMMYFUNCTION("""COMPUTED_VALUE"""),"Nilo Asas")</f>
        <v>Nilo Asas</v>
      </c>
      <c r="C1905" s="1" t="str">
        <f ca="1">IFERROR(__xludf.DUMMYFUNCTION("""COMPUTED_VALUE"""),"Nilo")</f>
        <v>Nilo</v>
      </c>
      <c r="D1905" s="1" t="str">
        <f ca="1">IFERROR(__xludf.DUMMYFUNCTION("""COMPUTED_VALUE"""),"Asas")</f>
        <v>Asas</v>
      </c>
      <c r="E1905" s="1" t="str">
        <f ca="1">IFERROR(__xludf.DUMMYFUNCTION("""COMPUTED_VALUE"""),"Emil Paragas dili gyod makit an kay bisan lobo mahimo g tawo galing noh")</f>
        <v>Emil Paragas dili gyod makit an kay bisan lobo mahimo g tawo galing noh</v>
      </c>
      <c r="F1905" s="1">
        <f ca="1">IFERROR(__xludf.DUMMYFUNCTION("""COMPUTED_VALUE"""),1)</f>
        <v>1</v>
      </c>
      <c r="G1905" s="1" t="str">
        <f ca="1">IFERROR(__xludf.DUMMYFUNCTION("""COMPUTED_VALUE"""),"3 mos")</f>
        <v>3 mos</v>
      </c>
      <c r="H1905" s="1" t="str">
        <f ca="1">IFERROR(__xludf.DUMMYFUNCTION("""COMPUTED_VALUE"""),"reply")</f>
        <v>reply</v>
      </c>
      <c r="I1905"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05" s="1" t="str">
        <f ca="1">IFERROR(__xludf.DUMMYFUNCTION("""COMPUTED_VALUE"""),"2022-07-04T15:46:23.007Z")</f>
        <v>2022-07-04T15:46:23.007Z</v>
      </c>
    </row>
    <row r="1906" spans="1:10" x14ac:dyDescent="0.2">
      <c r="A1906" s="2" t="str">
        <f ca="1">IFERROR(__xludf.DUMMYFUNCTION("""COMPUTED_VALUE"""),"https://www.facebook.com/nilo.asas")</f>
        <v>https://www.facebook.com/nilo.asas</v>
      </c>
      <c r="B1906" s="1" t="str">
        <f ca="1">IFERROR(__xludf.DUMMYFUNCTION("""COMPUTED_VALUE"""),"Nilo Asas")</f>
        <v>Nilo Asas</v>
      </c>
      <c r="C1906" s="1" t="str">
        <f ca="1">IFERROR(__xludf.DUMMYFUNCTION("""COMPUTED_VALUE"""),"Nilo")</f>
        <v>Nilo</v>
      </c>
      <c r="D1906" s="1" t="str">
        <f ca="1">IFERROR(__xludf.DUMMYFUNCTION("""COMPUTED_VALUE"""),"Asas")</f>
        <v>Asas</v>
      </c>
      <c r="E1906" s="1" t="str">
        <f ca="1">IFERROR(__xludf.DUMMYFUNCTION("""COMPUTED_VALUE"""),"Emil Paragas eh rambol mo basin daghan trak ug naya field trip uso raba karon basta naay 500 hehehe.")</f>
        <v>Emil Paragas eh rambol mo basin daghan trak ug naya field trip uso raba karon basta naay 500 hehehe.</v>
      </c>
      <c r="F1906" s="1">
        <f ca="1">IFERROR(__xludf.DUMMYFUNCTION("""COMPUTED_VALUE"""),1)</f>
        <v>1</v>
      </c>
      <c r="G1906" s="1" t="str">
        <f ca="1">IFERROR(__xludf.DUMMYFUNCTION("""COMPUTED_VALUE"""),"3 mos")</f>
        <v>3 mos</v>
      </c>
      <c r="H1906" s="1" t="str">
        <f ca="1">IFERROR(__xludf.DUMMYFUNCTION("""COMPUTED_VALUE"""),"reply")</f>
        <v>reply</v>
      </c>
      <c r="I1906"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06" s="1" t="str">
        <f ca="1">IFERROR(__xludf.DUMMYFUNCTION("""COMPUTED_VALUE"""),"2022-07-04T15:46:23.007Z")</f>
        <v>2022-07-04T15:46:23.007Z</v>
      </c>
    </row>
    <row r="1907" spans="1:10" x14ac:dyDescent="0.2">
      <c r="A1907" s="2" t="str">
        <f ca="1">IFERROR(__xludf.DUMMYFUNCTION("""COMPUTED_VALUE"""),"https://www.facebook.com/emil.paragas")</f>
        <v>https://www.facebook.com/emil.paragas</v>
      </c>
      <c r="B1907" s="1" t="str">
        <f ca="1">IFERROR(__xludf.DUMMYFUNCTION("""COMPUTED_VALUE"""),"Emil Paragas")</f>
        <v>Emil Paragas</v>
      </c>
      <c r="C1907" s="1" t="str">
        <f ca="1">IFERROR(__xludf.DUMMYFUNCTION("""COMPUTED_VALUE"""),"Emil")</f>
        <v>Emil</v>
      </c>
      <c r="D1907" s="1" t="str">
        <f ca="1">IFERROR(__xludf.DUMMYFUNCTION("""COMPUTED_VALUE"""),"Paragas")</f>
        <v>Paragas</v>
      </c>
      <c r="E1907" s="1" t="str">
        <f ca="1">IFERROR(__xludf.DUMMYFUNCTION("""COMPUTED_VALUE"""),"Nilo Asas nakapiyong imong mata hahaha o buta hahaha kalooy hahahaha")</f>
        <v>Nilo Asas nakapiyong imong mata hahaha o buta hahaha kalooy hahahaha</v>
      </c>
      <c r="F1907" s="1"/>
      <c r="G1907" s="1" t="str">
        <f ca="1">IFERROR(__xludf.DUMMYFUNCTION("""COMPUTED_VALUE"""),"3 mos")</f>
        <v>3 mos</v>
      </c>
      <c r="H1907" s="1" t="str">
        <f ca="1">IFERROR(__xludf.DUMMYFUNCTION("""COMPUTED_VALUE"""),"reply")</f>
        <v>reply</v>
      </c>
      <c r="I1907"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07" s="1" t="str">
        <f ca="1">IFERROR(__xludf.DUMMYFUNCTION("""COMPUTED_VALUE"""),"2022-07-04T15:46:23.007Z")</f>
        <v>2022-07-04T15:46:23.007Z</v>
      </c>
    </row>
    <row r="1908" spans="1:10" x14ac:dyDescent="0.2">
      <c r="A1908" s="2" t="str">
        <f ca="1">IFERROR(__xludf.DUMMYFUNCTION("""COMPUTED_VALUE"""),"https://www.facebook.com/edna.aspe")</f>
        <v>https://www.facebook.com/edna.aspe</v>
      </c>
      <c r="B1908" s="1" t="str">
        <f ca="1">IFERROR(__xludf.DUMMYFUNCTION("""COMPUTED_VALUE"""),"Edna Aspe")</f>
        <v>Edna Aspe</v>
      </c>
      <c r="C1908" s="1" t="str">
        <f ca="1">IFERROR(__xludf.DUMMYFUNCTION("""COMPUTED_VALUE"""),"Edna")</f>
        <v>Edna</v>
      </c>
      <c r="D1908" s="1" t="str">
        <f ca="1">IFERROR(__xludf.DUMMYFUNCTION("""COMPUTED_VALUE"""),"Aspe")</f>
        <v>Aspe</v>
      </c>
      <c r="E1908" s="1" t="str">
        <f ca="1">IFERROR(__xludf.DUMMYFUNCTION("""COMPUTED_VALUE"""),"God Bless You CAMANAVA!!!💖💖💖 Proud to be a Kakampink... #LeniKikoTeam2022 #IpanaloNa10To")</f>
        <v>God Bless You CAMANAVA!!!💖💖💖 Proud to be a Kakampink... #LeniKikoTeam2022 #IpanaloNa10To</v>
      </c>
      <c r="F1908" s="1">
        <f ca="1">IFERROR(__xludf.DUMMYFUNCTION("""COMPUTED_VALUE"""),8)</f>
        <v>8</v>
      </c>
      <c r="G1908" s="1" t="str">
        <f ca="1">IFERROR(__xludf.DUMMYFUNCTION("""COMPUTED_VALUE"""),"3 mos")</f>
        <v>3 mos</v>
      </c>
      <c r="H1908" s="1" t="str">
        <f ca="1">IFERROR(__xludf.DUMMYFUNCTION("""COMPUTED_VALUE"""),"comment")</f>
        <v>comment</v>
      </c>
      <c r="I1908"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08" s="1" t="str">
        <f ca="1">IFERROR(__xludf.DUMMYFUNCTION("""COMPUTED_VALUE"""),"2022-07-04T15:46:23.007Z")</f>
        <v>2022-07-04T15:46:23.007Z</v>
      </c>
    </row>
    <row r="1909" spans="1:10" x14ac:dyDescent="0.2">
      <c r="A1909" s="2" t="str">
        <f ca="1">IFERROR(__xludf.DUMMYFUNCTION("""COMPUTED_VALUE"""),"https://www.facebook.com/michelle.leslie.92102")</f>
        <v>https://www.facebook.com/michelle.leslie.92102</v>
      </c>
      <c r="B1909" s="1" t="str">
        <f ca="1">IFERROR(__xludf.DUMMYFUNCTION("""COMPUTED_VALUE"""),"Michelle Leslie")</f>
        <v>Michelle Leslie</v>
      </c>
      <c r="C1909" s="1" t="str">
        <f ca="1">IFERROR(__xludf.DUMMYFUNCTION("""COMPUTED_VALUE"""),"Michelle")</f>
        <v>Michelle</v>
      </c>
      <c r="D1909" s="1" t="str">
        <f ca="1">IFERROR(__xludf.DUMMYFUNCTION("""COMPUTED_VALUE"""),"Leslie")</f>
        <v>Leslie</v>
      </c>
      <c r="E1909" s="1" t="str">
        <f ca="1">IFERROR(__xludf.DUMMYFUNCTION("""COMPUTED_VALUE"""),"IPANALO NATIN TO 💖💖💖 #CaMaNavaForLeniKiko #CaMaNaVaIsPink #CaMaNaVaRockNRosas #CamanavaBaybeh")</f>
        <v>IPANALO NATIN TO 💖💖💖 #CaMaNavaForLeniKiko #CaMaNaVaIsPink #CaMaNaVaRockNRosas #CamanavaBaybeh</v>
      </c>
      <c r="F1909" s="1">
        <f ca="1">IFERROR(__xludf.DUMMYFUNCTION("""COMPUTED_VALUE"""),20)</f>
        <v>20</v>
      </c>
      <c r="G1909" s="1" t="str">
        <f ca="1">IFERROR(__xludf.DUMMYFUNCTION("""COMPUTED_VALUE"""),"3 mos")</f>
        <v>3 mos</v>
      </c>
      <c r="H1909" s="1" t="str">
        <f ca="1">IFERROR(__xludf.DUMMYFUNCTION("""COMPUTED_VALUE"""),"comment")</f>
        <v>comment</v>
      </c>
      <c r="I1909"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09" s="1" t="str">
        <f ca="1">IFERROR(__xludf.DUMMYFUNCTION("""COMPUTED_VALUE"""),"2022-07-04T15:46:23.007Z")</f>
        <v>2022-07-04T15:46:23.007Z</v>
      </c>
    </row>
    <row r="1910" spans="1:10" x14ac:dyDescent="0.2">
      <c r="A1910" s="2" t="str">
        <f ca="1">IFERROR(__xludf.DUMMYFUNCTION("""COMPUTED_VALUE"""),"https://www.facebook.com/profile.php?id=100010288385661")</f>
        <v>https://www.facebook.com/profile.php?id=100010288385661</v>
      </c>
      <c r="B1910" s="1" t="str">
        <f ca="1">IFERROR(__xludf.DUMMYFUNCTION("""COMPUTED_VALUE"""),"Joseph Fortes")</f>
        <v>Joseph Fortes</v>
      </c>
      <c r="C1910" s="1" t="str">
        <f ca="1">IFERROR(__xludf.DUMMYFUNCTION("""COMPUTED_VALUE"""),"Joseph")</f>
        <v>Joseph</v>
      </c>
      <c r="D1910" s="1" t="str">
        <f ca="1">IFERROR(__xludf.DUMMYFUNCTION("""COMPUTED_VALUE"""),"Fortes")</f>
        <v>Fortes</v>
      </c>
      <c r="E1910" s="1" t="str">
        <f ca="1">IFERROR(__xludf.DUMMYFUNCTION("""COMPUTED_VALUE"""),"Michelle Leslie Tama.....Gisingin mga natutulog.....IpanalonatinTo")</f>
        <v>Michelle Leslie Tama.....Gisingin mga natutulog.....IpanalonatinTo</v>
      </c>
      <c r="F1910" s="1">
        <f ca="1">IFERROR(__xludf.DUMMYFUNCTION("""COMPUTED_VALUE"""),2)</f>
        <v>2</v>
      </c>
      <c r="G1910" s="1" t="str">
        <f ca="1">IFERROR(__xludf.DUMMYFUNCTION("""COMPUTED_VALUE"""),"3 mos")</f>
        <v>3 mos</v>
      </c>
      <c r="H1910" s="1" t="str">
        <f ca="1">IFERROR(__xludf.DUMMYFUNCTION("""COMPUTED_VALUE"""),"reply")</f>
        <v>reply</v>
      </c>
      <c r="I1910"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10" s="1" t="str">
        <f ca="1">IFERROR(__xludf.DUMMYFUNCTION("""COMPUTED_VALUE"""),"2022-07-04T15:46:23.007Z")</f>
        <v>2022-07-04T15:46:23.007Z</v>
      </c>
    </row>
    <row r="1911" spans="1:10" x14ac:dyDescent="0.2">
      <c r="A1911" s="2" t="str">
        <f ca="1">IFERROR(__xludf.DUMMYFUNCTION("""COMPUTED_VALUE"""),"https://www.facebook.com/malating.tao")</f>
        <v>https://www.facebook.com/malating.tao</v>
      </c>
      <c r="B1911" s="1" t="str">
        <f ca="1">IFERROR(__xludf.DUMMYFUNCTION("""COMPUTED_VALUE"""),"Malating Tao")</f>
        <v>Malating Tao</v>
      </c>
      <c r="C1911" s="1" t="str">
        <f ca="1">IFERROR(__xludf.DUMMYFUNCTION("""COMPUTED_VALUE"""),"Malating")</f>
        <v>Malating</v>
      </c>
      <c r="D1911" s="1" t="str">
        <f ca="1">IFERROR(__xludf.DUMMYFUNCTION("""COMPUTED_VALUE"""),"Tao")</f>
        <v>Tao</v>
      </c>
      <c r="E1911" s="1" t="str">
        <f ca="1">IFERROR(__xludf.DUMMYFUNCTION("""COMPUTED_VALUE"""),"Bilib ako sa tiyaga ng mga #Kakampinks sa #CAMANAVA!  Ang aga dumating kahit na sobrang init ng araw. God bless you all!  #CaMaNaVaIsPink 💗 #CaMaNavaForLeniKiko")</f>
        <v>Bilib ako sa tiyaga ng mga #Kakampinks sa #CAMANAVA!  Ang aga dumating kahit na sobrang init ng araw. God bless you all!  #CaMaNaVaIsPink 💗 #CaMaNavaForLeniKiko</v>
      </c>
      <c r="F1911" s="1">
        <f ca="1">IFERROR(__xludf.DUMMYFUNCTION("""COMPUTED_VALUE"""),44)</f>
        <v>44</v>
      </c>
      <c r="G1911" s="1" t="str">
        <f ca="1">IFERROR(__xludf.DUMMYFUNCTION("""COMPUTED_VALUE"""),"3 mos")</f>
        <v>3 mos</v>
      </c>
      <c r="H1911" s="1" t="str">
        <f ca="1">IFERROR(__xludf.DUMMYFUNCTION("""COMPUTED_VALUE"""),"comment")</f>
        <v>comment</v>
      </c>
      <c r="I1911"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11" s="1" t="str">
        <f ca="1">IFERROR(__xludf.DUMMYFUNCTION("""COMPUTED_VALUE"""),"2022-07-04T15:46:23.007Z")</f>
        <v>2022-07-04T15:46:23.007Z</v>
      </c>
    </row>
    <row r="1912" spans="1:10" x14ac:dyDescent="0.2">
      <c r="A1912" s="2" t="str">
        <f ca="1">IFERROR(__xludf.DUMMYFUNCTION("""COMPUTED_VALUE"""),"https://www.facebook.com/maya.barsaga")</f>
        <v>https://www.facebook.com/maya.barsaga</v>
      </c>
      <c r="B1912" s="1" t="str">
        <f ca="1">IFERROR(__xludf.DUMMYFUNCTION("""COMPUTED_VALUE"""),"مايا بورسيلانكو برساجا")</f>
        <v>مايا بورسيلانكو برساجا</v>
      </c>
      <c r="C1912" s="1" t="str">
        <f ca="1">IFERROR(__xludf.DUMMYFUNCTION("""COMPUTED_VALUE"""),"مايا")</f>
        <v>مايا</v>
      </c>
      <c r="D1912" s="1" t="str">
        <f ca="1">IFERROR(__xludf.DUMMYFUNCTION("""COMPUTED_VALUE"""),"بورسيلانكو برساجا")</f>
        <v>بورسيلانكو برساجا</v>
      </c>
      <c r="E1912" s="1" t="str">
        <f ca="1">IFERROR(__xludf.DUMMYFUNCTION("""COMPUTED_VALUE"""),"Wow ang dami….daming lobo 😃✌🏻")</f>
        <v>Wow ang dami….daming lobo 😃✌🏻</v>
      </c>
      <c r="F1912" s="1">
        <f ca="1">IFERROR(__xludf.DUMMYFUNCTION("""COMPUTED_VALUE"""),2)</f>
        <v>2</v>
      </c>
      <c r="G1912" s="1" t="str">
        <f ca="1">IFERROR(__xludf.DUMMYFUNCTION("""COMPUTED_VALUE"""),"3 mos")</f>
        <v>3 mos</v>
      </c>
      <c r="H1912" s="1" t="str">
        <f ca="1">IFERROR(__xludf.DUMMYFUNCTION("""COMPUTED_VALUE"""),"comment")</f>
        <v>comment</v>
      </c>
      <c r="I1912"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12" s="1" t="str">
        <f ca="1">IFERROR(__xludf.DUMMYFUNCTION("""COMPUTED_VALUE"""),"2022-07-04T15:46:23.007Z")</f>
        <v>2022-07-04T15:46:23.007Z</v>
      </c>
    </row>
    <row r="1913" spans="1:10" x14ac:dyDescent="0.2">
      <c r="A1913" s="2" t="str">
        <f ca="1">IFERROR(__xludf.DUMMYFUNCTION("""COMPUTED_VALUE"""),"https://www.facebook.com/rodel.parambita")</f>
        <v>https://www.facebook.com/rodel.parambita</v>
      </c>
      <c r="B1913" s="1" t="str">
        <f ca="1">IFERROR(__xludf.DUMMYFUNCTION("""COMPUTED_VALUE"""),"Rodel Parambita")</f>
        <v>Rodel Parambita</v>
      </c>
      <c r="C1913" s="1" t="str">
        <f ca="1">IFERROR(__xludf.DUMMYFUNCTION("""COMPUTED_VALUE"""),"Rodel")</f>
        <v>Rodel</v>
      </c>
      <c r="D1913" s="1" t="str">
        <f ca="1">IFERROR(__xludf.DUMMYFUNCTION("""COMPUTED_VALUE"""),"Parambita")</f>
        <v>Parambita</v>
      </c>
      <c r="E1913" s="1" t="str">
        <f ca="1">IFERROR(__xludf.DUMMYFUNCTION("""COMPUTED_VALUE"""),"Mabuhay Kakampinks you're the best, Godbless! #LeniKiko2022 #GobyernongTapatAngatBuhayLahat")</f>
        <v>Mabuhay Kakampinks you're the best, Godbless! #LeniKiko2022 #GobyernongTapatAngatBuhayLahat</v>
      </c>
      <c r="F1913" s="1">
        <f ca="1">IFERROR(__xludf.DUMMYFUNCTION("""COMPUTED_VALUE"""),18)</f>
        <v>18</v>
      </c>
      <c r="G1913" s="1" t="str">
        <f ca="1">IFERROR(__xludf.DUMMYFUNCTION("""COMPUTED_VALUE"""),"3 mos")</f>
        <v>3 mos</v>
      </c>
      <c r="H1913" s="1" t="str">
        <f ca="1">IFERROR(__xludf.DUMMYFUNCTION("""COMPUTED_VALUE"""),"comment")</f>
        <v>comment</v>
      </c>
      <c r="I1913"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13" s="1" t="str">
        <f ca="1">IFERROR(__xludf.DUMMYFUNCTION("""COMPUTED_VALUE"""),"2022-07-04T15:46:23.007Z")</f>
        <v>2022-07-04T15:46:23.007Z</v>
      </c>
    </row>
    <row r="1914" spans="1:10" x14ac:dyDescent="0.2">
      <c r="A1914" s="2" t="str">
        <f ca="1">IFERROR(__xludf.DUMMYFUNCTION("""COMPUTED_VALUE"""),"https://www.facebook.com/cory.penaroyo")</f>
        <v>https://www.facebook.com/cory.penaroyo</v>
      </c>
      <c r="B1914" s="1" t="str">
        <f ca="1">IFERROR(__xludf.DUMMYFUNCTION("""COMPUTED_VALUE"""),"Cory Peñaroyo")</f>
        <v>Cory Peñaroyo</v>
      </c>
      <c r="C1914" s="1" t="str">
        <f ca="1">IFERROR(__xludf.DUMMYFUNCTION("""COMPUTED_VALUE"""),"Cory")</f>
        <v>Cory</v>
      </c>
      <c r="D1914" s="1" t="str">
        <f ca="1">IFERROR(__xludf.DUMMYFUNCTION("""COMPUTED_VALUE"""),"Peñaroyo")</f>
        <v>Peñaroyo</v>
      </c>
      <c r="E1914" s="1" t="str">
        <f ca="1">IFERROR(__xludf.DUMMYFUNCTION("""COMPUTED_VALUE"""),"Saludo ako sa mga taong natitiyaga sa init ng araw makadalo lang sa grand rally ni madam... God bless us all KAKAMPINK")</f>
        <v>Saludo ako sa mga taong natitiyaga sa init ng araw makadalo lang sa grand rally ni madam... God bless us all KAKAMPINK</v>
      </c>
      <c r="F1914" s="1">
        <f ca="1">IFERROR(__xludf.DUMMYFUNCTION("""COMPUTED_VALUE"""),19)</f>
        <v>19</v>
      </c>
      <c r="G1914" s="1" t="str">
        <f ca="1">IFERROR(__xludf.DUMMYFUNCTION("""COMPUTED_VALUE"""),"3 mos")</f>
        <v>3 mos</v>
      </c>
      <c r="H1914" s="1" t="str">
        <f ca="1">IFERROR(__xludf.DUMMYFUNCTION("""COMPUTED_VALUE"""),"comment")</f>
        <v>comment</v>
      </c>
      <c r="I1914"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14" s="1" t="str">
        <f ca="1">IFERROR(__xludf.DUMMYFUNCTION("""COMPUTED_VALUE"""),"2022-07-04T15:46:23.007Z")</f>
        <v>2022-07-04T15:46:23.007Z</v>
      </c>
    </row>
    <row r="1915" spans="1:10" x14ac:dyDescent="0.2">
      <c r="A1915" s="2" t="str">
        <f ca="1">IFERROR(__xludf.DUMMYFUNCTION("""COMPUTED_VALUE"""),"https://www.facebook.com/zanlie.ebarita")</f>
        <v>https://www.facebook.com/zanlie.ebarita</v>
      </c>
      <c r="B1915" s="1" t="str">
        <f ca="1">IFERROR(__xludf.DUMMYFUNCTION("""COMPUTED_VALUE"""),"Zan VE Ebarita")</f>
        <v>Zan VE Ebarita</v>
      </c>
      <c r="C1915" s="1" t="str">
        <f ca="1">IFERROR(__xludf.DUMMYFUNCTION("""COMPUTED_VALUE"""),"Zan")</f>
        <v>Zan</v>
      </c>
      <c r="D1915" s="1" t="str">
        <f ca="1">IFERROR(__xludf.DUMMYFUNCTION("""COMPUTED_VALUE"""),"VE Ebarita")</f>
        <v>VE Ebarita</v>
      </c>
      <c r="E1915" s="1" t="str">
        <f ca="1">IFERROR(__xludf.DUMMYFUNCTION("""COMPUTED_VALUE"""),"Ang init pa, mmya Nako ppunta.")</f>
        <v>Ang init pa, mmya Nako ppunta.</v>
      </c>
      <c r="F1915" s="1">
        <f ca="1">IFERROR(__xludf.DUMMYFUNCTION("""COMPUTED_VALUE"""),3)</f>
        <v>3</v>
      </c>
      <c r="G1915" s="1" t="str">
        <f ca="1">IFERROR(__xludf.DUMMYFUNCTION("""COMPUTED_VALUE"""),"3 mos")</f>
        <v>3 mos</v>
      </c>
      <c r="H1915" s="1" t="str">
        <f ca="1">IFERROR(__xludf.DUMMYFUNCTION("""COMPUTED_VALUE"""),"comment")</f>
        <v>comment</v>
      </c>
      <c r="I1915"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15" s="1" t="str">
        <f ca="1">IFERROR(__xludf.DUMMYFUNCTION("""COMPUTED_VALUE"""),"2022-07-04T15:46:23.007Z")</f>
        <v>2022-07-04T15:46:23.007Z</v>
      </c>
    </row>
    <row r="1916" spans="1:10" x14ac:dyDescent="0.2">
      <c r="A1916" s="2" t="str">
        <f ca="1">IFERROR(__xludf.DUMMYFUNCTION("""COMPUTED_VALUE"""),"https://www.facebook.com/vchua1")</f>
        <v>https://www.facebook.com/vchua1</v>
      </c>
      <c r="B1916" s="1" t="str">
        <f ca="1">IFERROR(__xludf.DUMMYFUNCTION("""COMPUTED_VALUE"""),"Vincent De Guzman Chua")</f>
        <v>Vincent De Guzman Chua</v>
      </c>
      <c r="C1916" s="1" t="str">
        <f ca="1">IFERROR(__xludf.DUMMYFUNCTION("""COMPUTED_VALUE"""),"Vincent")</f>
        <v>Vincent</v>
      </c>
      <c r="D1916" s="1" t="str">
        <f ca="1">IFERROR(__xludf.DUMMYFUNCTION("""COMPUTED_VALUE"""),"De Guzman Chua")</f>
        <v>De Guzman Chua</v>
      </c>
      <c r="E1916" s="1" t="str">
        <f ca="1">IFERROR(__xludf.DUMMYFUNCTION("""COMPUTED_VALUE"""),"Zanlie Visitacion Ebarita baka po di na kayo makapasok")</f>
        <v>Zanlie Visitacion Ebarita baka po di na kayo makapasok</v>
      </c>
      <c r="F1916" s="1">
        <f ca="1">IFERROR(__xludf.DUMMYFUNCTION("""COMPUTED_VALUE"""),1)</f>
        <v>1</v>
      </c>
      <c r="G1916" s="1" t="str">
        <f ca="1">IFERROR(__xludf.DUMMYFUNCTION("""COMPUTED_VALUE"""),"3 mos")</f>
        <v>3 mos</v>
      </c>
      <c r="H1916" s="1" t="str">
        <f ca="1">IFERROR(__xludf.DUMMYFUNCTION("""COMPUTED_VALUE"""),"reply")</f>
        <v>reply</v>
      </c>
      <c r="I1916"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16" s="1" t="str">
        <f ca="1">IFERROR(__xludf.DUMMYFUNCTION("""COMPUTED_VALUE"""),"2022-07-04T15:46:23.007Z")</f>
        <v>2022-07-04T15:46:23.007Z</v>
      </c>
    </row>
    <row r="1917" spans="1:10" x14ac:dyDescent="0.2">
      <c r="A1917" s="2" t="str">
        <f ca="1">IFERROR(__xludf.DUMMYFUNCTION("""COMPUTED_VALUE"""),"https://www.facebook.com/zanlie.ebarita")</f>
        <v>https://www.facebook.com/zanlie.ebarita</v>
      </c>
      <c r="B1917" s="1" t="str">
        <f ca="1">IFERROR(__xludf.DUMMYFUNCTION("""COMPUTED_VALUE"""),"Zan VE Ebarita")</f>
        <v>Zan VE Ebarita</v>
      </c>
      <c r="C1917" s="1" t="str">
        <f ca="1">IFERROR(__xludf.DUMMYFUNCTION("""COMPUTED_VALUE"""),"Zan")</f>
        <v>Zan</v>
      </c>
      <c r="D1917" s="1" t="str">
        <f ca="1">IFERROR(__xludf.DUMMYFUNCTION("""COMPUTED_VALUE"""),"VE Ebarita")</f>
        <v>VE Ebarita</v>
      </c>
      <c r="E1917" s="1" t="str">
        <f ca="1">IFERROR(__xludf.DUMMYFUNCTION("""COMPUTED_VALUE"""),"Vincent De Guzman Chua sa labas nalang ako hahaa dami na tao")</f>
        <v>Vincent De Guzman Chua sa labas nalang ako hahaa dami na tao</v>
      </c>
      <c r="F1917" s="1">
        <f ca="1">IFERROR(__xludf.DUMMYFUNCTION("""COMPUTED_VALUE"""),1)</f>
        <v>1</v>
      </c>
      <c r="G1917" s="1" t="str">
        <f ca="1">IFERROR(__xludf.DUMMYFUNCTION("""COMPUTED_VALUE"""),"3 mos")</f>
        <v>3 mos</v>
      </c>
      <c r="H1917" s="1" t="str">
        <f ca="1">IFERROR(__xludf.DUMMYFUNCTION("""COMPUTED_VALUE"""),"reply")</f>
        <v>reply</v>
      </c>
      <c r="I1917"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17" s="1" t="str">
        <f ca="1">IFERROR(__xludf.DUMMYFUNCTION("""COMPUTED_VALUE"""),"2022-07-04T15:46:23.007Z")</f>
        <v>2022-07-04T15:46:23.007Z</v>
      </c>
    </row>
    <row r="1918" spans="1:10" x14ac:dyDescent="0.2">
      <c r="A1918" s="2" t="str">
        <f ca="1">IFERROR(__xludf.DUMMYFUNCTION("""COMPUTED_VALUE"""),"https://www.facebook.com/be.aranza")</f>
        <v>https://www.facebook.com/be.aranza</v>
      </c>
      <c r="B1918" s="1" t="str">
        <f ca="1">IFERROR(__xludf.DUMMYFUNCTION("""COMPUTED_VALUE"""),"Be Aranza")</f>
        <v>Be Aranza</v>
      </c>
      <c r="C1918" s="1" t="str">
        <f ca="1">IFERROR(__xludf.DUMMYFUNCTION("""COMPUTED_VALUE"""),"Be")</f>
        <v>Be</v>
      </c>
      <c r="D1918" s="1" t="str">
        <f ca="1">IFERROR(__xludf.DUMMYFUNCTION("""COMPUTED_VALUE"""),"Aranza")</f>
        <v>Aranza</v>
      </c>
      <c r="E1918" s="1" t="str">
        <f ca="1">IFERROR(__xludf.DUMMYFUNCTION("""COMPUTED_VALUE"""),"Pawisan galing sa puso! Salute to you all")</f>
        <v>Pawisan galing sa puso! Salute to you all</v>
      </c>
      <c r="F1918" s="1">
        <f ca="1">IFERROR(__xludf.DUMMYFUNCTION("""COMPUTED_VALUE"""),4)</f>
        <v>4</v>
      </c>
      <c r="G1918" s="1" t="str">
        <f ca="1">IFERROR(__xludf.DUMMYFUNCTION("""COMPUTED_VALUE"""),"3 mos")</f>
        <v>3 mos</v>
      </c>
      <c r="H1918" s="1" t="str">
        <f ca="1">IFERROR(__xludf.DUMMYFUNCTION("""COMPUTED_VALUE"""),"comment")</f>
        <v>comment</v>
      </c>
      <c r="I1918"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18" s="1" t="str">
        <f ca="1">IFERROR(__xludf.DUMMYFUNCTION("""COMPUTED_VALUE"""),"2022-07-04T15:46:23.007Z")</f>
        <v>2022-07-04T15:46:23.007Z</v>
      </c>
    </row>
    <row r="1919" spans="1:10" x14ac:dyDescent="0.2">
      <c r="A1919" s="2" t="str">
        <f ca="1">IFERROR(__xludf.DUMMYFUNCTION("""COMPUTED_VALUE"""),"https://www.facebook.com/rosalie.lozada.1")</f>
        <v>https://www.facebook.com/rosalie.lozada.1</v>
      </c>
      <c r="B1919" s="1" t="str">
        <f ca="1">IFERROR(__xludf.DUMMYFUNCTION("""COMPUTED_VALUE"""),"Rosalie Alcoser Lozada")</f>
        <v>Rosalie Alcoser Lozada</v>
      </c>
      <c r="C1919" s="1" t="str">
        <f ca="1">IFERROR(__xludf.DUMMYFUNCTION("""COMPUTED_VALUE"""),"Rosalie")</f>
        <v>Rosalie</v>
      </c>
      <c r="D1919" s="1" t="str">
        <f ca="1">IFERROR(__xludf.DUMMYFUNCTION("""COMPUTED_VALUE"""),"Alcoser Lozada")</f>
        <v>Alcoser Lozada</v>
      </c>
      <c r="E1919" s="1" t="str">
        <f ca="1">IFERROR(__xludf.DUMMYFUNCTION("""COMPUTED_VALUE"""),"LETS PRAY NA SANA MADAGDAGAN  PA  LAHAT NG KULAY  PAGSAMA SAMA HIN. UPANG SA GANUN. WALA NG MASASAMANG TAO SA BANSA. HAHAHA. INGATS")</f>
        <v>LETS PRAY NA SANA MADAGDAGAN  PA  LAHAT NG KULAY  PAGSAMA SAMA HIN. UPANG SA GANUN. WALA NG MASASAMANG TAO SA BANSA. HAHAHA. INGATS</v>
      </c>
      <c r="F1919" s="1">
        <f ca="1">IFERROR(__xludf.DUMMYFUNCTION("""COMPUTED_VALUE"""),2)</f>
        <v>2</v>
      </c>
      <c r="G1919" s="1" t="str">
        <f ca="1">IFERROR(__xludf.DUMMYFUNCTION("""COMPUTED_VALUE"""),"3 mos")</f>
        <v>3 mos</v>
      </c>
      <c r="H1919" s="1" t="str">
        <f ca="1">IFERROR(__xludf.DUMMYFUNCTION("""COMPUTED_VALUE"""),"comment")</f>
        <v>comment</v>
      </c>
      <c r="I1919"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19" s="1" t="str">
        <f ca="1">IFERROR(__xludf.DUMMYFUNCTION("""COMPUTED_VALUE"""),"2022-07-04T15:46:23.007Z")</f>
        <v>2022-07-04T15:46:23.007Z</v>
      </c>
    </row>
    <row r="1920" spans="1:10" x14ac:dyDescent="0.2">
      <c r="A1920" s="2" t="str">
        <f ca="1">IFERROR(__xludf.DUMMYFUNCTION("""COMPUTED_VALUE"""),"https://www.facebook.com/vhen.ayupan")</f>
        <v>https://www.facebook.com/vhen.ayupan</v>
      </c>
      <c r="B1920" s="1" t="str">
        <f ca="1">IFERROR(__xludf.DUMMYFUNCTION("""COMPUTED_VALUE"""),"Vhen Ayupan")</f>
        <v>Vhen Ayupan</v>
      </c>
      <c r="C1920" s="1" t="str">
        <f ca="1">IFERROR(__xludf.DUMMYFUNCTION("""COMPUTED_VALUE"""),"Vhen")</f>
        <v>Vhen</v>
      </c>
      <c r="D1920" s="1" t="str">
        <f ca="1">IFERROR(__xludf.DUMMYFUNCTION("""COMPUTED_VALUE"""),"Ayupan")</f>
        <v>Ayupan</v>
      </c>
      <c r="E1920" s="1" t="str">
        <f ca="1">IFERROR(__xludf.DUMMYFUNCTION("""COMPUTED_VALUE"""),"Salamat Camanava for supporting Lenikiko tandem. Dito tayo sa tapat malinis matapang, masipag my plataporma at higit sa lahat resibo.")</f>
        <v>Salamat Camanava for supporting Lenikiko tandem. Dito tayo sa tapat malinis matapang, masipag my plataporma at higit sa lahat resibo.</v>
      </c>
      <c r="F1920" s="1">
        <f ca="1">IFERROR(__xludf.DUMMYFUNCTION("""COMPUTED_VALUE"""),10)</f>
        <v>10</v>
      </c>
      <c r="G1920" s="1" t="str">
        <f ca="1">IFERROR(__xludf.DUMMYFUNCTION("""COMPUTED_VALUE"""),"3 mos")</f>
        <v>3 mos</v>
      </c>
      <c r="H1920" s="1" t="str">
        <f ca="1">IFERROR(__xludf.DUMMYFUNCTION("""COMPUTED_VALUE"""),"comment")</f>
        <v>comment</v>
      </c>
      <c r="I1920"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20" s="1" t="str">
        <f ca="1">IFERROR(__xludf.DUMMYFUNCTION("""COMPUTED_VALUE"""),"2022-07-04T15:46:23.007Z")</f>
        <v>2022-07-04T15:46:23.007Z</v>
      </c>
    </row>
    <row r="1921" spans="1:10" x14ac:dyDescent="0.2">
      <c r="A1921" s="2" t="str">
        <f ca="1">IFERROR(__xludf.DUMMYFUNCTION("""COMPUTED_VALUE"""),"https://www.facebook.com/IZELMBG")</f>
        <v>https://www.facebook.com/IZELMBG</v>
      </c>
      <c r="B1921" s="1" t="str">
        <f ca="1">IFERROR(__xludf.DUMMYFUNCTION("""COMPUTED_VALUE"""),"Izel BG")</f>
        <v>Izel BG</v>
      </c>
      <c r="C1921" s="1" t="str">
        <f ca="1">IFERROR(__xludf.DUMMYFUNCTION("""COMPUTED_VALUE"""),"Izel")</f>
        <v>Izel</v>
      </c>
      <c r="D1921" s="1" t="str">
        <f ca="1">IFERROR(__xludf.DUMMYFUNCTION("""COMPUTED_VALUE"""),"BG")</f>
        <v>BG</v>
      </c>
      <c r="E1921" s="1" t="str">
        <f ca="1">IFERROR(__xludf.DUMMYFUNCTION("""COMPUTED_VALUE"""),"God bless mga #Kakampink ng Camanava! Patuloy na tumindig para sa maayos na pamamahala. #AngatBuhayLahat")</f>
        <v>God bless mga #Kakampink ng Camanava! Patuloy na tumindig para sa maayos na pamamahala. #AngatBuhayLahat</v>
      </c>
      <c r="F1921" s="1">
        <f ca="1">IFERROR(__xludf.DUMMYFUNCTION("""COMPUTED_VALUE"""),8)</f>
        <v>8</v>
      </c>
      <c r="G1921" s="1" t="str">
        <f ca="1">IFERROR(__xludf.DUMMYFUNCTION("""COMPUTED_VALUE"""),"3 mos")</f>
        <v>3 mos</v>
      </c>
      <c r="H1921" s="1" t="str">
        <f ca="1">IFERROR(__xludf.DUMMYFUNCTION("""COMPUTED_VALUE"""),"comment")</f>
        <v>comment</v>
      </c>
      <c r="I1921"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21" s="1" t="str">
        <f ca="1">IFERROR(__xludf.DUMMYFUNCTION("""COMPUTED_VALUE"""),"2022-07-04T15:46:23.007Z")</f>
        <v>2022-07-04T15:46:23.007Z</v>
      </c>
    </row>
    <row r="1922" spans="1:10" x14ac:dyDescent="0.2">
      <c r="A1922" s="2" t="str">
        <f ca="1">IFERROR(__xludf.DUMMYFUNCTION("""COMPUTED_VALUE"""),"https://www.facebook.com/cynthia.tumanut")</f>
        <v>https://www.facebook.com/cynthia.tumanut</v>
      </c>
      <c r="B1922" s="1" t="str">
        <f ca="1">IFERROR(__xludf.DUMMYFUNCTION("""COMPUTED_VALUE"""),"Cee EM Tee")</f>
        <v>Cee EM Tee</v>
      </c>
      <c r="C1922" s="1" t="str">
        <f ca="1">IFERROR(__xludf.DUMMYFUNCTION("""COMPUTED_VALUE"""),"Cee")</f>
        <v>Cee</v>
      </c>
      <c r="D1922" s="1" t="str">
        <f ca="1">IFERROR(__xludf.DUMMYFUNCTION("""COMPUTED_VALUE"""),"EM Tee")</f>
        <v>EM Tee</v>
      </c>
      <c r="E1922" s="1" t="str">
        <f ca="1">IFERROR(__xludf.DUMMYFUNCTION("""COMPUTED_VALUE"""),"Enjoy and be safe.. ❤️❤️❤️ God bless us all 🙏🌸🌸👆")</f>
        <v>Enjoy and be safe.. ❤️❤️❤️ God bless us all 🙏🌸🌸👆</v>
      </c>
      <c r="F1922" s="1">
        <f ca="1">IFERROR(__xludf.DUMMYFUNCTION("""COMPUTED_VALUE"""),9)</f>
        <v>9</v>
      </c>
      <c r="G1922" s="1" t="str">
        <f ca="1">IFERROR(__xludf.DUMMYFUNCTION("""COMPUTED_VALUE"""),"3 mos")</f>
        <v>3 mos</v>
      </c>
      <c r="H1922" s="1" t="str">
        <f ca="1">IFERROR(__xludf.DUMMYFUNCTION("""COMPUTED_VALUE"""),"comment")</f>
        <v>comment</v>
      </c>
      <c r="I1922"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22" s="1" t="str">
        <f ca="1">IFERROR(__xludf.DUMMYFUNCTION("""COMPUTED_VALUE"""),"2022-07-04T15:46:23.007Z")</f>
        <v>2022-07-04T15:46:23.007Z</v>
      </c>
    </row>
    <row r="1923" spans="1:10" x14ac:dyDescent="0.2">
      <c r="A1923" s="2" t="str">
        <f ca="1">IFERROR(__xludf.DUMMYFUNCTION("""COMPUTED_VALUE"""),"https://www.facebook.com/angatbuhayplantlovers/")</f>
        <v>https://www.facebook.com/angatbuhayplantlovers/</v>
      </c>
      <c r="B1923" s="1" t="str">
        <f ca="1">IFERROR(__xludf.DUMMYFUNCTION("""COMPUTED_VALUE"""),"Angat Buhay Plant Lovers")</f>
        <v>Angat Buhay Plant Lovers</v>
      </c>
      <c r="C1923" s="1" t="str">
        <f ca="1">IFERROR(__xludf.DUMMYFUNCTION("""COMPUTED_VALUE"""),"Angat")</f>
        <v>Angat</v>
      </c>
      <c r="D1923" s="1" t="str">
        <f ca="1">IFERROR(__xludf.DUMMYFUNCTION("""COMPUTED_VALUE"""),"Buhay Plant Lovers")</f>
        <v>Buhay Plant Lovers</v>
      </c>
      <c r="E1923" s="1" t="str">
        <f ca="1">IFERROR(__xludf.DUMMYFUNCTION("""COMPUTED_VALUE"""),"Marami pa po sa labas")</f>
        <v>Marami pa po sa labas</v>
      </c>
      <c r="F1923" s="1">
        <f ca="1">IFERROR(__xludf.DUMMYFUNCTION("""COMPUTED_VALUE"""),10)</f>
        <v>10</v>
      </c>
      <c r="G1923" s="1" t="str">
        <f ca="1">IFERROR(__xludf.DUMMYFUNCTION("""COMPUTED_VALUE"""),"3 mos")</f>
        <v>3 mos</v>
      </c>
      <c r="H1923" s="1" t="str">
        <f ca="1">IFERROR(__xludf.DUMMYFUNCTION("""COMPUTED_VALUE"""),"comment")</f>
        <v>comment</v>
      </c>
      <c r="I1923"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23" s="1" t="str">
        <f ca="1">IFERROR(__xludf.DUMMYFUNCTION("""COMPUTED_VALUE"""),"2022-07-04T15:46:23.007Z")</f>
        <v>2022-07-04T15:46:23.007Z</v>
      </c>
    </row>
    <row r="1924" spans="1:10" x14ac:dyDescent="0.2">
      <c r="A1924" s="2" t="str">
        <f ca="1">IFERROR(__xludf.DUMMYFUNCTION("""COMPUTED_VALUE"""),"https://www.facebook.com/edimar.maneser")</f>
        <v>https://www.facebook.com/edimar.maneser</v>
      </c>
      <c r="B1924" s="1" t="str">
        <f ca="1">IFERROR(__xludf.DUMMYFUNCTION("""COMPUTED_VALUE"""),"Edimar Maneser")</f>
        <v>Edimar Maneser</v>
      </c>
      <c r="C1924" s="1" t="str">
        <f ca="1">IFERROR(__xludf.DUMMYFUNCTION("""COMPUTED_VALUE"""),"Edimar")</f>
        <v>Edimar</v>
      </c>
      <c r="D1924" s="1" t="str">
        <f ca="1">IFERROR(__xludf.DUMMYFUNCTION("""COMPUTED_VALUE"""),"Maneser")</f>
        <v>Maneser</v>
      </c>
      <c r="E1924" s="1" t="str">
        <f ca="1">IFERROR(__xludf.DUMMYFUNCTION("""COMPUTED_VALUE"""),"Bkir lagging drone ung live ang ipakita nu dinadayanu ang mga tao")</f>
        <v>Bkir lagging drone ung live ang ipakita nu dinadayanu ang mga tao</v>
      </c>
      <c r="F1924" s="1"/>
      <c r="G1924" s="1" t="str">
        <f ca="1">IFERROR(__xludf.DUMMYFUNCTION("""COMPUTED_VALUE"""),"3 mos")</f>
        <v>3 mos</v>
      </c>
      <c r="H1924" s="1" t="str">
        <f ca="1">IFERROR(__xludf.DUMMYFUNCTION("""COMPUTED_VALUE"""),"comment")</f>
        <v>comment</v>
      </c>
      <c r="I1924"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24" s="1" t="str">
        <f ca="1">IFERROR(__xludf.DUMMYFUNCTION("""COMPUTED_VALUE"""),"2022-07-04T15:46:23.007Z")</f>
        <v>2022-07-04T15:46:23.007Z</v>
      </c>
    </row>
    <row r="1925" spans="1:10" x14ac:dyDescent="0.2">
      <c r="A1925" s="2" t="str">
        <f ca="1">IFERROR(__xludf.DUMMYFUNCTION("""COMPUTED_VALUE"""),"https://www.facebook.com/gemma.agcaoili.9028")</f>
        <v>https://www.facebook.com/gemma.agcaoili.9028</v>
      </c>
      <c r="B1925" s="1" t="str">
        <f ca="1">IFERROR(__xludf.DUMMYFUNCTION("""COMPUTED_VALUE"""),"Gemma Agcaoili")</f>
        <v>Gemma Agcaoili</v>
      </c>
      <c r="C1925" s="1" t="str">
        <f ca="1">IFERROR(__xludf.DUMMYFUNCTION("""COMPUTED_VALUE"""),"Gemma")</f>
        <v>Gemma</v>
      </c>
      <c r="D1925" s="1" t="str">
        <f ca="1">IFERROR(__xludf.DUMMYFUNCTION("""COMPUTED_VALUE"""),"Agcaoili")</f>
        <v>Agcaoili</v>
      </c>
      <c r="E1925" s="1" t="str">
        <f ca="1">IFERROR(__xludf.DUMMYFUNCTION("""COMPUTED_VALUE"""),"Thank you for all your support to our VP Lenie..❤")</f>
        <v>Thank you for all your support to our VP Lenie..❤</v>
      </c>
      <c r="F1925" s="1">
        <f ca="1">IFERROR(__xludf.DUMMYFUNCTION("""COMPUTED_VALUE"""),13)</f>
        <v>13</v>
      </c>
      <c r="G1925" s="1" t="str">
        <f ca="1">IFERROR(__xludf.DUMMYFUNCTION("""COMPUTED_VALUE"""),"3 mos")</f>
        <v>3 mos</v>
      </c>
      <c r="H1925" s="1" t="str">
        <f ca="1">IFERROR(__xludf.DUMMYFUNCTION("""COMPUTED_VALUE"""),"comment")</f>
        <v>comment</v>
      </c>
      <c r="I1925"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25" s="1" t="str">
        <f ca="1">IFERROR(__xludf.DUMMYFUNCTION("""COMPUTED_VALUE"""),"2022-07-04T15:46:23.007Z")</f>
        <v>2022-07-04T15:46:23.007Z</v>
      </c>
    </row>
    <row r="1926" spans="1:10" x14ac:dyDescent="0.2">
      <c r="A1926" s="2" t="str">
        <f ca="1">IFERROR(__xludf.DUMMYFUNCTION("""COMPUTED_VALUE"""),"https://www.facebook.com/TEJAYYYY.ihsakat")</f>
        <v>https://www.facebook.com/TEJAYYYY.ihsakat</v>
      </c>
      <c r="B1926" s="1" t="str">
        <f ca="1">IFERROR(__xludf.DUMMYFUNCTION("""COMPUTED_VALUE"""),"Takashi Nishimura")</f>
        <v>Takashi Nishimura</v>
      </c>
      <c r="C1926" s="1" t="str">
        <f ca="1">IFERROR(__xludf.DUMMYFUNCTION("""COMPUTED_VALUE"""),"Takashi")</f>
        <v>Takashi</v>
      </c>
      <c r="D1926" s="1" t="str">
        <f ca="1">IFERROR(__xludf.DUMMYFUNCTION("""COMPUTED_VALUE"""),"Nishimura")</f>
        <v>Nishimura</v>
      </c>
      <c r="E1926" s="1" t="str">
        <f ca="1">IFERROR(__xludf.DUMMYFUNCTION("""COMPUTED_VALUE"""),"Kahit nililibag na kami sa sobrang init ang saya po hihi")</f>
        <v>Kahit nililibag na kami sa sobrang init ang saya po hihi</v>
      </c>
      <c r="F1926" s="1">
        <f ca="1">IFERROR(__xludf.DUMMYFUNCTION("""COMPUTED_VALUE"""),5)</f>
        <v>5</v>
      </c>
      <c r="G1926" s="1" t="str">
        <f ca="1">IFERROR(__xludf.DUMMYFUNCTION("""COMPUTED_VALUE"""),"3 mos")</f>
        <v>3 mos</v>
      </c>
      <c r="H1926" s="1" t="str">
        <f ca="1">IFERROR(__xludf.DUMMYFUNCTION("""COMPUTED_VALUE"""),"comment")</f>
        <v>comment</v>
      </c>
      <c r="I1926"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26" s="1" t="str">
        <f ca="1">IFERROR(__xludf.DUMMYFUNCTION("""COMPUTED_VALUE"""),"2022-07-04T15:46:23.007Z")</f>
        <v>2022-07-04T15:46:23.007Z</v>
      </c>
    </row>
    <row r="1927" spans="1:10" x14ac:dyDescent="0.2">
      <c r="A1927" s="2" t="str">
        <f ca="1">IFERROR(__xludf.DUMMYFUNCTION("""COMPUTED_VALUE"""),"https://www.facebook.com/PeachCause")</f>
        <v>https://www.facebook.com/PeachCause</v>
      </c>
      <c r="B1927" s="1" t="str">
        <f ca="1">IFERROR(__xludf.DUMMYFUNCTION("""COMPUTED_VALUE"""),"Peach  Cause")</f>
        <v>Peach  Cause</v>
      </c>
      <c r="C1927" s="1" t="str">
        <f ca="1">IFERROR(__xludf.DUMMYFUNCTION("""COMPUTED_VALUE"""),"Peach")</f>
        <v>Peach</v>
      </c>
      <c r="D1927" s="1" t="str">
        <f ca="1">IFERROR(__xludf.DUMMYFUNCTION("""COMPUTED_VALUE"""),"Cause")</f>
        <v>Cause</v>
      </c>
      <c r="E1927" s="1" t="str">
        <f ca="1">IFERROR(__xludf.DUMMYFUNCTION("""COMPUTED_VALUE"""),"Oh mmya ssbihin madaming payong 🎀🌸🌷")</f>
        <v>Oh mmya ssbihin madaming payong 🎀🌸🌷</v>
      </c>
      <c r="F1927" s="1">
        <f ca="1">IFERROR(__xludf.DUMMYFUNCTION("""COMPUTED_VALUE"""),1)</f>
        <v>1</v>
      </c>
      <c r="G1927" s="1" t="str">
        <f ca="1">IFERROR(__xludf.DUMMYFUNCTION("""COMPUTED_VALUE"""),"3 mos")</f>
        <v>3 mos</v>
      </c>
      <c r="H1927" s="1" t="str">
        <f ca="1">IFERROR(__xludf.DUMMYFUNCTION("""COMPUTED_VALUE"""),"comment")</f>
        <v>comment</v>
      </c>
      <c r="I1927"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27" s="1" t="str">
        <f ca="1">IFERROR(__xludf.DUMMYFUNCTION("""COMPUTED_VALUE"""),"2022-07-04T15:46:23.007Z")</f>
        <v>2022-07-04T15:46:23.007Z</v>
      </c>
    </row>
    <row r="1928" spans="1:10" x14ac:dyDescent="0.2">
      <c r="A1928" s="2" t="str">
        <f ca="1">IFERROR(__xludf.DUMMYFUNCTION("""COMPUTED_VALUE"""),"https://www.facebook.com/rodrigo.lapidario16")</f>
        <v>https://www.facebook.com/rodrigo.lapidario16</v>
      </c>
      <c r="B1928" s="1" t="str">
        <f ca="1">IFERROR(__xludf.DUMMYFUNCTION("""COMPUTED_VALUE"""),"Rodrigo Lapidario")</f>
        <v>Rodrigo Lapidario</v>
      </c>
      <c r="C1928" s="1" t="str">
        <f ca="1">IFERROR(__xludf.DUMMYFUNCTION("""COMPUTED_VALUE"""),"Rodrigo")</f>
        <v>Rodrigo</v>
      </c>
      <c r="D1928" s="1" t="str">
        <f ca="1">IFERROR(__xludf.DUMMYFUNCTION("""COMPUTED_VALUE"""),"Lapidario")</f>
        <v>Lapidario</v>
      </c>
      <c r="E1928" s="1" t="str">
        <f ca="1">IFERROR(__xludf.DUMMYFUNCTION("""COMPUTED_VALUE"""),"Ngayon punong puno n grabe suporta ng caloocan....god bless po")</f>
        <v>Ngayon punong puno n grabe suporta ng caloocan....god bless po</v>
      </c>
      <c r="F1928" s="1">
        <f ca="1">IFERROR(__xludf.DUMMYFUNCTION("""COMPUTED_VALUE"""),12)</f>
        <v>12</v>
      </c>
      <c r="G1928" s="1" t="str">
        <f ca="1">IFERROR(__xludf.DUMMYFUNCTION("""COMPUTED_VALUE"""),"3 mos")</f>
        <v>3 mos</v>
      </c>
      <c r="H1928" s="1" t="str">
        <f ca="1">IFERROR(__xludf.DUMMYFUNCTION("""COMPUTED_VALUE"""),"comment")</f>
        <v>comment</v>
      </c>
      <c r="I1928"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28" s="1" t="str">
        <f ca="1">IFERROR(__xludf.DUMMYFUNCTION("""COMPUTED_VALUE"""),"2022-07-04T15:46:23.007Z")</f>
        <v>2022-07-04T15:46:23.007Z</v>
      </c>
    </row>
    <row r="1929" spans="1:10" x14ac:dyDescent="0.2">
      <c r="A1929" s="2" t="str">
        <f ca="1">IFERROR(__xludf.DUMMYFUNCTION("""COMPUTED_VALUE"""),"https://www.facebook.com/pedro.postrado.9")</f>
        <v>https://www.facebook.com/pedro.postrado.9</v>
      </c>
      <c r="B1929" s="1" t="str">
        <f ca="1">IFERROR(__xludf.DUMMYFUNCTION("""COMPUTED_VALUE"""),"Pedro Postrado")</f>
        <v>Pedro Postrado</v>
      </c>
      <c r="C1929" s="1" t="str">
        <f ca="1">IFERROR(__xludf.DUMMYFUNCTION("""COMPUTED_VALUE"""),"Pedro")</f>
        <v>Pedro</v>
      </c>
      <c r="D1929" s="1" t="str">
        <f ca="1">IFERROR(__xludf.DUMMYFUNCTION("""COMPUTED_VALUE"""),"Postrado")</f>
        <v>Postrado</v>
      </c>
      <c r="E1929" s="1" t="str">
        <f ca="1">IFERROR(__xludf.DUMMYFUNCTION("""COMPUTED_VALUE"""),"Ingat mga kakampinks!")</f>
        <v>Ingat mga kakampinks!</v>
      </c>
      <c r="F1929" s="1">
        <f ca="1">IFERROR(__xludf.DUMMYFUNCTION("""COMPUTED_VALUE"""),4)</f>
        <v>4</v>
      </c>
      <c r="G1929" s="1" t="str">
        <f ca="1">IFERROR(__xludf.DUMMYFUNCTION("""COMPUTED_VALUE"""),"3 mos")</f>
        <v>3 mos</v>
      </c>
      <c r="H1929" s="1" t="str">
        <f ca="1">IFERROR(__xludf.DUMMYFUNCTION("""COMPUTED_VALUE"""),"comment")</f>
        <v>comment</v>
      </c>
      <c r="I1929"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29" s="1" t="str">
        <f ca="1">IFERROR(__xludf.DUMMYFUNCTION("""COMPUTED_VALUE"""),"2022-07-04T15:46:23.007Z")</f>
        <v>2022-07-04T15:46:23.007Z</v>
      </c>
    </row>
    <row r="1930" spans="1:10" x14ac:dyDescent="0.2">
      <c r="A1930" s="2" t="str">
        <f ca="1">IFERROR(__xludf.DUMMYFUNCTION("""COMPUTED_VALUE"""),"https://www.facebook.com/alonzonoel.miclat.5")</f>
        <v>https://www.facebook.com/alonzonoel.miclat.5</v>
      </c>
      <c r="B1930" s="1" t="str">
        <f ca="1">IFERROR(__xludf.DUMMYFUNCTION("""COMPUTED_VALUE"""),"Alonzo Noel Miclat")</f>
        <v>Alonzo Noel Miclat</v>
      </c>
      <c r="C1930" s="1" t="str">
        <f ca="1">IFERROR(__xludf.DUMMYFUNCTION("""COMPUTED_VALUE"""),"Alonzo")</f>
        <v>Alonzo</v>
      </c>
      <c r="D1930" s="1" t="str">
        <f ca="1">IFERROR(__xludf.DUMMYFUNCTION("""COMPUTED_VALUE"""),"Noel Miclat")</f>
        <v>Noel Miclat</v>
      </c>
      <c r="E1930" s="1" t="str">
        <f ca="1">IFERROR(__xludf.DUMMYFUNCTION("""COMPUTED_VALUE"""),"Alonzo Noel Miclat")</f>
        <v>Alonzo Noel Miclat</v>
      </c>
      <c r="F1930" s="1"/>
      <c r="G1930" s="1" t="str">
        <f ca="1">IFERROR(__xludf.DUMMYFUNCTION("""COMPUTED_VALUE"""),"3 mos")</f>
        <v>3 mos</v>
      </c>
      <c r="H1930" s="1" t="str">
        <f ca="1">IFERROR(__xludf.DUMMYFUNCTION("""COMPUTED_VALUE"""),"comment")</f>
        <v>comment</v>
      </c>
      <c r="I1930"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30" s="1" t="str">
        <f ca="1">IFERROR(__xludf.DUMMYFUNCTION("""COMPUTED_VALUE"""),"2022-07-04T15:46:23.007Z")</f>
        <v>2022-07-04T15:46:23.007Z</v>
      </c>
    </row>
    <row r="1931" spans="1:10" x14ac:dyDescent="0.2">
      <c r="A1931" s="2" t="str">
        <f ca="1">IFERROR(__xludf.DUMMYFUNCTION("""COMPUTED_VALUE"""),"https://www.facebook.com/alonzonoel.miclat.5")</f>
        <v>https://www.facebook.com/alonzonoel.miclat.5</v>
      </c>
      <c r="B1931" s="1" t="str">
        <f ca="1">IFERROR(__xludf.DUMMYFUNCTION("""COMPUTED_VALUE"""),"Alonzo Noel Miclat")</f>
        <v>Alonzo Noel Miclat</v>
      </c>
      <c r="C1931" s="1" t="str">
        <f ca="1">IFERROR(__xludf.DUMMYFUNCTION("""COMPUTED_VALUE"""),"Alonzo")</f>
        <v>Alonzo</v>
      </c>
      <c r="D1931" s="1" t="str">
        <f ca="1">IFERROR(__xludf.DUMMYFUNCTION("""COMPUTED_VALUE"""),"Noel Miclat")</f>
        <v>Noel Miclat</v>
      </c>
      <c r="E1931" s="1" t="str">
        <f ca="1">IFERROR(__xludf.DUMMYFUNCTION("""COMPUTED_VALUE"""),"Alonzo Noel Miclat")</f>
        <v>Alonzo Noel Miclat</v>
      </c>
      <c r="F1931" s="1"/>
      <c r="G1931" s="1" t="str">
        <f ca="1">IFERROR(__xludf.DUMMYFUNCTION("""COMPUTED_VALUE"""),"3 mos")</f>
        <v>3 mos</v>
      </c>
      <c r="H1931" s="1" t="str">
        <f ca="1">IFERROR(__xludf.DUMMYFUNCTION("""COMPUTED_VALUE"""),"comment")</f>
        <v>comment</v>
      </c>
      <c r="I1931"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31" s="1" t="str">
        <f ca="1">IFERROR(__xludf.DUMMYFUNCTION("""COMPUTED_VALUE"""),"2022-07-04T15:46:23.007Z")</f>
        <v>2022-07-04T15:46:23.007Z</v>
      </c>
    </row>
    <row r="1932" spans="1:10" x14ac:dyDescent="0.2">
      <c r="A1932" s="2" t="str">
        <f ca="1">IFERROR(__xludf.DUMMYFUNCTION("""COMPUTED_VALUE"""),"https://www.facebook.com/rnl.mojica")</f>
        <v>https://www.facebook.com/rnl.mojica</v>
      </c>
      <c r="B1932" s="1" t="str">
        <f ca="1">IFERROR(__xludf.DUMMYFUNCTION("""COMPUTED_VALUE"""),"Ronil Trocio Mojica")</f>
        <v>Ronil Trocio Mojica</v>
      </c>
      <c r="C1932" s="1" t="str">
        <f ca="1">IFERROR(__xludf.DUMMYFUNCTION("""COMPUTED_VALUE"""),"Ronil")</f>
        <v>Ronil</v>
      </c>
      <c r="D1932" s="1" t="str">
        <f ca="1">IFERROR(__xludf.DUMMYFUNCTION("""COMPUTED_VALUE"""),"Trocio Mojica")</f>
        <v>Trocio Mojica</v>
      </c>
      <c r="E1932" s="1" t="str">
        <f ca="1">IFERROR(__xludf.DUMMYFUNCTION("""COMPUTED_VALUE"""),"Grace Alonzo")</f>
        <v>Grace Alonzo</v>
      </c>
      <c r="F1932" s="1"/>
      <c r="G1932" s="1" t="str">
        <f ca="1">IFERROR(__xludf.DUMMYFUNCTION("""COMPUTED_VALUE"""),"3 mos")</f>
        <v>3 mos</v>
      </c>
      <c r="H1932" s="1" t="str">
        <f ca="1">IFERROR(__xludf.DUMMYFUNCTION("""COMPUTED_VALUE"""),"comment")</f>
        <v>comment</v>
      </c>
      <c r="I1932"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32" s="1" t="str">
        <f ca="1">IFERROR(__xludf.DUMMYFUNCTION("""COMPUTED_VALUE"""),"2022-07-04T15:46:23.008Z")</f>
        <v>2022-07-04T15:46:23.008Z</v>
      </c>
    </row>
    <row r="1933" spans="1:10" x14ac:dyDescent="0.2">
      <c r="A1933" s="2" t="str">
        <f ca="1">IFERROR(__xludf.DUMMYFUNCTION("""COMPUTED_VALUE"""),"https://www.facebook.com/nandy.lucero")</f>
        <v>https://www.facebook.com/nandy.lucero</v>
      </c>
      <c r="B1933" s="1" t="str">
        <f ca="1">IFERROR(__xludf.DUMMYFUNCTION("""COMPUTED_VALUE"""),"Ferdinand O. Lucero")</f>
        <v>Ferdinand O. Lucero</v>
      </c>
      <c r="C1933" s="1" t="str">
        <f ca="1">IFERROR(__xludf.DUMMYFUNCTION("""COMPUTED_VALUE"""),"Ferdinand")</f>
        <v>Ferdinand</v>
      </c>
      <c r="D1933" s="1" t="str">
        <f ca="1">IFERROR(__xludf.DUMMYFUNCTION("""COMPUTED_VALUE"""),"O. Lucero")</f>
        <v>O. Lucero</v>
      </c>
      <c r="E1933" s="1" t="str">
        <f ca="1">IFERROR(__xludf.DUMMYFUNCTION("""COMPUTED_VALUE"""),"Ferdinand O. Lucero")</f>
        <v>Ferdinand O. Lucero</v>
      </c>
      <c r="F1933" s="1">
        <f ca="1">IFERROR(__xludf.DUMMYFUNCTION("""COMPUTED_VALUE"""),1)</f>
        <v>1</v>
      </c>
      <c r="G1933" s="1" t="str">
        <f ca="1">IFERROR(__xludf.DUMMYFUNCTION("""COMPUTED_VALUE"""),"3 mos")</f>
        <v>3 mos</v>
      </c>
      <c r="H1933" s="1" t="str">
        <f ca="1">IFERROR(__xludf.DUMMYFUNCTION("""COMPUTED_VALUE"""),"comment")</f>
        <v>comment</v>
      </c>
      <c r="I1933"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33" s="1" t="str">
        <f ca="1">IFERROR(__xludf.DUMMYFUNCTION("""COMPUTED_VALUE"""),"2022-07-04T15:46:23.008Z")</f>
        <v>2022-07-04T15:46:23.008Z</v>
      </c>
    </row>
    <row r="1934" spans="1:10" x14ac:dyDescent="0.2">
      <c r="A1934" s="2" t="str">
        <f ca="1">IFERROR(__xludf.DUMMYFUNCTION("""COMPUTED_VALUE"""),"https://www.facebook.com/niwafrancis")</f>
        <v>https://www.facebook.com/niwafrancis</v>
      </c>
      <c r="B1934" s="1" t="str">
        <f ca="1">IFERROR(__xludf.DUMMYFUNCTION("""COMPUTED_VALUE"""),"Ki Ko")</f>
        <v>Ki Ko</v>
      </c>
      <c r="C1934" s="1" t="str">
        <f ca="1">IFERROR(__xludf.DUMMYFUNCTION("""COMPUTED_VALUE"""),"Ki")</f>
        <v>Ki</v>
      </c>
      <c r="D1934" s="1" t="str">
        <f ca="1">IFERROR(__xludf.DUMMYFUNCTION("""COMPUTED_VALUE"""),"Ko")</f>
        <v>Ko</v>
      </c>
      <c r="E1934" s="1" t="str">
        <f ca="1">IFERROR(__xludf.DUMMYFUNCTION("""COMPUTED_VALUE"""),"🌸💖💖")</f>
        <v>🌸💖💖</v>
      </c>
      <c r="F1934" s="1"/>
      <c r="G1934" s="1" t="str">
        <f ca="1">IFERROR(__xludf.DUMMYFUNCTION("""COMPUTED_VALUE"""),"3 mos")</f>
        <v>3 mos</v>
      </c>
      <c r="H1934" s="1" t="str">
        <f ca="1">IFERROR(__xludf.DUMMYFUNCTION("""COMPUTED_VALUE"""),"comment")</f>
        <v>comment</v>
      </c>
      <c r="I1934"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34" s="1" t="str">
        <f ca="1">IFERROR(__xludf.DUMMYFUNCTION("""COMPUTED_VALUE"""),"2022-07-04T15:46:23.008Z")</f>
        <v>2022-07-04T15:46:23.008Z</v>
      </c>
    </row>
    <row r="1935" spans="1:10" x14ac:dyDescent="0.2">
      <c r="A1935" s="2" t="str">
        <f ca="1">IFERROR(__xludf.DUMMYFUNCTION("""COMPUTED_VALUE"""),"https://www.facebook.com/alonzonoel.miclat.5")</f>
        <v>https://www.facebook.com/alonzonoel.miclat.5</v>
      </c>
      <c r="B1935" s="1" t="str">
        <f ca="1">IFERROR(__xludf.DUMMYFUNCTION("""COMPUTED_VALUE"""),"Alonzo Noel Miclat")</f>
        <v>Alonzo Noel Miclat</v>
      </c>
      <c r="C1935" s="1" t="str">
        <f ca="1">IFERROR(__xludf.DUMMYFUNCTION("""COMPUTED_VALUE"""),"Alonzo")</f>
        <v>Alonzo</v>
      </c>
      <c r="D1935" s="1" t="str">
        <f ca="1">IFERROR(__xludf.DUMMYFUNCTION("""COMPUTED_VALUE"""),"Noel Miclat")</f>
        <v>Noel Miclat</v>
      </c>
      <c r="E1935" s="1" t="str">
        <f ca="1">IFERROR(__xludf.DUMMYFUNCTION("""COMPUTED_VALUE"""),"Alonzo Noel Miclat")</f>
        <v>Alonzo Noel Miclat</v>
      </c>
      <c r="F1935" s="1"/>
      <c r="G1935" s="1" t="str">
        <f ca="1">IFERROR(__xludf.DUMMYFUNCTION("""COMPUTED_VALUE"""),"3 mos")</f>
        <v>3 mos</v>
      </c>
      <c r="H1935" s="1" t="str">
        <f ca="1">IFERROR(__xludf.DUMMYFUNCTION("""COMPUTED_VALUE"""),"comment")</f>
        <v>comment</v>
      </c>
      <c r="I1935"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35" s="1" t="str">
        <f ca="1">IFERROR(__xludf.DUMMYFUNCTION("""COMPUTED_VALUE"""),"2022-07-04T15:46:23.008Z")</f>
        <v>2022-07-04T15:46:23.008Z</v>
      </c>
    </row>
    <row r="1936" spans="1:10" x14ac:dyDescent="0.2">
      <c r="A1936" s="2" t="str">
        <f ca="1">IFERROR(__xludf.DUMMYFUNCTION("""COMPUTED_VALUE"""),"https://www.facebook.com/nandy.lucero")</f>
        <v>https://www.facebook.com/nandy.lucero</v>
      </c>
      <c r="B1936" s="1" t="str">
        <f ca="1">IFERROR(__xludf.DUMMYFUNCTION("""COMPUTED_VALUE"""),"Ferdinand O. Lucero")</f>
        <v>Ferdinand O. Lucero</v>
      </c>
      <c r="C1936" s="1" t="str">
        <f ca="1">IFERROR(__xludf.DUMMYFUNCTION("""COMPUTED_VALUE"""),"Ferdinand")</f>
        <v>Ferdinand</v>
      </c>
      <c r="D1936" s="1" t="str">
        <f ca="1">IFERROR(__xludf.DUMMYFUNCTION("""COMPUTED_VALUE"""),"O. Lucero")</f>
        <v>O. Lucero</v>
      </c>
      <c r="E1936" s="1" t="str">
        <f ca="1">IFERROR(__xludf.DUMMYFUNCTION("""COMPUTED_VALUE"""),"Ferdinand O. Lucero")</f>
        <v>Ferdinand O. Lucero</v>
      </c>
      <c r="F1936" s="1">
        <f ca="1">IFERROR(__xludf.DUMMYFUNCTION("""COMPUTED_VALUE"""),1)</f>
        <v>1</v>
      </c>
      <c r="G1936" s="1" t="str">
        <f ca="1">IFERROR(__xludf.DUMMYFUNCTION("""COMPUTED_VALUE"""),"3 mos")</f>
        <v>3 mos</v>
      </c>
      <c r="H1936" s="1" t="str">
        <f ca="1">IFERROR(__xludf.DUMMYFUNCTION("""COMPUTED_VALUE"""),"comment")</f>
        <v>comment</v>
      </c>
      <c r="I1936"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36" s="1" t="str">
        <f ca="1">IFERROR(__xludf.DUMMYFUNCTION("""COMPUTED_VALUE"""),"2022-07-04T15:46:23.008Z")</f>
        <v>2022-07-04T15:46:23.008Z</v>
      </c>
    </row>
    <row r="1937" spans="1:10" x14ac:dyDescent="0.2">
      <c r="A1937" s="2" t="str">
        <f ca="1">IFERROR(__xludf.DUMMYFUNCTION("""COMPUTED_VALUE"""),"https://www.facebook.com/chye.phe")</f>
        <v>https://www.facebook.com/chye.phe</v>
      </c>
      <c r="B1937" s="1" t="str">
        <f ca="1">IFERROR(__xludf.DUMMYFUNCTION("""COMPUTED_VALUE"""),"Phen GV")</f>
        <v>Phen GV</v>
      </c>
      <c r="C1937" s="1" t="str">
        <f ca="1">IFERROR(__xludf.DUMMYFUNCTION("""COMPUTED_VALUE"""),"Phen")</f>
        <v>Phen</v>
      </c>
      <c r="D1937" s="1" t="str">
        <f ca="1">IFERROR(__xludf.DUMMYFUNCTION("""COMPUTED_VALUE"""),"GV")</f>
        <v>GV</v>
      </c>
      <c r="E1937" s="1" t="str">
        <f ca="1">IFERROR(__xludf.DUMMYFUNCTION("""COMPUTED_VALUE"""),"💖💖💖")</f>
        <v>💖💖💖</v>
      </c>
      <c r="F1937" s="1"/>
      <c r="G1937" s="1" t="str">
        <f ca="1">IFERROR(__xludf.DUMMYFUNCTION("""COMPUTED_VALUE"""),"3 mos")</f>
        <v>3 mos</v>
      </c>
      <c r="H1937" s="1" t="str">
        <f ca="1">IFERROR(__xludf.DUMMYFUNCTION("""COMPUTED_VALUE"""),"comment")</f>
        <v>comment</v>
      </c>
      <c r="I1937"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37" s="1" t="str">
        <f ca="1">IFERROR(__xludf.DUMMYFUNCTION("""COMPUTED_VALUE"""),"2022-07-04T15:46:23.008Z")</f>
        <v>2022-07-04T15:46:23.008Z</v>
      </c>
    </row>
    <row r="1938" spans="1:10" x14ac:dyDescent="0.2">
      <c r="A1938" s="2" t="str">
        <f ca="1">IFERROR(__xludf.DUMMYFUNCTION("""COMPUTED_VALUE"""),"https://www.facebook.com/pogingmabagsik")</f>
        <v>https://www.facebook.com/pogingmabagsik</v>
      </c>
      <c r="B1938" s="1" t="str">
        <f ca="1">IFERROR(__xludf.DUMMYFUNCTION("""COMPUTED_VALUE"""),"Randy Cabañero")</f>
        <v>Randy Cabañero</v>
      </c>
      <c r="C1938" s="1" t="str">
        <f ca="1">IFERROR(__xludf.DUMMYFUNCTION("""COMPUTED_VALUE"""),"Randy")</f>
        <v>Randy</v>
      </c>
      <c r="D1938" s="1" t="str">
        <f ca="1">IFERROR(__xludf.DUMMYFUNCTION("""COMPUTED_VALUE"""),"Cabañero")</f>
        <v>Cabañero</v>
      </c>
      <c r="E1938" s="1" t="str">
        <f ca="1">IFERROR(__xludf.DUMMYFUNCTION("""COMPUTED_VALUE"""),"💖💖💖")</f>
        <v>💖💖💖</v>
      </c>
      <c r="F1938" s="1"/>
      <c r="G1938" s="1" t="str">
        <f ca="1">IFERROR(__xludf.DUMMYFUNCTION("""COMPUTED_VALUE"""),"3 mos")</f>
        <v>3 mos</v>
      </c>
      <c r="H1938" s="1" t="str">
        <f ca="1">IFERROR(__xludf.DUMMYFUNCTION("""COMPUTED_VALUE"""),"comment")</f>
        <v>comment</v>
      </c>
      <c r="I1938"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38" s="1" t="str">
        <f ca="1">IFERROR(__xludf.DUMMYFUNCTION("""COMPUTED_VALUE"""),"2022-07-04T15:46:23.008Z")</f>
        <v>2022-07-04T15:46:23.008Z</v>
      </c>
    </row>
    <row r="1939" spans="1:10" x14ac:dyDescent="0.2">
      <c r="A1939" s="2" t="str">
        <f ca="1">IFERROR(__xludf.DUMMYFUNCTION("""COMPUTED_VALUE"""),"https://www.facebook.com/olan.sulbiano")</f>
        <v>https://www.facebook.com/olan.sulbiano</v>
      </c>
      <c r="B1939" s="1" t="str">
        <f ca="1">IFERROR(__xludf.DUMMYFUNCTION("""COMPUTED_VALUE"""),"Olan Sulbiano")</f>
        <v>Olan Sulbiano</v>
      </c>
      <c r="C1939" s="1" t="str">
        <f ca="1">IFERROR(__xludf.DUMMYFUNCTION("""COMPUTED_VALUE"""),"Olan")</f>
        <v>Olan</v>
      </c>
      <c r="D1939" s="1" t="str">
        <f ca="1">IFERROR(__xludf.DUMMYFUNCTION("""COMPUTED_VALUE"""),"Sulbiano")</f>
        <v>Sulbiano</v>
      </c>
      <c r="E1939" s="1" t="str">
        <f ca="1">IFERROR(__xludf.DUMMYFUNCTION("""COMPUTED_VALUE"""),"Olan Sulbiano")</f>
        <v>Olan Sulbiano</v>
      </c>
      <c r="F1939" s="1">
        <f ca="1">IFERROR(__xludf.DUMMYFUNCTION("""COMPUTED_VALUE"""),1)</f>
        <v>1</v>
      </c>
      <c r="G1939" s="1" t="str">
        <f ca="1">IFERROR(__xludf.DUMMYFUNCTION("""COMPUTED_VALUE"""),"3 mos")</f>
        <v>3 mos</v>
      </c>
      <c r="H1939" s="1" t="str">
        <f ca="1">IFERROR(__xludf.DUMMYFUNCTION("""COMPUTED_VALUE"""),"comment")</f>
        <v>comment</v>
      </c>
      <c r="I1939"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39" s="1" t="str">
        <f ca="1">IFERROR(__xludf.DUMMYFUNCTION("""COMPUTED_VALUE"""),"2022-07-04T15:46:23.008Z")</f>
        <v>2022-07-04T15:46:23.008Z</v>
      </c>
    </row>
    <row r="1940" spans="1:10" x14ac:dyDescent="0.2">
      <c r="A1940" s="2" t="str">
        <f ca="1">IFERROR(__xludf.DUMMYFUNCTION("""COMPUTED_VALUE"""),"https://www.facebook.com/ofel.chico")</f>
        <v>https://www.facebook.com/ofel.chico</v>
      </c>
      <c r="B1940" s="1" t="str">
        <f ca="1">IFERROR(__xludf.DUMMYFUNCTION("""COMPUTED_VALUE"""),"Feiola Gonz")</f>
        <v>Feiola Gonz</v>
      </c>
      <c r="C1940" s="1" t="str">
        <f ca="1">IFERROR(__xludf.DUMMYFUNCTION("""COMPUTED_VALUE"""),"Feiola")</f>
        <v>Feiola</v>
      </c>
      <c r="D1940" s="1" t="str">
        <f ca="1">IFERROR(__xludf.DUMMYFUNCTION("""COMPUTED_VALUE"""),"Gonz")</f>
        <v>Gonz</v>
      </c>
      <c r="E1940" s="1" t="str">
        <f ca="1">IFERROR(__xludf.DUMMYFUNCTION("""COMPUTED_VALUE"""),"🌸💞🌷")</f>
        <v>🌸💞🌷</v>
      </c>
      <c r="F1940" s="1"/>
      <c r="G1940" s="1" t="str">
        <f ca="1">IFERROR(__xludf.DUMMYFUNCTION("""COMPUTED_VALUE"""),"3 mos")</f>
        <v>3 mos</v>
      </c>
      <c r="H1940" s="1" t="str">
        <f ca="1">IFERROR(__xludf.DUMMYFUNCTION("""COMPUTED_VALUE"""),"comment")</f>
        <v>comment</v>
      </c>
      <c r="I1940"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40" s="1" t="str">
        <f ca="1">IFERROR(__xludf.DUMMYFUNCTION("""COMPUTED_VALUE"""),"2022-07-04T15:46:23.008Z")</f>
        <v>2022-07-04T15:46:23.008Z</v>
      </c>
    </row>
    <row r="1941" spans="1:10" x14ac:dyDescent="0.2">
      <c r="A1941" s="2" t="str">
        <f ca="1">IFERROR(__xludf.DUMMYFUNCTION("""COMPUTED_VALUE"""),"https://www.facebook.com/melanie.marquez.39395")</f>
        <v>https://www.facebook.com/melanie.marquez.39395</v>
      </c>
      <c r="B1941" s="1" t="str">
        <f ca="1">IFERROR(__xludf.DUMMYFUNCTION("""COMPUTED_VALUE"""),"Melanie Martinez Marquez")</f>
        <v>Melanie Martinez Marquez</v>
      </c>
      <c r="C1941" s="1" t="str">
        <f ca="1">IFERROR(__xludf.DUMMYFUNCTION("""COMPUTED_VALUE"""),"Melanie")</f>
        <v>Melanie</v>
      </c>
      <c r="D1941" s="1" t="str">
        <f ca="1">IFERROR(__xludf.DUMMYFUNCTION("""COMPUTED_VALUE"""),"Martinez Marquez")</f>
        <v>Martinez Marquez</v>
      </c>
      <c r="E1941" s="1" t="str">
        <f ca="1">IFERROR(__xludf.DUMMYFUNCTION("""COMPUTED_VALUE"""),"💖💖💖")</f>
        <v>💖💖💖</v>
      </c>
      <c r="F1941" s="1"/>
      <c r="G1941" s="1" t="str">
        <f ca="1">IFERROR(__xludf.DUMMYFUNCTION("""COMPUTED_VALUE"""),"3 mos")</f>
        <v>3 mos</v>
      </c>
      <c r="H1941" s="1" t="str">
        <f ca="1">IFERROR(__xludf.DUMMYFUNCTION("""COMPUTED_VALUE"""),"comment")</f>
        <v>comment</v>
      </c>
      <c r="I1941"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41" s="1" t="str">
        <f ca="1">IFERROR(__xludf.DUMMYFUNCTION("""COMPUTED_VALUE"""),"2022-07-04T15:46:23.008Z")</f>
        <v>2022-07-04T15:46:23.008Z</v>
      </c>
    </row>
    <row r="1942" spans="1:10" x14ac:dyDescent="0.2">
      <c r="A1942" s="2" t="str">
        <f ca="1">IFERROR(__xludf.DUMMYFUNCTION("""COMPUTED_VALUE"""),"https://www.facebook.com/kaesi.katakamu")</f>
        <v>https://www.facebook.com/kaesi.katakamu</v>
      </c>
      <c r="B1942" s="1" t="str">
        <f ca="1">IFERROR(__xludf.DUMMYFUNCTION("""COMPUTED_VALUE"""),"Kaesi Catahum Katakamu")</f>
        <v>Kaesi Catahum Katakamu</v>
      </c>
      <c r="C1942" s="1" t="str">
        <f ca="1">IFERROR(__xludf.DUMMYFUNCTION("""COMPUTED_VALUE"""),"Kaesi")</f>
        <v>Kaesi</v>
      </c>
      <c r="D1942" s="1" t="str">
        <f ca="1">IFERROR(__xludf.DUMMYFUNCTION("""COMPUTED_VALUE"""),"Catahum Katakamu")</f>
        <v>Catahum Katakamu</v>
      </c>
      <c r="E1942" s="1" t="str">
        <f ca="1">IFERROR(__xludf.DUMMYFUNCTION("""COMPUTED_VALUE"""),"🌸🌸🌸🌸🌸🌸")</f>
        <v>🌸🌸🌸🌸🌸🌸</v>
      </c>
      <c r="F1942" s="1"/>
      <c r="G1942" s="1" t="str">
        <f ca="1">IFERROR(__xludf.DUMMYFUNCTION("""COMPUTED_VALUE"""),"3 mos")</f>
        <v>3 mos</v>
      </c>
      <c r="H1942" s="1" t="str">
        <f ca="1">IFERROR(__xludf.DUMMYFUNCTION("""COMPUTED_VALUE"""),"comment")</f>
        <v>comment</v>
      </c>
      <c r="I1942"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42" s="1" t="str">
        <f ca="1">IFERROR(__xludf.DUMMYFUNCTION("""COMPUTED_VALUE"""),"2022-07-04T15:46:23.008Z")</f>
        <v>2022-07-04T15:46:23.008Z</v>
      </c>
    </row>
    <row r="1943" spans="1:10" x14ac:dyDescent="0.2">
      <c r="A1943" s="2" t="str">
        <f ca="1">IFERROR(__xludf.DUMMYFUNCTION("""COMPUTED_VALUE"""),"https://www.facebook.com/simonette.dacara")</f>
        <v>https://www.facebook.com/simonette.dacara</v>
      </c>
      <c r="B1943" s="1" t="str">
        <f ca="1">IFERROR(__xludf.DUMMYFUNCTION("""COMPUTED_VALUE"""),"Monette Dupaya Dacara")</f>
        <v>Monette Dupaya Dacara</v>
      </c>
      <c r="C1943" s="1" t="str">
        <f ca="1">IFERROR(__xludf.DUMMYFUNCTION("""COMPUTED_VALUE"""),"Monette")</f>
        <v>Monette</v>
      </c>
      <c r="D1943" s="1" t="str">
        <f ca="1">IFERROR(__xludf.DUMMYFUNCTION("""COMPUTED_VALUE"""),"Dupaya Dacara")</f>
        <v>Dupaya Dacara</v>
      </c>
      <c r="E1943" s="1" t="str">
        <f ca="1">IFERROR(__xludf.DUMMYFUNCTION("""COMPUTED_VALUE"""),"💕💕💕💕")</f>
        <v>💕💕💕💕</v>
      </c>
      <c r="F1943" s="1"/>
      <c r="G1943" s="1" t="str">
        <f ca="1">IFERROR(__xludf.DUMMYFUNCTION("""COMPUTED_VALUE"""),"3 mos")</f>
        <v>3 mos</v>
      </c>
      <c r="H1943" s="1" t="str">
        <f ca="1">IFERROR(__xludf.DUMMYFUNCTION("""COMPUTED_VALUE"""),"comment")</f>
        <v>comment</v>
      </c>
      <c r="I1943"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43" s="1" t="str">
        <f ca="1">IFERROR(__xludf.DUMMYFUNCTION("""COMPUTED_VALUE"""),"2022-07-04T15:46:23.008Z")</f>
        <v>2022-07-04T15:46:23.008Z</v>
      </c>
    </row>
    <row r="1944" spans="1:10" x14ac:dyDescent="0.2">
      <c r="A1944" s="2" t="str">
        <f ca="1">IFERROR(__xludf.DUMMYFUNCTION("""COMPUTED_VALUE"""),"https://www.facebook.com/paz.ete.7")</f>
        <v>https://www.facebook.com/paz.ete.7</v>
      </c>
      <c r="B1944" s="1" t="str">
        <f ca="1">IFERROR(__xludf.DUMMYFUNCTION("""COMPUTED_VALUE"""),"PazForneloza Ete")</f>
        <v>PazForneloza Ete</v>
      </c>
      <c r="C1944" s="1" t="str">
        <f ca="1">IFERROR(__xludf.DUMMYFUNCTION("""COMPUTED_VALUE"""),"PazForneloza")</f>
        <v>PazForneloza</v>
      </c>
      <c r="D1944" s="1" t="str">
        <f ca="1">IFERROR(__xludf.DUMMYFUNCTION("""COMPUTED_VALUE"""),"Ete")</f>
        <v>Ete</v>
      </c>
      <c r="E1944" s="1" t="str">
        <f ca="1">IFERROR(__xludf.DUMMYFUNCTION("""COMPUTED_VALUE"""),"💗💗💗")</f>
        <v>💗💗💗</v>
      </c>
      <c r="F1944" s="1"/>
      <c r="G1944" s="1" t="str">
        <f ca="1">IFERROR(__xludf.DUMMYFUNCTION("""COMPUTED_VALUE"""),"3 mos")</f>
        <v>3 mos</v>
      </c>
      <c r="H1944" s="1" t="str">
        <f ca="1">IFERROR(__xludf.DUMMYFUNCTION("""COMPUTED_VALUE"""),"comment")</f>
        <v>comment</v>
      </c>
      <c r="I1944"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44" s="1" t="str">
        <f ca="1">IFERROR(__xludf.DUMMYFUNCTION("""COMPUTED_VALUE"""),"2022-07-04T15:46:23.008Z")</f>
        <v>2022-07-04T15:46:23.008Z</v>
      </c>
    </row>
    <row r="1945" spans="1:10" x14ac:dyDescent="0.2">
      <c r="A1945" s="2" t="str">
        <f ca="1">IFERROR(__xludf.DUMMYFUNCTION("""COMPUTED_VALUE"""),"https://www.facebook.com/anabelma.abrera")</f>
        <v>https://www.facebook.com/anabelma.abrera</v>
      </c>
      <c r="B1945" s="1" t="str">
        <f ca="1">IFERROR(__xludf.DUMMYFUNCTION("""COMPUTED_VALUE"""),"Ana Acedillo Abrera")</f>
        <v>Ana Acedillo Abrera</v>
      </c>
      <c r="C1945" s="1" t="str">
        <f ca="1">IFERROR(__xludf.DUMMYFUNCTION("""COMPUTED_VALUE"""),"Ana")</f>
        <v>Ana</v>
      </c>
      <c r="D1945" s="1" t="str">
        <f ca="1">IFERROR(__xludf.DUMMYFUNCTION("""COMPUTED_VALUE"""),"Acedillo Abrera")</f>
        <v>Acedillo Abrera</v>
      </c>
      <c r="E1945" s="1" t="str">
        <f ca="1">IFERROR(__xludf.DUMMYFUNCTION("""COMPUTED_VALUE"""),"🌷🌷🌷")</f>
        <v>🌷🌷🌷</v>
      </c>
      <c r="F1945" s="1"/>
      <c r="G1945" s="1" t="str">
        <f ca="1">IFERROR(__xludf.DUMMYFUNCTION("""COMPUTED_VALUE"""),"3 mos")</f>
        <v>3 mos</v>
      </c>
      <c r="H1945" s="1" t="str">
        <f ca="1">IFERROR(__xludf.DUMMYFUNCTION("""COMPUTED_VALUE"""),"comment")</f>
        <v>comment</v>
      </c>
      <c r="I1945"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45" s="1" t="str">
        <f ca="1">IFERROR(__xludf.DUMMYFUNCTION("""COMPUTED_VALUE"""),"2022-07-04T15:46:23.008Z")</f>
        <v>2022-07-04T15:46:23.008Z</v>
      </c>
    </row>
    <row r="1946" spans="1:10" x14ac:dyDescent="0.2">
      <c r="A1946" s="2" t="str">
        <f ca="1">IFERROR(__xludf.DUMMYFUNCTION("""COMPUTED_VALUE"""),"https://www.facebook.com/roman.rapido.5076")</f>
        <v>https://www.facebook.com/roman.rapido.5076</v>
      </c>
      <c r="B1946" s="1" t="str">
        <f ca="1">IFERROR(__xludf.DUMMYFUNCTION("""COMPUTED_VALUE"""),"Rapido Roman FG")</f>
        <v>Rapido Roman FG</v>
      </c>
      <c r="C1946" s="1" t="str">
        <f ca="1">IFERROR(__xludf.DUMMYFUNCTION("""COMPUTED_VALUE"""),"Rapido")</f>
        <v>Rapido</v>
      </c>
      <c r="D1946" s="1" t="str">
        <f ca="1">IFERROR(__xludf.DUMMYFUNCTION("""COMPUTED_VALUE"""),"Roman FG")</f>
        <v>Roman FG</v>
      </c>
      <c r="E1946" s="1" t="str">
        <f ca="1">IFERROR(__xludf.DUMMYFUNCTION("""COMPUTED_VALUE"""),"👍👍👍")</f>
        <v>👍👍👍</v>
      </c>
      <c r="F1946" s="1"/>
      <c r="G1946" s="1" t="str">
        <f ca="1">IFERROR(__xludf.DUMMYFUNCTION("""COMPUTED_VALUE"""),"3 mos")</f>
        <v>3 mos</v>
      </c>
      <c r="H1946" s="1" t="str">
        <f ca="1">IFERROR(__xludf.DUMMYFUNCTION("""COMPUTED_VALUE"""),"comment")</f>
        <v>comment</v>
      </c>
      <c r="I1946"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46" s="1" t="str">
        <f ca="1">IFERROR(__xludf.DUMMYFUNCTION("""COMPUTED_VALUE"""),"2022-07-04T15:46:23.008Z")</f>
        <v>2022-07-04T15:46:23.008Z</v>
      </c>
    </row>
    <row r="1947" spans="1:10" x14ac:dyDescent="0.2">
      <c r="A1947" s="2" t="str">
        <f ca="1">IFERROR(__xludf.DUMMYFUNCTION("""COMPUTED_VALUE"""),"https://www.facebook.com/jennifer.alison")</f>
        <v>https://www.facebook.com/jennifer.alison</v>
      </c>
      <c r="B1947" s="1" t="str">
        <f ca="1">IFERROR(__xludf.DUMMYFUNCTION("""COMPUTED_VALUE"""),"Jennifer Tan Alison")</f>
        <v>Jennifer Tan Alison</v>
      </c>
      <c r="C1947" s="1" t="str">
        <f ca="1">IFERROR(__xludf.DUMMYFUNCTION("""COMPUTED_VALUE"""),"Jennifer")</f>
        <v>Jennifer</v>
      </c>
      <c r="D1947" s="1" t="str">
        <f ca="1">IFERROR(__xludf.DUMMYFUNCTION("""COMPUTED_VALUE"""),"Tan Alison")</f>
        <v>Tan Alison</v>
      </c>
      <c r="E1947" s="1" t="str">
        <f ca="1">IFERROR(__xludf.DUMMYFUNCTION("""COMPUTED_VALUE"""),"🌷🌷🌷🌷🌷🌷")</f>
        <v>🌷🌷🌷🌷🌷🌷</v>
      </c>
      <c r="F1947" s="1"/>
      <c r="G1947" s="1" t="str">
        <f ca="1">IFERROR(__xludf.DUMMYFUNCTION("""COMPUTED_VALUE"""),"3 mos")</f>
        <v>3 mos</v>
      </c>
      <c r="H1947" s="1" t="str">
        <f ca="1">IFERROR(__xludf.DUMMYFUNCTION("""COMPUTED_VALUE"""),"comment")</f>
        <v>comment</v>
      </c>
      <c r="I1947"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47" s="1" t="str">
        <f ca="1">IFERROR(__xludf.DUMMYFUNCTION("""COMPUTED_VALUE"""),"2022-07-04T15:46:23.008Z")</f>
        <v>2022-07-04T15:46:23.008Z</v>
      </c>
    </row>
    <row r="1948" spans="1:10" x14ac:dyDescent="0.2">
      <c r="A1948" s="2" t="str">
        <f ca="1">IFERROR(__xludf.DUMMYFUNCTION("""COMPUTED_VALUE"""),"https://www.facebook.com/akosimark")</f>
        <v>https://www.facebook.com/akosimark</v>
      </c>
      <c r="B1948" s="1" t="str">
        <f ca="1">IFERROR(__xludf.DUMMYFUNCTION("""COMPUTED_VALUE"""),"Mark Tabique")</f>
        <v>Mark Tabique</v>
      </c>
      <c r="C1948" s="1" t="str">
        <f ca="1">IFERROR(__xludf.DUMMYFUNCTION("""COMPUTED_VALUE"""),"Mark")</f>
        <v>Mark</v>
      </c>
      <c r="D1948" s="1" t="str">
        <f ca="1">IFERROR(__xludf.DUMMYFUNCTION("""COMPUTED_VALUE"""),"Tabique")</f>
        <v>Tabique</v>
      </c>
      <c r="E1948" s="1" t="str">
        <f ca="1">IFERROR(__xludf.DUMMYFUNCTION("""COMPUTED_VALUE"""),"💗💗💗🌸🌸🌸")</f>
        <v>💗💗💗🌸🌸🌸</v>
      </c>
      <c r="F1948" s="1"/>
      <c r="G1948" s="1" t="str">
        <f ca="1">IFERROR(__xludf.DUMMYFUNCTION("""COMPUTED_VALUE"""),"3 mos")</f>
        <v>3 mos</v>
      </c>
      <c r="H1948" s="1" t="str">
        <f ca="1">IFERROR(__xludf.DUMMYFUNCTION("""COMPUTED_VALUE"""),"comment")</f>
        <v>comment</v>
      </c>
      <c r="I1948"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48" s="1" t="str">
        <f ca="1">IFERROR(__xludf.DUMMYFUNCTION("""COMPUTED_VALUE"""),"2022-07-04T15:46:23.008Z")</f>
        <v>2022-07-04T15:46:23.008Z</v>
      </c>
    </row>
    <row r="1949" spans="1:10" x14ac:dyDescent="0.2">
      <c r="A1949" s="2" t="str">
        <f ca="1">IFERROR(__xludf.DUMMYFUNCTION("""COMPUTED_VALUE"""),"https://www.facebook.com/monroyfrancescaong")</f>
        <v>https://www.facebook.com/monroyfrancescaong</v>
      </c>
      <c r="B1949" s="1" t="str">
        <f ca="1">IFERROR(__xludf.DUMMYFUNCTION("""COMPUTED_VALUE"""),"Francesca Monroy-Ong")</f>
        <v>Francesca Monroy-Ong</v>
      </c>
      <c r="C1949" s="1" t="str">
        <f ca="1">IFERROR(__xludf.DUMMYFUNCTION("""COMPUTED_VALUE"""),"Francesca")</f>
        <v>Francesca</v>
      </c>
      <c r="D1949" s="1" t="str">
        <f ca="1">IFERROR(__xludf.DUMMYFUNCTION("""COMPUTED_VALUE"""),"Monroy-Ong")</f>
        <v>Monroy-Ong</v>
      </c>
      <c r="E1949" s="1" t="str">
        <f ca="1">IFERROR(__xludf.DUMMYFUNCTION("""COMPUTED_VALUE"""),"❤️❤️❤️❤️")</f>
        <v>❤️❤️❤️❤️</v>
      </c>
      <c r="F1949" s="1"/>
      <c r="G1949" s="1" t="str">
        <f ca="1">IFERROR(__xludf.DUMMYFUNCTION("""COMPUTED_VALUE"""),"3 mos")</f>
        <v>3 mos</v>
      </c>
      <c r="H1949" s="1" t="str">
        <f ca="1">IFERROR(__xludf.DUMMYFUNCTION("""COMPUTED_VALUE"""),"comment")</f>
        <v>comment</v>
      </c>
      <c r="I1949"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49" s="1" t="str">
        <f ca="1">IFERROR(__xludf.DUMMYFUNCTION("""COMPUTED_VALUE"""),"2022-07-04T15:46:23.008Z")</f>
        <v>2022-07-04T15:46:23.008Z</v>
      </c>
    </row>
    <row r="1950" spans="1:10" x14ac:dyDescent="0.2">
      <c r="A1950" s="2" t="str">
        <f ca="1">IFERROR(__xludf.DUMMYFUNCTION("""COMPUTED_VALUE"""),"https://www.facebook.com/novalyn.cawilantangdol")</f>
        <v>https://www.facebook.com/novalyn.cawilantangdol</v>
      </c>
      <c r="B1950" s="1" t="str">
        <f ca="1">IFERROR(__xludf.DUMMYFUNCTION("""COMPUTED_VALUE"""),"Novs Tangs")</f>
        <v>Novs Tangs</v>
      </c>
      <c r="C1950" s="1" t="str">
        <f ca="1">IFERROR(__xludf.DUMMYFUNCTION("""COMPUTED_VALUE"""),"Novs")</f>
        <v>Novs</v>
      </c>
      <c r="D1950" s="1" t="str">
        <f ca="1">IFERROR(__xludf.DUMMYFUNCTION("""COMPUTED_VALUE"""),"Tangs")</f>
        <v>Tangs</v>
      </c>
      <c r="E1950" s="1" t="str">
        <f ca="1">IFERROR(__xludf.DUMMYFUNCTION("""COMPUTED_VALUE"""),"🤣🤣🤣")</f>
        <v>🤣🤣🤣</v>
      </c>
      <c r="F1950" s="1"/>
      <c r="G1950" s="1" t="str">
        <f ca="1">IFERROR(__xludf.DUMMYFUNCTION("""COMPUTED_VALUE"""),"3 mos")</f>
        <v>3 mos</v>
      </c>
      <c r="H1950" s="1" t="str">
        <f ca="1">IFERROR(__xludf.DUMMYFUNCTION("""COMPUTED_VALUE"""),"comment")</f>
        <v>comment</v>
      </c>
      <c r="I1950"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50" s="1" t="str">
        <f ca="1">IFERROR(__xludf.DUMMYFUNCTION("""COMPUTED_VALUE"""),"2022-07-04T15:46:23.008Z")</f>
        <v>2022-07-04T15:46:23.008Z</v>
      </c>
    </row>
    <row r="1951" spans="1:10" x14ac:dyDescent="0.2">
      <c r="A1951" s="2" t="str">
        <f ca="1">IFERROR(__xludf.DUMMYFUNCTION("""COMPUTED_VALUE"""),"https://www.facebook.com/marvin.rafols.7")</f>
        <v>https://www.facebook.com/marvin.rafols.7</v>
      </c>
      <c r="B1951" s="1" t="str">
        <f ca="1">IFERROR(__xludf.DUMMYFUNCTION("""COMPUTED_VALUE"""),"Marvin Rafols")</f>
        <v>Marvin Rafols</v>
      </c>
      <c r="C1951" s="1" t="str">
        <f ca="1">IFERROR(__xludf.DUMMYFUNCTION("""COMPUTED_VALUE"""),"Marvin")</f>
        <v>Marvin</v>
      </c>
      <c r="D1951" s="1" t="str">
        <f ca="1">IFERROR(__xludf.DUMMYFUNCTION("""COMPUTED_VALUE"""),"Rafols")</f>
        <v>Rafols</v>
      </c>
      <c r="E1951" s="1" t="str">
        <f ca="1">IFERROR(__xludf.DUMMYFUNCTION("""COMPUTED_VALUE"""),"🌷🌷🌷🌷🌷")</f>
        <v>🌷🌷🌷🌷🌷</v>
      </c>
      <c r="F1951" s="1"/>
      <c r="G1951" s="1" t="str">
        <f ca="1">IFERROR(__xludf.DUMMYFUNCTION("""COMPUTED_VALUE"""),"3 mos")</f>
        <v>3 mos</v>
      </c>
      <c r="H1951" s="1" t="str">
        <f ca="1">IFERROR(__xludf.DUMMYFUNCTION("""COMPUTED_VALUE"""),"comment")</f>
        <v>comment</v>
      </c>
      <c r="I1951"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51" s="1" t="str">
        <f ca="1">IFERROR(__xludf.DUMMYFUNCTION("""COMPUTED_VALUE"""),"2022-07-04T15:46:23.008Z")</f>
        <v>2022-07-04T15:46:23.008Z</v>
      </c>
    </row>
    <row r="1952" spans="1:10" x14ac:dyDescent="0.2">
      <c r="A1952" s="2" t="str">
        <f ca="1">IFERROR(__xludf.DUMMYFUNCTION("""COMPUTED_VALUE"""),"https://www.facebook.com/profile.php?id=100074540717680")</f>
        <v>https://www.facebook.com/profile.php?id=100074540717680</v>
      </c>
      <c r="B1952" s="1" t="str">
        <f ca="1">IFERROR(__xludf.DUMMYFUNCTION("""COMPUTED_VALUE"""),"Milagros Costin")</f>
        <v>Milagros Costin</v>
      </c>
      <c r="C1952" s="1" t="str">
        <f ca="1">IFERROR(__xludf.DUMMYFUNCTION("""COMPUTED_VALUE"""),"Milagros")</f>
        <v>Milagros</v>
      </c>
      <c r="D1952" s="1" t="str">
        <f ca="1">IFERROR(__xludf.DUMMYFUNCTION("""COMPUTED_VALUE"""),"Costin")</f>
        <v>Costin</v>
      </c>
      <c r="E1952" s="1" t="str">
        <f ca="1">IFERROR(__xludf.DUMMYFUNCTION("""COMPUTED_VALUE"""),"🎀🎀🎀🎀🎀🎀")</f>
        <v>🎀🎀🎀🎀🎀🎀</v>
      </c>
      <c r="F1952" s="1"/>
      <c r="G1952" s="1" t="str">
        <f ca="1">IFERROR(__xludf.DUMMYFUNCTION("""COMPUTED_VALUE"""),"3 mos")</f>
        <v>3 mos</v>
      </c>
      <c r="H1952" s="1" t="str">
        <f ca="1">IFERROR(__xludf.DUMMYFUNCTION("""COMPUTED_VALUE"""),"comment")</f>
        <v>comment</v>
      </c>
      <c r="I1952"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52" s="1" t="str">
        <f ca="1">IFERROR(__xludf.DUMMYFUNCTION("""COMPUTED_VALUE"""),"2022-07-04T15:46:23.008Z")</f>
        <v>2022-07-04T15:46:23.008Z</v>
      </c>
    </row>
    <row r="1953" spans="1:10" x14ac:dyDescent="0.2">
      <c r="A1953" s="2" t="str">
        <f ca="1">IFERROR(__xludf.DUMMYFUNCTION("""COMPUTED_VALUE"""),"https://www.facebook.com/celine.avila.50")</f>
        <v>https://www.facebook.com/celine.avila.50</v>
      </c>
      <c r="B1953" s="1" t="str">
        <f ca="1">IFERROR(__xludf.DUMMYFUNCTION("""COMPUTED_VALUE"""),"Celine Avila")</f>
        <v>Celine Avila</v>
      </c>
      <c r="C1953" s="1" t="str">
        <f ca="1">IFERROR(__xludf.DUMMYFUNCTION("""COMPUTED_VALUE"""),"Celine")</f>
        <v>Celine</v>
      </c>
      <c r="D1953" s="1" t="str">
        <f ca="1">IFERROR(__xludf.DUMMYFUNCTION("""COMPUTED_VALUE"""),"Avila")</f>
        <v>Avila</v>
      </c>
      <c r="E1953" s="1" t="str">
        <f ca="1">IFERROR(__xludf.DUMMYFUNCTION("""COMPUTED_VALUE"""),"#LeniKiko2022 #GobyernongTapatAngatBuhayLahat")</f>
        <v>#LeniKiko2022 #GobyernongTapatAngatBuhayLahat</v>
      </c>
      <c r="F1953" s="1"/>
      <c r="G1953" s="1" t="str">
        <f ca="1">IFERROR(__xludf.DUMMYFUNCTION("""COMPUTED_VALUE"""),"3 mos")</f>
        <v>3 mos</v>
      </c>
      <c r="H1953" s="1" t="str">
        <f ca="1">IFERROR(__xludf.DUMMYFUNCTION("""COMPUTED_VALUE"""),"comment")</f>
        <v>comment</v>
      </c>
      <c r="I1953"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53" s="1" t="str">
        <f ca="1">IFERROR(__xludf.DUMMYFUNCTION("""COMPUTED_VALUE"""),"2022-07-04T15:46:23.008Z")</f>
        <v>2022-07-04T15:46:23.008Z</v>
      </c>
    </row>
    <row r="1954" spans="1:10" x14ac:dyDescent="0.2">
      <c r="A1954" s="2" t="str">
        <f ca="1">IFERROR(__xludf.DUMMYFUNCTION("""COMPUTED_VALUE"""),"https://www.facebook.com/LigayaNiOwen")</f>
        <v>https://www.facebook.com/LigayaNiOwen</v>
      </c>
      <c r="B1954" s="1" t="str">
        <f ca="1">IFERROR(__xludf.DUMMYFUNCTION("""COMPUTED_VALUE"""),"Joy C. Roxas")</f>
        <v>Joy C. Roxas</v>
      </c>
      <c r="C1954" s="1" t="str">
        <f ca="1">IFERROR(__xludf.DUMMYFUNCTION("""COMPUTED_VALUE"""),"Joy")</f>
        <v>Joy</v>
      </c>
      <c r="D1954" s="1" t="str">
        <f ca="1">IFERROR(__xludf.DUMMYFUNCTION("""COMPUTED_VALUE"""),"C. Roxas")</f>
        <v>C. Roxas</v>
      </c>
      <c r="E1954" s="1" t="str">
        <f ca="1">IFERROR(__xludf.DUMMYFUNCTION("""COMPUTED_VALUE"""),"🌸🌸🌸")</f>
        <v>🌸🌸🌸</v>
      </c>
      <c r="F1954" s="1"/>
      <c r="G1954" s="1" t="str">
        <f ca="1">IFERROR(__xludf.DUMMYFUNCTION("""COMPUTED_VALUE"""),"3 mos")</f>
        <v>3 mos</v>
      </c>
      <c r="H1954" s="1" t="str">
        <f ca="1">IFERROR(__xludf.DUMMYFUNCTION("""COMPUTED_VALUE"""),"comment")</f>
        <v>comment</v>
      </c>
      <c r="I1954"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54" s="1" t="str">
        <f ca="1">IFERROR(__xludf.DUMMYFUNCTION("""COMPUTED_VALUE"""),"2022-07-04T15:46:23.008Z")</f>
        <v>2022-07-04T15:46:23.008Z</v>
      </c>
    </row>
    <row r="1955" spans="1:10" x14ac:dyDescent="0.2">
      <c r="A1955" s="2" t="str">
        <f ca="1">IFERROR(__xludf.DUMMYFUNCTION("""COMPUTED_VALUE"""),"https://www.facebook.com/julycabaleslablab")</f>
        <v>https://www.facebook.com/julycabaleslablab</v>
      </c>
      <c r="B1955" s="1" t="str">
        <f ca="1">IFERROR(__xludf.DUMMYFUNCTION("""COMPUTED_VALUE"""),"July Christian Cabales")</f>
        <v>July Christian Cabales</v>
      </c>
      <c r="C1955" s="1" t="str">
        <f ca="1">IFERROR(__xludf.DUMMYFUNCTION("""COMPUTED_VALUE"""),"July")</f>
        <v>July</v>
      </c>
      <c r="D1955" s="1" t="str">
        <f ca="1">IFERROR(__xludf.DUMMYFUNCTION("""COMPUTED_VALUE"""),"Christian Cabales")</f>
        <v>Christian Cabales</v>
      </c>
      <c r="E1955" s="1" t="str">
        <f ca="1">IFERROR(__xludf.DUMMYFUNCTION("""COMPUTED_VALUE"""),"🌷💟")</f>
        <v>🌷💟</v>
      </c>
      <c r="F1955" s="1"/>
      <c r="G1955" s="1" t="str">
        <f ca="1">IFERROR(__xludf.DUMMYFUNCTION("""COMPUTED_VALUE"""),"3 mos")</f>
        <v>3 mos</v>
      </c>
      <c r="H1955" s="1" t="str">
        <f ca="1">IFERROR(__xludf.DUMMYFUNCTION("""COMPUTED_VALUE"""),"comment")</f>
        <v>comment</v>
      </c>
      <c r="I1955"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55" s="1" t="str">
        <f ca="1">IFERROR(__xludf.DUMMYFUNCTION("""COMPUTED_VALUE"""),"2022-07-04T15:46:23.008Z")</f>
        <v>2022-07-04T15:46:23.008Z</v>
      </c>
    </row>
    <row r="1956" spans="1:10" x14ac:dyDescent="0.2">
      <c r="A1956" s="2" t="str">
        <f ca="1">IFERROR(__xludf.DUMMYFUNCTION("""COMPUTED_VALUE"""),"https://www.facebook.com/BangChristopherChan97")</f>
        <v>https://www.facebook.com/BangChristopherChan97</v>
      </c>
      <c r="B1956" s="1" t="str">
        <f ca="1">IFERROR(__xludf.DUMMYFUNCTION("""COMPUTED_VALUE"""),"Nhoodz Jeanne Kareen Escalona")</f>
        <v>Nhoodz Jeanne Kareen Escalona</v>
      </c>
      <c r="C1956" s="1" t="str">
        <f ca="1">IFERROR(__xludf.DUMMYFUNCTION("""COMPUTED_VALUE"""),"Nhoodz")</f>
        <v>Nhoodz</v>
      </c>
      <c r="D1956" s="1" t="str">
        <f ca="1">IFERROR(__xludf.DUMMYFUNCTION("""COMPUTED_VALUE"""),"Jeanne Kareen Escalona")</f>
        <v>Jeanne Kareen Escalona</v>
      </c>
      <c r="E1956" s="1" t="str">
        <f ca="1">IFERROR(__xludf.DUMMYFUNCTION("""COMPUTED_VALUE"""),"🌷🌷🌷")</f>
        <v>🌷🌷🌷</v>
      </c>
      <c r="F1956" s="1"/>
      <c r="G1956" s="1" t="str">
        <f ca="1">IFERROR(__xludf.DUMMYFUNCTION("""COMPUTED_VALUE"""),"3 mos")</f>
        <v>3 mos</v>
      </c>
      <c r="H1956" s="1" t="str">
        <f ca="1">IFERROR(__xludf.DUMMYFUNCTION("""COMPUTED_VALUE"""),"comment")</f>
        <v>comment</v>
      </c>
      <c r="I1956"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56" s="1" t="str">
        <f ca="1">IFERROR(__xludf.DUMMYFUNCTION("""COMPUTED_VALUE"""),"2022-07-04T15:46:23.008Z")</f>
        <v>2022-07-04T15:46:23.008Z</v>
      </c>
    </row>
    <row r="1957" spans="1:10" x14ac:dyDescent="0.2">
      <c r="A1957" s="2" t="str">
        <f ca="1">IFERROR(__xludf.DUMMYFUNCTION("""COMPUTED_VALUE"""),"https://www.facebook.com/mbaliat")</f>
        <v>https://www.facebook.com/mbaliat</v>
      </c>
      <c r="B1957" s="1" t="str">
        <f ca="1">IFERROR(__xludf.DUMMYFUNCTION("""COMPUTED_VALUE"""),"Mirla Baliat")</f>
        <v>Mirla Baliat</v>
      </c>
      <c r="C1957" s="1" t="str">
        <f ca="1">IFERROR(__xludf.DUMMYFUNCTION("""COMPUTED_VALUE"""),"Mirla")</f>
        <v>Mirla</v>
      </c>
      <c r="D1957" s="1" t="str">
        <f ca="1">IFERROR(__xludf.DUMMYFUNCTION("""COMPUTED_VALUE"""),"Baliat")</f>
        <v>Baliat</v>
      </c>
      <c r="E1957" s="1" t="str">
        <f ca="1">IFERROR(__xludf.DUMMYFUNCTION("""COMPUTED_VALUE"""),"🌷🌷🌷💗💗💗")</f>
        <v>🌷🌷🌷💗💗💗</v>
      </c>
      <c r="F1957" s="1">
        <f ca="1">IFERROR(__xludf.DUMMYFUNCTION("""COMPUTED_VALUE"""),1)</f>
        <v>1</v>
      </c>
      <c r="G1957" s="1" t="str">
        <f ca="1">IFERROR(__xludf.DUMMYFUNCTION("""COMPUTED_VALUE"""),"3 mos")</f>
        <v>3 mos</v>
      </c>
      <c r="H1957" s="1" t="str">
        <f ca="1">IFERROR(__xludf.DUMMYFUNCTION("""COMPUTED_VALUE"""),"comment")</f>
        <v>comment</v>
      </c>
      <c r="I1957"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57" s="1" t="str">
        <f ca="1">IFERROR(__xludf.DUMMYFUNCTION("""COMPUTED_VALUE"""),"2022-07-04T15:46:23.008Z")</f>
        <v>2022-07-04T15:46:23.008Z</v>
      </c>
    </row>
    <row r="1958" spans="1:10" x14ac:dyDescent="0.2">
      <c r="A1958" s="2" t="str">
        <f ca="1">IFERROR(__xludf.DUMMYFUNCTION("""COMPUTED_VALUE"""),"https://www.facebook.com/danixdejesus")</f>
        <v>https://www.facebook.com/danixdejesus</v>
      </c>
      <c r="B1958" s="1" t="str">
        <f ca="1">IFERROR(__xludf.DUMMYFUNCTION("""COMPUTED_VALUE"""),"Danilo De Jesus")</f>
        <v>Danilo De Jesus</v>
      </c>
      <c r="C1958" s="1" t="str">
        <f ca="1">IFERROR(__xludf.DUMMYFUNCTION("""COMPUTED_VALUE"""),"Danilo")</f>
        <v>Danilo</v>
      </c>
      <c r="D1958" s="1" t="str">
        <f ca="1">IFERROR(__xludf.DUMMYFUNCTION("""COMPUTED_VALUE"""),"De Jesus")</f>
        <v>De Jesus</v>
      </c>
      <c r="E1958" s="1" t="str">
        <f ca="1">IFERROR(__xludf.DUMMYFUNCTION("""COMPUTED_VALUE"""),"👍")</f>
        <v>👍</v>
      </c>
      <c r="F1958" s="1"/>
      <c r="G1958" s="1" t="str">
        <f ca="1">IFERROR(__xludf.DUMMYFUNCTION("""COMPUTED_VALUE"""),"3 mos")</f>
        <v>3 mos</v>
      </c>
      <c r="H1958" s="1" t="str">
        <f ca="1">IFERROR(__xludf.DUMMYFUNCTION("""COMPUTED_VALUE"""),"comment")</f>
        <v>comment</v>
      </c>
      <c r="I1958"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58" s="1" t="str">
        <f ca="1">IFERROR(__xludf.DUMMYFUNCTION("""COMPUTED_VALUE"""),"2022-07-04T15:46:23.008Z")</f>
        <v>2022-07-04T15:46:23.008Z</v>
      </c>
    </row>
    <row r="1959" spans="1:10" x14ac:dyDescent="0.2">
      <c r="A1959" s="2" t="str">
        <f ca="1">IFERROR(__xludf.DUMMYFUNCTION("""COMPUTED_VALUE"""),"https://www.facebook.com/kristinejane.ramos.10")</f>
        <v>https://www.facebook.com/kristinejane.ramos.10</v>
      </c>
      <c r="B1959" s="1" t="str">
        <f ca="1">IFERROR(__xludf.DUMMYFUNCTION("""COMPUTED_VALUE"""),"Mary Ramos")</f>
        <v>Mary Ramos</v>
      </c>
      <c r="C1959" s="1" t="str">
        <f ca="1">IFERROR(__xludf.DUMMYFUNCTION("""COMPUTED_VALUE"""),"Mary")</f>
        <v>Mary</v>
      </c>
      <c r="D1959" s="1" t="str">
        <f ca="1">IFERROR(__xludf.DUMMYFUNCTION("""COMPUTED_VALUE"""),"Ramos")</f>
        <v>Ramos</v>
      </c>
      <c r="E1959" s="1" t="str">
        <f ca="1">IFERROR(__xludf.DUMMYFUNCTION("""COMPUTED_VALUE"""),"🤗💪🌷")</f>
        <v>🤗💪🌷</v>
      </c>
      <c r="F1959" s="1"/>
      <c r="G1959" s="1" t="str">
        <f ca="1">IFERROR(__xludf.DUMMYFUNCTION("""COMPUTED_VALUE"""),"3 mos")</f>
        <v>3 mos</v>
      </c>
      <c r="H1959" s="1" t="str">
        <f ca="1">IFERROR(__xludf.DUMMYFUNCTION("""COMPUTED_VALUE"""),"comment")</f>
        <v>comment</v>
      </c>
      <c r="I1959"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59" s="1" t="str">
        <f ca="1">IFERROR(__xludf.DUMMYFUNCTION("""COMPUTED_VALUE"""),"2022-07-04T15:46:23.008Z")</f>
        <v>2022-07-04T15:46:23.008Z</v>
      </c>
    </row>
    <row r="1960" spans="1:10" x14ac:dyDescent="0.2">
      <c r="A1960" s="2" t="str">
        <f ca="1">IFERROR(__xludf.DUMMYFUNCTION("""COMPUTED_VALUE"""),"https://www.facebook.com/profile.php?id=1669143901")</f>
        <v>https://www.facebook.com/profile.php?id=1669143901</v>
      </c>
      <c r="B1960" s="1" t="str">
        <f ca="1">IFERROR(__xludf.DUMMYFUNCTION("""COMPUTED_VALUE"""),"Vince Tse Koi")</f>
        <v>Vince Tse Koi</v>
      </c>
      <c r="C1960" s="1" t="str">
        <f ca="1">IFERROR(__xludf.DUMMYFUNCTION("""COMPUTED_VALUE"""),"Vince")</f>
        <v>Vince</v>
      </c>
      <c r="D1960" s="1" t="str">
        <f ca="1">IFERROR(__xludf.DUMMYFUNCTION("""COMPUTED_VALUE"""),"Tse Koi")</f>
        <v>Tse Koi</v>
      </c>
      <c r="E1960" s="1" t="str">
        <f ca="1">IFERROR(__xludf.DUMMYFUNCTION("""COMPUTED_VALUE"""),"❤❤❤❤🇵🇭🇵🇭🇵🇭🇵🇭🇵🇭")</f>
        <v>❤❤❤❤🇵🇭🇵🇭🇵🇭🇵🇭🇵🇭</v>
      </c>
      <c r="F1960" s="1"/>
      <c r="G1960" s="1" t="str">
        <f ca="1">IFERROR(__xludf.DUMMYFUNCTION("""COMPUTED_VALUE"""),"3 mos")</f>
        <v>3 mos</v>
      </c>
      <c r="H1960" s="1" t="str">
        <f ca="1">IFERROR(__xludf.DUMMYFUNCTION("""COMPUTED_VALUE"""),"comment")</f>
        <v>comment</v>
      </c>
      <c r="I1960"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60" s="1" t="str">
        <f ca="1">IFERROR(__xludf.DUMMYFUNCTION("""COMPUTED_VALUE"""),"2022-07-04T15:46:23.008Z")</f>
        <v>2022-07-04T15:46:23.008Z</v>
      </c>
    </row>
    <row r="1961" spans="1:10" x14ac:dyDescent="0.2">
      <c r="A1961" s="2" t="str">
        <f ca="1">IFERROR(__xludf.DUMMYFUNCTION("""COMPUTED_VALUE"""),"https://www.facebook.com/noel.buhia")</f>
        <v>https://www.facebook.com/noel.buhia</v>
      </c>
      <c r="B1961" s="1" t="str">
        <f ca="1">IFERROR(__xludf.DUMMYFUNCTION("""COMPUTED_VALUE"""),"Noel Rapas Buhia")</f>
        <v>Noel Rapas Buhia</v>
      </c>
      <c r="C1961" s="1" t="str">
        <f ca="1">IFERROR(__xludf.DUMMYFUNCTION("""COMPUTED_VALUE"""),"Noel")</f>
        <v>Noel</v>
      </c>
      <c r="D1961" s="1" t="str">
        <f ca="1">IFERROR(__xludf.DUMMYFUNCTION("""COMPUTED_VALUE"""),"Rapas Buhia")</f>
        <v>Rapas Buhia</v>
      </c>
      <c r="E1961" s="1" t="str">
        <f ca="1">IFERROR(__xludf.DUMMYFUNCTION("""COMPUTED_VALUE"""),"50K")</f>
        <v>50K</v>
      </c>
      <c r="F1961" s="1"/>
      <c r="G1961" s="1" t="str">
        <f ca="1">IFERROR(__xludf.DUMMYFUNCTION("""COMPUTED_VALUE"""),"3 mos")</f>
        <v>3 mos</v>
      </c>
      <c r="H1961" s="1" t="str">
        <f ca="1">IFERROR(__xludf.DUMMYFUNCTION("""COMPUTED_VALUE"""),"comment")</f>
        <v>comment</v>
      </c>
      <c r="I1961"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61" s="1" t="str">
        <f ca="1">IFERROR(__xludf.DUMMYFUNCTION("""COMPUTED_VALUE"""),"2022-07-04T15:46:23.008Z")</f>
        <v>2022-07-04T15:46:23.008Z</v>
      </c>
    </row>
    <row r="1962" spans="1:10" x14ac:dyDescent="0.2">
      <c r="A1962" s="2" t="str">
        <f ca="1">IFERROR(__xludf.DUMMYFUNCTION("""COMPUTED_VALUE"""),"https://www.facebook.com/iyos.bautistapilar")</f>
        <v>https://www.facebook.com/iyos.bautistapilar</v>
      </c>
      <c r="B1962" s="1" t="str">
        <f ca="1">IFERROR(__xludf.DUMMYFUNCTION("""COMPUTED_VALUE"""),"Iyos Bautista-Pilar")</f>
        <v>Iyos Bautista-Pilar</v>
      </c>
      <c r="C1962" s="1" t="str">
        <f ca="1">IFERROR(__xludf.DUMMYFUNCTION("""COMPUTED_VALUE"""),"Iyos")</f>
        <v>Iyos</v>
      </c>
      <c r="D1962" s="1" t="str">
        <f ca="1">IFERROR(__xludf.DUMMYFUNCTION("""COMPUTED_VALUE"""),"Bautista-Pilar")</f>
        <v>Bautista-Pilar</v>
      </c>
      <c r="E1962" s="1" t="str">
        <f ca="1">IFERROR(__xludf.DUMMYFUNCTION("""COMPUTED_VALUE"""),"Noel Rapas Buhia hi sir noel! Kamusta po. Per caption as of 2:33pm pa lang po yun drone shot, maaga pa po ito. 😊")</f>
        <v>Noel Rapas Buhia hi sir noel! Kamusta po. Per caption as of 2:33pm pa lang po yun drone shot, maaga pa po ito. 😊</v>
      </c>
      <c r="F1962" s="1"/>
      <c r="G1962" s="1" t="str">
        <f ca="1">IFERROR(__xludf.DUMMYFUNCTION("""COMPUTED_VALUE"""),"3 mos")</f>
        <v>3 mos</v>
      </c>
      <c r="H1962" s="1" t="str">
        <f ca="1">IFERROR(__xludf.DUMMYFUNCTION("""COMPUTED_VALUE"""),"reply")</f>
        <v>reply</v>
      </c>
      <c r="I1962"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62" s="1" t="str">
        <f ca="1">IFERROR(__xludf.DUMMYFUNCTION("""COMPUTED_VALUE"""),"2022-07-04T15:46:23.008Z")</f>
        <v>2022-07-04T15:46:23.008Z</v>
      </c>
    </row>
    <row r="1963" spans="1:10" x14ac:dyDescent="0.2">
      <c r="A1963" s="2" t="str">
        <f ca="1">IFERROR(__xludf.DUMMYFUNCTION("""COMPUTED_VALUE"""),"https://www.facebook.com/dinnis.bastatas")</f>
        <v>https://www.facebook.com/dinnis.bastatas</v>
      </c>
      <c r="B1963" s="1" t="str">
        <f ca="1">IFERROR(__xludf.DUMMYFUNCTION("""COMPUTED_VALUE"""),"Vic Diaz Orig")</f>
        <v>Vic Diaz Orig</v>
      </c>
      <c r="C1963" s="1" t="str">
        <f ca="1">IFERROR(__xludf.DUMMYFUNCTION("""COMPUTED_VALUE"""),"Vic")</f>
        <v>Vic</v>
      </c>
      <c r="D1963" s="1" t="str">
        <f ca="1">IFERROR(__xludf.DUMMYFUNCTION("""COMPUTED_VALUE"""),"Diaz Orig")</f>
        <v>Diaz Orig</v>
      </c>
      <c r="E1963" s="1" t="str">
        <f ca="1">IFERROR(__xludf.DUMMYFUNCTION("""COMPUTED_VALUE"""),"hindi dapat ginagawang biro yan, kase Pagdating naman ng 2023 hindi lang natin mapapabilis ang biyahe mula Baclaran hanggang Bacoor kundi madadagdagan din tayo ng tinatayong 250,000 na pasahero ang maisasakay kada araw dahil sa LRT Line 1 extension. At pa"&amp;"g hindi ho nangyari ito, nandiyan po si Secretary Abaya na mangangasiwa ng proyektong to, dalawa na kaming magpapasagasa siguro sa tren")</f>
        <v>hindi dapat ginagawang biro yan, kase Pagdating naman ng 2023 hindi lang natin mapapabilis ang biyahe mula Baclaran hanggang Bacoor kundi madadagdagan din tayo ng tinatayong 250,000 na pasahero ang maisasakay kada araw dahil sa LRT Line 1 extension. At pag hindi ho nangyari ito, nandiyan po si Secretary Abaya na mangangasiwa ng proyektong to, dalawa na kaming magpapasagasa siguro sa tren</v>
      </c>
      <c r="F1963" s="1"/>
      <c r="G1963" s="1" t="str">
        <f ca="1">IFERROR(__xludf.DUMMYFUNCTION("""COMPUTED_VALUE"""),"3 mos")</f>
        <v>3 mos</v>
      </c>
      <c r="H1963" s="1" t="str">
        <f ca="1">IFERROR(__xludf.DUMMYFUNCTION("""COMPUTED_VALUE"""),"comment")</f>
        <v>comment</v>
      </c>
      <c r="I1963"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63" s="1" t="str">
        <f ca="1">IFERROR(__xludf.DUMMYFUNCTION("""COMPUTED_VALUE"""),"2022-07-04T15:46:23.008Z")</f>
        <v>2022-07-04T15:46:23.008Z</v>
      </c>
    </row>
    <row r="1964" spans="1:10" x14ac:dyDescent="0.2">
      <c r="A1964" s="2" t="str">
        <f ca="1">IFERROR(__xludf.DUMMYFUNCTION("""COMPUTED_VALUE"""),"https://www.facebook.com/ellessir.setnallude")</f>
        <v>https://www.facebook.com/ellessir.setnallude</v>
      </c>
      <c r="B1964" s="1" t="str">
        <f ca="1">IFERROR(__xludf.DUMMYFUNCTION("""COMPUTED_VALUE"""),"Ellie Selle")</f>
        <v>Ellie Selle</v>
      </c>
      <c r="C1964" s="1" t="str">
        <f ca="1">IFERROR(__xludf.DUMMYFUNCTION("""COMPUTED_VALUE"""),"Ellie")</f>
        <v>Ellie</v>
      </c>
      <c r="D1964" s="1" t="str">
        <f ca="1">IFERROR(__xludf.DUMMYFUNCTION("""COMPUTED_VALUE"""),"Selle")</f>
        <v>Selle</v>
      </c>
      <c r="E1964" s="1" t="str">
        <f ca="1">IFERROR(__xludf.DUMMYFUNCTION("""COMPUTED_VALUE"""),"keepsafe po. sobrang init ganitong oras. sumilong tlga kami sa mga puno sa sobrang init. drink lots of water po")</f>
        <v>keepsafe po. sobrang init ganitong oras. sumilong tlga kami sa mga puno sa sobrang init. drink lots of water po</v>
      </c>
      <c r="F1964" s="1">
        <f ca="1">IFERROR(__xludf.DUMMYFUNCTION("""COMPUTED_VALUE"""),1)</f>
        <v>1</v>
      </c>
      <c r="G1964" s="1" t="str">
        <f ca="1">IFERROR(__xludf.DUMMYFUNCTION("""COMPUTED_VALUE"""),"3 mos")</f>
        <v>3 mos</v>
      </c>
      <c r="H1964" s="1" t="str">
        <f ca="1">IFERROR(__xludf.DUMMYFUNCTION("""COMPUTED_VALUE"""),"comment")</f>
        <v>comment</v>
      </c>
      <c r="I1964"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64" s="1" t="str">
        <f ca="1">IFERROR(__xludf.DUMMYFUNCTION("""COMPUTED_VALUE"""),"2022-07-04T15:46:23.008Z")</f>
        <v>2022-07-04T15:46:23.008Z</v>
      </c>
    </row>
    <row r="1965" spans="1:10" x14ac:dyDescent="0.2">
      <c r="A1965" s="2" t="str">
        <f ca="1">IFERROR(__xludf.DUMMYFUNCTION("""COMPUTED_VALUE"""),"https://www.facebook.com/samuel.peralta310")</f>
        <v>https://www.facebook.com/samuel.peralta310</v>
      </c>
      <c r="B1965" s="1" t="str">
        <f ca="1">IFERROR(__xludf.DUMMYFUNCTION("""COMPUTED_VALUE"""),"Samuel Fernandez Peralta")</f>
        <v>Samuel Fernandez Peralta</v>
      </c>
      <c r="C1965" s="1" t="str">
        <f ca="1">IFERROR(__xludf.DUMMYFUNCTION("""COMPUTED_VALUE"""),"Samuel")</f>
        <v>Samuel</v>
      </c>
      <c r="D1965" s="1" t="str">
        <f ca="1">IFERROR(__xludf.DUMMYFUNCTION("""COMPUTED_VALUE"""),"Fernandez Peralta")</f>
        <v>Fernandez Peralta</v>
      </c>
      <c r="E1965" s="1" t="str">
        <f ca="1">IFERROR(__xludf.DUMMYFUNCTION("""COMPUTED_VALUE"""),"Maraming salamat at mabuhay CAMANAVA💞 #IpanaloNaNa10To")</f>
        <v>Maraming salamat at mabuhay CAMANAVA💞 #IpanaloNaNa10To</v>
      </c>
      <c r="F1965" s="1">
        <f ca="1">IFERROR(__xludf.DUMMYFUNCTION("""COMPUTED_VALUE"""),1)</f>
        <v>1</v>
      </c>
      <c r="G1965" s="1" t="str">
        <f ca="1">IFERROR(__xludf.DUMMYFUNCTION("""COMPUTED_VALUE"""),"3 mos")</f>
        <v>3 mos</v>
      </c>
      <c r="H1965" s="1" t="str">
        <f ca="1">IFERROR(__xludf.DUMMYFUNCTION("""COMPUTED_VALUE"""),"comment")</f>
        <v>comment</v>
      </c>
      <c r="I1965"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65" s="1" t="str">
        <f ca="1">IFERROR(__xludf.DUMMYFUNCTION("""COMPUTED_VALUE"""),"2022-07-04T15:46:23.008Z")</f>
        <v>2022-07-04T15:46:23.008Z</v>
      </c>
    </row>
    <row r="1966" spans="1:10" x14ac:dyDescent="0.2">
      <c r="A1966" s="2" t="str">
        <f ca="1">IFERROR(__xludf.DUMMYFUNCTION("""COMPUTED_VALUE"""),"https://www.facebook.com/juliza.gulandrina.56")</f>
        <v>https://www.facebook.com/juliza.gulandrina.56</v>
      </c>
      <c r="B1966" s="1" t="str">
        <f ca="1">IFERROR(__xludf.DUMMYFUNCTION("""COMPUTED_VALUE"""),"Ka Zu Mi")</f>
        <v>Ka Zu Mi</v>
      </c>
      <c r="C1966" s="1" t="str">
        <f ca="1">IFERROR(__xludf.DUMMYFUNCTION("""COMPUTED_VALUE"""),"Ka")</f>
        <v>Ka</v>
      </c>
      <c r="D1966" s="1" t="str">
        <f ca="1">IFERROR(__xludf.DUMMYFUNCTION("""COMPUTED_VALUE"""),"Zu Mi")</f>
        <v>Zu Mi</v>
      </c>
      <c r="E1966" s="1" t="str">
        <f ca="1">IFERROR(__xludf.DUMMYFUNCTION("""COMPUTED_VALUE"""),"Puno na Yan Maya😂 edit na nman yan")</f>
        <v>Puno na Yan Maya😂 edit na nman yan</v>
      </c>
      <c r="F1966" s="1"/>
      <c r="G1966" s="1" t="str">
        <f ca="1">IFERROR(__xludf.DUMMYFUNCTION("""COMPUTED_VALUE"""),"3 mos")</f>
        <v>3 mos</v>
      </c>
      <c r="H1966" s="1" t="str">
        <f ca="1">IFERROR(__xludf.DUMMYFUNCTION("""COMPUTED_VALUE"""),"comment")</f>
        <v>comment</v>
      </c>
      <c r="I1966"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66" s="1" t="str">
        <f ca="1">IFERROR(__xludf.DUMMYFUNCTION("""COMPUTED_VALUE"""),"2022-07-04T15:46:23.008Z")</f>
        <v>2022-07-04T15:46:23.008Z</v>
      </c>
    </row>
    <row r="1967" spans="1:10" x14ac:dyDescent="0.2">
      <c r="A1967" s="2" t="str">
        <f ca="1">IFERROR(__xludf.DUMMYFUNCTION("""COMPUTED_VALUE"""),"https://www.facebook.com/donna.dee.37017")</f>
        <v>https://www.facebook.com/donna.dee.37017</v>
      </c>
      <c r="B1967" s="1" t="str">
        <f ca="1">IFERROR(__xludf.DUMMYFUNCTION("""COMPUTED_VALUE"""),"Donna Dee")</f>
        <v>Donna Dee</v>
      </c>
      <c r="C1967" s="1" t="str">
        <f ca="1">IFERROR(__xludf.DUMMYFUNCTION("""COMPUTED_VALUE"""),"Donna")</f>
        <v>Donna</v>
      </c>
      <c r="D1967" s="1" t="str">
        <f ca="1">IFERROR(__xludf.DUMMYFUNCTION("""COMPUTED_VALUE"""),"Dee")</f>
        <v>Dee</v>
      </c>
      <c r="E1967" s="1" t="str">
        <f ca="1">IFERROR(__xludf.DUMMYFUNCTION("""COMPUTED_VALUE"""),"Inom kayo tubig kakampinks! Ingat kayo💞 #CaMaNaVaIsPink  #LeniKiko2022")</f>
        <v>Inom kayo tubig kakampinks! Ingat kayo💞 #CaMaNaVaIsPink  #LeniKiko2022</v>
      </c>
      <c r="F1967" s="1"/>
      <c r="G1967" s="1" t="str">
        <f ca="1">IFERROR(__xludf.DUMMYFUNCTION("""COMPUTED_VALUE"""),"3 mos")</f>
        <v>3 mos</v>
      </c>
      <c r="H1967" s="1" t="str">
        <f ca="1">IFERROR(__xludf.DUMMYFUNCTION("""COMPUTED_VALUE"""),"comment")</f>
        <v>comment</v>
      </c>
      <c r="I1967"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67" s="1" t="str">
        <f ca="1">IFERROR(__xludf.DUMMYFUNCTION("""COMPUTED_VALUE"""),"2022-07-04T15:46:23.008Z")</f>
        <v>2022-07-04T15:46:23.008Z</v>
      </c>
    </row>
    <row r="1968" spans="1:10" x14ac:dyDescent="0.2">
      <c r="A1968" s="2" t="str">
        <f ca="1">IFERROR(__xludf.DUMMYFUNCTION("""COMPUTED_VALUE"""),"https://www.facebook.com/Valladoresjude1988")</f>
        <v>https://www.facebook.com/Valladoresjude1988</v>
      </c>
      <c r="B1968" s="1" t="str">
        <f ca="1">IFERROR(__xludf.DUMMYFUNCTION("""COMPUTED_VALUE"""),"Valladorez Jude")</f>
        <v>Valladorez Jude</v>
      </c>
      <c r="C1968" s="1" t="str">
        <f ca="1">IFERROR(__xludf.DUMMYFUNCTION("""COMPUTED_VALUE"""),"Valladorez")</f>
        <v>Valladorez</v>
      </c>
      <c r="D1968" s="1" t="str">
        <f ca="1">IFERROR(__xludf.DUMMYFUNCTION("""COMPUTED_VALUE"""),"Jude")</f>
        <v>Jude</v>
      </c>
      <c r="E1968" s="1" t="str">
        <f ca="1">IFERROR(__xludf.DUMMYFUNCTION("""COMPUTED_VALUE"""),"Pagbabago, hindi abuso. Pagkakaisa, Wag mang isa. Hawak kamay, 'wag hugas-kamay. I am Filipino! I stand for my country. We deserve better! #LetLeniLead #LeKi2022 💗🌸")</f>
        <v>Pagbabago, hindi abuso. Pagkakaisa, Wag mang isa. Hawak kamay, 'wag hugas-kamay. I am Filipino! I stand for my country. We deserve better! #LetLeniLead #LeKi2022 💗🌸</v>
      </c>
      <c r="F1968" s="1">
        <f ca="1">IFERROR(__xludf.DUMMYFUNCTION("""COMPUTED_VALUE"""),19)</f>
        <v>19</v>
      </c>
      <c r="G1968" s="1" t="str">
        <f ca="1">IFERROR(__xludf.DUMMYFUNCTION("""COMPUTED_VALUE"""),"3 mos")</f>
        <v>3 mos</v>
      </c>
      <c r="H1968" s="1" t="str">
        <f ca="1">IFERROR(__xludf.DUMMYFUNCTION("""COMPUTED_VALUE"""),"comment")</f>
        <v>comment</v>
      </c>
      <c r="I1968"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68" s="1" t="str">
        <f ca="1">IFERROR(__xludf.DUMMYFUNCTION("""COMPUTED_VALUE"""),"2022-07-04T15:46:23.008Z")</f>
        <v>2022-07-04T15:46:23.008Z</v>
      </c>
    </row>
    <row r="1969" spans="1:10" x14ac:dyDescent="0.2">
      <c r="A1969" s="2" t="str">
        <f ca="1">IFERROR(__xludf.DUMMYFUNCTION("""COMPUTED_VALUE"""),"https://www.facebook.com/henardino")</f>
        <v>https://www.facebook.com/henardino</v>
      </c>
      <c r="B1969" s="1" t="str">
        <f ca="1">IFERROR(__xludf.DUMMYFUNCTION("""COMPUTED_VALUE"""),"Sarah Juario Henardino")</f>
        <v>Sarah Juario Henardino</v>
      </c>
      <c r="C1969" s="1" t="str">
        <f ca="1">IFERROR(__xludf.DUMMYFUNCTION("""COMPUTED_VALUE"""),"Sarah")</f>
        <v>Sarah</v>
      </c>
      <c r="D1969" s="1" t="str">
        <f ca="1">IFERROR(__xludf.DUMMYFUNCTION("""COMPUTED_VALUE"""),"Juario Henardino")</f>
        <v>Juario Henardino</v>
      </c>
      <c r="E1969" s="1" t="str">
        <f ca="1">IFERROR(__xludf.DUMMYFUNCTION("""COMPUTED_VALUE"""),"Valladores Jude hahaaa dami subra wlang space")</f>
        <v>Valladores Jude hahaaa dami subra wlang space</v>
      </c>
      <c r="F1969" s="1"/>
      <c r="G1969" s="1" t="str">
        <f ca="1">IFERROR(__xludf.DUMMYFUNCTION("""COMPUTED_VALUE"""),"3 mos")</f>
        <v>3 mos</v>
      </c>
      <c r="H1969" s="1" t="str">
        <f ca="1">IFERROR(__xludf.DUMMYFUNCTION("""COMPUTED_VALUE"""),"reply")</f>
        <v>reply</v>
      </c>
      <c r="I1969"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69" s="1" t="str">
        <f ca="1">IFERROR(__xludf.DUMMYFUNCTION("""COMPUTED_VALUE"""),"2022-07-04T15:46:23.008Z")</f>
        <v>2022-07-04T15:46:23.008Z</v>
      </c>
    </row>
    <row r="1970" spans="1:10" x14ac:dyDescent="0.2">
      <c r="A1970" s="2" t="str">
        <f ca="1">IFERROR(__xludf.DUMMYFUNCTION("""COMPUTED_VALUE"""),"https://www.facebook.com/Valladoresjude1988")</f>
        <v>https://www.facebook.com/Valladoresjude1988</v>
      </c>
      <c r="B1970" s="1" t="str">
        <f ca="1">IFERROR(__xludf.DUMMYFUNCTION("""COMPUTED_VALUE"""),"Valladorez Jude")</f>
        <v>Valladorez Jude</v>
      </c>
      <c r="C1970" s="1" t="str">
        <f ca="1">IFERROR(__xludf.DUMMYFUNCTION("""COMPUTED_VALUE"""),"Valladorez")</f>
        <v>Valladorez</v>
      </c>
      <c r="D1970" s="1" t="str">
        <f ca="1">IFERROR(__xludf.DUMMYFUNCTION("""COMPUTED_VALUE"""),"Jude")</f>
        <v>Jude</v>
      </c>
      <c r="E1970" s="1" t="str">
        <f ca="1">IFERROR(__xludf.DUMMYFUNCTION("""COMPUTED_VALUE"""),"Sarah Juario Henardino okie Lang yan. Basta sa May 9 iiyak amo mo. Uubosin na naman ang anim na taon kakapa recount. #Marc🚫s Mambubud🚫L")</f>
        <v>Sarah Juario Henardino okie Lang yan. Basta sa May 9 iiyak amo mo. Uubosin na naman ang anim na taon kakapa recount. #Marc🚫s Mambubud🚫L</v>
      </c>
      <c r="F1970" s="1"/>
      <c r="G1970" s="1" t="str">
        <f ca="1">IFERROR(__xludf.DUMMYFUNCTION("""COMPUTED_VALUE"""),"3 mos")</f>
        <v>3 mos</v>
      </c>
      <c r="H1970" s="1" t="str">
        <f ca="1">IFERROR(__xludf.DUMMYFUNCTION("""COMPUTED_VALUE"""),"reply")</f>
        <v>reply</v>
      </c>
      <c r="I1970"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70" s="1" t="str">
        <f ca="1">IFERROR(__xludf.DUMMYFUNCTION("""COMPUTED_VALUE"""),"2022-07-04T15:46:23.008Z")</f>
        <v>2022-07-04T15:46:23.008Z</v>
      </c>
    </row>
    <row r="1971" spans="1:10" x14ac:dyDescent="0.2">
      <c r="A1971" s="2" t="str">
        <f ca="1">IFERROR(__xludf.DUMMYFUNCTION("""COMPUTED_VALUE"""),"https://www.facebook.com/henardino")</f>
        <v>https://www.facebook.com/henardino</v>
      </c>
      <c r="B1971" s="1" t="str">
        <f ca="1">IFERROR(__xludf.DUMMYFUNCTION("""COMPUTED_VALUE"""),"Sarah Juario Henardino")</f>
        <v>Sarah Juario Henardino</v>
      </c>
      <c r="C1971" s="1" t="str">
        <f ca="1">IFERROR(__xludf.DUMMYFUNCTION("""COMPUTED_VALUE"""),"Sarah")</f>
        <v>Sarah</v>
      </c>
      <c r="D1971" s="1" t="str">
        <f ca="1">IFERROR(__xludf.DUMMYFUNCTION("""COMPUTED_VALUE"""),"Juario Henardino")</f>
        <v>Juario Henardino</v>
      </c>
      <c r="E1971" s="1" t="str">
        <f ca="1">IFERROR(__xludf.DUMMYFUNCTION("""COMPUTED_VALUE"""),"Valladores Jude anong binubudol sayo kapal din NG mukha mo magsalita may ebidensya ka Diba ninyo matanggap binabasura sa korte yon mga taong talunan kayo deritso sa inodoro talunan")</f>
        <v>Valladores Jude anong binubudol sayo kapal din NG mukha mo magsalita may ebidensya ka Diba ninyo matanggap binabasura sa korte yon mga taong talunan kayo deritso sa inodoro talunan</v>
      </c>
      <c r="F1971" s="1"/>
      <c r="G1971" s="1" t="str">
        <f ca="1">IFERROR(__xludf.DUMMYFUNCTION("""COMPUTED_VALUE"""),"3 mos")</f>
        <v>3 mos</v>
      </c>
      <c r="H1971" s="1" t="str">
        <f ca="1">IFERROR(__xludf.DUMMYFUNCTION("""COMPUTED_VALUE"""),"reply")</f>
        <v>reply</v>
      </c>
      <c r="I1971"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71" s="1" t="str">
        <f ca="1">IFERROR(__xludf.DUMMYFUNCTION("""COMPUTED_VALUE"""),"2022-07-04T15:46:23.008Z")</f>
        <v>2022-07-04T15:46:23.008Z</v>
      </c>
    </row>
    <row r="1972" spans="1:10" x14ac:dyDescent="0.2">
      <c r="A1972" s="2" t="str">
        <f ca="1">IFERROR(__xludf.DUMMYFUNCTION("""COMPUTED_VALUE"""),"https://www.facebook.com/Valladoresjude1988")</f>
        <v>https://www.facebook.com/Valladoresjude1988</v>
      </c>
      <c r="B1972" s="1" t="str">
        <f ca="1">IFERROR(__xludf.DUMMYFUNCTION("""COMPUTED_VALUE"""),"Valladorez Jude")</f>
        <v>Valladorez Jude</v>
      </c>
      <c r="C1972" s="1" t="str">
        <f ca="1">IFERROR(__xludf.DUMMYFUNCTION("""COMPUTED_VALUE"""),"Valladorez")</f>
        <v>Valladorez</v>
      </c>
      <c r="D1972" s="1" t="str">
        <f ca="1">IFERROR(__xludf.DUMMYFUNCTION("""COMPUTED_VALUE"""),"Jude")</f>
        <v>Jude</v>
      </c>
      <c r="E1972" s="1" t="str">
        <f ca="1">IFERROR(__xludf.DUMMYFUNCTION("""COMPUTED_VALUE"""),"Sarah Juario Henardino si Emelda mo may Hatol sa korte 7 counts. Wag mo ipagtanggol mang mang ka. 🤣")</f>
        <v>Sarah Juario Henardino si Emelda mo may Hatol sa korte 7 counts. Wag mo ipagtanggol mang mang ka. 🤣</v>
      </c>
      <c r="F1972" s="1"/>
      <c r="G1972" s="1" t="str">
        <f ca="1">IFERROR(__xludf.DUMMYFUNCTION("""COMPUTED_VALUE"""),"3 mos")</f>
        <v>3 mos</v>
      </c>
      <c r="H1972" s="1" t="str">
        <f ca="1">IFERROR(__xludf.DUMMYFUNCTION("""COMPUTED_VALUE"""),"reply")</f>
        <v>reply</v>
      </c>
      <c r="I1972"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72" s="1" t="str">
        <f ca="1">IFERROR(__xludf.DUMMYFUNCTION("""COMPUTED_VALUE"""),"2022-07-04T15:46:23.008Z")</f>
        <v>2022-07-04T15:46:23.008Z</v>
      </c>
    </row>
    <row r="1973" spans="1:10" x14ac:dyDescent="0.2">
      <c r="A1973" s="2" t="str">
        <f ca="1">IFERROR(__xludf.DUMMYFUNCTION("""COMPUTED_VALUE"""),"https://www.facebook.com/henardino")</f>
        <v>https://www.facebook.com/henardino</v>
      </c>
      <c r="B1973" s="1" t="str">
        <f ca="1">IFERROR(__xludf.DUMMYFUNCTION("""COMPUTED_VALUE"""),"Sarah Juario Henardino")</f>
        <v>Sarah Juario Henardino</v>
      </c>
      <c r="C1973" s="1" t="str">
        <f ca="1">IFERROR(__xludf.DUMMYFUNCTION("""COMPUTED_VALUE"""),"Sarah")</f>
        <v>Sarah</v>
      </c>
      <c r="D1973" s="1" t="str">
        <f ca="1">IFERROR(__xludf.DUMMYFUNCTION("""COMPUTED_VALUE"""),"Juario Henardino")</f>
        <v>Juario Henardino</v>
      </c>
      <c r="E1973" s="1" t="str">
        <f ca="1">IFERROR(__xludf.DUMMYFUNCTION("""COMPUTED_VALUE"""),"Valladores Jude 😂 😂 😂 😂 😂 asan ipakita mo kuda kayo ng kuda wla kayong mapapala")</f>
        <v>Valladores Jude 😂 😂 😂 😂 😂 asan ipakita mo kuda kayo ng kuda wla kayong mapapala</v>
      </c>
      <c r="F1973" s="1"/>
      <c r="G1973" s="1" t="str">
        <f ca="1">IFERROR(__xludf.DUMMYFUNCTION("""COMPUTED_VALUE"""),"3 mos")</f>
        <v>3 mos</v>
      </c>
      <c r="H1973" s="1" t="str">
        <f ca="1">IFERROR(__xludf.DUMMYFUNCTION("""COMPUTED_VALUE"""),"reply")</f>
        <v>reply</v>
      </c>
      <c r="I1973"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73" s="1" t="str">
        <f ca="1">IFERROR(__xludf.DUMMYFUNCTION("""COMPUTED_VALUE"""),"2022-07-04T15:46:23.008Z")</f>
        <v>2022-07-04T15:46:23.008Z</v>
      </c>
    </row>
    <row r="1974" spans="1:10" x14ac:dyDescent="0.2">
      <c r="A1974" s="2" t="str">
        <f ca="1">IFERROR(__xludf.DUMMYFUNCTION("""COMPUTED_VALUE"""),"https://www.facebook.com/Valladoresjude1988")</f>
        <v>https://www.facebook.com/Valladoresjude1988</v>
      </c>
      <c r="B1974" s="1" t="str">
        <f ca="1">IFERROR(__xludf.DUMMYFUNCTION("""COMPUTED_VALUE"""),"Valladorez Jude")</f>
        <v>Valladorez Jude</v>
      </c>
      <c r="C1974" s="1" t="str">
        <f ca="1">IFERROR(__xludf.DUMMYFUNCTION("""COMPUTED_VALUE"""),"Valladorez")</f>
        <v>Valladorez</v>
      </c>
      <c r="D1974" s="1" t="str">
        <f ca="1">IFERROR(__xludf.DUMMYFUNCTION("""COMPUTED_VALUE"""),"Jude")</f>
        <v>Jude</v>
      </c>
      <c r="E1974" s="1" t="str">
        <f ca="1">IFERROR(__xludf.DUMMYFUNCTION("""COMPUTED_VALUE"""),"Sarah Juario Henardino gamotin mo muna ang panga ng amo mo naka lock kaka hit hit🤣")</f>
        <v>Sarah Juario Henardino gamotin mo muna ang panga ng amo mo naka lock kaka hit hit🤣</v>
      </c>
      <c r="F1974" s="1"/>
      <c r="G1974" s="1" t="str">
        <f ca="1">IFERROR(__xludf.DUMMYFUNCTION("""COMPUTED_VALUE"""),"3 mos")</f>
        <v>3 mos</v>
      </c>
      <c r="H1974" s="1" t="str">
        <f ca="1">IFERROR(__xludf.DUMMYFUNCTION("""COMPUTED_VALUE"""),"reply")</f>
        <v>reply</v>
      </c>
      <c r="I1974"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74" s="1" t="str">
        <f ca="1">IFERROR(__xludf.DUMMYFUNCTION("""COMPUTED_VALUE"""),"2022-07-04T15:46:23.008Z")</f>
        <v>2022-07-04T15:46:23.008Z</v>
      </c>
    </row>
    <row r="1975" spans="1:10" x14ac:dyDescent="0.2">
      <c r="A1975" s="2" t="str">
        <f ca="1">IFERROR(__xludf.DUMMYFUNCTION("""COMPUTED_VALUE"""),"https://www.facebook.com/henardino")</f>
        <v>https://www.facebook.com/henardino</v>
      </c>
      <c r="B1975" s="1" t="str">
        <f ca="1">IFERROR(__xludf.DUMMYFUNCTION("""COMPUTED_VALUE"""),"Sarah Juario Henardino")</f>
        <v>Sarah Juario Henardino</v>
      </c>
      <c r="C1975" s="1" t="str">
        <f ca="1">IFERROR(__xludf.DUMMYFUNCTION("""COMPUTED_VALUE"""),"Sarah")</f>
        <v>Sarah</v>
      </c>
      <c r="D1975" s="1" t="str">
        <f ca="1">IFERROR(__xludf.DUMMYFUNCTION("""COMPUTED_VALUE"""),"Juario Henardino")</f>
        <v>Juario Henardino</v>
      </c>
      <c r="E1975" s="1" t="str">
        <f ca="1">IFERROR(__xludf.DUMMYFUNCTION("""COMPUTED_VALUE"""),"Valladores Jude baka ikaw naka hithit padala kaya ka sa mental")</f>
        <v>Valladores Jude baka ikaw naka hithit padala kaya ka sa mental</v>
      </c>
      <c r="F1975" s="1"/>
      <c r="G1975" s="1" t="str">
        <f ca="1">IFERROR(__xludf.DUMMYFUNCTION("""COMPUTED_VALUE"""),"3 mos")</f>
        <v>3 mos</v>
      </c>
      <c r="H1975" s="1" t="str">
        <f ca="1">IFERROR(__xludf.DUMMYFUNCTION("""COMPUTED_VALUE"""),"reply")</f>
        <v>reply</v>
      </c>
      <c r="I1975"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75" s="1" t="str">
        <f ca="1">IFERROR(__xludf.DUMMYFUNCTION("""COMPUTED_VALUE"""),"2022-07-04T15:46:23.009Z")</f>
        <v>2022-07-04T15:46:23.009Z</v>
      </c>
    </row>
    <row r="1976" spans="1:10" x14ac:dyDescent="0.2">
      <c r="A1976" s="2" t="str">
        <f ca="1">IFERROR(__xludf.DUMMYFUNCTION("""COMPUTED_VALUE"""),"https://www.facebook.com/Valladoresjude1988")</f>
        <v>https://www.facebook.com/Valladoresjude1988</v>
      </c>
      <c r="B1976" s="1" t="str">
        <f ca="1">IFERROR(__xludf.DUMMYFUNCTION("""COMPUTED_VALUE"""),"Valladorez Jude")</f>
        <v>Valladorez Jude</v>
      </c>
      <c r="C1976" s="1" t="str">
        <f ca="1">IFERROR(__xludf.DUMMYFUNCTION("""COMPUTED_VALUE"""),"Valladorez")</f>
        <v>Valladorez</v>
      </c>
      <c r="D1976" s="1" t="str">
        <f ca="1">IFERROR(__xludf.DUMMYFUNCTION("""COMPUTED_VALUE"""),"Jude")</f>
        <v>Jude</v>
      </c>
      <c r="E1976" s="1" t="str">
        <f ca="1">IFERROR(__xludf.DUMMYFUNCTION("""COMPUTED_VALUE"""),"Sarah Juario Henardino haha parang kambing ang idolo mo.. sabog lagi 🤣")</f>
        <v>Sarah Juario Henardino haha parang kambing ang idolo mo.. sabog lagi 🤣</v>
      </c>
      <c r="F1976" s="1"/>
      <c r="G1976" s="1" t="str">
        <f ca="1">IFERROR(__xludf.DUMMYFUNCTION("""COMPUTED_VALUE"""),"3 mos")</f>
        <v>3 mos</v>
      </c>
      <c r="H1976" s="1" t="str">
        <f ca="1">IFERROR(__xludf.DUMMYFUNCTION("""COMPUTED_VALUE"""),"reply")</f>
        <v>reply</v>
      </c>
      <c r="I1976"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76" s="1" t="str">
        <f ca="1">IFERROR(__xludf.DUMMYFUNCTION("""COMPUTED_VALUE"""),"2022-07-04T15:46:23.009Z")</f>
        <v>2022-07-04T15:46:23.009Z</v>
      </c>
    </row>
    <row r="1977" spans="1:10" x14ac:dyDescent="0.2">
      <c r="A1977" s="2" t="str">
        <f ca="1">IFERROR(__xludf.DUMMYFUNCTION("""COMPUTED_VALUE"""),"https://www.facebook.com/henardino")</f>
        <v>https://www.facebook.com/henardino</v>
      </c>
      <c r="B1977" s="1" t="str">
        <f ca="1">IFERROR(__xludf.DUMMYFUNCTION("""COMPUTED_VALUE"""),"Sarah Juario Henardino")</f>
        <v>Sarah Juario Henardino</v>
      </c>
      <c r="C1977" s="1" t="str">
        <f ca="1">IFERROR(__xludf.DUMMYFUNCTION("""COMPUTED_VALUE"""),"Sarah")</f>
        <v>Sarah</v>
      </c>
      <c r="D1977" s="1" t="str">
        <f ca="1">IFERROR(__xludf.DUMMYFUNCTION("""COMPUTED_VALUE"""),"Juario Henardino")</f>
        <v>Juario Henardino</v>
      </c>
      <c r="E1977" s="1" t="str">
        <f ca="1">IFERROR(__xludf.DUMMYFUNCTION("""COMPUTED_VALUE"""),"Valladores Jude baka ang idolo pareha kayo lutang ang isis sa times lang na hirapan 😂 😂 😂 😂 😂 😂 at ang akong anak puro babae dalawa panganay na babae sino ngayon sabog at lutang 😂 😂 😂 😂 😂 😂 😂")</f>
        <v>Valladores Jude baka ang idolo pareha kayo lutang ang isis sa times lang na hirapan 😂 😂 😂 😂 😂 😂 at ang akong anak puro babae dalawa panganay na babae sino ngayon sabog at lutang 😂 😂 😂 😂 😂 😂 😂</v>
      </c>
      <c r="F1977" s="1"/>
      <c r="G1977" s="1" t="str">
        <f ca="1">IFERROR(__xludf.DUMMYFUNCTION("""COMPUTED_VALUE"""),"3 mos")</f>
        <v>3 mos</v>
      </c>
      <c r="H1977" s="1" t="str">
        <f ca="1">IFERROR(__xludf.DUMMYFUNCTION("""COMPUTED_VALUE"""),"reply")</f>
        <v>reply</v>
      </c>
      <c r="I1977"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77" s="1" t="str">
        <f ca="1">IFERROR(__xludf.DUMMYFUNCTION("""COMPUTED_VALUE"""),"2022-07-04T15:46:23.009Z")</f>
        <v>2022-07-04T15:46:23.009Z</v>
      </c>
    </row>
    <row r="1978" spans="1:10" x14ac:dyDescent="0.2">
      <c r="A1978" s="2" t="str">
        <f ca="1">IFERROR(__xludf.DUMMYFUNCTION("""COMPUTED_VALUE"""),"https://www.facebook.com/Valladoresjude1988")</f>
        <v>https://www.facebook.com/Valladoresjude1988</v>
      </c>
      <c r="B1978" s="1" t="str">
        <f ca="1">IFERROR(__xludf.DUMMYFUNCTION("""COMPUTED_VALUE"""),"Valladorez Jude")</f>
        <v>Valladorez Jude</v>
      </c>
      <c r="C1978" s="1" t="str">
        <f ca="1">IFERROR(__xludf.DUMMYFUNCTION("""COMPUTED_VALUE"""),"Valladorez")</f>
        <v>Valladorez</v>
      </c>
      <c r="D1978" s="1" t="str">
        <f ca="1">IFERROR(__xludf.DUMMYFUNCTION("""COMPUTED_VALUE"""),"Jude")</f>
        <v>Jude</v>
      </c>
      <c r="E1978" s="1" t="str">
        <f ca="1">IFERROR(__xludf.DUMMYFUNCTION("""COMPUTED_VALUE"""),"Sarah Juario Henardino haha lutang ang amo mo.. nag aalamano 😂😂")</f>
        <v>Sarah Juario Henardino haha lutang ang amo mo.. nag aalamano 😂😂</v>
      </c>
      <c r="F1978" s="1"/>
      <c r="G1978" s="1" t="str">
        <f ca="1">IFERROR(__xludf.DUMMYFUNCTION("""COMPUTED_VALUE"""),"3 mos")</f>
        <v>3 mos</v>
      </c>
      <c r="H1978" s="1" t="str">
        <f ca="1">IFERROR(__xludf.DUMMYFUNCTION("""COMPUTED_VALUE"""),"reply")</f>
        <v>reply</v>
      </c>
      <c r="I1978"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78" s="1" t="str">
        <f ca="1">IFERROR(__xludf.DUMMYFUNCTION("""COMPUTED_VALUE"""),"2022-07-04T15:46:23.009Z")</f>
        <v>2022-07-04T15:46:23.009Z</v>
      </c>
    </row>
    <row r="1979" spans="1:10" x14ac:dyDescent="0.2">
      <c r="A1979" s="2" t="str">
        <f ca="1">IFERROR(__xludf.DUMMYFUNCTION("""COMPUTED_VALUE"""),"https://www.facebook.com/Valladoresjude1988")</f>
        <v>https://www.facebook.com/Valladoresjude1988</v>
      </c>
      <c r="B1979" s="1" t="str">
        <f ca="1">IFERROR(__xludf.DUMMYFUNCTION("""COMPUTED_VALUE"""),"Valladorez Jude")</f>
        <v>Valladorez Jude</v>
      </c>
      <c r="C1979" s="1" t="str">
        <f ca="1">IFERROR(__xludf.DUMMYFUNCTION("""COMPUTED_VALUE"""),"Valladorez")</f>
        <v>Valladorez</v>
      </c>
      <c r="D1979" s="1" t="str">
        <f ca="1">IFERROR(__xludf.DUMMYFUNCTION("""COMPUTED_VALUE"""),"Jude")</f>
        <v>Jude</v>
      </c>
      <c r="E1979" s="1" t="str">
        <f ca="1">IFERROR(__xludf.DUMMYFUNCTION("""COMPUTED_VALUE"""),"Mag aalaga daw ng galunggong🤣🤣")</f>
        <v>Mag aalaga daw ng galunggong🤣🤣</v>
      </c>
      <c r="F1979" s="1"/>
      <c r="G1979" s="1" t="str">
        <f ca="1">IFERROR(__xludf.DUMMYFUNCTION("""COMPUTED_VALUE"""),"3 mos")</f>
        <v>3 mos</v>
      </c>
      <c r="H1979" s="1" t="str">
        <f ca="1">IFERROR(__xludf.DUMMYFUNCTION("""COMPUTED_VALUE"""),"reply")</f>
        <v>reply</v>
      </c>
      <c r="I1979"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79" s="1" t="str">
        <f ca="1">IFERROR(__xludf.DUMMYFUNCTION("""COMPUTED_VALUE"""),"2022-07-04T15:46:23.009Z")</f>
        <v>2022-07-04T15:46:23.009Z</v>
      </c>
    </row>
    <row r="1980" spans="1:10" x14ac:dyDescent="0.2">
      <c r="A1980" s="2" t="str">
        <f ca="1">IFERROR(__xludf.DUMMYFUNCTION("""COMPUTED_VALUE"""),"https://www.facebook.com/rey.cuizon.90")</f>
        <v>https://www.facebook.com/rey.cuizon.90</v>
      </c>
      <c r="B1980" s="1" t="str">
        <f ca="1">IFERROR(__xludf.DUMMYFUNCTION("""COMPUTED_VALUE"""),"Rey Cuizon")</f>
        <v>Rey Cuizon</v>
      </c>
      <c r="C1980" s="1" t="str">
        <f ca="1">IFERROR(__xludf.DUMMYFUNCTION("""COMPUTED_VALUE"""),"Rey")</f>
        <v>Rey</v>
      </c>
      <c r="D1980" s="1" t="str">
        <f ca="1">IFERROR(__xludf.DUMMYFUNCTION("""COMPUTED_VALUE"""),"Cuizon")</f>
        <v>Cuizon</v>
      </c>
      <c r="E1980" s="1" t="str">
        <f ca="1">IFERROR(__xludf.DUMMYFUNCTION("""COMPUTED_VALUE"""),"Woooowwwwww.... unstoppable na talaga")</f>
        <v>Woooowwwwww.... unstoppable na talaga</v>
      </c>
      <c r="F1980" s="1"/>
      <c r="G1980" s="1" t="str">
        <f ca="1">IFERROR(__xludf.DUMMYFUNCTION("""COMPUTED_VALUE"""),"3 mos")</f>
        <v>3 mos</v>
      </c>
      <c r="H1980" s="1" t="str">
        <f ca="1">IFERROR(__xludf.DUMMYFUNCTION("""COMPUTED_VALUE"""),"comment")</f>
        <v>comment</v>
      </c>
      <c r="I1980"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80" s="1" t="str">
        <f ca="1">IFERROR(__xludf.DUMMYFUNCTION("""COMPUTED_VALUE"""),"2022-07-04T15:46:23.009Z")</f>
        <v>2022-07-04T15:46:23.009Z</v>
      </c>
    </row>
    <row r="1981" spans="1:10" x14ac:dyDescent="0.2">
      <c r="A1981" s="2" t="str">
        <f ca="1">IFERROR(__xludf.DUMMYFUNCTION("""COMPUTED_VALUE"""),"https://www.facebook.com/dhoy.mamarinta")</f>
        <v>https://www.facebook.com/dhoy.mamarinta</v>
      </c>
      <c r="B1981" s="1" t="str">
        <f ca="1">IFERROR(__xludf.DUMMYFUNCTION("""COMPUTED_VALUE"""),"Dhoy Delo Santos Mamarinta")</f>
        <v>Dhoy Delo Santos Mamarinta</v>
      </c>
      <c r="C1981" s="1" t="str">
        <f ca="1">IFERROR(__xludf.DUMMYFUNCTION("""COMPUTED_VALUE"""),"Dhoy")</f>
        <v>Dhoy</v>
      </c>
      <c r="D1981" s="1" t="str">
        <f ca="1">IFERROR(__xludf.DUMMYFUNCTION("""COMPUTED_VALUE"""),"Delo Santos Mamarinta")</f>
        <v>Delo Santos Mamarinta</v>
      </c>
      <c r="E1981" s="1" t="str">
        <f ca="1">IFERROR(__xludf.DUMMYFUNCTION("""COMPUTED_VALUE"""),"Noon,puro balloon...Ngayon,payong na naman")</f>
        <v>Noon,puro balloon...Ngayon,payong na naman</v>
      </c>
      <c r="F1981" s="1"/>
      <c r="G1981" s="1" t="str">
        <f ca="1">IFERROR(__xludf.DUMMYFUNCTION("""COMPUTED_VALUE"""),"3 mos")</f>
        <v>3 mos</v>
      </c>
      <c r="H1981" s="1" t="str">
        <f ca="1">IFERROR(__xludf.DUMMYFUNCTION("""COMPUTED_VALUE"""),"comment")</f>
        <v>comment</v>
      </c>
      <c r="I1981"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81" s="1" t="str">
        <f ca="1">IFERROR(__xludf.DUMMYFUNCTION("""COMPUTED_VALUE"""),"2022-07-04T15:46:23.009Z")</f>
        <v>2022-07-04T15:46:23.009Z</v>
      </c>
    </row>
    <row r="1982" spans="1:10" x14ac:dyDescent="0.2">
      <c r="A1982" s="2" t="str">
        <f ca="1">IFERROR(__xludf.DUMMYFUNCTION("""COMPUTED_VALUE"""),"https://www.facebook.com/jayjay.paras.10")</f>
        <v>https://www.facebook.com/jayjay.paras.10</v>
      </c>
      <c r="B1982" s="1" t="str">
        <f ca="1">IFERROR(__xludf.DUMMYFUNCTION("""COMPUTED_VALUE"""),"Jayjay Paras")</f>
        <v>Jayjay Paras</v>
      </c>
      <c r="C1982" s="1" t="str">
        <f ca="1">IFERROR(__xludf.DUMMYFUNCTION("""COMPUTED_VALUE"""),"Jayjay")</f>
        <v>Jayjay</v>
      </c>
      <c r="D1982" s="1" t="str">
        <f ca="1">IFERROR(__xludf.DUMMYFUNCTION("""COMPUTED_VALUE"""),"Paras")</f>
        <v>Paras</v>
      </c>
      <c r="E1982" s="1" t="str">
        <f ca="1">IFERROR(__xludf.DUMMYFUNCTION("""COMPUTED_VALUE"""),"Dhoy Delo Santos Mamarinta pre NIPS YAN HAHAHA YUNG CHOCOLATE NA IBAT IBANG KULAY HAHA")</f>
        <v>Dhoy Delo Santos Mamarinta pre NIPS YAN HAHAHA YUNG CHOCOLATE NA IBAT IBANG KULAY HAHA</v>
      </c>
      <c r="F1982" s="1"/>
      <c r="G1982" s="1" t="str">
        <f ca="1">IFERROR(__xludf.DUMMYFUNCTION("""COMPUTED_VALUE"""),"3 mos")</f>
        <v>3 mos</v>
      </c>
      <c r="H1982" s="1" t="str">
        <f ca="1">IFERROR(__xludf.DUMMYFUNCTION("""COMPUTED_VALUE"""),"reply")</f>
        <v>reply</v>
      </c>
      <c r="I1982"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82" s="1" t="str">
        <f ca="1">IFERROR(__xludf.DUMMYFUNCTION("""COMPUTED_VALUE"""),"2022-07-04T15:46:23.009Z")</f>
        <v>2022-07-04T15:46:23.009Z</v>
      </c>
    </row>
    <row r="1983" spans="1:10" x14ac:dyDescent="0.2">
      <c r="A1983" s="2" t="str">
        <f ca="1">IFERROR(__xludf.DUMMYFUNCTION("""COMPUTED_VALUE"""),"https://www.facebook.com/nuisance9999")</f>
        <v>https://www.facebook.com/nuisance9999</v>
      </c>
      <c r="B1983" s="1" t="str">
        <f ca="1">IFERROR(__xludf.DUMMYFUNCTION("""COMPUTED_VALUE"""),"Leo Parman")</f>
        <v>Leo Parman</v>
      </c>
      <c r="C1983" s="1" t="str">
        <f ca="1">IFERROR(__xludf.DUMMYFUNCTION("""COMPUTED_VALUE"""),"Leo")</f>
        <v>Leo</v>
      </c>
      <c r="D1983" s="1" t="str">
        <f ca="1">IFERROR(__xludf.DUMMYFUNCTION("""COMPUTED_VALUE"""),"Parman")</f>
        <v>Parman</v>
      </c>
      <c r="E1983" s="1" t="str">
        <f ca="1">IFERROR(__xludf.DUMMYFUNCTION("""COMPUTED_VALUE"""),"mainit grabe ngayon")</f>
        <v>mainit grabe ngayon</v>
      </c>
      <c r="F1983" s="1"/>
      <c r="G1983" s="1" t="str">
        <f ca="1">IFERROR(__xludf.DUMMYFUNCTION("""COMPUTED_VALUE"""),"3 mos")</f>
        <v>3 mos</v>
      </c>
      <c r="H1983" s="1" t="str">
        <f ca="1">IFERROR(__xludf.DUMMYFUNCTION("""COMPUTED_VALUE"""),"comment")</f>
        <v>comment</v>
      </c>
      <c r="I1983"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83" s="1" t="str">
        <f ca="1">IFERROR(__xludf.DUMMYFUNCTION("""COMPUTED_VALUE"""),"2022-07-04T15:46:23.009Z")</f>
        <v>2022-07-04T15:46:23.009Z</v>
      </c>
    </row>
    <row r="1984" spans="1:10" x14ac:dyDescent="0.2">
      <c r="A1984" s="2" t="str">
        <f ca="1">IFERROR(__xludf.DUMMYFUNCTION("""COMPUTED_VALUE"""),"https://www.facebook.com/profile.php?id=100072014363480")</f>
        <v>https://www.facebook.com/profile.php?id=100072014363480</v>
      </c>
      <c r="B1984" s="1" t="str">
        <f ca="1">IFERROR(__xludf.DUMMYFUNCTION("""COMPUTED_VALUE"""),"Jeffrey Hawk")</f>
        <v>Jeffrey Hawk</v>
      </c>
      <c r="C1984" s="1" t="str">
        <f ca="1">IFERROR(__xludf.DUMMYFUNCTION("""COMPUTED_VALUE"""),"Jeffrey")</f>
        <v>Jeffrey</v>
      </c>
      <c r="D1984" s="1" t="str">
        <f ca="1">IFERROR(__xludf.DUMMYFUNCTION("""COMPUTED_VALUE"""),"Hawk")</f>
        <v>Hawk</v>
      </c>
      <c r="E1984" s="1" t="str">
        <f ca="1">IFERROR(__xludf.DUMMYFUNCTION("""COMPUTED_VALUE"""),"Solido💪💪💪")</f>
        <v>Solido💪💪💪</v>
      </c>
      <c r="F1984" s="1"/>
      <c r="G1984" s="1" t="str">
        <f ca="1">IFERROR(__xludf.DUMMYFUNCTION("""COMPUTED_VALUE"""),"3 mos")</f>
        <v>3 mos</v>
      </c>
      <c r="H1984" s="1" t="str">
        <f ca="1">IFERROR(__xludf.DUMMYFUNCTION("""COMPUTED_VALUE"""),"comment")</f>
        <v>comment</v>
      </c>
      <c r="I1984"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84" s="1" t="str">
        <f ca="1">IFERROR(__xludf.DUMMYFUNCTION("""COMPUTED_VALUE"""),"2022-07-04T15:46:23.009Z")</f>
        <v>2022-07-04T15:46:23.009Z</v>
      </c>
    </row>
    <row r="1985" spans="1:10" x14ac:dyDescent="0.2">
      <c r="A1985" s="2" t="str">
        <f ca="1">IFERROR(__xludf.DUMMYFUNCTION("""COMPUTED_VALUE"""),"https://www.facebook.com/OFCSuperFranztendo6469")</f>
        <v>https://www.facebook.com/OFCSuperFranztendo6469</v>
      </c>
      <c r="B1985" s="1" t="str">
        <f ca="1">IFERROR(__xludf.DUMMYFUNCTION("""COMPUTED_VALUE"""),"Franz Anthony Dapulang Copina")</f>
        <v>Franz Anthony Dapulang Copina</v>
      </c>
      <c r="C1985" s="1" t="str">
        <f ca="1">IFERROR(__xludf.DUMMYFUNCTION("""COMPUTED_VALUE"""),"Franz")</f>
        <v>Franz</v>
      </c>
      <c r="D1985" s="1" t="str">
        <f ca="1">IFERROR(__xludf.DUMMYFUNCTION("""COMPUTED_VALUE"""),"Anthony Dapulang Copina")</f>
        <v>Anthony Dapulang Copina</v>
      </c>
      <c r="E1985" s="1" t="str">
        <f ca="1">IFERROR(__xludf.DUMMYFUNCTION("""COMPUTED_VALUE"""),"I expect na may mga alamano stans here")</f>
        <v>I expect na may mga alamano stans here</v>
      </c>
      <c r="F1985" s="1">
        <f ca="1">IFERROR(__xludf.DUMMYFUNCTION("""COMPUTED_VALUE"""),1)</f>
        <v>1</v>
      </c>
      <c r="G1985" s="1" t="str">
        <f ca="1">IFERROR(__xludf.DUMMYFUNCTION("""COMPUTED_VALUE"""),"3 mos")</f>
        <v>3 mos</v>
      </c>
      <c r="H1985" s="1" t="str">
        <f ca="1">IFERROR(__xludf.DUMMYFUNCTION("""COMPUTED_VALUE"""),"comment")</f>
        <v>comment</v>
      </c>
      <c r="I1985"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85" s="1" t="str">
        <f ca="1">IFERROR(__xludf.DUMMYFUNCTION("""COMPUTED_VALUE"""),"2022-07-04T15:46:23.009Z")</f>
        <v>2022-07-04T15:46:23.009Z</v>
      </c>
    </row>
    <row r="1986" spans="1:10" x14ac:dyDescent="0.2">
      <c r="A1986" s="2" t="str">
        <f ca="1">IFERROR(__xludf.DUMMYFUNCTION("""COMPUTED_VALUE"""),"https://www.facebook.com/lemrah91")</f>
        <v>https://www.facebook.com/lemrah91</v>
      </c>
      <c r="B1986" s="1" t="str">
        <f ca="1">IFERROR(__xludf.DUMMYFUNCTION("""COMPUTED_VALUE"""),"Lemrah Lepisag")</f>
        <v>Lemrah Lepisag</v>
      </c>
      <c r="C1986" s="1" t="str">
        <f ca="1">IFERROR(__xludf.DUMMYFUNCTION("""COMPUTED_VALUE"""),"Lemrah")</f>
        <v>Lemrah</v>
      </c>
      <c r="D1986" s="1" t="str">
        <f ca="1">IFERROR(__xludf.DUMMYFUNCTION("""COMPUTED_VALUE"""),"Lepisag")</f>
        <v>Lepisag</v>
      </c>
      <c r="E1986" s="1" t="str">
        <f ca="1">IFERROR(__xludf.DUMMYFUNCTION("""COMPUTED_VALUE"""),"Puno na po sa loob..at marami pang nakapila sa labas..ang iba nasa St.Mary's ground na..")</f>
        <v>Puno na po sa loob..at marami pang nakapila sa labas..ang iba nasa St.Mary's ground na..</v>
      </c>
      <c r="F1986" s="1">
        <f ca="1">IFERROR(__xludf.DUMMYFUNCTION("""COMPUTED_VALUE"""),4)</f>
        <v>4</v>
      </c>
      <c r="G1986" s="1" t="str">
        <f ca="1">IFERROR(__xludf.DUMMYFUNCTION("""COMPUTED_VALUE"""),"3 mos")</f>
        <v>3 mos</v>
      </c>
      <c r="H1986" s="1" t="str">
        <f ca="1">IFERROR(__xludf.DUMMYFUNCTION("""COMPUTED_VALUE"""),"comment")</f>
        <v>comment</v>
      </c>
      <c r="I1986"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86" s="1" t="str">
        <f ca="1">IFERROR(__xludf.DUMMYFUNCTION("""COMPUTED_VALUE"""),"2022-07-04T15:46:23.009Z")</f>
        <v>2022-07-04T15:46:23.009Z</v>
      </c>
    </row>
    <row r="1987" spans="1:10" x14ac:dyDescent="0.2">
      <c r="A1987" s="2" t="str">
        <f ca="1">IFERROR(__xludf.DUMMYFUNCTION("""COMPUTED_VALUE"""),"https://www.facebook.com/profile.php?id=100074399225331")</f>
        <v>https://www.facebook.com/profile.php?id=100074399225331</v>
      </c>
      <c r="B1987" s="1" t="str">
        <f ca="1">IFERROR(__xludf.DUMMYFUNCTION("""COMPUTED_VALUE"""),"Cooller Jessie")</f>
        <v>Cooller Jessie</v>
      </c>
      <c r="C1987" s="1" t="str">
        <f ca="1">IFERROR(__xludf.DUMMYFUNCTION("""COMPUTED_VALUE"""),"Cooller")</f>
        <v>Cooller</v>
      </c>
      <c r="D1987" s="1" t="str">
        <f ca="1">IFERROR(__xludf.DUMMYFUNCTION("""COMPUTED_VALUE"""),"Jessie")</f>
        <v>Jessie</v>
      </c>
      <c r="E1987" s="1" t="str">
        <f ca="1">IFERROR(__xludf.DUMMYFUNCTION("""COMPUTED_VALUE"""),"Gqnyqn ang mga kakqmpink sa camanava..solid kqkqmpink god bless po sa inyong lahat 🙏🙏🙏👆👆👆💓💓💓")</f>
        <v>Gqnyqn ang mga kakqmpink sa camanava..solid kqkqmpink god bless po sa inyong lahat 🙏🙏🙏👆👆👆💓💓💓</v>
      </c>
      <c r="F1987" s="1"/>
      <c r="G1987" s="1" t="str">
        <f ca="1">IFERROR(__xludf.DUMMYFUNCTION("""COMPUTED_VALUE"""),"3 mos")</f>
        <v>3 mos</v>
      </c>
      <c r="H1987" s="1" t="str">
        <f ca="1">IFERROR(__xludf.DUMMYFUNCTION("""COMPUTED_VALUE"""),"comment")</f>
        <v>comment</v>
      </c>
      <c r="I1987"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87" s="1" t="str">
        <f ca="1">IFERROR(__xludf.DUMMYFUNCTION("""COMPUTED_VALUE"""),"2022-07-04T15:46:23.009Z")</f>
        <v>2022-07-04T15:46:23.009Z</v>
      </c>
    </row>
    <row r="1988" spans="1:10" x14ac:dyDescent="0.2">
      <c r="A1988" s="2" t="str">
        <f ca="1">IFERROR(__xludf.DUMMYFUNCTION("""COMPUTED_VALUE"""),"https://www.facebook.com/ron.koleen")</f>
        <v>https://www.facebook.com/ron.koleen</v>
      </c>
      <c r="B1988" s="1" t="str">
        <f ca="1">IFERROR(__xludf.DUMMYFUNCTION("""COMPUTED_VALUE"""),"Ronaldo Cayetano")</f>
        <v>Ronaldo Cayetano</v>
      </c>
      <c r="C1988" s="1" t="str">
        <f ca="1">IFERROR(__xludf.DUMMYFUNCTION("""COMPUTED_VALUE"""),"Ronaldo")</f>
        <v>Ronaldo</v>
      </c>
      <c r="D1988" s="1" t="str">
        <f ca="1">IFERROR(__xludf.DUMMYFUNCTION("""COMPUTED_VALUE"""),"Cayetano")</f>
        <v>Cayetano</v>
      </c>
      <c r="E1988" s="1" t="str">
        <f ca="1">IFERROR(__xludf.DUMMYFUNCTION("""COMPUTED_VALUE"""),"Kokonti pa")</f>
        <v>Kokonti pa</v>
      </c>
      <c r="F1988" s="1"/>
      <c r="G1988" s="1" t="str">
        <f ca="1">IFERROR(__xludf.DUMMYFUNCTION("""COMPUTED_VALUE"""),"3 mos")</f>
        <v>3 mos</v>
      </c>
      <c r="H1988" s="1" t="str">
        <f ca="1">IFERROR(__xludf.DUMMYFUNCTION("""COMPUTED_VALUE"""),"comment")</f>
        <v>comment</v>
      </c>
      <c r="I1988"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88" s="1" t="str">
        <f ca="1">IFERROR(__xludf.DUMMYFUNCTION("""COMPUTED_VALUE"""),"2022-07-04T15:46:23.009Z")</f>
        <v>2022-07-04T15:46:23.009Z</v>
      </c>
    </row>
    <row r="1989" spans="1:10" x14ac:dyDescent="0.2">
      <c r="A1989" s="2" t="str">
        <f ca="1">IFERROR(__xludf.DUMMYFUNCTION("""COMPUTED_VALUE"""),"https://www.facebook.com/manny.crisostomo")</f>
        <v>https://www.facebook.com/manny.crisostomo</v>
      </c>
      <c r="B1989" s="1" t="str">
        <f ca="1">IFERROR(__xludf.DUMMYFUNCTION("""COMPUTED_VALUE"""),"Manny Crisostomo")</f>
        <v>Manny Crisostomo</v>
      </c>
      <c r="C1989" s="1" t="str">
        <f ca="1">IFERROR(__xludf.DUMMYFUNCTION("""COMPUTED_VALUE"""),"Manny")</f>
        <v>Manny</v>
      </c>
      <c r="D1989" s="1" t="str">
        <f ca="1">IFERROR(__xludf.DUMMYFUNCTION("""COMPUTED_VALUE"""),"Crisostomo")</f>
        <v>Crisostomo</v>
      </c>
      <c r="E1989" s="1" t="str">
        <f ca="1">IFERROR(__xludf.DUMMYFUNCTION("""COMPUTED_VALUE"""),"Dadami pa yan, maiinit lang sobra")</f>
        <v>Dadami pa yan, maiinit lang sobra</v>
      </c>
      <c r="F1989" s="1"/>
      <c r="G1989" s="1" t="str">
        <f ca="1">IFERROR(__xludf.DUMMYFUNCTION("""COMPUTED_VALUE"""),"3 mos")</f>
        <v>3 mos</v>
      </c>
      <c r="H1989" s="1" t="str">
        <f ca="1">IFERROR(__xludf.DUMMYFUNCTION("""COMPUTED_VALUE"""),"comment")</f>
        <v>comment</v>
      </c>
      <c r="I1989"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89" s="1" t="str">
        <f ca="1">IFERROR(__xludf.DUMMYFUNCTION("""COMPUTED_VALUE"""),"2022-07-04T15:46:23.009Z")</f>
        <v>2022-07-04T15:46:23.009Z</v>
      </c>
    </row>
    <row r="1990" spans="1:10" x14ac:dyDescent="0.2">
      <c r="A1990" s="2" t="str">
        <f ca="1">IFERROR(__xludf.DUMMYFUNCTION("""COMPUTED_VALUE"""),"https://www.facebook.com/profile.php?id=100007917738516")</f>
        <v>https://www.facebook.com/profile.php?id=100007917738516</v>
      </c>
      <c r="B1990" s="1" t="str">
        <f ca="1">IFERROR(__xludf.DUMMYFUNCTION("""COMPUTED_VALUE"""),"Danziel Alvarez")</f>
        <v>Danziel Alvarez</v>
      </c>
      <c r="C1990" s="1" t="str">
        <f ca="1">IFERROR(__xludf.DUMMYFUNCTION("""COMPUTED_VALUE"""),"Danziel")</f>
        <v>Danziel</v>
      </c>
      <c r="D1990" s="1" t="str">
        <f ca="1">IFERROR(__xludf.DUMMYFUNCTION("""COMPUTED_VALUE"""),"Alvarez")</f>
        <v>Alvarez</v>
      </c>
      <c r="E1990" s="1" t="str">
        <f ca="1">IFERROR(__xludf.DUMMYFUNCTION("""COMPUTED_VALUE"""),"Padating na po mamaya yung mga inorder nyong lobo para mas makapal ang dami ng tao pag drone shot")</f>
        <v>Padating na po mamaya yung mga inorder nyong lobo para mas makapal ang dami ng tao pag drone shot</v>
      </c>
      <c r="F1990" s="1"/>
      <c r="G1990" s="1" t="str">
        <f ca="1">IFERROR(__xludf.DUMMYFUNCTION("""COMPUTED_VALUE"""),"3 mos")</f>
        <v>3 mos</v>
      </c>
      <c r="H1990" s="1" t="str">
        <f ca="1">IFERROR(__xludf.DUMMYFUNCTION("""COMPUTED_VALUE"""),"comment")</f>
        <v>comment</v>
      </c>
      <c r="I1990"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90" s="1" t="str">
        <f ca="1">IFERROR(__xludf.DUMMYFUNCTION("""COMPUTED_VALUE"""),"2022-07-04T15:46:23.009Z")</f>
        <v>2022-07-04T15:46:23.009Z</v>
      </c>
    </row>
    <row r="1991" spans="1:10" x14ac:dyDescent="0.2">
      <c r="A1991" s="2" t="str">
        <f ca="1">IFERROR(__xludf.DUMMYFUNCTION("""COMPUTED_VALUE"""),"https://www.facebook.com/profile.php?id=100046010886575")</f>
        <v>https://www.facebook.com/profile.php?id=100046010886575</v>
      </c>
      <c r="B1991" s="1" t="str">
        <f ca="1">IFERROR(__xludf.DUMMYFUNCTION("""COMPUTED_VALUE"""),"Edmond Dantes")</f>
        <v>Edmond Dantes</v>
      </c>
      <c r="C1991" s="1" t="str">
        <f ca="1">IFERROR(__xludf.DUMMYFUNCTION("""COMPUTED_VALUE"""),"Edmond")</f>
        <v>Edmond</v>
      </c>
      <c r="D1991" s="1" t="str">
        <f ca="1">IFERROR(__xludf.DUMMYFUNCTION("""COMPUTED_VALUE"""),"Dantes")</f>
        <v>Dantes</v>
      </c>
      <c r="E1991" s="1" t="str">
        <f ca="1">IFERROR(__xludf.DUMMYFUNCTION("""COMPUTED_VALUE"""),"Dami ah")</f>
        <v>Dami ah</v>
      </c>
      <c r="F1991" s="1"/>
      <c r="G1991" s="1" t="str">
        <f ca="1">IFERROR(__xludf.DUMMYFUNCTION("""COMPUTED_VALUE"""),"3 mos")</f>
        <v>3 mos</v>
      </c>
      <c r="H1991" s="1" t="str">
        <f ca="1">IFERROR(__xludf.DUMMYFUNCTION("""COMPUTED_VALUE"""),"comment")</f>
        <v>comment</v>
      </c>
      <c r="I1991"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91" s="1" t="str">
        <f ca="1">IFERROR(__xludf.DUMMYFUNCTION("""COMPUTED_VALUE"""),"2022-07-04T15:46:23.009Z")</f>
        <v>2022-07-04T15:46:23.009Z</v>
      </c>
    </row>
    <row r="1992" spans="1:10" x14ac:dyDescent="0.2">
      <c r="A1992" s="2" t="str">
        <f ca="1">IFERROR(__xludf.DUMMYFUNCTION("""COMPUTED_VALUE"""),"https://www.facebook.com/joshua.candelario.712")</f>
        <v>https://www.facebook.com/joshua.candelario.712</v>
      </c>
      <c r="B1992" s="1" t="str">
        <f ca="1">IFERROR(__xludf.DUMMYFUNCTION("""COMPUTED_VALUE"""),"Joshua Candelario")</f>
        <v>Joshua Candelario</v>
      </c>
      <c r="C1992" s="1" t="str">
        <f ca="1">IFERROR(__xludf.DUMMYFUNCTION("""COMPUTED_VALUE"""),"Joshua")</f>
        <v>Joshua</v>
      </c>
      <c r="D1992" s="1" t="str">
        <f ca="1">IFERROR(__xludf.DUMMYFUNCTION("""COMPUTED_VALUE"""),"Candelario")</f>
        <v>Candelario</v>
      </c>
      <c r="E1992" s="1" t="str">
        <f ca="1">IFERROR(__xludf.DUMMYFUNCTION("""COMPUTED_VALUE"""),"Dami ah.")</f>
        <v>Dami ah.</v>
      </c>
      <c r="F1992" s="1"/>
      <c r="G1992" s="1" t="str">
        <f ca="1">IFERROR(__xludf.DUMMYFUNCTION("""COMPUTED_VALUE"""),"3 mos")</f>
        <v>3 mos</v>
      </c>
      <c r="H1992" s="1" t="str">
        <f ca="1">IFERROR(__xludf.DUMMYFUNCTION("""COMPUTED_VALUE"""),"comment")</f>
        <v>comment</v>
      </c>
      <c r="I1992"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92" s="1" t="str">
        <f ca="1">IFERROR(__xludf.DUMMYFUNCTION("""COMPUTED_VALUE"""),"2022-07-04T15:46:23.009Z")</f>
        <v>2022-07-04T15:46:23.009Z</v>
      </c>
    </row>
    <row r="1993" spans="1:10" x14ac:dyDescent="0.2">
      <c r="A1993" s="2" t="str">
        <f ca="1">IFERROR(__xludf.DUMMYFUNCTION("""COMPUTED_VALUE"""),"https://www.facebook.com/heng.shield")</f>
        <v>https://www.facebook.com/heng.shield</v>
      </c>
      <c r="B1993" s="1" t="str">
        <f ca="1">IFERROR(__xludf.DUMMYFUNCTION("""COMPUTED_VALUE"""),"Carlo Cruz")</f>
        <v>Carlo Cruz</v>
      </c>
      <c r="C1993" s="1" t="str">
        <f ca="1">IFERROR(__xludf.DUMMYFUNCTION("""COMPUTED_VALUE"""),"Carlo")</f>
        <v>Carlo</v>
      </c>
      <c r="D1993" s="1" t="str">
        <f ca="1">IFERROR(__xludf.DUMMYFUNCTION("""COMPUTED_VALUE"""),"Cruz")</f>
        <v>Cruz</v>
      </c>
      <c r="E1993" s="1" t="str">
        <f ca="1">IFERROR(__xludf.DUMMYFUNCTION("""COMPUTED_VALUE"""),"I sama nyo na sa bilang mga lobo")</f>
        <v>I sama nyo na sa bilang mga lobo</v>
      </c>
      <c r="F1993" s="1"/>
      <c r="G1993" s="1" t="str">
        <f ca="1">IFERROR(__xludf.DUMMYFUNCTION("""COMPUTED_VALUE"""),"3 mos")</f>
        <v>3 mos</v>
      </c>
      <c r="H1993" s="1" t="str">
        <f ca="1">IFERROR(__xludf.DUMMYFUNCTION("""COMPUTED_VALUE"""),"comment")</f>
        <v>comment</v>
      </c>
      <c r="I1993"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93" s="1" t="str">
        <f ca="1">IFERROR(__xludf.DUMMYFUNCTION("""COMPUTED_VALUE"""),"2022-07-04T15:46:23.009Z")</f>
        <v>2022-07-04T15:46:23.009Z</v>
      </c>
    </row>
    <row r="1994" spans="1:10" x14ac:dyDescent="0.2">
      <c r="A1994" s="2" t="str">
        <f ca="1">IFERROR(__xludf.DUMMYFUNCTION("""COMPUTED_VALUE"""),"https://www.facebook.com/nathan.deguzman.520900")</f>
        <v>https://www.facebook.com/nathan.deguzman.520900</v>
      </c>
      <c r="B1994" s="1" t="str">
        <f ca="1">IFERROR(__xludf.DUMMYFUNCTION("""COMPUTED_VALUE"""),"Jonathan Geronimo de Guzman")</f>
        <v>Jonathan Geronimo de Guzman</v>
      </c>
      <c r="C1994" s="1" t="str">
        <f ca="1">IFERROR(__xludf.DUMMYFUNCTION("""COMPUTED_VALUE"""),"Jonathan")</f>
        <v>Jonathan</v>
      </c>
      <c r="D1994" s="1" t="str">
        <f ca="1">IFERROR(__xludf.DUMMYFUNCTION("""COMPUTED_VALUE"""),"Geronimo de Guzman")</f>
        <v>Geronimo de Guzman</v>
      </c>
      <c r="E1994" s="1" t="str">
        <f ca="1">IFERROR(__xludf.DUMMYFUNCTION("""COMPUTED_VALUE"""),"Maaga payan pano na kapg gabi na! May Panalo na! #CAMANAVAIsPink #CAMANAVARockAndRosas")</f>
        <v>Maaga payan pano na kapg gabi na! May Panalo na! #CAMANAVAIsPink #CAMANAVARockAndRosas</v>
      </c>
      <c r="F1994" s="1">
        <f ca="1">IFERROR(__xludf.DUMMYFUNCTION("""COMPUTED_VALUE"""),1)</f>
        <v>1</v>
      </c>
      <c r="G1994" s="1" t="str">
        <f ca="1">IFERROR(__xludf.DUMMYFUNCTION("""COMPUTED_VALUE"""),"3 mos")</f>
        <v>3 mos</v>
      </c>
      <c r="H1994" s="1" t="str">
        <f ca="1">IFERROR(__xludf.DUMMYFUNCTION("""COMPUTED_VALUE"""),"comment")</f>
        <v>comment</v>
      </c>
      <c r="I1994"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94" s="1" t="str">
        <f ca="1">IFERROR(__xludf.DUMMYFUNCTION("""COMPUTED_VALUE"""),"2022-07-04T15:46:23.009Z")</f>
        <v>2022-07-04T15:46:23.009Z</v>
      </c>
    </row>
    <row r="1995" spans="1:10" x14ac:dyDescent="0.2">
      <c r="A1995" s="2" t="str">
        <f ca="1">IFERROR(__xludf.DUMMYFUNCTION("""COMPUTED_VALUE"""),"https://www.facebook.com/aries.raphael")</f>
        <v>https://www.facebook.com/aries.raphael</v>
      </c>
      <c r="B1995" s="1" t="str">
        <f ca="1">IFERROR(__xludf.DUMMYFUNCTION("""COMPUTED_VALUE"""),"Aris Dobla")</f>
        <v>Aris Dobla</v>
      </c>
      <c r="C1995" s="1" t="str">
        <f ca="1">IFERROR(__xludf.DUMMYFUNCTION("""COMPUTED_VALUE"""),"Aris")</f>
        <v>Aris</v>
      </c>
      <c r="D1995" s="1" t="str">
        <f ca="1">IFERROR(__xludf.DUMMYFUNCTION("""COMPUTED_VALUE"""),"Dobla")</f>
        <v>Dobla</v>
      </c>
      <c r="E1995" s="1" t="str">
        <f ca="1">IFERROR(__xludf.DUMMYFUNCTION("""COMPUTED_VALUE"""),"Hoy ang aga pa... salamat kakampink sa CaMaNaVa!!!")</f>
        <v>Hoy ang aga pa... salamat kakampink sa CaMaNaVa!!!</v>
      </c>
      <c r="F1995" s="1">
        <f ca="1">IFERROR(__xludf.DUMMYFUNCTION("""COMPUTED_VALUE"""),1)</f>
        <v>1</v>
      </c>
      <c r="G1995" s="1" t="str">
        <f ca="1">IFERROR(__xludf.DUMMYFUNCTION("""COMPUTED_VALUE"""),"3 mos")</f>
        <v>3 mos</v>
      </c>
      <c r="H1995" s="1" t="str">
        <f ca="1">IFERROR(__xludf.DUMMYFUNCTION("""COMPUTED_VALUE"""),"comment")</f>
        <v>comment</v>
      </c>
      <c r="I1995"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95" s="1" t="str">
        <f ca="1">IFERROR(__xludf.DUMMYFUNCTION("""COMPUTED_VALUE"""),"2022-07-04T15:46:23.009Z")</f>
        <v>2022-07-04T15:46:23.009Z</v>
      </c>
    </row>
    <row r="1996" spans="1:10" x14ac:dyDescent="0.2">
      <c r="A1996" s="2" t="str">
        <f ca="1">IFERROR(__xludf.DUMMYFUNCTION("""COMPUTED_VALUE"""),"https://www.facebook.com/jobic.aquino")</f>
        <v>https://www.facebook.com/jobic.aquino</v>
      </c>
      <c r="B1996" s="1" t="str">
        <f ca="1">IFERROR(__xludf.DUMMYFUNCTION("""COMPUTED_VALUE"""),"Raynan Marcelo")</f>
        <v>Raynan Marcelo</v>
      </c>
      <c r="C1996" s="1" t="str">
        <f ca="1">IFERROR(__xludf.DUMMYFUNCTION("""COMPUTED_VALUE"""),"Raynan")</f>
        <v>Raynan</v>
      </c>
      <c r="D1996" s="1" t="str">
        <f ca="1">IFERROR(__xludf.DUMMYFUNCTION("""COMPUTED_VALUE"""),"Marcelo")</f>
        <v>Marcelo</v>
      </c>
      <c r="E1996" s="1" t="str">
        <f ca="1">IFERROR(__xludf.DUMMYFUNCTION("""COMPUTED_VALUE"""),"Baka may maligaw  from  UNITEAM, ingatan ang Wallet at Cellphone.")</f>
        <v>Baka may maligaw  from  UNITEAM, ingatan ang Wallet at Cellphone.</v>
      </c>
      <c r="F1996" s="1"/>
      <c r="G1996" s="1" t="str">
        <f ca="1">IFERROR(__xludf.DUMMYFUNCTION("""COMPUTED_VALUE"""),"3 mos")</f>
        <v>3 mos</v>
      </c>
      <c r="H1996" s="1" t="str">
        <f ca="1">IFERROR(__xludf.DUMMYFUNCTION("""COMPUTED_VALUE"""),"comment")</f>
        <v>comment</v>
      </c>
      <c r="I1996"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96" s="1" t="str">
        <f ca="1">IFERROR(__xludf.DUMMYFUNCTION("""COMPUTED_VALUE"""),"2022-07-04T15:46:23.009Z")</f>
        <v>2022-07-04T15:46:23.009Z</v>
      </c>
    </row>
    <row r="1997" spans="1:10" x14ac:dyDescent="0.2">
      <c r="A1997" s="2" t="str">
        <f ca="1">IFERROR(__xludf.DUMMYFUNCTION("""COMPUTED_VALUE"""),"https://www.facebook.com/athaliecruzedez")</f>
        <v>https://www.facebook.com/athaliecruzedez</v>
      </c>
      <c r="B1997" s="1" t="str">
        <f ca="1">IFERROR(__xludf.DUMMYFUNCTION("""COMPUTED_VALUE"""),"Jrei Edez")</f>
        <v>Jrei Edez</v>
      </c>
      <c r="C1997" s="1" t="str">
        <f ca="1">IFERROR(__xludf.DUMMYFUNCTION("""COMPUTED_VALUE"""),"Jrei")</f>
        <v>Jrei</v>
      </c>
      <c r="D1997" s="1" t="str">
        <f ca="1">IFERROR(__xludf.DUMMYFUNCTION("""COMPUTED_VALUE"""),"Edez")</f>
        <v>Edez</v>
      </c>
      <c r="E1997" s="1" t="str">
        <f ca="1">IFERROR(__xludf.DUMMYFUNCTION("""COMPUTED_VALUE"""),"kano kaya per head")</f>
        <v>kano kaya per head</v>
      </c>
      <c r="F1997" s="1">
        <f ca="1">IFERROR(__xludf.DUMMYFUNCTION("""COMPUTED_VALUE"""),3)</f>
        <v>3</v>
      </c>
      <c r="G1997" s="1" t="str">
        <f ca="1">IFERROR(__xludf.DUMMYFUNCTION("""COMPUTED_VALUE"""),"3 mos")</f>
        <v>3 mos</v>
      </c>
      <c r="H1997" s="1" t="str">
        <f ca="1">IFERROR(__xludf.DUMMYFUNCTION("""COMPUTED_VALUE"""),"comment")</f>
        <v>comment</v>
      </c>
      <c r="I1997"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97" s="1" t="str">
        <f ca="1">IFERROR(__xludf.DUMMYFUNCTION("""COMPUTED_VALUE"""),"2022-07-04T15:46:23.009Z")</f>
        <v>2022-07-04T15:46:23.009Z</v>
      </c>
    </row>
    <row r="1998" spans="1:10" x14ac:dyDescent="0.2">
      <c r="A1998" s="2" t="str">
        <f ca="1">IFERROR(__xludf.DUMMYFUNCTION("""COMPUTED_VALUE"""),"https://www.facebook.com/profile.php?id=100076726444381")</f>
        <v>https://www.facebook.com/profile.php?id=100076726444381</v>
      </c>
      <c r="B1998" s="1" t="str">
        <f ca="1">IFERROR(__xludf.DUMMYFUNCTION("""COMPUTED_VALUE"""),"Dodon Ian")</f>
        <v>Dodon Ian</v>
      </c>
      <c r="C1998" s="1" t="str">
        <f ca="1">IFERROR(__xludf.DUMMYFUNCTION("""COMPUTED_VALUE"""),"Dodon")</f>
        <v>Dodon</v>
      </c>
      <c r="D1998" s="1" t="str">
        <f ca="1">IFERROR(__xludf.DUMMYFUNCTION("""COMPUTED_VALUE"""),"Ian")</f>
        <v>Ian</v>
      </c>
      <c r="E1998" s="1" t="str">
        <f ca="1">IFERROR(__xludf.DUMMYFUNCTION("""COMPUTED_VALUE"""),"😱😱😱")</f>
        <v>😱😱😱</v>
      </c>
      <c r="F1998" s="1"/>
      <c r="G1998" s="1" t="str">
        <f ca="1">IFERROR(__xludf.DUMMYFUNCTION("""COMPUTED_VALUE"""),"3 mos")</f>
        <v>3 mos</v>
      </c>
      <c r="H1998" s="1" t="str">
        <f ca="1">IFERROR(__xludf.DUMMYFUNCTION("""COMPUTED_VALUE"""),"comment")</f>
        <v>comment</v>
      </c>
      <c r="I1998"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98" s="1" t="str">
        <f ca="1">IFERROR(__xludf.DUMMYFUNCTION("""COMPUTED_VALUE"""),"2022-07-04T15:46:23.009Z")</f>
        <v>2022-07-04T15:46:23.009Z</v>
      </c>
    </row>
    <row r="1999" spans="1:10" x14ac:dyDescent="0.2">
      <c r="A1999" s="2" t="str">
        <f ca="1">IFERROR(__xludf.DUMMYFUNCTION("""COMPUTED_VALUE"""),"https://www.facebook.com/noel.isorena.7")</f>
        <v>https://www.facebook.com/noel.isorena.7</v>
      </c>
      <c r="B1999" s="1" t="str">
        <f ca="1">IFERROR(__xludf.DUMMYFUNCTION("""COMPUTED_VALUE"""),"Noel Isorena")</f>
        <v>Noel Isorena</v>
      </c>
      <c r="C1999" s="1" t="str">
        <f ca="1">IFERROR(__xludf.DUMMYFUNCTION("""COMPUTED_VALUE"""),"Noel")</f>
        <v>Noel</v>
      </c>
      <c r="D1999" s="1" t="str">
        <f ca="1">IFERROR(__xludf.DUMMYFUNCTION("""COMPUTED_VALUE"""),"Isorena")</f>
        <v>Isorena</v>
      </c>
      <c r="E1999" s="1" t="str">
        <f ca="1">IFERROR(__xludf.DUMMYFUNCTION("""COMPUTED_VALUE"""),"💥💥💥")</f>
        <v>💥💥💥</v>
      </c>
      <c r="F1999" s="1"/>
      <c r="G1999" s="1" t="str">
        <f ca="1">IFERROR(__xludf.DUMMYFUNCTION("""COMPUTED_VALUE"""),"3 mos")</f>
        <v>3 mos</v>
      </c>
      <c r="H1999" s="1" t="str">
        <f ca="1">IFERROR(__xludf.DUMMYFUNCTION("""COMPUTED_VALUE"""),"comment")</f>
        <v>comment</v>
      </c>
      <c r="I1999"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1999" s="1" t="str">
        <f ca="1">IFERROR(__xludf.DUMMYFUNCTION("""COMPUTED_VALUE"""),"2022-07-04T15:46:23.009Z")</f>
        <v>2022-07-04T15:46:23.009Z</v>
      </c>
    </row>
    <row r="2000" spans="1:10" x14ac:dyDescent="0.2">
      <c r="A2000" s="2" t="str">
        <f ca="1">IFERROR(__xludf.DUMMYFUNCTION("""COMPUTED_VALUE"""),"https://www.facebook.com/noel.isorena.7")</f>
        <v>https://www.facebook.com/noel.isorena.7</v>
      </c>
      <c r="B2000" s="1" t="str">
        <f ca="1">IFERROR(__xludf.DUMMYFUNCTION("""COMPUTED_VALUE"""),"Noel Isorena")</f>
        <v>Noel Isorena</v>
      </c>
      <c r="C2000" s="1" t="str">
        <f ca="1">IFERROR(__xludf.DUMMYFUNCTION("""COMPUTED_VALUE"""),"Noel")</f>
        <v>Noel</v>
      </c>
      <c r="D2000" s="1" t="str">
        <f ca="1">IFERROR(__xludf.DUMMYFUNCTION("""COMPUTED_VALUE"""),"Isorena")</f>
        <v>Isorena</v>
      </c>
      <c r="E2000" s="1" t="str">
        <f ca="1">IFERROR(__xludf.DUMMYFUNCTION("""COMPUTED_VALUE"""),"⭐⭐⭐")</f>
        <v>⭐⭐⭐</v>
      </c>
      <c r="F2000" s="1">
        <f ca="1">IFERROR(__xludf.DUMMYFUNCTION("""COMPUTED_VALUE"""),1)</f>
        <v>1</v>
      </c>
      <c r="G2000" s="1" t="str">
        <f ca="1">IFERROR(__xludf.DUMMYFUNCTION("""COMPUTED_VALUE"""),"3 mos")</f>
        <v>3 mos</v>
      </c>
      <c r="H2000" s="1" t="str">
        <f ca="1">IFERROR(__xludf.DUMMYFUNCTION("""COMPUTED_VALUE"""),"comment")</f>
        <v>comment</v>
      </c>
      <c r="I2000"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2000" s="1" t="str">
        <f ca="1">IFERROR(__xludf.DUMMYFUNCTION("""COMPUTED_VALUE"""),"2022-07-04T15:46:23.009Z")</f>
        <v>2022-07-04T15:46:23.009Z</v>
      </c>
    </row>
    <row r="2001" spans="1:10" x14ac:dyDescent="0.2">
      <c r="A2001" s="2" t="str">
        <f ca="1">IFERROR(__xludf.DUMMYFUNCTION("""COMPUTED_VALUE"""),"https://www.facebook.com/noel.isorena.7")</f>
        <v>https://www.facebook.com/noel.isorena.7</v>
      </c>
      <c r="B2001" s="1" t="str">
        <f ca="1">IFERROR(__xludf.DUMMYFUNCTION("""COMPUTED_VALUE"""),"Noel Isorena")</f>
        <v>Noel Isorena</v>
      </c>
      <c r="C2001" s="1" t="str">
        <f ca="1">IFERROR(__xludf.DUMMYFUNCTION("""COMPUTED_VALUE"""),"Noel")</f>
        <v>Noel</v>
      </c>
      <c r="D2001" s="1" t="str">
        <f ca="1">IFERROR(__xludf.DUMMYFUNCTION("""COMPUTED_VALUE"""),"Isorena")</f>
        <v>Isorena</v>
      </c>
      <c r="E2001" s="1" t="str">
        <f ca="1">IFERROR(__xludf.DUMMYFUNCTION("""COMPUTED_VALUE"""),"❤️❤️❤️")</f>
        <v>❤️❤️❤️</v>
      </c>
      <c r="F2001" s="1"/>
      <c r="G2001" s="1" t="str">
        <f ca="1">IFERROR(__xludf.DUMMYFUNCTION("""COMPUTED_VALUE"""),"3 mos")</f>
        <v>3 mos</v>
      </c>
      <c r="H2001" s="1" t="str">
        <f ca="1">IFERROR(__xludf.DUMMYFUNCTION("""COMPUTED_VALUE"""),"comment")</f>
        <v>comment</v>
      </c>
      <c r="I2001"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2001" s="1" t="str">
        <f ca="1">IFERROR(__xludf.DUMMYFUNCTION("""COMPUTED_VALUE"""),"2022-07-04T15:46:23.009Z")</f>
        <v>2022-07-04T15:46:23.009Z</v>
      </c>
    </row>
    <row r="2002" spans="1:10" x14ac:dyDescent="0.2">
      <c r="A2002" s="2" t="str">
        <f ca="1">IFERROR(__xludf.DUMMYFUNCTION("""COMPUTED_VALUE"""),"https://www.facebook.com/noel.isorena.7")</f>
        <v>https://www.facebook.com/noel.isorena.7</v>
      </c>
      <c r="B2002" s="1" t="str">
        <f ca="1">IFERROR(__xludf.DUMMYFUNCTION("""COMPUTED_VALUE"""),"Noel Isorena")</f>
        <v>Noel Isorena</v>
      </c>
      <c r="C2002" s="1" t="str">
        <f ca="1">IFERROR(__xludf.DUMMYFUNCTION("""COMPUTED_VALUE"""),"Noel")</f>
        <v>Noel</v>
      </c>
      <c r="D2002" s="1" t="str">
        <f ca="1">IFERROR(__xludf.DUMMYFUNCTION("""COMPUTED_VALUE"""),"Isorena")</f>
        <v>Isorena</v>
      </c>
      <c r="E2002" s="1" t="str">
        <f ca="1">IFERROR(__xludf.DUMMYFUNCTION("""COMPUTED_VALUE"""),"🥰🥰🥰")</f>
        <v>🥰🥰🥰</v>
      </c>
      <c r="F2002" s="1"/>
      <c r="G2002" s="1" t="str">
        <f ca="1">IFERROR(__xludf.DUMMYFUNCTION("""COMPUTED_VALUE"""),"3 mos")</f>
        <v>3 mos</v>
      </c>
      <c r="H2002" s="1" t="str">
        <f ca="1">IFERROR(__xludf.DUMMYFUNCTION("""COMPUTED_VALUE"""),"comment")</f>
        <v>comment</v>
      </c>
      <c r="I2002"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2002" s="1" t="str">
        <f ca="1">IFERROR(__xludf.DUMMYFUNCTION("""COMPUTED_VALUE"""),"2022-07-04T15:46:23.009Z")</f>
        <v>2022-07-04T15:46:23.009Z</v>
      </c>
    </row>
    <row r="2003" spans="1:10" x14ac:dyDescent="0.2">
      <c r="A2003" s="2" t="str">
        <f ca="1">IFERROR(__xludf.DUMMYFUNCTION("""COMPUTED_VALUE"""),"https://www.facebook.com/noel.isorena.7")</f>
        <v>https://www.facebook.com/noel.isorena.7</v>
      </c>
      <c r="B2003" s="1" t="str">
        <f ca="1">IFERROR(__xludf.DUMMYFUNCTION("""COMPUTED_VALUE"""),"Noel Isorena")</f>
        <v>Noel Isorena</v>
      </c>
      <c r="C2003" s="1" t="str">
        <f ca="1">IFERROR(__xludf.DUMMYFUNCTION("""COMPUTED_VALUE"""),"Noel")</f>
        <v>Noel</v>
      </c>
      <c r="D2003" s="1" t="str">
        <f ca="1">IFERROR(__xludf.DUMMYFUNCTION("""COMPUTED_VALUE"""),"Isorena")</f>
        <v>Isorena</v>
      </c>
      <c r="E2003" s="1" t="str">
        <f ca="1">IFERROR(__xludf.DUMMYFUNCTION("""COMPUTED_VALUE"""),"🙏🙏🙏")</f>
        <v>🙏🙏🙏</v>
      </c>
      <c r="F2003" s="1"/>
      <c r="G2003" s="1" t="str">
        <f ca="1">IFERROR(__xludf.DUMMYFUNCTION("""COMPUTED_VALUE"""),"3 mos")</f>
        <v>3 mos</v>
      </c>
      <c r="H2003" s="1" t="str">
        <f ca="1">IFERROR(__xludf.DUMMYFUNCTION("""COMPUTED_VALUE"""),"comment")</f>
        <v>comment</v>
      </c>
      <c r="I2003"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2003" s="1" t="str">
        <f ca="1">IFERROR(__xludf.DUMMYFUNCTION("""COMPUTED_VALUE"""),"2022-07-04T15:46:23.009Z")</f>
        <v>2022-07-04T15:46:23.009Z</v>
      </c>
    </row>
    <row r="2004" spans="1:10" x14ac:dyDescent="0.2">
      <c r="A2004" s="2" t="str">
        <f ca="1">IFERROR(__xludf.DUMMYFUNCTION("""COMPUTED_VALUE"""),"https://www.facebook.com/noel.isorena.7")</f>
        <v>https://www.facebook.com/noel.isorena.7</v>
      </c>
      <c r="B2004" s="1" t="str">
        <f ca="1">IFERROR(__xludf.DUMMYFUNCTION("""COMPUTED_VALUE"""),"Noel Isorena")</f>
        <v>Noel Isorena</v>
      </c>
      <c r="C2004" s="1" t="str">
        <f ca="1">IFERROR(__xludf.DUMMYFUNCTION("""COMPUTED_VALUE"""),"Noel")</f>
        <v>Noel</v>
      </c>
      <c r="D2004" s="1" t="str">
        <f ca="1">IFERROR(__xludf.DUMMYFUNCTION("""COMPUTED_VALUE"""),"Isorena")</f>
        <v>Isorena</v>
      </c>
      <c r="E2004" s="1" t="str">
        <f ca="1">IFERROR(__xludf.DUMMYFUNCTION("""COMPUTED_VALUE"""),"✊✊✊")</f>
        <v>✊✊✊</v>
      </c>
      <c r="F2004" s="1"/>
      <c r="G2004" s="1" t="str">
        <f ca="1">IFERROR(__xludf.DUMMYFUNCTION("""COMPUTED_VALUE"""),"3 mos")</f>
        <v>3 mos</v>
      </c>
      <c r="H2004" s="1" t="str">
        <f ca="1">IFERROR(__xludf.DUMMYFUNCTION("""COMPUTED_VALUE"""),"comment")</f>
        <v>comment</v>
      </c>
      <c r="I2004"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2004" s="1" t="str">
        <f ca="1">IFERROR(__xludf.DUMMYFUNCTION("""COMPUTED_VALUE"""),"2022-07-04T15:46:23.009Z")</f>
        <v>2022-07-04T15:46:23.009Z</v>
      </c>
    </row>
    <row r="2005" spans="1:10" x14ac:dyDescent="0.2">
      <c r="A2005" s="2" t="str">
        <f ca="1">IFERROR(__xludf.DUMMYFUNCTION("""COMPUTED_VALUE"""),"https://www.facebook.com/noel.isorena.7")</f>
        <v>https://www.facebook.com/noel.isorena.7</v>
      </c>
      <c r="B2005" s="1" t="str">
        <f ca="1">IFERROR(__xludf.DUMMYFUNCTION("""COMPUTED_VALUE"""),"Noel Isorena")</f>
        <v>Noel Isorena</v>
      </c>
      <c r="C2005" s="1" t="str">
        <f ca="1">IFERROR(__xludf.DUMMYFUNCTION("""COMPUTED_VALUE"""),"Noel")</f>
        <v>Noel</v>
      </c>
      <c r="D2005" s="1" t="str">
        <f ca="1">IFERROR(__xludf.DUMMYFUNCTION("""COMPUTED_VALUE"""),"Isorena")</f>
        <v>Isorena</v>
      </c>
      <c r="E2005" s="1" t="str">
        <f ca="1">IFERROR(__xludf.DUMMYFUNCTION("""COMPUTED_VALUE"""),"🌷🌷🌷")</f>
        <v>🌷🌷🌷</v>
      </c>
      <c r="F2005" s="1"/>
      <c r="G2005" s="1" t="str">
        <f ca="1">IFERROR(__xludf.DUMMYFUNCTION("""COMPUTED_VALUE"""),"3 mos")</f>
        <v>3 mos</v>
      </c>
      <c r="H2005" s="1" t="str">
        <f ca="1">IFERROR(__xludf.DUMMYFUNCTION("""COMPUTED_VALUE"""),"comment")</f>
        <v>comment</v>
      </c>
      <c r="I2005"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2005" s="1" t="str">
        <f ca="1">IFERROR(__xludf.DUMMYFUNCTION("""COMPUTED_VALUE"""),"2022-07-04T15:46:23.009Z")</f>
        <v>2022-07-04T15:46:23.009Z</v>
      </c>
    </row>
    <row r="2006" spans="1:10" x14ac:dyDescent="0.2">
      <c r="A2006" s="2" t="str">
        <f ca="1">IFERROR(__xludf.DUMMYFUNCTION("""COMPUTED_VALUE"""),"https://www.facebook.com/noel.isorena.7")</f>
        <v>https://www.facebook.com/noel.isorena.7</v>
      </c>
      <c r="B2006" s="1" t="str">
        <f ca="1">IFERROR(__xludf.DUMMYFUNCTION("""COMPUTED_VALUE"""),"Noel Isorena")</f>
        <v>Noel Isorena</v>
      </c>
      <c r="C2006" s="1" t="str">
        <f ca="1">IFERROR(__xludf.DUMMYFUNCTION("""COMPUTED_VALUE"""),"Noel")</f>
        <v>Noel</v>
      </c>
      <c r="D2006" s="1" t="str">
        <f ca="1">IFERROR(__xludf.DUMMYFUNCTION("""COMPUTED_VALUE"""),"Isorena")</f>
        <v>Isorena</v>
      </c>
      <c r="E2006" s="1" t="str">
        <f ca="1">IFERROR(__xludf.DUMMYFUNCTION("""COMPUTED_VALUE"""),"👏👏👏")</f>
        <v>👏👏👏</v>
      </c>
      <c r="F2006" s="1"/>
      <c r="G2006" s="1" t="str">
        <f ca="1">IFERROR(__xludf.DUMMYFUNCTION("""COMPUTED_VALUE"""),"3 mos")</f>
        <v>3 mos</v>
      </c>
      <c r="H2006" s="1" t="str">
        <f ca="1">IFERROR(__xludf.DUMMYFUNCTION("""COMPUTED_VALUE"""),"comment")</f>
        <v>comment</v>
      </c>
      <c r="I2006" s="2" t="str">
        <f ca="1">IFERROR(__xludf.DUMMYFUNCTION("""COMPUTED_VALUE"""),"https://www.facebook.com/rapplerdotcom/posts/pfbid0dyWpzxim3h4Z2SYriGakwQw85p7BCAgct7KU5EiMX1bmmgNHDD8nmES8rjrADsrPl")</f>
        <v>https://www.facebook.com/rapplerdotcom/posts/pfbid0dyWpzxim3h4Z2SYriGakwQw85p7BCAgct7KU5EiMX1bmmgNHDD8nmES8rjrADsrPl</v>
      </c>
      <c r="J2006" s="1" t="str">
        <f ca="1">IFERROR(__xludf.DUMMYFUNCTION("""COMPUTED_VALUE"""),"2022-07-04T15:46:23.009Z")</f>
        <v>2022-07-04T15:46:23.009Z</v>
      </c>
    </row>
    <row r="2007" spans="1:10" x14ac:dyDescent="0.2">
      <c r="A2007" s="2" t="str">
        <f ca="1">IFERROR(__xludf.DUMMYFUNCTION("""COMPUTED_VALUE"""),"https://www.facebook.com/christopher.m.perey")</f>
        <v>https://www.facebook.com/christopher.m.perey</v>
      </c>
      <c r="B2007" s="1" t="str">
        <f ca="1">IFERROR(__xludf.DUMMYFUNCTION("""COMPUTED_VALUE"""),"Christopher Marquicias Perey")</f>
        <v>Christopher Marquicias Perey</v>
      </c>
      <c r="C2007" s="1" t="str">
        <f ca="1">IFERROR(__xludf.DUMMYFUNCTION("""COMPUTED_VALUE"""),"Christopher")</f>
        <v>Christopher</v>
      </c>
      <c r="D2007" s="1" t="str">
        <f ca="1">IFERROR(__xludf.DUMMYFUNCTION("""COMPUTED_VALUE"""),"Marquicias Perey")</f>
        <v>Marquicias Perey</v>
      </c>
      <c r="E2007" s="1" t="str">
        <f ca="1">IFERROR(__xludf.DUMMYFUNCTION("""COMPUTED_VALUE"""),"You should have advised them that 6 years ago...you insulted and maligned those people who are not on youre side and you expect them to vote for you? Where is the decency in that? Just asking...and by the way its too late..majority of the ""dugyots"" alre"&amp;"ady made up their minds! #LigawNotLugaw")</f>
        <v>You should have advised them that 6 years ago...you insulted and maligned those people who are not on youre side and you expect them to vote for you? Where is the decency in that? Just asking...and by the way its too late..majority of the "dugyots" already made up their minds! #LigawNotLugaw</v>
      </c>
      <c r="F2007" s="1">
        <f ca="1">IFERROR(__xludf.DUMMYFUNCTION("""COMPUTED_VALUE"""),12)</f>
        <v>12</v>
      </c>
      <c r="G2007" s="1" t="str">
        <f ca="1">IFERROR(__xludf.DUMMYFUNCTION("""COMPUTED_VALUE"""),"3 mos")</f>
        <v>3 mos</v>
      </c>
      <c r="H2007" s="1" t="str">
        <f ca="1">IFERROR(__xludf.DUMMYFUNCTION("""COMPUTED_VALUE"""),"comment")</f>
        <v>comment</v>
      </c>
      <c r="I2007"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07" s="1" t="str">
        <f ca="1">IFERROR(__xludf.DUMMYFUNCTION("""COMPUTED_VALUE"""),"2022-07-04T15:46:50.839Z")</f>
        <v>2022-07-04T15:46:50.839Z</v>
      </c>
    </row>
    <row r="2008" spans="1:10" x14ac:dyDescent="0.2">
      <c r="A2008" s="2" t="str">
        <f ca="1">IFERROR(__xludf.DUMMYFUNCTION("""COMPUTED_VALUE"""),"https://www.facebook.com/jubs.bravo")</f>
        <v>https://www.facebook.com/jubs.bravo</v>
      </c>
      <c r="B2008" s="1" t="str">
        <f ca="1">IFERROR(__xludf.DUMMYFUNCTION("""COMPUTED_VALUE"""),"Jubs Bravo")</f>
        <v>Jubs Bravo</v>
      </c>
      <c r="C2008" s="1" t="str">
        <f ca="1">IFERROR(__xludf.DUMMYFUNCTION("""COMPUTED_VALUE"""),"Jubs")</f>
        <v>Jubs</v>
      </c>
      <c r="D2008" s="1" t="str">
        <f ca="1">IFERROR(__xludf.DUMMYFUNCTION("""COMPUTED_VALUE"""),"Bravo")</f>
        <v>Bravo</v>
      </c>
      <c r="E2008" s="1" t="str">
        <f ca="1">IFERROR(__xludf.DUMMYFUNCTION("""COMPUTED_VALUE"""),"Christopher Marquicias Perey at the end of the day, the candidate you choose reflects the character and values that you believe in. Wag mong isisi sa past administration kung bakit miserable ang buhay mo")</f>
        <v>Christopher Marquicias Perey at the end of the day, the candidate you choose reflects the character and values that you believe in. Wag mong isisi sa past administration kung bakit miserable ang buhay mo</v>
      </c>
      <c r="F2008" s="1">
        <f ca="1">IFERROR(__xludf.DUMMYFUNCTION("""COMPUTED_VALUE"""),16)</f>
        <v>16</v>
      </c>
      <c r="G2008" s="1" t="str">
        <f ca="1">IFERROR(__xludf.DUMMYFUNCTION("""COMPUTED_VALUE"""),"3 mos")</f>
        <v>3 mos</v>
      </c>
      <c r="H2008" s="1" t="str">
        <f ca="1">IFERROR(__xludf.DUMMYFUNCTION("""COMPUTED_VALUE"""),"reply")</f>
        <v>reply</v>
      </c>
      <c r="I2008"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08" s="1" t="str">
        <f ca="1">IFERROR(__xludf.DUMMYFUNCTION("""COMPUTED_VALUE"""),"2022-07-04T15:46:50.839Z")</f>
        <v>2022-07-04T15:46:50.839Z</v>
      </c>
    </row>
    <row r="2009" spans="1:10" x14ac:dyDescent="0.2">
      <c r="A2009" s="2" t="str">
        <f ca="1">IFERROR(__xludf.DUMMYFUNCTION("""COMPUTED_VALUE"""),"https://www.facebook.com/christopher.m.perey")</f>
        <v>https://www.facebook.com/christopher.m.perey</v>
      </c>
      <c r="B2009" s="1" t="str">
        <f ca="1">IFERROR(__xludf.DUMMYFUNCTION("""COMPUTED_VALUE"""),"Christopher Marquicias Perey")</f>
        <v>Christopher Marquicias Perey</v>
      </c>
      <c r="C2009" s="1" t="str">
        <f ca="1">IFERROR(__xludf.DUMMYFUNCTION("""COMPUTED_VALUE"""),"Christopher")</f>
        <v>Christopher</v>
      </c>
      <c r="D2009" s="1" t="str">
        <f ca="1">IFERROR(__xludf.DUMMYFUNCTION("""COMPUTED_VALUE"""),"Marquicias Perey")</f>
        <v>Marquicias Perey</v>
      </c>
      <c r="E2009" s="1" t="str">
        <f ca="1">IFERROR(__xludf.DUMMYFUNCTION("""COMPUTED_VALUE"""),"Jubs Bravo and thats democracy!  And please....you cant insert a persons character and values to the candidate ur going to vote for..it goes both ways. Just to clear my statement..would you vote for a person who maligned and judge youre character for the "&amp;"past 6 years? Saan mo nkuha na isinisi ko s administration kung bkit miserable buhay ko? Paano mo nasabi na miserable buhay ko? Do you know me? Same narrative..judge..judge..and be judged.")</f>
        <v>Jubs Bravo and thats democracy!  And please....you cant insert a persons character and values to the candidate ur going to vote for..it goes both ways. Just to clear my statement..would you vote for a person who maligned and judge youre character for the past 6 years? Saan mo nkuha na isinisi ko s administration kung bkit miserable buhay ko? Paano mo nasabi na miserable buhay ko? Do you know me? Same narrative..judge..judge..and be judged.</v>
      </c>
      <c r="F2009" s="1">
        <f ca="1">IFERROR(__xludf.DUMMYFUNCTION("""COMPUTED_VALUE"""),3)</f>
        <v>3</v>
      </c>
      <c r="G2009" s="1" t="str">
        <f ca="1">IFERROR(__xludf.DUMMYFUNCTION("""COMPUTED_VALUE"""),"3 mos")</f>
        <v>3 mos</v>
      </c>
      <c r="H2009" s="1" t="str">
        <f ca="1">IFERROR(__xludf.DUMMYFUNCTION("""COMPUTED_VALUE"""),"reply")</f>
        <v>reply</v>
      </c>
      <c r="I2009"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09" s="1" t="str">
        <f ca="1">IFERROR(__xludf.DUMMYFUNCTION("""COMPUTED_VALUE"""),"2022-07-04T15:46:50.839Z")</f>
        <v>2022-07-04T15:46:50.839Z</v>
      </c>
    </row>
    <row r="2010" spans="1:10" x14ac:dyDescent="0.2">
      <c r="A2010" s="2" t="str">
        <f ca="1">IFERROR(__xludf.DUMMYFUNCTION("""COMPUTED_VALUE"""),"https://www.facebook.com/jubs.bravo")</f>
        <v>https://www.facebook.com/jubs.bravo</v>
      </c>
      <c r="B2010" s="1" t="str">
        <f ca="1">IFERROR(__xludf.DUMMYFUNCTION("""COMPUTED_VALUE"""),"Jubs Bravo")</f>
        <v>Jubs Bravo</v>
      </c>
      <c r="C2010" s="1" t="str">
        <f ca="1">IFERROR(__xludf.DUMMYFUNCTION("""COMPUTED_VALUE"""),"Jubs")</f>
        <v>Jubs</v>
      </c>
      <c r="D2010" s="1" t="str">
        <f ca="1">IFERROR(__xludf.DUMMYFUNCTION("""COMPUTED_VALUE"""),"Bravo")</f>
        <v>Bravo</v>
      </c>
      <c r="E2010" s="1" t="str">
        <f ca="1">IFERROR(__xludf.DUMMYFUNCTION("""COMPUTED_VALUE"""),"Tapos ka na??! Thank you next na. Hahahaha!")</f>
        <v>Tapos ka na??! Thank you next na. Hahahaha!</v>
      </c>
      <c r="F2010" s="1"/>
      <c r="G2010" s="1" t="str">
        <f ca="1">IFERROR(__xludf.DUMMYFUNCTION("""COMPUTED_VALUE"""),"3 mos")</f>
        <v>3 mos</v>
      </c>
      <c r="H2010" s="1" t="str">
        <f ca="1">IFERROR(__xludf.DUMMYFUNCTION("""COMPUTED_VALUE"""),"reply")</f>
        <v>reply</v>
      </c>
      <c r="I2010"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10" s="1" t="str">
        <f ca="1">IFERROR(__xludf.DUMMYFUNCTION("""COMPUTED_VALUE"""),"2022-07-04T15:46:50.839Z")</f>
        <v>2022-07-04T15:46:50.839Z</v>
      </c>
    </row>
    <row r="2011" spans="1:10" x14ac:dyDescent="0.2">
      <c r="A2011" s="2" t="str">
        <f ca="1">IFERROR(__xludf.DUMMYFUNCTION("""COMPUTED_VALUE"""),"https://www.facebook.com/christopher.m.perey")</f>
        <v>https://www.facebook.com/christopher.m.perey</v>
      </c>
      <c r="B2011" s="1" t="str">
        <f ca="1">IFERROR(__xludf.DUMMYFUNCTION("""COMPUTED_VALUE"""),"Christopher Marquicias Perey")</f>
        <v>Christopher Marquicias Perey</v>
      </c>
      <c r="C2011" s="1" t="str">
        <f ca="1">IFERROR(__xludf.DUMMYFUNCTION("""COMPUTED_VALUE"""),"Christopher")</f>
        <v>Christopher</v>
      </c>
      <c r="D2011" s="1" t="str">
        <f ca="1">IFERROR(__xludf.DUMMYFUNCTION("""COMPUTED_VALUE"""),"Marquicias Perey")</f>
        <v>Marquicias Perey</v>
      </c>
      <c r="E2011" s="1" t="str">
        <f ca="1">IFERROR(__xludf.DUMMYFUNCTION("""COMPUTED_VALUE"""),"Jubs Bravo.... .AD HOMIMEM...thank you for your engagement...im not a judge of character..but you clearly show yours..im done, thanks.")</f>
        <v>Jubs Bravo.... .AD HOMIMEM...thank you for your engagement...im not a judge of character..but you clearly show yours..im done, thanks.</v>
      </c>
      <c r="F2011" s="1"/>
      <c r="G2011" s="1" t="str">
        <f ca="1">IFERROR(__xludf.DUMMYFUNCTION("""COMPUTED_VALUE"""),"3 mos")</f>
        <v>3 mos</v>
      </c>
      <c r="H2011" s="1" t="str">
        <f ca="1">IFERROR(__xludf.DUMMYFUNCTION("""COMPUTED_VALUE"""),"reply")</f>
        <v>reply</v>
      </c>
      <c r="I2011"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11" s="1" t="str">
        <f ca="1">IFERROR(__xludf.DUMMYFUNCTION("""COMPUTED_VALUE"""),"2022-07-04T15:46:50.839Z")</f>
        <v>2022-07-04T15:46:50.839Z</v>
      </c>
    </row>
    <row r="2012" spans="1:10" x14ac:dyDescent="0.2">
      <c r="A2012" s="2" t="str">
        <f ca="1">IFERROR(__xludf.DUMMYFUNCTION("""COMPUTED_VALUE"""),"https://www.facebook.com/jubs.bravo")</f>
        <v>https://www.facebook.com/jubs.bravo</v>
      </c>
      <c r="B2012" s="1" t="str">
        <f ca="1">IFERROR(__xludf.DUMMYFUNCTION("""COMPUTED_VALUE"""),"Jubs Bravo")</f>
        <v>Jubs Bravo</v>
      </c>
      <c r="C2012" s="1" t="str">
        <f ca="1">IFERROR(__xludf.DUMMYFUNCTION("""COMPUTED_VALUE"""),"Jubs")</f>
        <v>Jubs</v>
      </c>
      <c r="D2012" s="1" t="str">
        <f ca="1">IFERROR(__xludf.DUMMYFUNCTION("""COMPUTED_VALUE"""),"Bravo")</f>
        <v>Bravo</v>
      </c>
      <c r="E2012" s="1" t="str">
        <f ca="1">IFERROR(__xludf.DUMMYFUNCTION("""COMPUTED_VALUE"""),"Tanggapin mo na, the candidate you choose reflects the values and beliefs you have in life. That's basically it.")</f>
        <v>Tanggapin mo na, the candidate you choose reflects the values and beliefs you have in life. That's basically it.</v>
      </c>
      <c r="F2012" s="1">
        <f ca="1">IFERROR(__xludf.DUMMYFUNCTION("""COMPUTED_VALUE"""),1)</f>
        <v>1</v>
      </c>
      <c r="G2012" s="1" t="str">
        <f ca="1">IFERROR(__xludf.DUMMYFUNCTION("""COMPUTED_VALUE"""),"3 mos")</f>
        <v>3 mos</v>
      </c>
      <c r="H2012" s="1" t="str">
        <f ca="1">IFERROR(__xludf.DUMMYFUNCTION("""COMPUTED_VALUE"""),"reply")</f>
        <v>reply</v>
      </c>
      <c r="I2012"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12" s="1" t="str">
        <f ca="1">IFERROR(__xludf.DUMMYFUNCTION("""COMPUTED_VALUE"""),"2022-07-04T15:46:50.839Z")</f>
        <v>2022-07-04T15:46:50.839Z</v>
      </c>
    </row>
    <row r="2013" spans="1:10" x14ac:dyDescent="0.2">
      <c r="A2013" s="2" t="str">
        <f ca="1">IFERROR(__xludf.DUMMYFUNCTION("""COMPUTED_VALUE"""),"https://www.facebook.com/christopher.m.perey")</f>
        <v>https://www.facebook.com/christopher.m.perey</v>
      </c>
      <c r="B2013" s="1" t="str">
        <f ca="1">IFERROR(__xludf.DUMMYFUNCTION("""COMPUTED_VALUE"""),"Christopher Marquicias Perey")</f>
        <v>Christopher Marquicias Perey</v>
      </c>
      <c r="C2013" s="1" t="str">
        <f ca="1">IFERROR(__xludf.DUMMYFUNCTION("""COMPUTED_VALUE"""),"Christopher")</f>
        <v>Christopher</v>
      </c>
      <c r="D2013" s="1" t="str">
        <f ca="1">IFERROR(__xludf.DUMMYFUNCTION("""COMPUTED_VALUE"""),"Marquicias Perey")</f>
        <v>Marquicias Perey</v>
      </c>
      <c r="E2013" s="1" t="str">
        <f ca="1">IFERROR(__xludf.DUMMYFUNCTION("""COMPUTED_VALUE"""),"Jubs Bravo ..ad hominem")</f>
        <v>Jubs Bravo ..ad hominem</v>
      </c>
      <c r="F2013" s="1"/>
      <c r="G2013" s="1" t="str">
        <f ca="1">IFERROR(__xludf.DUMMYFUNCTION("""COMPUTED_VALUE"""),"3 mos")</f>
        <v>3 mos</v>
      </c>
      <c r="H2013" s="1" t="str">
        <f ca="1">IFERROR(__xludf.DUMMYFUNCTION("""COMPUTED_VALUE"""),"reply")</f>
        <v>reply</v>
      </c>
      <c r="I2013"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13" s="1" t="str">
        <f ca="1">IFERROR(__xludf.DUMMYFUNCTION("""COMPUTED_VALUE"""),"2022-07-04T15:46:50.839Z")</f>
        <v>2022-07-04T15:46:50.839Z</v>
      </c>
    </row>
    <row r="2014" spans="1:10" x14ac:dyDescent="0.2">
      <c r="A2014" s="2" t="str">
        <f ca="1">IFERROR(__xludf.DUMMYFUNCTION("""COMPUTED_VALUE"""),"https://www.facebook.com/jubs.bravo")</f>
        <v>https://www.facebook.com/jubs.bravo</v>
      </c>
      <c r="B2014" s="1" t="str">
        <f ca="1">IFERROR(__xludf.DUMMYFUNCTION("""COMPUTED_VALUE"""),"Jubs Bravo")</f>
        <v>Jubs Bravo</v>
      </c>
      <c r="C2014" s="1" t="str">
        <f ca="1">IFERROR(__xludf.DUMMYFUNCTION("""COMPUTED_VALUE"""),"Jubs")</f>
        <v>Jubs</v>
      </c>
      <c r="D2014" s="1" t="str">
        <f ca="1">IFERROR(__xludf.DUMMYFUNCTION("""COMPUTED_VALUE"""),"Bravo")</f>
        <v>Bravo</v>
      </c>
      <c r="E2014" s="1" t="str">
        <f ca="1">IFERROR(__xludf.DUMMYFUNCTION("""COMPUTED_VALUE"""),"Christopher Marquicias Perey Au revoir!")</f>
        <v>Christopher Marquicias Perey Au revoir!</v>
      </c>
      <c r="F2014" s="1"/>
      <c r="G2014" s="1" t="str">
        <f ca="1">IFERROR(__xludf.DUMMYFUNCTION("""COMPUTED_VALUE"""),"3 mos")</f>
        <v>3 mos</v>
      </c>
      <c r="H2014" s="1" t="str">
        <f ca="1">IFERROR(__xludf.DUMMYFUNCTION("""COMPUTED_VALUE"""),"reply")</f>
        <v>reply</v>
      </c>
      <c r="I2014"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14" s="1" t="str">
        <f ca="1">IFERROR(__xludf.DUMMYFUNCTION("""COMPUTED_VALUE"""),"2022-07-04T15:46:50.839Z")</f>
        <v>2022-07-04T15:46:50.839Z</v>
      </c>
    </row>
    <row r="2015" spans="1:10" x14ac:dyDescent="0.2">
      <c r="A2015" s="2" t="str">
        <f ca="1">IFERROR(__xludf.DUMMYFUNCTION("""COMPUTED_VALUE"""),"https://www.facebook.com/jubs.bravo")</f>
        <v>https://www.facebook.com/jubs.bravo</v>
      </c>
      <c r="B2015" s="1" t="str">
        <f ca="1">IFERROR(__xludf.DUMMYFUNCTION("""COMPUTED_VALUE"""),"Jubs Bravo")</f>
        <v>Jubs Bravo</v>
      </c>
      <c r="C2015" s="1" t="str">
        <f ca="1">IFERROR(__xludf.DUMMYFUNCTION("""COMPUTED_VALUE"""),"Jubs")</f>
        <v>Jubs</v>
      </c>
      <c r="D2015" s="1" t="str">
        <f ca="1">IFERROR(__xludf.DUMMYFUNCTION("""COMPUTED_VALUE"""),"Bravo")</f>
        <v>Bravo</v>
      </c>
      <c r="E2015" s="1" t="str">
        <f ca="1">IFERROR(__xludf.DUMMYFUNCTION("""COMPUTED_VALUE"""),"Christopher Marquicias Perey Au revoir!")</f>
        <v>Christopher Marquicias Perey Au revoir!</v>
      </c>
      <c r="F2015" s="1"/>
      <c r="G2015" s="1" t="str">
        <f ca="1">IFERROR(__xludf.DUMMYFUNCTION("""COMPUTED_VALUE"""),"3 mos")</f>
        <v>3 mos</v>
      </c>
      <c r="H2015" s="1" t="str">
        <f ca="1">IFERROR(__xludf.DUMMYFUNCTION("""COMPUTED_VALUE"""),"reply")</f>
        <v>reply</v>
      </c>
      <c r="I2015"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15" s="1" t="str">
        <f ca="1">IFERROR(__xludf.DUMMYFUNCTION("""COMPUTED_VALUE"""),"2022-07-04T15:46:50.839Z")</f>
        <v>2022-07-04T15:46:50.839Z</v>
      </c>
    </row>
    <row r="2016" spans="1:10" x14ac:dyDescent="0.2">
      <c r="A2016" s="2" t="str">
        <f ca="1">IFERROR(__xludf.DUMMYFUNCTION("""COMPUTED_VALUE"""),"https://www.facebook.com/mark.pahate")</f>
        <v>https://www.facebook.com/mark.pahate</v>
      </c>
      <c r="B2016" s="1" t="str">
        <f ca="1">IFERROR(__xludf.DUMMYFUNCTION("""COMPUTED_VALUE"""),"Mark Wesley Pahate")</f>
        <v>Mark Wesley Pahate</v>
      </c>
      <c r="C2016" s="1" t="str">
        <f ca="1">IFERROR(__xludf.DUMMYFUNCTION("""COMPUTED_VALUE"""),"Mark")</f>
        <v>Mark</v>
      </c>
      <c r="D2016" s="1" t="str">
        <f ca="1">IFERROR(__xludf.DUMMYFUNCTION("""COMPUTED_VALUE"""),"Wesley Pahate")</f>
        <v>Wesley Pahate</v>
      </c>
      <c r="E2016" s="1" t="str">
        <f ca="1">IFERROR(__xludf.DUMMYFUNCTION("""COMPUTED_VALUE"""),"No one got name-called without provocation. But I hear you.")</f>
        <v>No one got name-called without provocation. But I hear you.</v>
      </c>
      <c r="F2016" s="1">
        <f ca="1">IFERROR(__xludf.DUMMYFUNCTION("""COMPUTED_VALUE"""),2)</f>
        <v>2</v>
      </c>
      <c r="G2016" s="1" t="str">
        <f ca="1">IFERROR(__xludf.DUMMYFUNCTION("""COMPUTED_VALUE"""),"3 mos")</f>
        <v>3 mos</v>
      </c>
      <c r="H2016" s="1" t="str">
        <f ca="1">IFERROR(__xludf.DUMMYFUNCTION("""COMPUTED_VALUE"""),"comment")</f>
        <v>comment</v>
      </c>
      <c r="I2016"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16" s="1" t="str">
        <f ca="1">IFERROR(__xludf.DUMMYFUNCTION("""COMPUTED_VALUE"""),"2022-07-04T15:46:50.839Z")</f>
        <v>2022-07-04T15:46:50.839Z</v>
      </c>
    </row>
    <row r="2017" spans="1:10" x14ac:dyDescent="0.2">
      <c r="A2017" s="2" t="str">
        <f ca="1">IFERROR(__xludf.DUMMYFUNCTION("""COMPUTED_VALUE"""),"https://www.facebook.com/caridad.ancero")</f>
        <v>https://www.facebook.com/caridad.ancero</v>
      </c>
      <c r="B2017" s="1" t="str">
        <f ca="1">IFERROR(__xludf.DUMMYFUNCTION("""COMPUTED_VALUE"""),"Caridad Ancero")</f>
        <v>Caridad Ancero</v>
      </c>
      <c r="C2017" s="1" t="str">
        <f ca="1">IFERROR(__xludf.DUMMYFUNCTION("""COMPUTED_VALUE"""),"Caridad")</f>
        <v>Caridad</v>
      </c>
      <c r="D2017" s="1" t="str">
        <f ca="1">IFERROR(__xludf.DUMMYFUNCTION("""COMPUTED_VALUE"""),"Ancero")</f>
        <v>Ancero</v>
      </c>
      <c r="E2017" s="1" t="str">
        <f ca="1">IFERROR(__xludf.DUMMYFUNCTION("""COMPUTED_VALUE"""),"Caridad Ancero")</f>
        <v>Caridad Ancero</v>
      </c>
      <c r="F2017" s="1"/>
      <c r="G2017" s="1" t="str">
        <f ca="1">IFERROR(__xludf.DUMMYFUNCTION("""COMPUTED_VALUE"""),"3 mos")</f>
        <v>3 mos</v>
      </c>
      <c r="H2017" s="1" t="str">
        <f ca="1">IFERROR(__xludf.DUMMYFUNCTION("""COMPUTED_VALUE"""),"comment")</f>
        <v>comment</v>
      </c>
      <c r="I2017"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17" s="1" t="str">
        <f ca="1">IFERROR(__xludf.DUMMYFUNCTION("""COMPUTED_VALUE"""),"2022-07-04T15:46:50.839Z")</f>
        <v>2022-07-04T15:46:50.839Z</v>
      </c>
    </row>
    <row r="2018" spans="1:10" x14ac:dyDescent="0.2">
      <c r="A2018" s="2" t="str">
        <f ca="1">IFERROR(__xludf.DUMMYFUNCTION("""COMPUTED_VALUE"""),"https://www.facebook.com/man.arellano.12")</f>
        <v>https://www.facebook.com/man.arellano.12</v>
      </c>
      <c r="B2018" s="1" t="str">
        <f ca="1">IFERROR(__xludf.DUMMYFUNCTION("""COMPUTED_VALUE"""),"Man Arellano Bat")</f>
        <v>Man Arellano Bat</v>
      </c>
      <c r="C2018" s="1" t="str">
        <f ca="1">IFERROR(__xludf.DUMMYFUNCTION("""COMPUTED_VALUE"""),"Man")</f>
        <v>Man</v>
      </c>
      <c r="D2018" s="1" t="str">
        <f ca="1">IFERROR(__xludf.DUMMYFUNCTION("""COMPUTED_VALUE"""),"Arellano Bat")</f>
        <v>Arellano Bat</v>
      </c>
      <c r="E2018" s="1" t="str">
        <f ca="1">IFERROR(__xludf.DUMMYFUNCTION("""COMPUTED_VALUE"""),"wag lang si leny")</f>
        <v>wag lang si leny</v>
      </c>
      <c r="F2018" s="1">
        <f ca="1">IFERROR(__xludf.DUMMYFUNCTION("""COMPUTED_VALUE"""),5)</f>
        <v>5</v>
      </c>
      <c r="G2018" s="1" t="str">
        <f ca="1">IFERROR(__xludf.DUMMYFUNCTION("""COMPUTED_VALUE"""),"3 mos")</f>
        <v>3 mos</v>
      </c>
      <c r="H2018" s="1" t="str">
        <f ca="1">IFERROR(__xludf.DUMMYFUNCTION("""COMPUTED_VALUE"""),"comment")</f>
        <v>comment</v>
      </c>
      <c r="I2018"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18" s="1" t="str">
        <f ca="1">IFERROR(__xludf.DUMMYFUNCTION("""COMPUTED_VALUE"""),"2022-07-04T15:46:50.839Z")</f>
        <v>2022-07-04T15:46:50.839Z</v>
      </c>
    </row>
    <row r="2019" spans="1:10" x14ac:dyDescent="0.2">
      <c r="A2019" s="2" t="str">
        <f ca="1">IFERROR(__xludf.DUMMYFUNCTION("""COMPUTED_VALUE"""),"https://www.facebook.com/mariacristina.umanito")</f>
        <v>https://www.facebook.com/mariacristina.umanito</v>
      </c>
      <c r="B2019" s="1" t="str">
        <f ca="1">IFERROR(__xludf.DUMMYFUNCTION("""COMPUTED_VALUE"""),"Tin Tin")</f>
        <v>Tin Tin</v>
      </c>
      <c r="C2019" s="1" t="str">
        <f ca="1">IFERROR(__xludf.DUMMYFUNCTION("""COMPUTED_VALUE"""),"Tin")</f>
        <v>Tin</v>
      </c>
      <c r="D2019" s="1" t="str">
        <f ca="1">IFERROR(__xludf.DUMMYFUNCTION("""COMPUTED_VALUE"""),"Tin")</f>
        <v>Tin</v>
      </c>
      <c r="E2019" s="1" t="str">
        <f ca="1">IFERROR(__xludf.DUMMYFUNCTION("""COMPUTED_VALUE"""),"Man Arellano Bat ayusin mo spelling napaghahalatang nahulog na utak mo pulutin mo muna😂")</f>
        <v>Man Arellano Bat ayusin mo spelling napaghahalatang nahulog na utak mo pulutin mo muna😂</v>
      </c>
      <c r="F2019" s="1">
        <f ca="1">IFERROR(__xludf.DUMMYFUNCTION("""COMPUTED_VALUE"""),5)</f>
        <v>5</v>
      </c>
      <c r="G2019" s="1" t="str">
        <f ca="1">IFERROR(__xludf.DUMMYFUNCTION("""COMPUTED_VALUE"""),"3 mos")</f>
        <v>3 mos</v>
      </c>
      <c r="H2019" s="1" t="str">
        <f ca="1">IFERROR(__xludf.DUMMYFUNCTION("""COMPUTED_VALUE"""),"reply")</f>
        <v>reply</v>
      </c>
      <c r="I2019"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19" s="1" t="str">
        <f ca="1">IFERROR(__xludf.DUMMYFUNCTION("""COMPUTED_VALUE"""),"2022-07-04T15:46:50.839Z")</f>
        <v>2022-07-04T15:46:50.839Z</v>
      </c>
    </row>
    <row r="2020" spans="1:10" x14ac:dyDescent="0.2">
      <c r="A2020" s="2" t="str">
        <f ca="1">IFERROR(__xludf.DUMMYFUNCTION("""COMPUTED_VALUE"""),"https://www.facebook.com/cidernald")</f>
        <v>https://www.facebook.com/cidernald</v>
      </c>
      <c r="B2020" s="1" t="str">
        <f ca="1">IFERROR(__xludf.DUMMYFUNCTION("""COMPUTED_VALUE"""),"Aro Sqr Nhald")</f>
        <v>Aro Sqr Nhald</v>
      </c>
      <c r="C2020" s="1" t="str">
        <f ca="1">IFERROR(__xludf.DUMMYFUNCTION("""COMPUTED_VALUE"""),"Aro")</f>
        <v>Aro</v>
      </c>
      <c r="D2020" s="1" t="str">
        <f ca="1">IFERROR(__xludf.DUMMYFUNCTION("""COMPUTED_VALUE"""),"Sqr Nhald")</f>
        <v>Sqr Nhald</v>
      </c>
      <c r="E2020" s="1" t="str">
        <f ca="1">IFERROR(__xludf.DUMMYFUNCTION("""COMPUTED_VALUE"""),"Man Arellano Bat  wag lang c KAMAGNA")</f>
        <v>Man Arellano Bat  wag lang c KAMAGNA</v>
      </c>
      <c r="F2020" s="1">
        <f ca="1">IFERROR(__xludf.DUMMYFUNCTION("""COMPUTED_VALUE"""),2)</f>
        <v>2</v>
      </c>
      <c r="G2020" s="1" t="str">
        <f ca="1">IFERROR(__xludf.DUMMYFUNCTION("""COMPUTED_VALUE"""),"3 mos")</f>
        <v>3 mos</v>
      </c>
      <c r="H2020" s="1" t="str">
        <f ca="1">IFERROR(__xludf.DUMMYFUNCTION("""COMPUTED_VALUE"""),"reply")</f>
        <v>reply</v>
      </c>
      <c r="I2020"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20" s="1" t="str">
        <f ca="1">IFERROR(__xludf.DUMMYFUNCTION("""COMPUTED_VALUE"""),"2022-07-04T15:46:50.839Z")</f>
        <v>2022-07-04T15:46:50.839Z</v>
      </c>
    </row>
    <row r="2021" spans="1:10" x14ac:dyDescent="0.2">
      <c r="A2021" s="2" t="str">
        <f ca="1">IFERROR(__xludf.DUMMYFUNCTION("""COMPUTED_VALUE"""),"https://www.facebook.com/man.arellano.12")</f>
        <v>https://www.facebook.com/man.arellano.12</v>
      </c>
      <c r="B2021" s="1" t="str">
        <f ca="1">IFERROR(__xludf.DUMMYFUNCTION("""COMPUTED_VALUE"""),"Man Arellano Bat")</f>
        <v>Man Arellano Bat</v>
      </c>
      <c r="C2021" s="1" t="str">
        <f ca="1">IFERROR(__xludf.DUMMYFUNCTION("""COMPUTED_VALUE"""),"Man")</f>
        <v>Man</v>
      </c>
      <c r="D2021" s="1" t="str">
        <f ca="1">IFERROR(__xludf.DUMMYFUNCTION("""COMPUTED_VALUE"""),"Arellano Bat")</f>
        <v>Arellano Bat</v>
      </c>
      <c r="E2021" s="1" t="str">
        <f ca="1">IFERROR(__xludf.DUMMYFUNCTION("""COMPUTED_VALUE"""),"Leny puppet")</f>
        <v>Leny puppet</v>
      </c>
      <c r="F2021" s="1"/>
      <c r="G2021" s="1" t="str">
        <f ca="1">IFERROR(__xludf.DUMMYFUNCTION("""COMPUTED_VALUE"""),"3 mos")</f>
        <v>3 mos</v>
      </c>
      <c r="H2021" s="1" t="str">
        <f ca="1">IFERROR(__xludf.DUMMYFUNCTION("""COMPUTED_VALUE"""),"reply")</f>
        <v>reply</v>
      </c>
      <c r="I2021"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21" s="1" t="str">
        <f ca="1">IFERROR(__xludf.DUMMYFUNCTION("""COMPUTED_VALUE"""),"2022-07-04T15:46:50.839Z")</f>
        <v>2022-07-04T15:46:50.839Z</v>
      </c>
    </row>
    <row r="2022" spans="1:10" x14ac:dyDescent="0.2">
      <c r="A2022" s="2" t="str">
        <f ca="1">IFERROR(__xludf.DUMMYFUNCTION("""COMPUTED_VALUE"""),"https://www.facebook.com/editha.silvestre")</f>
        <v>https://www.facebook.com/editha.silvestre</v>
      </c>
      <c r="B2022" s="1" t="str">
        <f ca="1">IFERROR(__xludf.DUMMYFUNCTION("""COMPUTED_VALUE"""),"Editha Fetros Silvestre")</f>
        <v>Editha Fetros Silvestre</v>
      </c>
      <c r="C2022" s="1" t="str">
        <f ca="1">IFERROR(__xludf.DUMMYFUNCTION("""COMPUTED_VALUE"""),"Editha")</f>
        <v>Editha</v>
      </c>
      <c r="D2022" s="1" t="str">
        <f ca="1">IFERROR(__xludf.DUMMYFUNCTION("""COMPUTED_VALUE"""),"Fetros Silvestre")</f>
        <v>Fetros Silvestre</v>
      </c>
      <c r="E2022" s="1" t="str">
        <f ca="1">IFERROR(__xludf.DUMMYFUNCTION("""COMPUTED_VALUE"""),"Editha Fetros Silvestre")</f>
        <v>Editha Fetros Silvestre</v>
      </c>
      <c r="F2022" s="1"/>
      <c r="G2022" s="1" t="str">
        <f ca="1">IFERROR(__xludf.DUMMYFUNCTION("""COMPUTED_VALUE"""),"3 mos")</f>
        <v>3 mos</v>
      </c>
      <c r="H2022" s="1" t="str">
        <f ca="1">IFERROR(__xludf.DUMMYFUNCTION("""COMPUTED_VALUE"""),"comment")</f>
        <v>comment</v>
      </c>
      <c r="I2022"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22" s="1" t="str">
        <f ca="1">IFERROR(__xludf.DUMMYFUNCTION("""COMPUTED_VALUE"""),"2022-07-04T15:46:50.839Z")</f>
        <v>2022-07-04T15:46:50.839Z</v>
      </c>
    </row>
    <row r="2023" spans="1:10" x14ac:dyDescent="0.2">
      <c r="A2023" s="2" t="str">
        <f ca="1">IFERROR(__xludf.DUMMYFUNCTION("""COMPUTED_VALUE"""),"https://www.facebook.com/she.real.9883")</f>
        <v>https://www.facebook.com/she.real.9883</v>
      </c>
      <c r="B2023" s="1" t="str">
        <f ca="1">IFERROR(__xludf.DUMMYFUNCTION("""COMPUTED_VALUE"""),"She Real")</f>
        <v>She Real</v>
      </c>
      <c r="C2023" s="1" t="str">
        <f ca="1">IFERROR(__xludf.DUMMYFUNCTION("""COMPUTED_VALUE"""),"She")</f>
        <v>She</v>
      </c>
      <c r="D2023" s="1" t="str">
        <f ca="1">IFERROR(__xludf.DUMMYFUNCTION("""COMPUTED_VALUE"""),"Real")</f>
        <v>Real</v>
      </c>
      <c r="E2023" s="1" t="str">
        <f ca="1">IFERROR(__xludf.DUMMYFUNCTION("""COMPUTED_VALUE"""),"truth hurts")</f>
        <v>truth hurts</v>
      </c>
      <c r="F2023" s="1">
        <f ca="1">IFERROR(__xludf.DUMMYFUNCTION("""COMPUTED_VALUE"""),1)</f>
        <v>1</v>
      </c>
      <c r="G2023" s="1" t="str">
        <f ca="1">IFERROR(__xludf.DUMMYFUNCTION("""COMPUTED_VALUE"""),"3 mos")</f>
        <v>3 mos</v>
      </c>
      <c r="H2023" s="1" t="str">
        <f ca="1">IFERROR(__xludf.DUMMYFUNCTION("""COMPUTED_VALUE"""),"comment")</f>
        <v>comment</v>
      </c>
      <c r="I2023"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23" s="1" t="str">
        <f ca="1">IFERROR(__xludf.DUMMYFUNCTION("""COMPUTED_VALUE"""),"2022-07-04T15:46:50.839Z")</f>
        <v>2022-07-04T15:46:50.839Z</v>
      </c>
    </row>
    <row r="2024" spans="1:10" x14ac:dyDescent="0.2">
      <c r="A2024" s="2" t="str">
        <f ca="1">IFERROR(__xludf.DUMMYFUNCTION("""COMPUTED_VALUE"""),"https://www.facebook.com/annejhov")</f>
        <v>https://www.facebook.com/annejhov</v>
      </c>
      <c r="B2024" s="1" t="str">
        <f ca="1">IFERROR(__xludf.DUMMYFUNCTION("""COMPUTED_VALUE"""),"Alliana Alliana")</f>
        <v>Alliana Alliana</v>
      </c>
      <c r="C2024" s="1" t="str">
        <f ca="1">IFERROR(__xludf.DUMMYFUNCTION("""COMPUTED_VALUE"""),"Alliana")</f>
        <v>Alliana</v>
      </c>
      <c r="D2024" s="1" t="str">
        <f ca="1">IFERROR(__xludf.DUMMYFUNCTION("""COMPUTED_VALUE"""),"Alliana")</f>
        <v>Alliana</v>
      </c>
      <c r="E2024" s="1" t="str">
        <f ca="1">IFERROR(__xludf.DUMMYFUNCTION("""COMPUTED_VALUE"""),"❤️❤️❤️❤️💚💚💚💚")</f>
        <v>❤️❤️❤️❤️💚💚💚💚</v>
      </c>
      <c r="F2024" s="1"/>
      <c r="G2024" s="1" t="str">
        <f ca="1">IFERROR(__xludf.DUMMYFUNCTION("""COMPUTED_VALUE"""),"3 mos")</f>
        <v>3 mos</v>
      </c>
      <c r="H2024" s="1" t="str">
        <f ca="1">IFERROR(__xludf.DUMMYFUNCTION("""COMPUTED_VALUE"""),"comment")</f>
        <v>comment</v>
      </c>
      <c r="I2024"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24" s="1" t="str">
        <f ca="1">IFERROR(__xludf.DUMMYFUNCTION("""COMPUTED_VALUE"""),"2022-07-04T15:46:50.839Z")</f>
        <v>2022-07-04T15:46:50.839Z</v>
      </c>
    </row>
    <row r="2025" spans="1:10" x14ac:dyDescent="0.2">
      <c r="A2025" s="2" t="str">
        <f ca="1">IFERROR(__xludf.DUMMYFUNCTION("""COMPUTED_VALUE"""),"https://www.facebook.com/frucy.manayonflores.1")</f>
        <v>https://www.facebook.com/frucy.manayonflores.1</v>
      </c>
      <c r="B2025" s="1" t="str">
        <f ca="1">IFERROR(__xludf.DUMMYFUNCTION("""COMPUTED_VALUE"""),"Frucy Manayon-Flores")</f>
        <v>Frucy Manayon-Flores</v>
      </c>
      <c r="C2025" s="1" t="str">
        <f ca="1">IFERROR(__xludf.DUMMYFUNCTION("""COMPUTED_VALUE"""),"Frucy")</f>
        <v>Frucy</v>
      </c>
      <c r="D2025" s="1" t="str">
        <f ca="1">IFERROR(__xludf.DUMMYFUNCTION("""COMPUTED_VALUE"""),"Manayon-Flores")</f>
        <v>Manayon-Flores</v>
      </c>
      <c r="E2025" s="1" t="str">
        <f ca="1">IFERROR(__xludf.DUMMYFUNCTION("""COMPUTED_VALUE"""),"💖💖💕💕🌹🌹🌷🌷❣❣💟💟💞💞🌸🌸🎀🎀👑👑💃💃💃💃🇵🇭🇵🇭🇵🇭🇵🇭🇵🇭💌💌👑👑🎀🎀💃")</f>
        <v>💖💖💕💕🌹🌹🌷🌷❣❣💟💟💞💞🌸🌸🎀🎀👑👑💃💃💃💃🇵🇭🇵🇭🇵🇭🇵🇭🇵🇭💌💌👑👑🎀🎀💃</v>
      </c>
      <c r="F2025" s="1">
        <f ca="1">IFERROR(__xludf.DUMMYFUNCTION("""COMPUTED_VALUE"""),1)</f>
        <v>1</v>
      </c>
      <c r="G2025" s="1" t="str">
        <f ca="1">IFERROR(__xludf.DUMMYFUNCTION("""COMPUTED_VALUE"""),"3 mos")</f>
        <v>3 mos</v>
      </c>
      <c r="H2025" s="1" t="str">
        <f ca="1">IFERROR(__xludf.DUMMYFUNCTION("""COMPUTED_VALUE"""),"comment")</f>
        <v>comment</v>
      </c>
      <c r="I2025"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25" s="1" t="str">
        <f ca="1">IFERROR(__xludf.DUMMYFUNCTION("""COMPUTED_VALUE"""),"2022-07-04T15:46:50.839Z")</f>
        <v>2022-07-04T15:46:50.839Z</v>
      </c>
    </row>
    <row r="2026" spans="1:10" x14ac:dyDescent="0.2">
      <c r="A2026" s="2" t="str">
        <f ca="1">IFERROR(__xludf.DUMMYFUNCTION("""COMPUTED_VALUE"""),"https://www.facebook.com/edgar.puertullano")</f>
        <v>https://www.facebook.com/edgar.puertullano</v>
      </c>
      <c r="B2026" s="1" t="str">
        <f ca="1">IFERROR(__xludf.DUMMYFUNCTION("""COMPUTED_VALUE"""),"Edgar Puertullano")</f>
        <v>Edgar Puertullano</v>
      </c>
      <c r="C2026" s="1" t="str">
        <f ca="1">IFERROR(__xludf.DUMMYFUNCTION("""COMPUTED_VALUE"""),"Edgar")</f>
        <v>Edgar</v>
      </c>
      <c r="D2026" s="1" t="str">
        <f ca="1">IFERROR(__xludf.DUMMYFUNCTION("""COMPUTED_VALUE"""),"Puertullano")</f>
        <v>Puertullano</v>
      </c>
      <c r="E2026" s="1" t="str">
        <f ca="1">IFERROR(__xludf.DUMMYFUNCTION("""COMPUTED_VALUE"""),"Ogags kailangan paba yon diosmeo....")</f>
        <v>Ogags kailangan paba yon diosmeo....</v>
      </c>
      <c r="F2026" s="1"/>
      <c r="G2026" s="1" t="str">
        <f ca="1">IFERROR(__xludf.DUMMYFUNCTION("""COMPUTED_VALUE"""),"3 mos")</f>
        <v>3 mos</v>
      </c>
      <c r="H2026" s="1" t="str">
        <f ca="1">IFERROR(__xludf.DUMMYFUNCTION("""COMPUTED_VALUE"""),"comment")</f>
        <v>comment</v>
      </c>
      <c r="I2026"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26" s="1" t="str">
        <f ca="1">IFERROR(__xludf.DUMMYFUNCTION("""COMPUTED_VALUE"""),"2022-07-04T15:46:50.839Z")</f>
        <v>2022-07-04T15:46:50.839Z</v>
      </c>
    </row>
    <row r="2027" spans="1:10" x14ac:dyDescent="0.2">
      <c r="A2027" s="2" t="str">
        <f ca="1">IFERROR(__xludf.DUMMYFUNCTION("""COMPUTED_VALUE"""),"https://www.facebook.com/analiza.baluyot.7")</f>
        <v>https://www.facebook.com/analiza.baluyot.7</v>
      </c>
      <c r="B2027" s="1" t="str">
        <f ca="1">IFERROR(__xludf.DUMMYFUNCTION("""COMPUTED_VALUE"""),"Ana Gabriel")</f>
        <v>Ana Gabriel</v>
      </c>
      <c r="C2027" s="1" t="str">
        <f ca="1">IFERROR(__xludf.DUMMYFUNCTION("""COMPUTED_VALUE"""),"Ana")</f>
        <v>Ana</v>
      </c>
      <c r="D2027" s="1" t="str">
        <f ca="1">IFERROR(__xludf.DUMMYFUNCTION("""COMPUTED_VALUE"""),"Gabriel")</f>
        <v>Gabriel</v>
      </c>
      <c r="E2027" s="1" t="str">
        <f ca="1">IFERROR(__xludf.DUMMYFUNCTION("""COMPUTED_VALUE"""),"Naksssss😅")</f>
        <v>Naksssss😅</v>
      </c>
      <c r="F2027" s="1"/>
      <c r="G2027" s="1" t="str">
        <f ca="1">IFERROR(__xludf.DUMMYFUNCTION("""COMPUTED_VALUE"""),"3 mos")</f>
        <v>3 mos</v>
      </c>
      <c r="H2027" s="1" t="str">
        <f ca="1">IFERROR(__xludf.DUMMYFUNCTION("""COMPUTED_VALUE"""),"comment")</f>
        <v>comment</v>
      </c>
      <c r="I2027"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27" s="1" t="str">
        <f ca="1">IFERROR(__xludf.DUMMYFUNCTION("""COMPUTED_VALUE"""),"2022-07-04T15:46:50.839Z")</f>
        <v>2022-07-04T15:46:50.839Z</v>
      </c>
    </row>
    <row r="2028" spans="1:10" x14ac:dyDescent="0.2">
      <c r="A2028" s="2" t="str">
        <f ca="1">IFERROR(__xludf.DUMMYFUNCTION("""COMPUTED_VALUE"""),"https://www.facebook.com/demboy2000")</f>
        <v>https://www.facebook.com/demboy2000</v>
      </c>
      <c r="B2028" s="1" t="str">
        <f ca="1">IFERROR(__xludf.DUMMYFUNCTION("""COMPUTED_VALUE"""),"Denver Oracion")</f>
        <v>Denver Oracion</v>
      </c>
      <c r="C2028" s="1" t="str">
        <f ca="1">IFERROR(__xludf.DUMMYFUNCTION("""COMPUTED_VALUE"""),"Denver")</f>
        <v>Denver</v>
      </c>
      <c r="D2028" s="1" t="str">
        <f ca="1">IFERROR(__xludf.DUMMYFUNCTION("""COMPUTED_VALUE"""),"Oracion")</f>
        <v>Oracion</v>
      </c>
      <c r="E2028" s="1" t="str">
        <f ca="1">IFERROR(__xludf.DUMMYFUNCTION("""COMPUTED_VALUE"""),"tama naman")</f>
        <v>tama naman</v>
      </c>
      <c r="F2028" s="1"/>
      <c r="G2028" s="1" t="str">
        <f ca="1">IFERROR(__xludf.DUMMYFUNCTION("""COMPUTED_VALUE"""),"3 mos")</f>
        <v>3 mos</v>
      </c>
      <c r="H2028" s="1" t="str">
        <f ca="1">IFERROR(__xludf.DUMMYFUNCTION("""COMPUTED_VALUE"""),"comment")</f>
        <v>comment</v>
      </c>
      <c r="I2028"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28" s="1" t="str">
        <f ca="1">IFERROR(__xludf.DUMMYFUNCTION("""COMPUTED_VALUE"""),"2022-07-04T15:46:50.839Z")</f>
        <v>2022-07-04T15:46:50.839Z</v>
      </c>
    </row>
    <row r="2029" spans="1:10" x14ac:dyDescent="0.2">
      <c r="A2029" s="2" t="str">
        <f ca="1">IFERROR(__xludf.DUMMYFUNCTION("""COMPUTED_VALUE"""),"https://www.facebook.com/jeza.esarza.1")</f>
        <v>https://www.facebook.com/jeza.esarza.1</v>
      </c>
      <c r="B2029" s="1" t="str">
        <f ca="1">IFERROR(__xludf.DUMMYFUNCTION("""COMPUTED_VALUE"""),"Ki Zu Mi")</f>
        <v>Ki Zu Mi</v>
      </c>
      <c r="C2029" s="1" t="str">
        <f ca="1">IFERROR(__xludf.DUMMYFUNCTION("""COMPUTED_VALUE"""),"Ki")</f>
        <v>Ki</v>
      </c>
      <c r="D2029" s="1" t="str">
        <f ca="1">IFERROR(__xludf.DUMMYFUNCTION("""COMPUTED_VALUE"""),"Zu Mi")</f>
        <v>Zu Mi</v>
      </c>
      <c r="E2029" s="1" t="str">
        <f ca="1">IFERROR(__xludf.DUMMYFUNCTION("""COMPUTED_VALUE"""),"❤💚❤💚❤❤💚")</f>
        <v>❤💚❤💚❤❤💚</v>
      </c>
      <c r="F2029" s="1">
        <f ca="1">IFERROR(__xludf.DUMMYFUNCTION("""COMPUTED_VALUE"""),2)</f>
        <v>2</v>
      </c>
      <c r="G2029" s="1" t="str">
        <f ca="1">IFERROR(__xludf.DUMMYFUNCTION("""COMPUTED_VALUE"""),"3 mos")</f>
        <v>3 mos</v>
      </c>
      <c r="H2029" s="1" t="str">
        <f ca="1">IFERROR(__xludf.DUMMYFUNCTION("""COMPUTED_VALUE"""),"comment")</f>
        <v>comment</v>
      </c>
      <c r="I2029"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29" s="1" t="str">
        <f ca="1">IFERROR(__xludf.DUMMYFUNCTION("""COMPUTED_VALUE"""),"2022-07-04T15:46:50.840Z")</f>
        <v>2022-07-04T15:46:50.840Z</v>
      </c>
    </row>
    <row r="2030" spans="1:10" x14ac:dyDescent="0.2">
      <c r="A2030" s="2" t="str">
        <f ca="1">IFERROR(__xludf.DUMMYFUNCTION("""COMPUTED_VALUE"""),"https://www.facebook.com/rosemarie.saturno")</f>
        <v>https://www.facebook.com/rosemarie.saturno</v>
      </c>
      <c r="B2030" s="1" t="str">
        <f ca="1">IFERROR(__xludf.DUMMYFUNCTION("""COMPUTED_VALUE"""),"Rosemarie Uy Saturno")</f>
        <v>Rosemarie Uy Saturno</v>
      </c>
      <c r="C2030" s="1" t="str">
        <f ca="1">IFERROR(__xludf.DUMMYFUNCTION("""COMPUTED_VALUE"""),"Rosemarie")</f>
        <v>Rosemarie</v>
      </c>
      <c r="D2030" s="1" t="str">
        <f ca="1">IFERROR(__xludf.DUMMYFUNCTION("""COMPUTED_VALUE"""),"Uy Saturno")</f>
        <v>Uy Saturno</v>
      </c>
      <c r="E2030" s="1" t="str">
        <f ca="1">IFERROR(__xludf.DUMMYFUNCTION("""COMPUTED_VALUE"""),"✌👊❤💚")</f>
        <v>✌👊❤💚</v>
      </c>
      <c r="F2030" s="1">
        <f ca="1">IFERROR(__xludf.DUMMYFUNCTION("""COMPUTED_VALUE"""),2)</f>
        <v>2</v>
      </c>
      <c r="G2030" s="1" t="str">
        <f ca="1">IFERROR(__xludf.DUMMYFUNCTION("""COMPUTED_VALUE"""),"3 mos")</f>
        <v>3 mos</v>
      </c>
      <c r="H2030" s="1" t="str">
        <f ca="1">IFERROR(__xludf.DUMMYFUNCTION("""COMPUTED_VALUE"""),"comment")</f>
        <v>comment</v>
      </c>
      <c r="I2030"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30" s="1" t="str">
        <f ca="1">IFERROR(__xludf.DUMMYFUNCTION("""COMPUTED_VALUE"""),"2022-07-04T15:46:50.840Z")</f>
        <v>2022-07-04T15:46:50.840Z</v>
      </c>
    </row>
    <row r="2031" spans="1:10" x14ac:dyDescent="0.2">
      <c r="A2031" s="2" t="str">
        <f ca="1">IFERROR(__xludf.DUMMYFUNCTION("""COMPUTED_VALUE"""),"https://www.facebook.com/sumadsad.loyalty")</f>
        <v>https://www.facebook.com/sumadsad.loyalty</v>
      </c>
      <c r="B2031" s="1" t="str">
        <f ca="1">IFERROR(__xludf.DUMMYFUNCTION("""COMPUTED_VALUE"""),"Dasdamus Ejidua Ytlaylo")</f>
        <v>Dasdamus Ejidua Ytlaylo</v>
      </c>
      <c r="C2031" s="1" t="str">
        <f ca="1">IFERROR(__xludf.DUMMYFUNCTION("""COMPUTED_VALUE"""),"Dasdamus")</f>
        <v>Dasdamus</v>
      </c>
      <c r="D2031" s="1" t="str">
        <f ca="1">IFERROR(__xludf.DUMMYFUNCTION("""COMPUTED_VALUE"""),"Ejidua Ytlaylo")</f>
        <v>Ejidua Ytlaylo</v>
      </c>
      <c r="E2031" s="1" t="str">
        <f ca="1">IFERROR(__xludf.DUMMYFUNCTION("""COMPUTED_VALUE"""),"Dasdamus Ejidua Ytlaylo")</f>
        <v>Dasdamus Ejidua Ytlaylo</v>
      </c>
      <c r="F2031" s="1"/>
      <c r="G2031" s="1" t="str">
        <f ca="1">IFERROR(__xludf.DUMMYFUNCTION("""COMPUTED_VALUE"""),"3 mos")</f>
        <v>3 mos</v>
      </c>
      <c r="H2031" s="1" t="str">
        <f ca="1">IFERROR(__xludf.DUMMYFUNCTION("""COMPUTED_VALUE"""),"comment")</f>
        <v>comment</v>
      </c>
      <c r="I2031" s="2" t="str">
        <f ca="1">IFERROR(__xludf.DUMMYFUNCTION("""COMPUTED_VALUE"""),"https://www.facebook.com/rapplerdotcom/posts/pfbid02kmyrDmvYtHxz51VdR228sTCyvbHYDrwL4TgeoVAenoprSKkWhUFLyRmAuKBuGtXXl")</f>
        <v>https://www.facebook.com/rapplerdotcom/posts/pfbid02kmyrDmvYtHxz51VdR228sTCyvbHYDrwL4TgeoVAenoprSKkWhUFLyRmAuKBuGtXXl</v>
      </c>
      <c r="J2031" s="1" t="str">
        <f ca="1">IFERROR(__xludf.DUMMYFUNCTION("""COMPUTED_VALUE"""),"2022-07-04T15:46:50.840Z")</f>
        <v>2022-07-04T15:46:50.840Z</v>
      </c>
    </row>
    <row r="2032" spans="1:10" x14ac:dyDescent="0.2">
      <c r="A2032" s="2" t="str">
        <f ca="1">IFERROR(__xludf.DUMMYFUNCTION("""COMPUTED_VALUE"""),"https://www.facebook.com/annejhov")</f>
        <v>https://www.facebook.com/annejhov</v>
      </c>
      <c r="B2032" s="1" t="str">
        <f ca="1">IFERROR(__xludf.DUMMYFUNCTION("""COMPUTED_VALUE"""),"Alliana Alliana")</f>
        <v>Alliana Alliana</v>
      </c>
      <c r="C2032" s="1" t="str">
        <f ca="1">IFERROR(__xludf.DUMMYFUNCTION("""COMPUTED_VALUE"""),"Alliana")</f>
        <v>Alliana</v>
      </c>
      <c r="D2032" s="1" t="str">
        <f ca="1">IFERROR(__xludf.DUMMYFUNCTION("""COMPUTED_VALUE"""),"Alliana")</f>
        <v>Alliana</v>
      </c>
      <c r="E2032" s="1" t="str">
        <f ca="1">IFERROR(__xludf.DUMMYFUNCTION("""COMPUTED_VALUE"""),"Kung yan lng iboboto wag na🤣🤣🤣🤣🤣")</f>
        <v>Kung yan lng iboboto wag na🤣🤣🤣🤣🤣</v>
      </c>
      <c r="F2032" s="1"/>
      <c r="G2032" s="1" t="str">
        <f ca="1">IFERROR(__xludf.DUMMYFUNCTION("""COMPUTED_VALUE"""),"3 mos")</f>
        <v>3 mos</v>
      </c>
      <c r="H2032" s="1" t="str">
        <f ca="1">IFERROR(__xludf.DUMMYFUNCTION("""COMPUTED_VALUE"""),"comment")</f>
        <v>comment</v>
      </c>
      <c r="I2032" s="2" t="str">
        <f ca="1">IFERROR(__xludf.DUMMYFUNCTION("""COMPUTED_VALUE"""),"https://www.facebook.com/rapplerdotcom/posts/pfbid02e13StaPScJpokGyF13qCs6EvExmqrY1RRtBKf3tVEwKeP7fhsKEK5TgBCKEBBrE1l")</f>
        <v>https://www.facebook.com/rapplerdotcom/posts/pfbid02e13StaPScJpokGyF13qCs6EvExmqrY1RRtBKf3tVEwKeP7fhsKEK5TgBCKEBBrE1l</v>
      </c>
      <c r="J2032" s="1" t="str">
        <f ca="1">IFERROR(__xludf.DUMMYFUNCTION("""COMPUTED_VALUE"""),"2022-07-04T15:46:57.377Z")</f>
        <v>2022-07-04T15:46:57.377Z</v>
      </c>
    </row>
    <row r="2033" spans="1:10" x14ac:dyDescent="0.2">
      <c r="A2033" s="2" t="str">
        <f ca="1">IFERROR(__xludf.DUMMYFUNCTION("""COMPUTED_VALUE"""),"https://www.facebook.com/profile.php?id=100011366202531")</f>
        <v>https://www.facebook.com/profile.php?id=100011366202531</v>
      </c>
      <c r="B2033" s="1" t="str">
        <f ca="1">IFERROR(__xludf.DUMMYFUNCTION("""COMPUTED_VALUE"""),"Francis Abel")</f>
        <v>Francis Abel</v>
      </c>
      <c r="C2033" s="1" t="str">
        <f ca="1">IFERROR(__xludf.DUMMYFUNCTION("""COMPUTED_VALUE"""),"Francis")</f>
        <v>Francis</v>
      </c>
      <c r="D2033" s="1" t="str">
        <f ca="1">IFERROR(__xludf.DUMMYFUNCTION("""COMPUTED_VALUE"""),"Abel")</f>
        <v>Abel</v>
      </c>
      <c r="E2033" s="1" t="str">
        <f ca="1">IFERROR(__xludf.DUMMYFUNCTION("""COMPUTED_VALUE"""),"I couldn't agree more... like any successor, she is a better one for sure.💗🌷")</f>
        <v>I couldn't agree more... like any successor, she is a better one for sure.💗🌷</v>
      </c>
      <c r="F2033" s="1"/>
      <c r="G2033" s="1" t="str">
        <f ca="1">IFERROR(__xludf.DUMMYFUNCTION("""COMPUTED_VALUE"""),"3 mos")</f>
        <v>3 mos</v>
      </c>
      <c r="H2033" s="1" t="str">
        <f ca="1">IFERROR(__xludf.DUMMYFUNCTION("""COMPUTED_VALUE"""),"comment")</f>
        <v>comment</v>
      </c>
      <c r="I2033"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33" s="1" t="str">
        <f ca="1">IFERROR(__xludf.DUMMYFUNCTION("""COMPUTED_VALUE"""),"2022-07-04T15:47:29.151Z")</f>
        <v>2022-07-04T15:47:29.151Z</v>
      </c>
    </row>
    <row r="2034" spans="1:10" x14ac:dyDescent="0.2">
      <c r="A2034" s="2" t="str">
        <f ca="1">IFERROR(__xludf.DUMMYFUNCTION("""COMPUTED_VALUE"""),"https://www.facebook.com/vhersapitula")</f>
        <v>https://www.facebook.com/vhersapitula</v>
      </c>
      <c r="B2034" s="1" t="str">
        <f ca="1">IFERROR(__xludf.DUMMYFUNCTION("""COMPUTED_VALUE"""),"Vher Sapitula")</f>
        <v>Vher Sapitula</v>
      </c>
      <c r="C2034" s="1" t="str">
        <f ca="1">IFERROR(__xludf.DUMMYFUNCTION("""COMPUTED_VALUE"""),"Vher")</f>
        <v>Vher</v>
      </c>
      <c r="D2034" s="1" t="str">
        <f ca="1">IFERROR(__xludf.DUMMYFUNCTION("""COMPUTED_VALUE"""),"Sapitula")</f>
        <v>Sapitula</v>
      </c>
      <c r="E2034" s="1" t="str">
        <f ca="1">IFERROR(__xludf.DUMMYFUNCTION("""COMPUTED_VALUE"""),"Len-len lutang libre mangarap...")</f>
        <v>Len-len lutang libre mangarap...</v>
      </c>
      <c r="F2034" s="1">
        <f ca="1">IFERROR(__xludf.DUMMYFUNCTION("""COMPUTED_VALUE"""),11)</f>
        <v>11</v>
      </c>
      <c r="G2034" s="1" t="str">
        <f ca="1">IFERROR(__xludf.DUMMYFUNCTION("""COMPUTED_VALUE"""),"3 mos")</f>
        <v>3 mos</v>
      </c>
      <c r="H2034" s="1" t="str">
        <f ca="1">IFERROR(__xludf.DUMMYFUNCTION("""COMPUTED_VALUE"""),"comment")</f>
        <v>comment</v>
      </c>
      <c r="I2034"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34" s="1" t="str">
        <f ca="1">IFERROR(__xludf.DUMMYFUNCTION("""COMPUTED_VALUE"""),"2022-07-04T15:47:29.151Z")</f>
        <v>2022-07-04T15:47:29.151Z</v>
      </c>
    </row>
    <row r="2035" spans="1:10" x14ac:dyDescent="0.2">
      <c r="A2035" s="2" t="str">
        <f ca="1">IFERROR(__xludf.DUMMYFUNCTION("""COMPUTED_VALUE"""),"https://www.facebook.com/IamRoselleBaltazar")</f>
        <v>https://www.facebook.com/IamRoselleBaltazar</v>
      </c>
      <c r="B2035" s="1" t="str">
        <f ca="1">IFERROR(__xludf.DUMMYFUNCTION("""COMPUTED_VALUE"""),"Roselle Baltazar")</f>
        <v>Roselle Baltazar</v>
      </c>
      <c r="C2035" s="1" t="str">
        <f ca="1">IFERROR(__xludf.DUMMYFUNCTION("""COMPUTED_VALUE"""),"Roselle")</f>
        <v>Roselle</v>
      </c>
      <c r="D2035" s="1" t="str">
        <f ca="1">IFERROR(__xludf.DUMMYFUNCTION("""COMPUTED_VALUE"""),"Baltazar")</f>
        <v>Baltazar</v>
      </c>
      <c r="E2035" s="1" t="str">
        <f ca="1">IFERROR(__xludf.DUMMYFUNCTION("""COMPUTED_VALUE"""),"Vher Sapitula  lutang na lutang po talaga. 🙊  https://fb.watch/bZbb2LFA7_/  https://fb.watch/bZbd7kZ_zI/")</f>
        <v>Vher Sapitula  lutang na lutang po talaga. 🙊  https://fb.watch/bZbb2LFA7_/  https://fb.watch/bZbd7kZ_zI/</v>
      </c>
      <c r="F2035" s="1">
        <f ca="1">IFERROR(__xludf.DUMMYFUNCTION("""COMPUTED_VALUE"""),2)</f>
        <v>2</v>
      </c>
      <c r="G2035" s="1" t="str">
        <f ca="1">IFERROR(__xludf.DUMMYFUNCTION("""COMPUTED_VALUE"""),"March 25 at 1:12 AM")</f>
        <v>March 25 at 1:12 AM</v>
      </c>
      <c r="H2035" s="1" t="str">
        <f ca="1">IFERROR(__xludf.DUMMYFUNCTION("""COMPUTED_VALUE"""),"reply")</f>
        <v>reply</v>
      </c>
      <c r="I2035"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35" s="1" t="str">
        <f ca="1">IFERROR(__xludf.DUMMYFUNCTION("""COMPUTED_VALUE"""),"2022-07-04T15:47:29.151Z")</f>
        <v>2022-07-04T15:47:29.151Z</v>
      </c>
    </row>
    <row r="2036" spans="1:10" x14ac:dyDescent="0.2">
      <c r="A2036" s="2" t="str">
        <f ca="1">IFERROR(__xludf.DUMMYFUNCTION("""COMPUTED_VALUE"""),"https://www.facebook.com/profile.php?id=100004103093312")</f>
        <v>https://www.facebook.com/profile.php?id=100004103093312</v>
      </c>
      <c r="B2036" s="1" t="str">
        <f ca="1">IFERROR(__xludf.DUMMYFUNCTION("""COMPUTED_VALUE"""),"Adors Adriano")</f>
        <v>Adors Adriano</v>
      </c>
      <c r="C2036" s="1" t="str">
        <f ca="1">IFERROR(__xludf.DUMMYFUNCTION("""COMPUTED_VALUE"""),"Adors")</f>
        <v>Adors</v>
      </c>
      <c r="D2036" s="1" t="str">
        <f ca="1">IFERROR(__xludf.DUMMYFUNCTION("""COMPUTED_VALUE"""),"Adriano")</f>
        <v>Adriano</v>
      </c>
      <c r="E2036" s="1" t="str">
        <f ca="1">IFERROR(__xludf.DUMMYFUNCTION("""COMPUTED_VALUE"""),"Vher Sapitula Oo lutang sya, at lumulutang sya sa alapaap ng kaligayahan dahil sa dami at bumubuhos na naninindigan para sa magandang kinabukasan. #CaMaNaVaForLeniKiko #CaMaNaVaIsPink 💗💚💗💚💗💚💗💚💗💚💗💚💗💚💗💚💗💚💗💚💗💚💗💚💗💚💗💚💗💚")</f>
        <v>Vher Sapitula Oo lutang sya, at lumulutang sya sa alapaap ng kaligayahan dahil sa dami at bumubuhos na naninindigan para sa magandang kinabukasan. #CaMaNaVaForLeniKiko #CaMaNaVaIsPink 💗💚💗💚💗💚💗💚💗💚💗💚💗💚💗💚💗💚💗💚💗💚💗💚💗💚💗💚💗💚</v>
      </c>
      <c r="F2036" s="1">
        <f ca="1">IFERROR(__xludf.DUMMYFUNCTION("""COMPUTED_VALUE"""),1)</f>
        <v>1</v>
      </c>
      <c r="G2036" s="1" t="str">
        <f ca="1">IFERROR(__xludf.DUMMYFUNCTION("""COMPUTED_VALUE"""),"3 mos")</f>
        <v>3 mos</v>
      </c>
      <c r="H2036" s="1" t="str">
        <f ca="1">IFERROR(__xludf.DUMMYFUNCTION("""COMPUTED_VALUE"""),"reply")</f>
        <v>reply</v>
      </c>
      <c r="I2036"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36" s="1" t="str">
        <f ca="1">IFERROR(__xludf.DUMMYFUNCTION("""COMPUTED_VALUE"""),"2022-07-04T15:47:29.152Z")</f>
        <v>2022-07-04T15:47:29.152Z</v>
      </c>
    </row>
    <row r="2037" spans="1:10" x14ac:dyDescent="0.2">
      <c r="A2037" s="2" t="str">
        <f ca="1">IFERROR(__xludf.DUMMYFUNCTION("""COMPUTED_VALUE"""),"https://www.facebook.com/laura.coloma.7")</f>
        <v>https://www.facebook.com/laura.coloma.7</v>
      </c>
      <c r="B2037" s="1" t="str">
        <f ca="1">IFERROR(__xludf.DUMMYFUNCTION("""COMPUTED_VALUE"""),"Laura Coloma")</f>
        <v>Laura Coloma</v>
      </c>
      <c r="C2037" s="1" t="str">
        <f ca="1">IFERROR(__xludf.DUMMYFUNCTION("""COMPUTED_VALUE"""),"Laura")</f>
        <v>Laura</v>
      </c>
      <c r="D2037" s="1" t="str">
        <f ca="1">IFERROR(__xludf.DUMMYFUNCTION("""COMPUTED_VALUE"""),"Coloma")</f>
        <v>Coloma</v>
      </c>
      <c r="E2037" s="1" t="str">
        <f ca="1">IFERROR(__xludf.DUMMYFUNCTION("""COMPUTED_VALUE"""),"Ang mag de decide pa rin ay mga tao...sila ang pipili...at hindi yung kung sino lang....anf mga tao ang magluluklok sa taong gusto nila...huwag nating pangunahan....mas matatalino na mga tao...at hindi na nagpapadala sa mga mainstream media.....marami nan"&amp;"g sources at hindi na nagpapadala sa mga  maling impormasyon...")</f>
        <v>Ang mag de decide pa rin ay mga tao...sila ang pipili...at hindi yung kung sino lang....anf mga tao ang magluluklok sa taong gusto nila...huwag nating pangunahan....mas matatalino na mga tao...at hindi na nagpapadala sa mga mainstream media.....marami nang sources at hindi na nagpapadala sa mga  maling impormasyon...</v>
      </c>
      <c r="F2037" s="1"/>
      <c r="G2037" s="1" t="str">
        <f ca="1">IFERROR(__xludf.DUMMYFUNCTION("""COMPUTED_VALUE"""),"3 mos")</f>
        <v>3 mos</v>
      </c>
      <c r="H2037" s="1" t="str">
        <f ca="1">IFERROR(__xludf.DUMMYFUNCTION("""COMPUTED_VALUE"""),"comment")</f>
        <v>comment</v>
      </c>
      <c r="I2037"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37" s="1" t="str">
        <f ca="1">IFERROR(__xludf.DUMMYFUNCTION("""COMPUTED_VALUE"""),"2022-07-04T15:47:29.152Z")</f>
        <v>2022-07-04T15:47:29.152Z</v>
      </c>
    </row>
    <row r="2038" spans="1:10" x14ac:dyDescent="0.2">
      <c r="A2038" s="2" t="str">
        <f ca="1">IFERROR(__xludf.DUMMYFUNCTION("""COMPUTED_VALUE"""),"https://www.facebook.com/jingbong.suan")</f>
        <v>https://www.facebook.com/jingbong.suan</v>
      </c>
      <c r="B2038" s="1" t="str">
        <f ca="1">IFERROR(__xludf.DUMMYFUNCTION("""COMPUTED_VALUE"""),"Felix Suan")</f>
        <v>Felix Suan</v>
      </c>
      <c r="C2038" s="1" t="str">
        <f ca="1">IFERROR(__xludf.DUMMYFUNCTION("""COMPUTED_VALUE"""),"Felix")</f>
        <v>Felix</v>
      </c>
      <c r="D2038" s="1" t="str">
        <f ca="1">IFERROR(__xludf.DUMMYFUNCTION("""COMPUTED_VALUE"""),"Suan")</f>
        <v>Suan</v>
      </c>
      <c r="E2038" s="1" t="str">
        <f ca="1">IFERROR(__xludf.DUMMYFUNCTION("""COMPUTED_VALUE"""),"ayaw na naming maduterte pa ulit")</f>
        <v>ayaw na naming maduterte pa ulit</v>
      </c>
      <c r="F2038" s="1">
        <f ca="1">IFERROR(__xludf.DUMMYFUNCTION("""COMPUTED_VALUE"""),9)</f>
        <v>9</v>
      </c>
      <c r="G2038" s="1" t="str">
        <f ca="1">IFERROR(__xludf.DUMMYFUNCTION("""COMPUTED_VALUE"""),"3 mos")</f>
        <v>3 mos</v>
      </c>
      <c r="H2038" s="1" t="str">
        <f ca="1">IFERROR(__xludf.DUMMYFUNCTION("""COMPUTED_VALUE"""),"comment")</f>
        <v>comment</v>
      </c>
      <c r="I2038"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38" s="1" t="str">
        <f ca="1">IFERROR(__xludf.DUMMYFUNCTION("""COMPUTED_VALUE"""),"2022-07-04T15:47:29.152Z")</f>
        <v>2022-07-04T15:47:29.152Z</v>
      </c>
    </row>
    <row r="2039" spans="1:10" x14ac:dyDescent="0.2">
      <c r="A2039" s="2" t="str">
        <f ca="1">IFERROR(__xludf.DUMMYFUNCTION("""COMPUTED_VALUE"""),"https://www.facebook.com/esting.cabrerazaAaAaA")</f>
        <v>https://www.facebook.com/esting.cabrerazaAaAaA</v>
      </c>
      <c r="B2039" s="1" t="str">
        <f ca="1">IFERROR(__xludf.DUMMYFUNCTION("""COMPUTED_VALUE"""),"Esting Cabrera")</f>
        <v>Esting Cabrera</v>
      </c>
      <c r="C2039" s="1" t="str">
        <f ca="1">IFERROR(__xludf.DUMMYFUNCTION("""COMPUTED_VALUE"""),"Esting")</f>
        <v>Esting</v>
      </c>
      <c r="D2039" s="1" t="str">
        <f ca="1">IFERROR(__xludf.DUMMYFUNCTION("""COMPUTED_VALUE"""),"Cabrera")</f>
        <v>Cabrera</v>
      </c>
      <c r="E2039" s="1" t="str">
        <f ca="1">IFERROR(__xludf.DUMMYFUNCTION("""COMPUTED_VALUE"""),"Felix Suan oo nga.po grabe iniwan na utang 12.2trillion npka laki ilan porsiento kya napunta sa nga bulsa ng mga ganid na pulitiko.numero uno pandemic a very good source of corruption..")</f>
        <v>Felix Suan oo nga.po grabe iniwan na utang 12.2trillion npka laki ilan porsiento kya napunta sa nga bulsa ng mga ganid na pulitiko.numero uno pandemic a very good source of corruption..</v>
      </c>
      <c r="F2039" s="1">
        <f ca="1">IFERROR(__xludf.DUMMYFUNCTION("""COMPUTED_VALUE"""),2)</f>
        <v>2</v>
      </c>
      <c r="G2039" s="1" t="str">
        <f ca="1">IFERROR(__xludf.DUMMYFUNCTION("""COMPUTED_VALUE"""),"3 mos")</f>
        <v>3 mos</v>
      </c>
      <c r="H2039" s="1" t="str">
        <f ca="1">IFERROR(__xludf.DUMMYFUNCTION("""COMPUTED_VALUE"""),"reply")</f>
        <v>reply</v>
      </c>
      <c r="I2039"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39" s="1" t="str">
        <f ca="1">IFERROR(__xludf.DUMMYFUNCTION("""COMPUTED_VALUE"""),"2022-07-04T15:47:29.152Z")</f>
        <v>2022-07-04T15:47:29.152Z</v>
      </c>
    </row>
    <row r="2040" spans="1:10" x14ac:dyDescent="0.2">
      <c r="A2040" s="2" t="str">
        <f ca="1">IFERROR(__xludf.DUMMYFUNCTION("""COMPUTED_VALUE"""),"https://www.facebook.com/alma.bautista.148")</f>
        <v>https://www.facebook.com/alma.bautista.148</v>
      </c>
      <c r="B2040" s="1" t="str">
        <f ca="1">IFERROR(__xludf.DUMMYFUNCTION("""COMPUTED_VALUE"""),"Maria Alma Bautista")</f>
        <v>Maria Alma Bautista</v>
      </c>
      <c r="C2040" s="1" t="str">
        <f ca="1">IFERROR(__xludf.DUMMYFUNCTION("""COMPUTED_VALUE"""),"Maria")</f>
        <v>Maria</v>
      </c>
      <c r="D2040" s="1" t="str">
        <f ca="1">IFERROR(__xludf.DUMMYFUNCTION("""COMPUTED_VALUE"""),"Alma Bautista")</f>
        <v>Alma Bautista</v>
      </c>
      <c r="E2040" s="1" t="str">
        <f ca="1">IFERROR(__xludf.DUMMYFUNCTION("""COMPUTED_VALUE"""),"Maria Alma Bautista")</f>
        <v>Maria Alma Bautista</v>
      </c>
      <c r="F2040" s="1">
        <f ca="1">IFERROR(__xludf.DUMMYFUNCTION("""COMPUTED_VALUE"""),4)</f>
        <v>4</v>
      </c>
      <c r="G2040" s="1" t="str">
        <f ca="1">IFERROR(__xludf.DUMMYFUNCTION("""COMPUTED_VALUE"""),"3 mos")</f>
        <v>3 mos</v>
      </c>
      <c r="H2040" s="1" t="str">
        <f ca="1">IFERROR(__xludf.DUMMYFUNCTION("""COMPUTED_VALUE"""),"comment")</f>
        <v>comment</v>
      </c>
      <c r="I2040"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40" s="1" t="str">
        <f ca="1">IFERROR(__xludf.DUMMYFUNCTION("""COMPUTED_VALUE"""),"2022-07-04T15:47:29.152Z")</f>
        <v>2022-07-04T15:47:29.152Z</v>
      </c>
    </row>
    <row r="2041" spans="1:10" x14ac:dyDescent="0.2">
      <c r="A2041" s="2" t="str">
        <f ca="1">IFERROR(__xludf.DUMMYFUNCTION("""COMPUTED_VALUE"""),"https://www.facebook.com/jrockersgsm")</f>
        <v>https://www.facebook.com/jrockersgsm</v>
      </c>
      <c r="B2041" s="1" t="str">
        <f ca="1">IFERROR(__xludf.DUMMYFUNCTION("""COMPUTED_VALUE"""),"Jovey Seson Laput")</f>
        <v>Jovey Seson Laput</v>
      </c>
      <c r="C2041" s="1" t="str">
        <f ca="1">IFERROR(__xludf.DUMMYFUNCTION("""COMPUTED_VALUE"""),"Jovey")</f>
        <v>Jovey</v>
      </c>
      <c r="D2041" s="1" t="str">
        <f ca="1">IFERROR(__xludf.DUMMYFUNCTION("""COMPUTED_VALUE"""),"Seson Laput")</f>
        <v>Seson Laput</v>
      </c>
      <c r="E2041" s="1" t="str">
        <f ca="1">IFERROR(__xludf.DUMMYFUNCTION("""COMPUTED_VALUE"""),"Maawa napo kau kay lenlen.😂🤣")</f>
        <v>Maawa napo kau kay lenlen.😂🤣</v>
      </c>
      <c r="F2041" s="1"/>
      <c r="G2041" s="1" t="str">
        <f ca="1">IFERROR(__xludf.DUMMYFUNCTION("""COMPUTED_VALUE"""),"3 mos")</f>
        <v>3 mos</v>
      </c>
      <c r="H2041" s="1" t="str">
        <f ca="1">IFERROR(__xludf.DUMMYFUNCTION("""COMPUTED_VALUE"""),"comment")</f>
        <v>comment</v>
      </c>
      <c r="I2041"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41" s="1" t="str">
        <f ca="1">IFERROR(__xludf.DUMMYFUNCTION("""COMPUTED_VALUE"""),"2022-07-04T15:47:29.152Z")</f>
        <v>2022-07-04T15:47:29.152Z</v>
      </c>
    </row>
    <row r="2042" spans="1:10" x14ac:dyDescent="0.2">
      <c r="A2042" s="2" t="str">
        <f ca="1">IFERROR(__xludf.DUMMYFUNCTION("""COMPUTED_VALUE"""),"https://www.facebook.com/marichu.espinosa.5")</f>
        <v>https://www.facebook.com/marichu.espinosa.5</v>
      </c>
      <c r="B2042" s="1" t="str">
        <f ca="1">IFERROR(__xludf.DUMMYFUNCTION("""COMPUTED_VALUE"""),"Marichu Espinosa")</f>
        <v>Marichu Espinosa</v>
      </c>
      <c r="C2042" s="1" t="str">
        <f ca="1">IFERROR(__xludf.DUMMYFUNCTION("""COMPUTED_VALUE"""),"Marichu")</f>
        <v>Marichu</v>
      </c>
      <c r="D2042" s="1" t="str">
        <f ca="1">IFERROR(__xludf.DUMMYFUNCTION("""COMPUTED_VALUE"""),"Espinosa")</f>
        <v>Espinosa</v>
      </c>
      <c r="E2042" s="1" t="str">
        <f ca="1">IFERROR(__xludf.DUMMYFUNCTION("""COMPUTED_VALUE"""),"tama po kyo.at bihira manalo ang indorso ng admin.")</f>
        <v>tama po kyo.at bihira manalo ang indorso ng admin.</v>
      </c>
      <c r="F2042" s="1">
        <f ca="1">IFERROR(__xludf.DUMMYFUNCTION("""COMPUTED_VALUE"""),9)</f>
        <v>9</v>
      </c>
      <c r="G2042" s="1" t="str">
        <f ca="1">IFERROR(__xludf.DUMMYFUNCTION("""COMPUTED_VALUE"""),"3 mos")</f>
        <v>3 mos</v>
      </c>
      <c r="H2042" s="1" t="str">
        <f ca="1">IFERROR(__xludf.DUMMYFUNCTION("""COMPUTED_VALUE"""),"comment")</f>
        <v>comment</v>
      </c>
      <c r="I2042"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42" s="1" t="str">
        <f ca="1">IFERROR(__xludf.DUMMYFUNCTION("""COMPUTED_VALUE"""),"2022-07-04T15:47:29.152Z")</f>
        <v>2022-07-04T15:47:29.152Z</v>
      </c>
    </row>
    <row r="2043" spans="1:10" x14ac:dyDescent="0.2">
      <c r="A2043" s="2" t="str">
        <f ca="1">IFERROR(__xludf.DUMMYFUNCTION("""COMPUTED_VALUE"""),"https://www.facebook.com/arnel.bernardino.9")</f>
        <v>https://www.facebook.com/arnel.bernardino.9</v>
      </c>
      <c r="B2043" s="1" t="str">
        <f ca="1">IFERROR(__xludf.DUMMYFUNCTION("""COMPUTED_VALUE"""),"Arnel Bernardino")</f>
        <v>Arnel Bernardino</v>
      </c>
      <c r="C2043" s="1" t="str">
        <f ca="1">IFERROR(__xludf.DUMMYFUNCTION("""COMPUTED_VALUE"""),"Arnel")</f>
        <v>Arnel</v>
      </c>
      <c r="D2043" s="1" t="str">
        <f ca="1">IFERROR(__xludf.DUMMYFUNCTION("""COMPUTED_VALUE"""),"Bernardino")</f>
        <v>Bernardino</v>
      </c>
      <c r="E2043" s="1" t="str">
        <f ca="1">IFERROR(__xludf.DUMMYFUNCTION("""COMPUTED_VALUE"""),"Marichu Espinosa wehhhh😂😂")</f>
        <v>Marichu Espinosa wehhhh😂😂</v>
      </c>
      <c r="F2043" s="1"/>
      <c r="G2043" s="1" t="str">
        <f ca="1">IFERROR(__xludf.DUMMYFUNCTION("""COMPUTED_VALUE"""),"3 mos")</f>
        <v>3 mos</v>
      </c>
      <c r="H2043" s="1" t="str">
        <f ca="1">IFERROR(__xludf.DUMMYFUNCTION("""COMPUTED_VALUE"""),"reply")</f>
        <v>reply</v>
      </c>
      <c r="I2043"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43" s="1" t="str">
        <f ca="1">IFERROR(__xludf.DUMMYFUNCTION("""COMPUTED_VALUE"""),"2022-07-04T15:47:29.152Z")</f>
        <v>2022-07-04T15:47:29.152Z</v>
      </c>
    </row>
    <row r="2044" spans="1:10" x14ac:dyDescent="0.2">
      <c r="A2044" s="2" t="str">
        <f ca="1">IFERROR(__xludf.DUMMYFUNCTION("""COMPUTED_VALUE"""),"https://www.facebook.com/rgrino1")</f>
        <v>https://www.facebook.com/rgrino1</v>
      </c>
      <c r="B2044" s="1" t="str">
        <f ca="1">IFERROR(__xludf.DUMMYFUNCTION("""COMPUTED_VALUE"""),"Ruc Griño")</f>
        <v>Ruc Griño</v>
      </c>
      <c r="C2044" s="1" t="str">
        <f ca="1">IFERROR(__xludf.DUMMYFUNCTION("""COMPUTED_VALUE"""),"Ruc")</f>
        <v>Ruc</v>
      </c>
      <c r="D2044" s="1" t="str">
        <f ca="1">IFERROR(__xludf.DUMMYFUNCTION("""COMPUTED_VALUE"""),"Griño")</f>
        <v>Griño</v>
      </c>
      <c r="E2044" s="1" t="str">
        <f ca="1">IFERROR(__xludf.DUMMYFUNCTION("""COMPUTED_VALUE"""),"Marichu Espinosa panu mo nasabi?? Lalo na kakarampot lang kau")</f>
        <v>Marichu Espinosa panu mo nasabi?? Lalo na kakarampot lang kau</v>
      </c>
      <c r="F2044" s="1"/>
      <c r="G2044" s="1" t="str">
        <f ca="1">IFERROR(__xludf.DUMMYFUNCTION("""COMPUTED_VALUE"""),"3 mos")</f>
        <v>3 mos</v>
      </c>
      <c r="H2044" s="1" t="str">
        <f ca="1">IFERROR(__xludf.DUMMYFUNCTION("""COMPUTED_VALUE"""),"reply")</f>
        <v>reply</v>
      </c>
      <c r="I2044"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44" s="1" t="str">
        <f ca="1">IFERROR(__xludf.DUMMYFUNCTION("""COMPUTED_VALUE"""),"2022-07-04T15:47:29.152Z")</f>
        <v>2022-07-04T15:47:29.152Z</v>
      </c>
    </row>
    <row r="2045" spans="1:10" x14ac:dyDescent="0.2">
      <c r="A2045" s="2" t="str">
        <f ca="1">IFERROR(__xludf.DUMMYFUNCTION("""COMPUTED_VALUE"""),"https://www.facebook.com/kawboy02")</f>
        <v>https://www.facebook.com/kawboy02</v>
      </c>
      <c r="B2045" s="1" t="str">
        <f ca="1">IFERROR(__xludf.DUMMYFUNCTION("""COMPUTED_VALUE"""),"Rico James U. Felasol")</f>
        <v>Rico James U. Felasol</v>
      </c>
      <c r="C2045" s="1" t="str">
        <f ca="1">IFERROR(__xludf.DUMMYFUNCTION("""COMPUTED_VALUE"""),"Rico")</f>
        <v>Rico</v>
      </c>
      <c r="D2045" s="1" t="str">
        <f ca="1">IFERROR(__xludf.DUMMYFUNCTION("""COMPUTED_VALUE"""),"James U. Felasol")</f>
        <v>James U. Felasol</v>
      </c>
      <c r="E2045" s="1" t="str">
        <f ca="1">IFERROR(__xludf.DUMMYFUNCTION("""COMPUTED_VALUE"""),"Marichu Espinosa Mind Conditioning Sigurado may Dayaan sa May 9 Buti nahuli Yung Breached Sa Comelec Kaya kompyansa kayu")</f>
        <v>Marichu Espinosa Mind Conditioning Sigurado may Dayaan sa May 9 Buti nahuli Yung Breached Sa Comelec Kaya kompyansa kayu</v>
      </c>
      <c r="F2045" s="1"/>
      <c r="G2045" s="1" t="str">
        <f ca="1">IFERROR(__xludf.DUMMYFUNCTION("""COMPUTED_VALUE"""),"3 mos")</f>
        <v>3 mos</v>
      </c>
      <c r="H2045" s="1" t="str">
        <f ca="1">IFERROR(__xludf.DUMMYFUNCTION("""COMPUTED_VALUE"""),"reply")</f>
        <v>reply</v>
      </c>
      <c r="I2045"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45" s="1" t="str">
        <f ca="1">IFERROR(__xludf.DUMMYFUNCTION("""COMPUTED_VALUE"""),"2022-07-04T15:47:29.152Z")</f>
        <v>2022-07-04T15:47:29.152Z</v>
      </c>
    </row>
    <row r="2046" spans="1:10" x14ac:dyDescent="0.2">
      <c r="A2046" s="2" t="str">
        <f ca="1">IFERROR(__xludf.DUMMYFUNCTION("""COMPUTED_VALUE"""),"https://www.facebook.com/vanessa.cabelto")</f>
        <v>https://www.facebook.com/vanessa.cabelto</v>
      </c>
      <c r="B2046" s="1" t="str">
        <f ca="1">IFERROR(__xludf.DUMMYFUNCTION("""COMPUTED_VALUE"""),"Vanessa Cabelto")</f>
        <v>Vanessa Cabelto</v>
      </c>
      <c r="C2046" s="1" t="str">
        <f ca="1">IFERROR(__xludf.DUMMYFUNCTION("""COMPUTED_VALUE"""),"Vanessa")</f>
        <v>Vanessa</v>
      </c>
      <c r="D2046" s="1" t="str">
        <f ca="1">IFERROR(__xludf.DUMMYFUNCTION("""COMPUTED_VALUE"""),"Cabelto")</f>
        <v>Cabelto</v>
      </c>
      <c r="E2046" s="1" t="str">
        <f ca="1">IFERROR(__xludf.DUMMYFUNCTION("""COMPUTED_VALUE"""),"Vanessa Cabelto")</f>
        <v>Vanessa Cabelto</v>
      </c>
      <c r="F2046" s="1"/>
      <c r="G2046" s="1" t="str">
        <f ca="1">IFERROR(__xludf.DUMMYFUNCTION("""COMPUTED_VALUE"""),"3 mos")</f>
        <v>3 mos</v>
      </c>
      <c r="H2046" s="1" t="str">
        <f ca="1">IFERROR(__xludf.DUMMYFUNCTION("""COMPUTED_VALUE"""),"comment")</f>
        <v>comment</v>
      </c>
      <c r="I2046"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46" s="1" t="str">
        <f ca="1">IFERROR(__xludf.DUMMYFUNCTION("""COMPUTED_VALUE"""),"2022-07-04T15:47:29.152Z")</f>
        <v>2022-07-04T15:47:29.152Z</v>
      </c>
    </row>
    <row r="2047" spans="1:10" x14ac:dyDescent="0.2">
      <c r="A2047" s="2" t="str">
        <f ca="1">IFERROR(__xludf.DUMMYFUNCTION("""COMPUTED_VALUE"""),"https://www.facebook.com/ronel.padrqiue")</f>
        <v>https://www.facebook.com/ronel.padrqiue</v>
      </c>
      <c r="B2047" s="1" t="str">
        <f ca="1">IFERROR(__xludf.DUMMYFUNCTION("""COMPUTED_VALUE"""),"Ronel Padrique")</f>
        <v>Ronel Padrique</v>
      </c>
      <c r="C2047" s="1" t="str">
        <f ca="1">IFERROR(__xludf.DUMMYFUNCTION("""COMPUTED_VALUE"""),"Ronel")</f>
        <v>Ronel</v>
      </c>
      <c r="D2047" s="1" t="str">
        <f ca="1">IFERROR(__xludf.DUMMYFUNCTION("""COMPUTED_VALUE"""),"Padrique")</f>
        <v>Padrique</v>
      </c>
      <c r="E2047" s="1" t="str">
        <f ca="1">IFERROR(__xludf.DUMMYFUNCTION("""COMPUTED_VALUE"""),"Mga botante ang magpapasya hindi ng kung sino man at nakikita natin yon sa kasalukuyan")</f>
        <v>Mga botante ang magpapasya hindi ng kung sino man at nakikita natin yon sa kasalukuyan</v>
      </c>
      <c r="F2047" s="1"/>
      <c r="G2047" s="1" t="str">
        <f ca="1">IFERROR(__xludf.DUMMYFUNCTION("""COMPUTED_VALUE"""),"3 mos")</f>
        <v>3 mos</v>
      </c>
      <c r="H2047" s="1" t="str">
        <f ca="1">IFERROR(__xludf.DUMMYFUNCTION("""COMPUTED_VALUE"""),"comment")</f>
        <v>comment</v>
      </c>
      <c r="I2047"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47" s="1" t="str">
        <f ca="1">IFERROR(__xludf.DUMMYFUNCTION("""COMPUTED_VALUE"""),"2022-07-04T15:47:29.152Z")</f>
        <v>2022-07-04T15:47:29.152Z</v>
      </c>
    </row>
    <row r="2048" spans="1:10" x14ac:dyDescent="0.2">
      <c r="A2048" s="2" t="str">
        <f ca="1">IFERROR(__xludf.DUMMYFUNCTION("""COMPUTED_VALUE"""),"https://www.facebook.com/carmen.tabarnilla")</f>
        <v>https://www.facebook.com/carmen.tabarnilla</v>
      </c>
      <c r="B2048" s="1" t="str">
        <f ca="1">IFERROR(__xludf.DUMMYFUNCTION("""COMPUTED_VALUE"""),"Carmen Eustaquio Tabarnilla")</f>
        <v>Carmen Eustaquio Tabarnilla</v>
      </c>
      <c r="C2048" s="1" t="str">
        <f ca="1">IFERROR(__xludf.DUMMYFUNCTION("""COMPUTED_VALUE"""),"Carmen")</f>
        <v>Carmen</v>
      </c>
      <c r="D2048" s="1" t="str">
        <f ca="1">IFERROR(__xludf.DUMMYFUNCTION("""COMPUTED_VALUE"""),"Eustaquio Tabarnilla")</f>
        <v>Eustaquio Tabarnilla</v>
      </c>
      <c r="E2048" s="1" t="str">
        <f ca="1">IFERROR(__xludf.DUMMYFUNCTION("""COMPUTED_VALUE"""),"❤💚")</f>
        <v>❤💚</v>
      </c>
      <c r="F2048" s="1"/>
      <c r="G2048" s="1" t="str">
        <f ca="1">IFERROR(__xludf.DUMMYFUNCTION("""COMPUTED_VALUE"""),"3 mos")</f>
        <v>3 mos</v>
      </c>
      <c r="H2048" s="1" t="str">
        <f ca="1">IFERROR(__xludf.DUMMYFUNCTION("""COMPUTED_VALUE"""),"comment")</f>
        <v>comment</v>
      </c>
      <c r="I2048"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48" s="1" t="str">
        <f ca="1">IFERROR(__xludf.DUMMYFUNCTION("""COMPUTED_VALUE"""),"2022-07-04T15:47:29.152Z")</f>
        <v>2022-07-04T15:47:29.152Z</v>
      </c>
    </row>
    <row r="2049" spans="1:10" x14ac:dyDescent="0.2">
      <c r="A2049" s="2" t="str">
        <f ca="1">IFERROR(__xludf.DUMMYFUNCTION("""COMPUTED_VALUE"""),"https://www.facebook.com/liv.viloria18")</f>
        <v>https://www.facebook.com/liv.viloria18</v>
      </c>
      <c r="B2049" s="1" t="str">
        <f ca="1">IFERROR(__xludf.DUMMYFUNCTION("""COMPUTED_VALUE"""),"Liv Viloria")</f>
        <v>Liv Viloria</v>
      </c>
      <c r="C2049" s="1" t="str">
        <f ca="1">IFERROR(__xludf.DUMMYFUNCTION("""COMPUTED_VALUE"""),"Liv")</f>
        <v>Liv</v>
      </c>
      <c r="D2049" s="1" t="str">
        <f ca="1">IFERROR(__xludf.DUMMYFUNCTION("""COMPUTED_VALUE"""),"Viloria")</f>
        <v>Viloria</v>
      </c>
      <c r="E2049" s="1" t="str">
        <f ca="1">IFERROR(__xludf.DUMMYFUNCTION("""COMPUTED_VALUE"""),"❤️💚")</f>
        <v>❤️💚</v>
      </c>
      <c r="F2049" s="1"/>
      <c r="G2049" s="1" t="str">
        <f ca="1">IFERROR(__xludf.DUMMYFUNCTION("""COMPUTED_VALUE"""),"3 mos")</f>
        <v>3 mos</v>
      </c>
      <c r="H2049" s="1" t="str">
        <f ca="1">IFERROR(__xludf.DUMMYFUNCTION("""COMPUTED_VALUE"""),"comment")</f>
        <v>comment</v>
      </c>
      <c r="I2049"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49" s="1" t="str">
        <f ca="1">IFERROR(__xludf.DUMMYFUNCTION("""COMPUTED_VALUE"""),"2022-07-04T15:47:29.152Z")</f>
        <v>2022-07-04T15:47:29.152Z</v>
      </c>
    </row>
    <row r="2050" spans="1:10" x14ac:dyDescent="0.2">
      <c r="A2050" s="2" t="str">
        <f ca="1">IFERROR(__xludf.DUMMYFUNCTION("""COMPUTED_VALUE"""),"https://www.facebook.com/jkeallano")</f>
        <v>https://www.facebook.com/jkeallano</v>
      </c>
      <c r="B2050" s="1" t="str">
        <f ca="1">IFERROR(__xludf.DUMMYFUNCTION("""COMPUTED_VALUE"""),"Jake Catanyag Semillano")</f>
        <v>Jake Catanyag Semillano</v>
      </c>
      <c r="C2050" s="1" t="str">
        <f ca="1">IFERROR(__xludf.DUMMYFUNCTION("""COMPUTED_VALUE"""),"Jake")</f>
        <v>Jake</v>
      </c>
      <c r="D2050" s="1" t="str">
        <f ca="1">IFERROR(__xludf.DUMMYFUNCTION("""COMPUTED_VALUE"""),"Catanyag Semillano")</f>
        <v>Catanyag Semillano</v>
      </c>
      <c r="E2050" s="1" t="str">
        <f ca="1">IFERROR(__xludf.DUMMYFUNCTION("""COMPUTED_VALUE"""),"🤔🤔😁")</f>
        <v>🤔🤔😁</v>
      </c>
      <c r="F2050" s="1"/>
      <c r="G2050" s="1" t="str">
        <f ca="1">IFERROR(__xludf.DUMMYFUNCTION("""COMPUTED_VALUE"""),"3 mos")</f>
        <v>3 mos</v>
      </c>
      <c r="H2050" s="1" t="str">
        <f ca="1">IFERROR(__xludf.DUMMYFUNCTION("""COMPUTED_VALUE"""),"comment")</f>
        <v>comment</v>
      </c>
      <c r="I2050"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50" s="1" t="str">
        <f ca="1">IFERROR(__xludf.DUMMYFUNCTION("""COMPUTED_VALUE"""),"2022-07-04T15:47:29.152Z")</f>
        <v>2022-07-04T15:47:29.152Z</v>
      </c>
    </row>
    <row r="2051" spans="1:10" x14ac:dyDescent="0.2">
      <c r="A2051" s="2" t="str">
        <f ca="1">IFERROR(__xludf.DUMMYFUNCTION("""COMPUTED_VALUE"""),"https://www.facebook.com/gregorio.deo")</f>
        <v>https://www.facebook.com/gregorio.deo</v>
      </c>
      <c r="B2051" s="1" t="str">
        <f ca="1">IFERROR(__xludf.DUMMYFUNCTION("""COMPUTED_VALUE"""),"Gregorio Deo")</f>
        <v>Gregorio Deo</v>
      </c>
      <c r="C2051" s="1" t="str">
        <f ca="1">IFERROR(__xludf.DUMMYFUNCTION("""COMPUTED_VALUE"""),"Gregorio")</f>
        <v>Gregorio</v>
      </c>
      <c r="D2051" s="1" t="str">
        <f ca="1">IFERROR(__xludf.DUMMYFUNCTION("""COMPUTED_VALUE"""),"Deo")</f>
        <v>Deo</v>
      </c>
      <c r="E2051" s="1" t="str">
        <f ca="1">IFERROR(__xludf.DUMMYFUNCTION("""COMPUTED_VALUE"""),"❤️💚✌️👊")</f>
        <v>❤️💚✌️👊</v>
      </c>
      <c r="F2051" s="1"/>
      <c r="G2051" s="1" t="str">
        <f ca="1">IFERROR(__xludf.DUMMYFUNCTION("""COMPUTED_VALUE"""),"3 mos")</f>
        <v>3 mos</v>
      </c>
      <c r="H2051" s="1" t="str">
        <f ca="1">IFERROR(__xludf.DUMMYFUNCTION("""COMPUTED_VALUE"""),"comment")</f>
        <v>comment</v>
      </c>
      <c r="I2051"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51" s="1" t="str">
        <f ca="1">IFERROR(__xludf.DUMMYFUNCTION("""COMPUTED_VALUE"""),"2022-07-04T15:47:29.152Z")</f>
        <v>2022-07-04T15:47:29.152Z</v>
      </c>
    </row>
    <row r="2052" spans="1:10" x14ac:dyDescent="0.2">
      <c r="A2052" s="2" t="str">
        <f ca="1">IFERROR(__xludf.DUMMYFUNCTION("""COMPUTED_VALUE"""),"https://www.facebook.com/kristine.r.nueva")</f>
        <v>https://www.facebook.com/kristine.r.nueva</v>
      </c>
      <c r="B2052" s="1" t="str">
        <f ca="1">IFERROR(__xludf.DUMMYFUNCTION("""COMPUTED_VALUE"""),"Kristine Reyes Nueva")</f>
        <v>Kristine Reyes Nueva</v>
      </c>
      <c r="C2052" s="1" t="str">
        <f ca="1">IFERROR(__xludf.DUMMYFUNCTION("""COMPUTED_VALUE"""),"Kristine")</f>
        <v>Kristine</v>
      </c>
      <c r="D2052" s="1" t="str">
        <f ca="1">IFERROR(__xludf.DUMMYFUNCTION("""COMPUTED_VALUE"""),"Reyes Nueva")</f>
        <v>Reyes Nueva</v>
      </c>
      <c r="E2052" s="1" t="str">
        <f ca="1">IFERROR(__xludf.DUMMYFUNCTION("""COMPUTED_VALUE"""),"❤️💚🇵🇭")</f>
        <v>❤️💚🇵🇭</v>
      </c>
      <c r="F2052" s="1"/>
      <c r="G2052" s="1" t="str">
        <f ca="1">IFERROR(__xludf.DUMMYFUNCTION("""COMPUTED_VALUE"""),"3 mos")</f>
        <v>3 mos</v>
      </c>
      <c r="H2052" s="1" t="str">
        <f ca="1">IFERROR(__xludf.DUMMYFUNCTION("""COMPUTED_VALUE"""),"comment")</f>
        <v>comment</v>
      </c>
      <c r="I2052"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52" s="1" t="str">
        <f ca="1">IFERROR(__xludf.DUMMYFUNCTION("""COMPUTED_VALUE"""),"2022-07-04T15:47:29.152Z")</f>
        <v>2022-07-04T15:47:29.152Z</v>
      </c>
    </row>
    <row r="2053" spans="1:10" x14ac:dyDescent="0.2">
      <c r="A2053" s="2" t="str">
        <f ca="1">IFERROR(__xludf.DUMMYFUNCTION("""COMPUTED_VALUE"""),"https://www.facebook.com/norieann.ramos")</f>
        <v>https://www.facebook.com/norieann.ramos</v>
      </c>
      <c r="B2053" s="1" t="str">
        <f ca="1">IFERROR(__xludf.DUMMYFUNCTION("""COMPUTED_VALUE"""),"Norie Ann Serrano")</f>
        <v>Norie Ann Serrano</v>
      </c>
      <c r="C2053" s="1" t="str">
        <f ca="1">IFERROR(__xludf.DUMMYFUNCTION("""COMPUTED_VALUE"""),"Norie")</f>
        <v>Norie</v>
      </c>
      <c r="D2053" s="1" t="str">
        <f ca="1">IFERROR(__xludf.DUMMYFUNCTION("""COMPUTED_VALUE"""),"Ann Serrano")</f>
        <v>Ann Serrano</v>
      </c>
      <c r="E2053" s="1" t="str">
        <f ca="1">IFERROR(__xludf.DUMMYFUNCTION("""COMPUTED_VALUE"""),"https://clickpartylist.ph/ CLICK NA CLICK BUHAY GAWING HIGHTECH No.40 sa balota")</f>
        <v>https://clickpartylist.ph/ CLICK NA CLICK BUHAY GAWING HIGHTECH No.40 sa balota</v>
      </c>
      <c r="F2053" s="1"/>
      <c r="G2053" s="1" t="str">
        <f ca="1">IFERROR(__xludf.DUMMYFUNCTION("""COMPUTED_VALUE"""),"3 mos")</f>
        <v>3 mos</v>
      </c>
      <c r="H2053" s="1" t="str">
        <f ca="1">IFERROR(__xludf.DUMMYFUNCTION("""COMPUTED_VALUE"""),"comment")</f>
        <v>comment</v>
      </c>
      <c r="I2053"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53" s="1" t="str">
        <f ca="1">IFERROR(__xludf.DUMMYFUNCTION("""COMPUTED_VALUE"""),"2022-07-04T15:47:29.152Z")</f>
        <v>2022-07-04T15:47:29.152Z</v>
      </c>
    </row>
    <row r="2054" spans="1:10" x14ac:dyDescent="0.2">
      <c r="A2054" s="2" t="str">
        <f ca="1">IFERROR(__xludf.DUMMYFUNCTION("""COMPUTED_VALUE"""),"https://www.facebook.com/jheys.lupet")</f>
        <v>https://www.facebook.com/jheys.lupet</v>
      </c>
      <c r="B2054" s="1" t="str">
        <f ca="1">IFERROR(__xludf.DUMMYFUNCTION("""COMPUTED_VALUE"""),"Batan Jason")</f>
        <v>Batan Jason</v>
      </c>
      <c r="C2054" s="1" t="str">
        <f ca="1">IFERROR(__xludf.DUMMYFUNCTION("""COMPUTED_VALUE"""),"Batan")</f>
        <v>Batan</v>
      </c>
      <c r="D2054" s="1" t="str">
        <f ca="1">IFERROR(__xludf.DUMMYFUNCTION("""COMPUTED_VALUE"""),"Jason")</f>
        <v>Jason</v>
      </c>
      <c r="E2054" s="1" t="str">
        <f ca="1">IFERROR(__xludf.DUMMYFUNCTION("""COMPUTED_VALUE"""),"Norie Ann Serrano CLICK NA CLICK. BUHAY GAWIN HIGHTECH! https://www.facebook.com/CLICKpartylist")</f>
        <v>Norie Ann Serrano CLICK NA CLICK. BUHAY GAWIN HIGHTECH! https://www.facebook.com/CLICKpartylist</v>
      </c>
      <c r="F2054" s="1"/>
      <c r="G2054" s="1" t="str">
        <f ca="1">IFERROR(__xludf.DUMMYFUNCTION("""COMPUTED_VALUE"""),"3 mos")</f>
        <v>3 mos</v>
      </c>
      <c r="H2054" s="1" t="str">
        <f ca="1">IFERROR(__xludf.DUMMYFUNCTION("""COMPUTED_VALUE"""),"reply")</f>
        <v>reply</v>
      </c>
      <c r="I2054"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54" s="1" t="str">
        <f ca="1">IFERROR(__xludf.DUMMYFUNCTION("""COMPUTED_VALUE"""),"2022-07-04T15:47:29.152Z")</f>
        <v>2022-07-04T15:47:29.152Z</v>
      </c>
    </row>
    <row r="2055" spans="1:10" x14ac:dyDescent="0.2">
      <c r="A2055" s="2" t="str">
        <f ca="1">IFERROR(__xludf.DUMMYFUNCTION("""COMPUTED_VALUE"""),"https://www.facebook.com/kram.nia.5")</f>
        <v>https://www.facebook.com/kram.nia.5</v>
      </c>
      <c r="B2055" s="1" t="str">
        <f ca="1">IFERROR(__xludf.DUMMYFUNCTION("""COMPUTED_VALUE"""),"Jeho Akin")</f>
        <v>Jeho Akin</v>
      </c>
      <c r="C2055" s="1" t="str">
        <f ca="1">IFERROR(__xludf.DUMMYFUNCTION("""COMPUTED_VALUE"""),"Jeho")</f>
        <v>Jeho</v>
      </c>
      <c r="D2055" s="1" t="str">
        <f ca="1">IFERROR(__xludf.DUMMYFUNCTION("""COMPUTED_VALUE"""),"Akin")</f>
        <v>Akin</v>
      </c>
      <c r="E2055" s="1" t="str">
        <f ca="1">IFERROR(__xludf.DUMMYFUNCTION("""COMPUTED_VALUE"""),"Ayaw nyu pa tumigil Wala na finish na asan na yang presedential nyu")</f>
        <v>Ayaw nyu pa tumigil Wala na finish na asan na yang presedential nyu</v>
      </c>
      <c r="F2055" s="1"/>
      <c r="G2055" s="1" t="str">
        <f ca="1">IFERROR(__xludf.DUMMYFUNCTION("""COMPUTED_VALUE"""),"3 mos")</f>
        <v>3 mos</v>
      </c>
      <c r="H2055" s="1" t="str">
        <f ca="1">IFERROR(__xludf.DUMMYFUNCTION("""COMPUTED_VALUE"""),"comment")</f>
        <v>comment</v>
      </c>
      <c r="I2055"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055" s="1" t="str">
        <f ca="1">IFERROR(__xludf.DUMMYFUNCTION("""COMPUTED_VALUE"""),"2022-07-04T15:47:29.152Z")</f>
        <v>2022-07-04T15:47:29.152Z</v>
      </c>
    </row>
    <row r="2056" spans="1:10" x14ac:dyDescent="0.2">
      <c r="A2056" s="2" t="str">
        <f ca="1">IFERROR(__xludf.DUMMYFUNCTION("""COMPUTED_VALUE"""),"https://www.facebook.com/depazngt")</f>
        <v>https://www.facebook.com/depazngt</v>
      </c>
      <c r="B2056" s="1" t="str">
        <f ca="1">IFERROR(__xludf.DUMMYFUNCTION("""COMPUTED_VALUE"""),"Noreen Grace")</f>
        <v>Noreen Grace</v>
      </c>
      <c r="C2056" s="1" t="str">
        <f ca="1">IFERROR(__xludf.DUMMYFUNCTION("""COMPUTED_VALUE"""),"Noreen")</f>
        <v>Noreen</v>
      </c>
      <c r="D2056" s="1" t="str">
        <f ca="1">IFERROR(__xludf.DUMMYFUNCTION("""COMPUTED_VALUE"""),"Grace")</f>
        <v>Grace</v>
      </c>
      <c r="E2056" s="1" t="str">
        <f ca="1">IFERROR(__xludf.DUMMYFUNCTION("""COMPUTED_VALUE"""),"Roxas is Rosas!  #LeniKiko2022")</f>
        <v>Roxas is Rosas!  #LeniKiko2022</v>
      </c>
      <c r="F2056" s="1">
        <f ca="1">IFERROR(__xludf.DUMMYFUNCTION("""COMPUTED_VALUE"""),58)</f>
        <v>58</v>
      </c>
      <c r="G2056" s="1" t="str">
        <f ca="1">IFERROR(__xludf.DUMMYFUNCTION("""COMPUTED_VALUE"""),"3 mos")</f>
        <v>3 mos</v>
      </c>
      <c r="H2056" s="1" t="str">
        <f ca="1">IFERROR(__xludf.DUMMYFUNCTION("""COMPUTED_VALUE"""),"comment")</f>
        <v>comment</v>
      </c>
      <c r="I2056" s="2" t="str">
        <f ca="1">IFERROR(__xludf.DUMMYFUNCTION("""COMPUTED_VALUE"""),"https://www.facebook.com/rapplerdotcom/photos/a.317154781638645/5594954703858600/")</f>
        <v>https://www.facebook.com/rapplerdotcom/photos/a.317154781638645/5594954703858600/</v>
      </c>
      <c r="J2056" s="1" t="str">
        <f ca="1">IFERROR(__xludf.DUMMYFUNCTION("""COMPUTED_VALUE"""),"2022-07-04T15:48:35.883Z")</f>
        <v>2022-07-04T15:48:35.883Z</v>
      </c>
    </row>
    <row r="2057" spans="1:10" x14ac:dyDescent="0.2">
      <c r="A2057" s="2" t="str">
        <f ca="1">IFERROR(__xludf.DUMMYFUNCTION("""COMPUTED_VALUE"""),"https://www.facebook.com/profile.php?id=100079181871183")</f>
        <v>https://www.facebook.com/profile.php?id=100079181871183</v>
      </c>
      <c r="B2057" s="1" t="str">
        <f ca="1">IFERROR(__xludf.DUMMYFUNCTION("""COMPUTED_VALUE"""),"Jon Delano")</f>
        <v>Jon Delano</v>
      </c>
      <c r="C2057" s="1" t="str">
        <f ca="1">IFERROR(__xludf.DUMMYFUNCTION("""COMPUTED_VALUE"""),"Jon")</f>
        <v>Jon</v>
      </c>
      <c r="D2057" s="1" t="str">
        <f ca="1">IFERROR(__xludf.DUMMYFUNCTION("""COMPUTED_VALUE"""),"Delano")</f>
        <v>Delano</v>
      </c>
      <c r="E2057" s="1" t="str">
        <f ca="1">IFERROR(__xludf.DUMMYFUNCTION("""COMPUTED_VALUE"""),"How could you be so mentally vacuous that you could say that mang maru is pink?")</f>
        <v>How could you be so mentally vacuous that you could say that mang maru is pink?</v>
      </c>
      <c r="F2057" s="1">
        <f ca="1">IFERROR(__xludf.DUMMYFUNCTION("""COMPUTED_VALUE"""),1)</f>
        <v>1</v>
      </c>
      <c r="G2057" s="1" t="str">
        <f ca="1">IFERROR(__xludf.DUMMYFUNCTION("""COMPUTED_VALUE"""),"3 mos")</f>
        <v>3 mos</v>
      </c>
      <c r="H2057" s="1" t="str">
        <f ca="1">IFERROR(__xludf.DUMMYFUNCTION("""COMPUTED_VALUE"""),"reply")</f>
        <v>reply</v>
      </c>
      <c r="I2057" s="2" t="str">
        <f ca="1">IFERROR(__xludf.DUMMYFUNCTION("""COMPUTED_VALUE"""),"https://www.facebook.com/rapplerdotcom/photos/a.317154781638645/5594954703858600/")</f>
        <v>https://www.facebook.com/rapplerdotcom/photos/a.317154781638645/5594954703858600/</v>
      </c>
      <c r="J2057" s="1" t="str">
        <f ca="1">IFERROR(__xludf.DUMMYFUNCTION("""COMPUTED_VALUE"""),"2022-07-04T15:48:35.883Z")</f>
        <v>2022-07-04T15:48:35.883Z</v>
      </c>
    </row>
    <row r="2058" spans="1:10" x14ac:dyDescent="0.2">
      <c r="A2058" s="2" t="str">
        <f ca="1">IFERROR(__xludf.DUMMYFUNCTION("""COMPUTED_VALUE"""),"https://www.facebook.com/aldo.lavingu")</f>
        <v>https://www.facebook.com/aldo.lavingu</v>
      </c>
      <c r="B2058" s="1" t="str">
        <f ca="1">IFERROR(__xludf.DUMMYFUNCTION("""COMPUTED_VALUE"""),"Bho Lan Tiaw")</f>
        <v>Bho Lan Tiaw</v>
      </c>
      <c r="C2058" s="1" t="str">
        <f ca="1">IFERROR(__xludf.DUMMYFUNCTION("""COMPUTED_VALUE"""),"Bho")</f>
        <v>Bho</v>
      </c>
      <c r="D2058" s="1" t="str">
        <f ca="1">IFERROR(__xludf.DUMMYFUNCTION("""COMPUTED_VALUE"""),"Lan Tiaw")</f>
        <v>Lan Tiaw</v>
      </c>
      <c r="E2058" s="1" t="str">
        <f ca="1">IFERROR(__xludf.DUMMYFUNCTION("""COMPUTED_VALUE"""),"Jon Delano 2022 na TABOGO ka pa din hangang ngayon.")</f>
        <v>Jon Delano 2022 na TABOGO ka pa din hangang ngayon.</v>
      </c>
      <c r="F2058" s="1">
        <f ca="1">IFERROR(__xludf.DUMMYFUNCTION("""COMPUTED_VALUE"""),1)</f>
        <v>1</v>
      </c>
      <c r="G2058" s="1" t="str">
        <f ca="1">IFERROR(__xludf.DUMMYFUNCTION("""COMPUTED_VALUE"""),"3 mos")</f>
        <v>3 mos</v>
      </c>
      <c r="H2058" s="1" t="str">
        <f ca="1">IFERROR(__xludf.DUMMYFUNCTION("""COMPUTED_VALUE"""),"reply")</f>
        <v>reply</v>
      </c>
      <c r="I2058" s="2" t="str">
        <f ca="1">IFERROR(__xludf.DUMMYFUNCTION("""COMPUTED_VALUE"""),"https://www.facebook.com/rapplerdotcom/photos/a.317154781638645/5594954703858600/")</f>
        <v>https://www.facebook.com/rapplerdotcom/photos/a.317154781638645/5594954703858600/</v>
      </c>
      <c r="J2058" s="1" t="str">
        <f ca="1">IFERROR(__xludf.DUMMYFUNCTION("""COMPUTED_VALUE"""),"2022-07-04T15:48:35.883Z")</f>
        <v>2022-07-04T15:48:35.883Z</v>
      </c>
    </row>
    <row r="2059" spans="1:10" x14ac:dyDescent="0.2">
      <c r="A2059" s="2" t="str">
        <f ca="1">IFERROR(__xludf.DUMMYFUNCTION("""COMPUTED_VALUE"""),"https://www.facebook.com/profile.php?id=100077976516349")</f>
        <v>https://www.facebook.com/profile.php?id=100077976516349</v>
      </c>
      <c r="B2059" s="1" t="str">
        <f ca="1">IFERROR(__xludf.DUMMYFUNCTION("""COMPUTED_VALUE"""),"Edralin Reyes")</f>
        <v>Edralin Reyes</v>
      </c>
      <c r="C2059" s="1" t="str">
        <f ca="1">IFERROR(__xludf.DUMMYFUNCTION("""COMPUTED_VALUE"""),"Edralin")</f>
        <v>Edralin</v>
      </c>
      <c r="D2059" s="1" t="str">
        <f ca="1">IFERROR(__xludf.DUMMYFUNCTION("""COMPUTED_VALUE"""),"Reyes")</f>
        <v>Reyes</v>
      </c>
      <c r="E2059" s="1" t="str">
        <f ca="1">IFERROR(__xludf.DUMMYFUNCTION("""COMPUTED_VALUE"""),"NoreenGrace Tigas De Paz same kapalpakan feathers😜")</f>
        <v>NoreenGrace Tigas De Paz same kapalpakan feathers😜</v>
      </c>
      <c r="F2059" s="1"/>
      <c r="G2059" s="1" t="str">
        <f ca="1">IFERROR(__xludf.DUMMYFUNCTION("""COMPUTED_VALUE"""),"3 mos")</f>
        <v>3 mos</v>
      </c>
      <c r="H2059" s="1" t="str">
        <f ca="1">IFERROR(__xludf.DUMMYFUNCTION("""COMPUTED_VALUE"""),"reply")</f>
        <v>reply</v>
      </c>
      <c r="I2059" s="2" t="str">
        <f ca="1">IFERROR(__xludf.DUMMYFUNCTION("""COMPUTED_VALUE"""),"https://www.facebook.com/rapplerdotcom/photos/a.317154781638645/5594954703858600/")</f>
        <v>https://www.facebook.com/rapplerdotcom/photos/a.317154781638645/5594954703858600/</v>
      </c>
      <c r="J2059" s="1" t="str">
        <f ca="1">IFERROR(__xludf.DUMMYFUNCTION("""COMPUTED_VALUE"""),"2022-07-04T15:48:35.883Z")</f>
        <v>2022-07-04T15:48:35.883Z</v>
      </c>
    </row>
    <row r="2060" spans="1:10" x14ac:dyDescent="0.2">
      <c r="A2060" s="2" t="str">
        <f ca="1">IFERROR(__xludf.DUMMYFUNCTION("""COMPUTED_VALUE"""),"https://www.facebook.com/aldo.lavingu")</f>
        <v>https://www.facebook.com/aldo.lavingu</v>
      </c>
      <c r="B2060" s="1" t="str">
        <f ca="1">IFERROR(__xludf.DUMMYFUNCTION("""COMPUTED_VALUE"""),"Bho Lan Tiaw")</f>
        <v>Bho Lan Tiaw</v>
      </c>
      <c r="C2060" s="1" t="str">
        <f ca="1">IFERROR(__xludf.DUMMYFUNCTION("""COMPUTED_VALUE"""),"Bho")</f>
        <v>Bho</v>
      </c>
      <c r="D2060" s="1" t="str">
        <f ca="1">IFERROR(__xludf.DUMMYFUNCTION("""COMPUTED_VALUE"""),"Lan Tiaw")</f>
        <v>Lan Tiaw</v>
      </c>
      <c r="E2060" s="1" t="str">
        <f ca="1">IFERROR(__xludf.DUMMYFUNCTION("""COMPUTED_VALUE"""),"Yor April NozUy ngi, nakakatakot naman ang picture,  hindi lang mukhang TABOGO,  ano ba yan.")</f>
        <v>Yor April NozUy ngi, nakakatakot naman ang picture,  hindi lang mukhang TABOGO,  ano ba yan.</v>
      </c>
      <c r="F2060" s="1"/>
      <c r="G2060" s="1" t="str">
        <f ca="1">IFERROR(__xludf.DUMMYFUNCTION("""COMPUTED_VALUE"""),"3 mos")</f>
        <v>3 mos</v>
      </c>
      <c r="H2060" s="1" t="str">
        <f ca="1">IFERROR(__xludf.DUMMYFUNCTION("""COMPUTED_VALUE"""),"reply")</f>
        <v>reply</v>
      </c>
      <c r="I2060" s="2" t="str">
        <f ca="1">IFERROR(__xludf.DUMMYFUNCTION("""COMPUTED_VALUE"""),"https://www.facebook.com/rapplerdotcom/photos/a.317154781638645/5594954703858600/")</f>
        <v>https://www.facebook.com/rapplerdotcom/photos/a.317154781638645/5594954703858600/</v>
      </c>
      <c r="J2060" s="1" t="str">
        <f ca="1">IFERROR(__xludf.DUMMYFUNCTION("""COMPUTED_VALUE"""),"2022-07-04T15:48:35.883Z")</f>
        <v>2022-07-04T15:48:35.883Z</v>
      </c>
    </row>
    <row r="2061" spans="1:10" x14ac:dyDescent="0.2">
      <c r="A2061" s="2" t="str">
        <f ca="1">IFERROR(__xludf.DUMMYFUNCTION("""COMPUTED_VALUE"""),"https://www.facebook.com/aldo.lavingu")</f>
        <v>https://www.facebook.com/aldo.lavingu</v>
      </c>
      <c r="B2061" s="1" t="str">
        <f ca="1">IFERROR(__xludf.DUMMYFUNCTION("""COMPUTED_VALUE"""),"Bho Lan Tiaw")</f>
        <v>Bho Lan Tiaw</v>
      </c>
      <c r="C2061" s="1" t="str">
        <f ca="1">IFERROR(__xludf.DUMMYFUNCTION("""COMPUTED_VALUE"""),"Bho")</f>
        <v>Bho</v>
      </c>
      <c r="D2061" s="1" t="str">
        <f ca="1">IFERROR(__xludf.DUMMYFUNCTION("""COMPUTED_VALUE"""),"Lan Tiaw")</f>
        <v>Lan Tiaw</v>
      </c>
      <c r="E2061" s="1" t="str">
        <f ca="1">IFERROR(__xludf.DUMMYFUNCTION("""COMPUTED_VALUE"""),"Edralin Reyes ai TABOGO ka pa din hangang ngayon.")</f>
        <v>Edralin Reyes ai TABOGO ka pa din hangang ngayon.</v>
      </c>
      <c r="F2061" s="1"/>
      <c r="G2061" s="1" t="str">
        <f ca="1">IFERROR(__xludf.DUMMYFUNCTION("""COMPUTED_VALUE"""),"3 mos")</f>
        <v>3 mos</v>
      </c>
      <c r="H2061" s="1" t="str">
        <f ca="1">IFERROR(__xludf.DUMMYFUNCTION("""COMPUTED_VALUE"""),"reply")</f>
        <v>reply</v>
      </c>
      <c r="I2061" s="2" t="str">
        <f ca="1">IFERROR(__xludf.DUMMYFUNCTION("""COMPUTED_VALUE"""),"https://www.facebook.com/rapplerdotcom/photos/a.317154781638645/5594954703858600/")</f>
        <v>https://www.facebook.com/rapplerdotcom/photos/a.317154781638645/5594954703858600/</v>
      </c>
      <c r="J2061" s="1" t="str">
        <f ca="1">IFERROR(__xludf.DUMMYFUNCTION("""COMPUTED_VALUE"""),"2022-07-04T15:48:35.883Z")</f>
        <v>2022-07-04T15:48:35.883Z</v>
      </c>
    </row>
    <row r="2062" spans="1:10" x14ac:dyDescent="0.2">
      <c r="A2062" s="2" t="str">
        <f ca="1">IFERROR(__xludf.DUMMYFUNCTION("""COMPUTED_VALUE"""),"https://www.facebook.com/sethestoy.montero")</f>
        <v>https://www.facebook.com/sethestoy.montero</v>
      </c>
      <c r="B2062" s="1" t="str">
        <f ca="1">IFERROR(__xludf.DUMMYFUNCTION("""COMPUTED_VALUE"""),"Seth Montero")</f>
        <v>Seth Montero</v>
      </c>
      <c r="C2062" s="1" t="str">
        <f ca="1">IFERROR(__xludf.DUMMYFUNCTION("""COMPUTED_VALUE"""),"Seth")</f>
        <v>Seth</v>
      </c>
      <c r="D2062" s="1" t="str">
        <f ca="1">IFERROR(__xludf.DUMMYFUNCTION("""COMPUTED_VALUE"""),"Montero")</f>
        <v>Montero</v>
      </c>
      <c r="E2062" s="1" t="str">
        <f ca="1">IFERROR(__xludf.DUMMYFUNCTION("""COMPUTED_VALUE"""),"ang supporters ni Mar nong 2016 election ganon din ang supporters ni Lenie eh si talo nanamam🤣🤣🤣")</f>
        <v>ang supporters ni Mar nong 2016 election ganon din ang supporters ni Lenie eh si talo nanamam🤣🤣🤣</v>
      </c>
      <c r="F2062" s="1"/>
      <c r="G2062" s="1" t="str">
        <f ca="1">IFERROR(__xludf.DUMMYFUNCTION("""COMPUTED_VALUE"""),"3 mos")</f>
        <v>3 mos</v>
      </c>
      <c r="H2062" s="1" t="str">
        <f ca="1">IFERROR(__xludf.DUMMYFUNCTION("""COMPUTED_VALUE"""),"reply")</f>
        <v>reply</v>
      </c>
      <c r="I2062" s="2" t="str">
        <f ca="1">IFERROR(__xludf.DUMMYFUNCTION("""COMPUTED_VALUE"""),"https://www.facebook.com/rapplerdotcom/photos/a.317154781638645/5594954703858600/")</f>
        <v>https://www.facebook.com/rapplerdotcom/photos/a.317154781638645/5594954703858600/</v>
      </c>
      <c r="J2062" s="1" t="str">
        <f ca="1">IFERROR(__xludf.DUMMYFUNCTION("""COMPUTED_VALUE"""),"2022-07-04T15:48:35.883Z")</f>
        <v>2022-07-04T15:48:35.883Z</v>
      </c>
    </row>
    <row r="2063" spans="1:10" x14ac:dyDescent="0.2">
      <c r="A2063" s="2" t="str">
        <f ca="1">IFERROR(__xludf.DUMMYFUNCTION("""COMPUTED_VALUE"""),"https://www.facebook.com/andrew.marfori.75")</f>
        <v>https://www.facebook.com/andrew.marfori.75</v>
      </c>
      <c r="B2063" s="1" t="str">
        <f ca="1">IFERROR(__xludf.DUMMYFUNCTION("""COMPUTED_VALUE"""),"Andrew Marfori")</f>
        <v>Andrew Marfori</v>
      </c>
      <c r="C2063" s="1" t="str">
        <f ca="1">IFERROR(__xludf.DUMMYFUNCTION("""COMPUTED_VALUE"""),"Andrew")</f>
        <v>Andrew</v>
      </c>
      <c r="D2063" s="1" t="str">
        <f ca="1">IFERROR(__xludf.DUMMYFUNCTION("""COMPUTED_VALUE"""),"Marfori")</f>
        <v>Marfori</v>
      </c>
      <c r="E2063" s="1" t="str">
        <f ca="1">IFERROR(__xludf.DUMMYFUNCTION("""COMPUTED_VALUE"""),"NoreenGrace Tigas De Paz hehehe ROXAS is AHAS hello YOLANDA")</f>
        <v>NoreenGrace Tigas De Paz hehehe ROXAS is AHAS hello YOLANDA</v>
      </c>
      <c r="F2063" s="1"/>
      <c r="G2063" s="1" t="str">
        <f ca="1">IFERROR(__xludf.DUMMYFUNCTION("""COMPUTED_VALUE"""),"3 mos")</f>
        <v>3 mos</v>
      </c>
      <c r="H2063" s="1" t="str">
        <f ca="1">IFERROR(__xludf.DUMMYFUNCTION("""COMPUTED_VALUE"""),"reply")</f>
        <v>reply</v>
      </c>
      <c r="I2063" s="2" t="str">
        <f ca="1">IFERROR(__xludf.DUMMYFUNCTION("""COMPUTED_VALUE"""),"https://www.facebook.com/rapplerdotcom/photos/a.317154781638645/5594954703858600/")</f>
        <v>https://www.facebook.com/rapplerdotcom/photos/a.317154781638645/5594954703858600/</v>
      </c>
      <c r="J2063" s="1" t="str">
        <f ca="1">IFERROR(__xludf.DUMMYFUNCTION("""COMPUTED_VALUE"""),"2022-07-04T15:48:35.883Z")</f>
        <v>2022-07-04T15:48:35.883Z</v>
      </c>
    </row>
    <row r="2064" spans="1:10" x14ac:dyDescent="0.2">
      <c r="A2064" s="2" t="str">
        <f ca="1">IFERROR(__xludf.DUMMYFUNCTION("""COMPUTED_VALUE"""),"https://www.facebook.com/mariaana.fontamillas")</f>
        <v>https://www.facebook.com/mariaana.fontamillas</v>
      </c>
      <c r="B2064" s="1" t="str">
        <f ca="1">IFERROR(__xludf.DUMMYFUNCTION("""COMPUTED_VALUE"""),"Maria Ana Fontamillas")</f>
        <v>Maria Ana Fontamillas</v>
      </c>
      <c r="C2064" s="1" t="str">
        <f ca="1">IFERROR(__xludf.DUMMYFUNCTION("""COMPUTED_VALUE"""),"Maria")</f>
        <v>Maria</v>
      </c>
      <c r="D2064" s="1" t="str">
        <f ca="1">IFERROR(__xludf.DUMMYFUNCTION("""COMPUTED_VALUE"""),"Ana Fontamillas")</f>
        <v>Ana Fontamillas</v>
      </c>
      <c r="E2064" s="1" t="str">
        <f ca="1">IFERROR(__xludf.DUMMYFUNCTION("""COMPUTED_VALUE"""),"🙋‍♀️ Sir Mar, 💟💟💟  Angat Buhay Lahat  PINK Power -Ipanalo NaTin Ito")</f>
        <v>🙋‍♀️ Sir Mar, 💟💟💟  Angat Buhay Lahat  PINK Power -Ipanalo NaTin Ito</v>
      </c>
      <c r="F2064" s="1">
        <f ca="1">IFERROR(__xludf.DUMMYFUNCTION("""COMPUTED_VALUE"""),34)</f>
        <v>34</v>
      </c>
      <c r="G2064" s="1" t="str">
        <f ca="1">IFERROR(__xludf.DUMMYFUNCTION("""COMPUTED_VALUE"""),"3 mos")</f>
        <v>3 mos</v>
      </c>
      <c r="H2064" s="1" t="str">
        <f ca="1">IFERROR(__xludf.DUMMYFUNCTION("""COMPUTED_VALUE"""),"comment")</f>
        <v>comment</v>
      </c>
      <c r="I2064" s="2" t="str">
        <f ca="1">IFERROR(__xludf.DUMMYFUNCTION("""COMPUTED_VALUE"""),"https://www.facebook.com/rapplerdotcom/photos/a.317154781638645/5594954703858600/")</f>
        <v>https://www.facebook.com/rapplerdotcom/photos/a.317154781638645/5594954703858600/</v>
      </c>
      <c r="J2064" s="1" t="str">
        <f ca="1">IFERROR(__xludf.DUMMYFUNCTION("""COMPUTED_VALUE"""),"2022-07-04T15:48:35.883Z")</f>
        <v>2022-07-04T15:48:35.883Z</v>
      </c>
    </row>
    <row r="2065" spans="1:10" x14ac:dyDescent="0.2">
      <c r="A2065" s="2" t="str">
        <f ca="1">IFERROR(__xludf.DUMMYFUNCTION("""COMPUTED_VALUE"""),"https://www.facebook.com/BraveHearT.Marzan")</f>
        <v>https://www.facebook.com/BraveHearT.Marzan</v>
      </c>
      <c r="B2065" s="1" t="str">
        <f ca="1">IFERROR(__xludf.DUMMYFUNCTION("""COMPUTED_VALUE"""),"Harry Rimorin Marzan")</f>
        <v>Harry Rimorin Marzan</v>
      </c>
      <c r="C2065" s="1" t="str">
        <f ca="1">IFERROR(__xludf.DUMMYFUNCTION("""COMPUTED_VALUE"""),"Harry")</f>
        <v>Harry</v>
      </c>
      <c r="D2065" s="1" t="str">
        <f ca="1">IFERROR(__xludf.DUMMYFUNCTION("""COMPUTED_VALUE"""),"Rimorin Marzan")</f>
        <v>Rimorin Marzan</v>
      </c>
      <c r="E2065" s="1" t="str">
        <f ca="1">IFERROR(__xludf.DUMMYFUNCTION("""COMPUTED_VALUE"""),"Maria Ana Fontamillas https://youtu.be/ryXnGhkKOl8")</f>
        <v>Maria Ana Fontamillas https://youtu.be/ryXnGhkKOl8</v>
      </c>
      <c r="F2065" s="1"/>
      <c r="G2065" s="1" t="str">
        <f ca="1">IFERROR(__xludf.DUMMYFUNCTION("""COMPUTED_VALUE"""),"3 mos")</f>
        <v>3 mos</v>
      </c>
      <c r="H2065" s="1" t="str">
        <f ca="1">IFERROR(__xludf.DUMMYFUNCTION("""COMPUTED_VALUE"""),"reply")</f>
        <v>reply</v>
      </c>
      <c r="I2065" s="2" t="str">
        <f ca="1">IFERROR(__xludf.DUMMYFUNCTION("""COMPUTED_VALUE"""),"https://www.facebook.com/rapplerdotcom/photos/a.317154781638645/5594954703858600/")</f>
        <v>https://www.facebook.com/rapplerdotcom/photos/a.317154781638645/5594954703858600/</v>
      </c>
      <c r="J2065" s="1" t="str">
        <f ca="1">IFERROR(__xludf.DUMMYFUNCTION("""COMPUTED_VALUE"""),"2022-07-04T15:48:35.883Z")</f>
        <v>2022-07-04T15:48:35.883Z</v>
      </c>
    </row>
    <row r="2066" spans="1:10" x14ac:dyDescent="0.2">
      <c r="A2066" s="2" t="str">
        <f ca="1">IFERROR(__xludf.DUMMYFUNCTION("""COMPUTED_VALUE"""),"https://www.facebook.com/BraveHearT.Marzan")</f>
        <v>https://www.facebook.com/BraveHearT.Marzan</v>
      </c>
      <c r="B2066" s="1" t="str">
        <f ca="1">IFERROR(__xludf.DUMMYFUNCTION("""COMPUTED_VALUE"""),"Harry Rimorin Marzan")</f>
        <v>Harry Rimorin Marzan</v>
      </c>
      <c r="C2066" s="1" t="str">
        <f ca="1">IFERROR(__xludf.DUMMYFUNCTION("""COMPUTED_VALUE"""),"Harry")</f>
        <v>Harry</v>
      </c>
      <c r="D2066" s="1" t="str">
        <f ca="1">IFERROR(__xludf.DUMMYFUNCTION("""COMPUTED_VALUE"""),"Rimorin Marzan")</f>
        <v>Rimorin Marzan</v>
      </c>
      <c r="E2066" s="1" t="str">
        <f ca="1">IFERROR(__xludf.DUMMYFUNCTION("""COMPUTED_VALUE"""),"Maria Ana Fontamillas https://youtu.be/0pqOd6CLaZo")</f>
        <v>Maria Ana Fontamillas https://youtu.be/0pqOd6CLaZo</v>
      </c>
      <c r="F2066" s="1"/>
      <c r="G2066" s="1" t="str">
        <f ca="1">IFERROR(__xludf.DUMMYFUNCTION("""COMPUTED_VALUE"""),"3 mos")</f>
        <v>3 mos</v>
      </c>
      <c r="H2066" s="1" t="str">
        <f ca="1">IFERROR(__xludf.DUMMYFUNCTION("""COMPUTED_VALUE"""),"reply")</f>
        <v>reply</v>
      </c>
      <c r="I2066" s="2" t="str">
        <f ca="1">IFERROR(__xludf.DUMMYFUNCTION("""COMPUTED_VALUE"""),"https://www.facebook.com/rapplerdotcom/photos/a.317154781638645/5594954703858600/")</f>
        <v>https://www.facebook.com/rapplerdotcom/photos/a.317154781638645/5594954703858600/</v>
      </c>
      <c r="J2066" s="1" t="str">
        <f ca="1">IFERROR(__xludf.DUMMYFUNCTION("""COMPUTED_VALUE"""),"2022-07-04T15:48:35.883Z")</f>
        <v>2022-07-04T15:48:35.883Z</v>
      </c>
    </row>
    <row r="2067" spans="1:10" x14ac:dyDescent="0.2">
      <c r="A2067" s="2" t="str">
        <f ca="1">IFERROR(__xludf.DUMMYFUNCTION("""COMPUTED_VALUE"""),"https://www.facebook.com/danilo.lansani.5")</f>
        <v>https://www.facebook.com/danilo.lansani.5</v>
      </c>
      <c r="B2067" s="1" t="str">
        <f ca="1">IFERROR(__xludf.DUMMYFUNCTION("""COMPUTED_VALUE"""),"Danilo Lansani")</f>
        <v>Danilo Lansani</v>
      </c>
      <c r="C2067" s="1" t="str">
        <f ca="1">IFERROR(__xludf.DUMMYFUNCTION("""COMPUTED_VALUE"""),"Danilo")</f>
        <v>Danilo</v>
      </c>
      <c r="D2067" s="1" t="str">
        <f ca="1">IFERROR(__xludf.DUMMYFUNCTION("""COMPUTED_VALUE"""),"Lansani")</f>
        <v>Lansani</v>
      </c>
      <c r="E2067" s="1" t="str">
        <f ca="1">IFERROR(__xludf.DUMMYFUNCTION("""COMPUTED_VALUE"""),"Maria Ana Fontamillas kawatan sa YULANDA!")</f>
        <v>Maria Ana Fontamillas kawatan sa YULANDA!</v>
      </c>
      <c r="F2067" s="1"/>
      <c r="G2067" s="1" t="str">
        <f ca="1">IFERROR(__xludf.DUMMYFUNCTION("""COMPUTED_VALUE"""),"3 mos")</f>
        <v>3 mos</v>
      </c>
      <c r="H2067" s="1" t="str">
        <f ca="1">IFERROR(__xludf.DUMMYFUNCTION("""COMPUTED_VALUE"""),"reply")</f>
        <v>reply</v>
      </c>
      <c r="I2067" s="2" t="str">
        <f ca="1">IFERROR(__xludf.DUMMYFUNCTION("""COMPUTED_VALUE"""),"https://www.facebook.com/rapplerdotcom/photos/a.317154781638645/5594954703858600/")</f>
        <v>https://www.facebook.com/rapplerdotcom/photos/a.317154781638645/5594954703858600/</v>
      </c>
      <c r="J2067" s="1" t="str">
        <f ca="1">IFERROR(__xludf.DUMMYFUNCTION("""COMPUTED_VALUE"""),"2022-07-04T15:48:35.883Z")</f>
        <v>2022-07-04T15:48:35.883Z</v>
      </c>
    </row>
    <row r="2068" spans="1:10" x14ac:dyDescent="0.2">
      <c r="A2068" s="2" t="str">
        <f ca="1">IFERROR(__xludf.DUMMYFUNCTION("""COMPUTED_VALUE"""),"https://www.facebook.com/profile.php?id=100011150311111")</f>
        <v>https://www.facebook.com/profile.php?id=100011150311111</v>
      </c>
      <c r="B2068" s="1" t="str">
        <f ca="1">IFERROR(__xludf.DUMMYFUNCTION("""COMPUTED_VALUE"""),"Kristoff O. Emit")</f>
        <v>Kristoff O. Emit</v>
      </c>
      <c r="C2068" s="1" t="str">
        <f ca="1">IFERROR(__xludf.DUMMYFUNCTION("""COMPUTED_VALUE"""),"Kristoff")</f>
        <v>Kristoff</v>
      </c>
      <c r="D2068" s="1" t="str">
        <f ca="1">IFERROR(__xludf.DUMMYFUNCTION("""COMPUTED_VALUE"""),"O. Emit")</f>
        <v>O. Emit</v>
      </c>
      <c r="E2068" s="1" t="str">
        <f ca="1">IFERROR(__xludf.DUMMYFUNCTION("""COMPUTED_VALUE"""),"Danilo Lansani meron risibo?")</f>
        <v>Danilo Lansani meron risibo?</v>
      </c>
      <c r="F2068" s="1">
        <f ca="1">IFERROR(__xludf.DUMMYFUNCTION("""COMPUTED_VALUE"""),1)</f>
        <v>1</v>
      </c>
      <c r="G2068" s="1" t="str">
        <f ca="1">IFERROR(__xludf.DUMMYFUNCTION("""COMPUTED_VALUE"""),"3 mos")</f>
        <v>3 mos</v>
      </c>
      <c r="H2068" s="1" t="str">
        <f ca="1">IFERROR(__xludf.DUMMYFUNCTION("""COMPUTED_VALUE"""),"reply")</f>
        <v>reply</v>
      </c>
      <c r="I2068" s="2" t="str">
        <f ca="1">IFERROR(__xludf.DUMMYFUNCTION("""COMPUTED_VALUE"""),"https://www.facebook.com/rapplerdotcom/photos/a.317154781638645/5594954703858600/")</f>
        <v>https://www.facebook.com/rapplerdotcom/photos/a.317154781638645/5594954703858600/</v>
      </c>
      <c r="J2068" s="1" t="str">
        <f ca="1">IFERROR(__xludf.DUMMYFUNCTION("""COMPUTED_VALUE"""),"2022-07-04T15:48:35.883Z")</f>
        <v>2022-07-04T15:48:35.883Z</v>
      </c>
    </row>
    <row r="2069" spans="1:10" x14ac:dyDescent="0.2">
      <c r="A2069" s="2" t="str">
        <f ca="1">IFERROR(__xludf.DUMMYFUNCTION("""COMPUTED_VALUE"""),"https://www.facebook.com/genesis.gardiano")</f>
        <v>https://www.facebook.com/genesis.gardiano</v>
      </c>
      <c r="B2069" s="1" t="str">
        <f ca="1">IFERROR(__xludf.DUMMYFUNCTION("""COMPUTED_VALUE"""),"Genesis Gardiano")</f>
        <v>Genesis Gardiano</v>
      </c>
      <c r="C2069" s="1" t="str">
        <f ca="1">IFERROR(__xludf.DUMMYFUNCTION("""COMPUTED_VALUE"""),"Genesis")</f>
        <v>Genesis</v>
      </c>
      <c r="D2069" s="1" t="str">
        <f ca="1">IFERROR(__xludf.DUMMYFUNCTION("""COMPUTED_VALUE"""),"Gardiano")</f>
        <v>Gardiano</v>
      </c>
      <c r="E2069" s="1" t="str">
        <f ca="1">IFERROR(__xludf.DUMMYFUNCTION("""COMPUTED_VALUE"""),"Maria Ana Fontamillas Angat buhay daw,tlga ga ba 😂..?????")</f>
        <v>Maria Ana Fontamillas Angat buhay daw,tlga ga ba 😂..?????</v>
      </c>
      <c r="F2069" s="1"/>
      <c r="G2069" s="1" t="str">
        <f ca="1">IFERROR(__xludf.DUMMYFUNCTION("""COMPUTED_VALUE"""),"3 mos")</f>
        <v>3 mos</v>
      </c>
      <c r="H2069" s="1" t="str">
        <f ca="1">IFERROR(__xludf.DUMMYFUNCTION("""COMPUTED_VALUE"""),"reply")</f>
        <v>reply</v>
      </c>
      <c r="I2069" s="2" t="str">
        <f ca="1">IFERROR(__xludf.DUMMYFUNCTION("""COMPUTED_VALUE"""),"https://www.facebook.com/rapplerdotcom/photos/a.317154781638645/5594954703858600/")</f>
        <v>https://www.facebook.com/rapplerdotcom/photos/a.317154781638645/5594954703858600/</v>
      </c>
      <c r="J2069" s="1" t="str">
        <f ca="1">IFERROR(__xludf.DUMMYFUNCTION("""COMPUTED_VALUE"""),"2022-07-04T15:48:35.883Z")</f>
        <v>2022-07-04T15:48:35.883Z</v>
      </c>
    </row>
    <row r="2070" spans="1:10" x14ac:dyDescent="0.2">
      <c r="A2070" s="2" t="str">
        <f ca="1">IFERROR(__xludf.DUMMYFUNCTION("""COMPUTED_VALUE"""),"https://www.facebook.com/aldo.lavingu")</f>
        <v>https://www.facebook.com/aldo.lavingu</v>
      </c>
      <c r="B2070" s="1" t="str">
        <f ca="1">IFERROR(__xludf.DUMMYFUNCTION("""COMPUTED_VALUE"""),"Bho Lan Tiaw")</f>
        <v>Bho Lan Tiaw</v>
      </c>
      <c r="C2070" s="1" t="str">
        <f ca="1">IFERROR(__xludf.DUMMYFUNCTION("""COMPUTED_VALUE"""),"Bho")</f>
        <v>Bho</v>
      </c>
      <c r="D2070" s="1" t="str">
        <f ca="1">IFERROR(__xludf.DUMMYFUNCTION("""COMPUTED_VALUE"""),"Lan Tiaw")</f>
        <v>Lan Tiaw</v>
      </c>
      <c r="E2070" s="1" t="str">
        <f ca="1">IFERROR(__xludf.DUMMYFUNCTION("""COMPUTED_VALUE"""),"Danilo Lansani 2022 na TABOGO ka pa din hangang ngayon, malaki na TAMA mo.")</f>
        <v>Danilo Lansani 2022 na TABOGO ka pa din hangang ngayon, malaki na TAMA mo.</v>
      </c>
      <c r="F2070" s="1"/>
      <c r="G2070" s="1" t="str">
        <f ca="1">IFERROR(__xludf.DUMMYFUNCTION("""COMPUTED_VALUE"""),"3 mos")</f>
        <v>3 mos</v>
      </c>
      <c r="H2070" s="1" t="str">
        <f ca="1">IFERROR(__xludf.DUMMYFUNCTION("""COMPUTED_VALUE"""),"reply")</f>
        <v>reply</v>
      </c>
      <c r="I2070" s="2" t="str">
        <f ca="1">IFERROR(__xludf.DUMMYFUNCTION("""COMPUTED_VALUE"""),"https://www.facebook.com/rapplerdotcom/photos/a.317154781638645/5594954703858600/")</f>
        <v>https://www.facebook.com/rapplerdotcom/photos/a.317154781638645/5594954703858600/</v>
      </c>
      <c r="J2070" s="1" t="str">
        <f ca="1">IFERROR(__xludf.DUMMYFUNCTION("""COMPUTED_VALUE"""),"2022-07-04T15:48:35.883Z")</f>
        <v>2022-07-04T15:48:35.883Z</v>
      </c>
    </row>
    <row r="2071" spans="1:10" x14ac:dyDescent="0.2">
      <c r="A2071" s="2" t="str">
        <f ca="1">IFERROR(__xludf.DUMMYFUNCTION("""COMPUTED_VALUE"""),"https://www.facebook.com/aldo.lavingu")</f>
        <v>https://www.facebook.com/aldo.lavingu</v>
      </c>
      <c r="B2071" s="1" t="str">
        <f ca="1">IFERROR(__xludf.DUMMYFUNCTION("""COMPUTED_VALUE"""),"Bho Lan Tiaw")</f>
        <v>Bho Lan Tiaw</v>
      </c>
      <c r="C2071" s="1" t="str">
        <f ca="1">IFERROR(__xludf.DUMMYFUNCTION("""COMPUTED_VALUE"""),"Bho")</f>
        <v>Bho</v>
      </c>
      <c r="D2071" s="1" t="str">
        <f ca="1">IFERROR(__xludf.DUMMYFUNCTION("""COMPUTED_VALUE"""),"Lan Tiaw")</f>
        <v>Lan Tiaw</v>
      </c>
      <c r="E2071" s="1" t="str">
        <f ca="1">IFERROR(__xludf.DUMMYFUNCTION("""COMPUTED_VALUE"""),"Harry Rimorin Marzan dyai ti banger uki ni nam.")</f>
        <v>Harry Rimorin Marzan dyai ti banger uki ni nam.</v>
      </c>
      <c r="F2071" s="1"/>
      <c r="G2071" s="1" t="str">
        <f ca="1">IFERROR(__xludf.DUMMYFUNCTION("""COMPUTED_VALUE"""),"3 mos")</f>
        <v>3 mos</v>
      </c>
      <c r="H2071" s="1" t="str">
        <f ca="1">IFERROR(__xludf.DUMMYFUNCTION("""COMPUTED_VALUE"""),"reply")</f>
        <v>reply</v>
      </c>
      <c r="I2071" s="2" t="str">
        <f ca="1">IFERROR(__xludf.DUMMYFUNCTION("""COMPUTED_VALUE"""),"https://www.facebook.com/rapplerdotcom/photos/a.317154781638645/5594954703858600/")</f>
        <v>https://www.facebook.com/rapplerdotcom/photos/a.317154781638645/5594954703858600/</v>
      </c>
      <c r="J2071" s="1" t="str">
        <f ca="1">IFERROR(__xludf.DUMMYFUNCTION("""COMPUTED_VALUE"""),"2022-07-04T15:48:35.883Z")</f>
        <v>2022-07-04T15:48:35.883Z</v>
      </c>
    </row>
    <row r="2072" spans="1:10" x14ac:dyDescent="0.2">
      <c r="A2072" s="2" t="str">
        <f ca="1">IFERROR(__xludf.DUMMYFUNCTION("""COMPUTED_VALUE"""),"https://www.facebook.com/aldo.lavingu")</f>
        <v>https://www.facebook.com/aldo.lavingu</v>
      </c>
      <c r="B2072" s="1" t="str">
        <f ca="1">IFERROR(__xludf.DUMMYFUNCTION("""COMPUTED_VALUE"""),"Bho Lan Tiaw")</f>
        <v>Bho Lan Tiaw</v>
      </c>
      <c r="C2072" s="1" t="str">
        <f ca="1">IFERROR(__xludf.DUMMYFUNCTION("""COMPUTED_VALUE"""),"Bho")</f>
        <v>Bho</v>
      </c>
      <c r="D2072" s="1" t="str">
        <f ca="1">IFERROR(__xludf.DUMMYFUNCTION("""COMPUTED_VALUE"""),"Lan Tiaw")</f>
        <v>Lan Tiaw</v>
      </c>
      <c r="E2072" s="1" t="str">
        <f ca="1">IFERROR(__xludf.DUMMYFUNCTION("""COMPUTED_VALUE"""),"Genesis Gardiano TABOGO o Troll.")</f>
        <v>Genesis Gardiano TABOGO o Troll.</v>
      </c>
      <c r="F2072" s="1"/>
      <c r="G2072" s="1" t="str">
        <f ca="1">IFERROR(__xludf.DUMMYFUNCTION("""COMPUTED_VALUE"""),"3 mos")</f>
        <v>3 mos</v>
      </c>
      <c r="H2072" s="1" t="str">
        <f ca="1">IFERROR(__xludf.DUMMYFUNCTION("""COMPUTED_VALUE"""),"reply")</f>
        <v>reply</v>
      </c>
      <c r="I2072" s="2" t="str">
        <f ca="1">IFERROR(__xludf.DUMMYFUNCTION("""COMPUTED_VALUE"""),"https://www.facebook.com/rapplerdotcom/photos/a.317154781638645/5594954703858600/")</f>
        <v>https://www.facebook.com/rapplerdotcom/photos/a.317154781638645/5594954703858600/</v>
      </c>
      <c r="J2072" s="1" t="str">
        <f ca="1">IFERROR(__xludf.DUMMYFUNCTION("""COMPUTED_VALUE"""),"2022-07-04T15:48:35.883Z")</f>
        <v>2022-07-04T15:48:35.883Z</v>
      </c>
    </row>
    <row r="2073" spans="1:10" x14ac:dyDescent="0.2">
      <c r="A2073" s="2" t="str">
        <f ca="1">IFERROR(__xludf.DUMMYFUNCTION("""COMPUTED_VALUE"""),"https://www.facebook.com/pureza.q.dy")</f>
        <v>https://www.facebook.com/pureza.q.dy</v>
      </c>
      <c r="B2073" s="1" t="str">
        <f ca="1">IFERROR(__xludf.DUMMYFUNCTION("""COMPUTED_VALUE"""),"Pureza Querol Dy")</f>
        <v>Pureza Querol Dy</v>
      </c>
      <c r="C2073" s="1" t="str">
        <f ca="1">IFERROR(__xludf.DUMMYFUNCTION("""COMPUTED_VALUE"""),"Pureza")</f>
        <v>Pureza</v>
      </c>
      <c r="D2073" s="1" t="str">
        <f ca="1">IFERROR(__xludf.DUMMYFUNCTION("""COMPUTED_VALUE"""),"Querol Dy")</f>
        <v>Querol Dy</v>
      </c>
      <c r="E2073" s="1" t="str">
        <f ca="1">IFERROR(__xludf.DUMMYFUNCTION("""COMPUTED_VALUE"""),"Kristoff O. Emit di na kailangan ang resibo")</f>
        <v>Kristoff O. Emit di na kailangan ang resibo</v>
      </c>
      <c r="F2073" s="1"/>
      <c r="G2073" s="1" t="str">
        <f ca="1">IFERROR(__xludf.DUMMYFUNCTION("""COMPUTED_VALUE"""),"3 mos")</f>
        <v>3 mos</v>
      </c>
      <c r="H2073" s="1" t="str">
        <f ca="1">IFERROR(__xludf.DUMMYFUNCTION("""COMPUTED_VALUE"""),"reply")</f>
        <v>reply</v>
      </c>
      <c r="I2073" s="2" t="str">
        <f ca="1">IFERROR(__xludf.DUMMYFUNCTION("""COMPUTED_VALUE"""),"https://www.facebook.com/rapplerdotcom/photos/a.317154781638645/5594954703858600/")</f>
        <v>https://www.facebook.com/rapplerdotcom/photos/a.317154781638645/5594954703858600/</v>
      </c>
      <c r="J2073" s="1" t="str">
        <f ca="1">IFERROR(__xludf.DUMMYFUNCTION("""COMPUTED_VALUE"""),"2022-07-04T15:48:35.883Z")</f>
        <v>2022-07-04T15:48:35.883Z</v>
      </c>
    </row>
    <row r="2074" spans="1:10" x14ac:dyDescent="0.2">
      <c r="A2074" s="2" t="str">
        <f ca="1">IFERROR(__xludf.DUMMYFUNCTION("""COMPUTED_VALUE"""),"https://www.facebook.com/frank.chavez.161")</f>
        <v>https://www.facebook.com/frank.chavez.161</v>
      </c>
      <c r="B2074" s="1" t="str">
        <f ca="1">IFERROR(__xludf.DUMMYFUNCTION("""COMPUTED_VALUE"""),"Frank Chavez")</f>
        <v>Frank Chavez</v>
      </c>
      <c r="C2074" s="1" t="str">
        <f ca="1">IFERROR(__xludf.DUMMYFUNCTION("""COMPUTED_VALUE"""),"Frank")</f>
        <v>Frank</v>
      </c>
      <c r="D2074" s="1" t="str">
        <f ca="1">IFERROR(__xludf.DUMMYFUNCTION("""COMPUTED_VALUE"""),"Chavez")</f>
        <v>Chavez</v>
      </c>
      <c r="E2074" s="1" t="str">
        <f ca="1">IFERROR(__xludf.DUMMYFUNCTION("""COMPUTED_VALUE"""),"Maria Ana Fontamillas roxas is green balimbing")</f>
        <v>Maria Ana Fontamillas roxas is green balimbing</v>
      </c>
      <c r="F2074" s="1"/>
      <c r="G2074" s="1" t="str">
        <f ca="1">IFERROR(__xludf.DUMMYFUNCTION("""COMPUTED_VALUE"""),"3 mos")</f>
        <v>3 mos</v>
      </c>
      <c r="H2074" s="1" t="str">
        <f ca="1">IFERROR(__xludf.DUMMYFUNCTION("""COMPUTED_VALUE"""),"reply")</f>
        <v>reply</v>
      </c>
      <c r="I2074" s="2" t="str">
        <f ca="1">IFERROR(__xludf.DUMMYFUNCTION("""COMPUTED_VALUE"""),"https://www.facebook.com/rapplerdotcom/photos/a.317154781638645/5594954703858600/")</f>
        <v>https://www.facebook.com/rapplerdotcom/photos/a.317154781638645/5594954703858600/</v>
      </c>
      <c r="J2074" s="1" t="str">
        <f ca="1">IFERROR(__xludf.DUMMYFUNCTION("""COMPUTED_VALUE"""),"2022-07-04T15:48:35.883Z")</f>
        <v>2022-07-04T15:48:35.883Z</v>
      </c>
    </row>
    <row r="2075" spans="1:10" x14ac:dyDescent="0.2">
      <c r="A2075" s="2" t="str">
        <f ca="1">IFERROR(__xludf.DUMMYFUNCTION("""COMPUTED_VALUE"""),"https://www.facebook.com/sethestoy.montero")</f>
        <v>https://www.facebook.com/sethestoy.montero</v>
      </c>
      <c r="B2075" s="1" t="str">
        <f ca="1">IFERROR(__xludf.DUMMYFUNCTION("""COMPUTED_VALUE"""),"Seth Montero")</f>
        <v>Seth Montero</v>
      </c>
      <c r="C2075" s="1" t="str">
        <f ca="1">IFERROR(__xludf.DUMMYFUNCTION("""COMPUTED_VALUE"""),"Seth")</f>
        <v>Seth</v>
      </c>
      <c r="D2075" s="1" t="str">
        <f ca="1">IFERROR(__xludf.DUMMYFUNCTION("""COMPUTED_VALUE"""),"Montero")</f>
        <v>Montero</v>
      </c>
      <c r="E2075" s="1" t="str">
        <f ca="1">IFERROR(__xludf.DUMMYFUNCTION("""COMPUTED_VALUE"""),"Maria Ana Fontamillas malas yan si mar. di nga nanalo yan noong 2016🤣🤣🤣🤣")</f>
        <v>Maria Ana Fontamillas malas yan si mar. di nga nanalo yan noong 2016🤣🤣🤣🤣</v>
      </c>
      <c r="F2075" s="1"/>
      <c r="G2075" s="1" t="str">
        <f ca="1">IFERROR(__xludf.DUMMYFUNCTION("""COMPUTED_VALUE"""),"3 mos")</f>
        <v>3 mos</v>
      </c>
      <c r="H2075" s="1" t="str">
        <f ca="1">IFERROR(__xludf.DUMMYFUNCTION("""COMPUTED_VALUE"""),"reply")</f>
        <v>reply</v>
      </c>
      <c r="I2075" s="2" t="str">
        <f ca="1">IFERROR(__xludf.DUMMYFUNCTION("""COMPUTED_VALUE"""),"https://www.facebook.com/rapplerdotcom/photos/a.317154781638645/5594954703858600/")</f>
        <v>https://www.facebook.com/rapplerdotcom/photos/a.317154781638645/5594954703858600/</v>
      </c>
      <c r="J2075" s="1" t="str">
        <f ca="1">IFERROR(__xludf.DUMMYFUNCTION("""COMPUTED_VALUE"""),"2022-07-04T15:48:35.883Z")</f>
        <v>2022-07-04T15:48:35.883Z</v>
      </c>
    </row>
    <row r="2076" spans="1:10" x14ac:dyDescent="0.2">
      <c r="A2076" s="2" t="str">
        <f ca="1">IFERROR(__xludf.DUMMYFUNCTION("""COMPUTED_VALUE"""),"https://www.facebook.com/lon.makinano.94")</f>
        <v>https://www.facebook.com/lon.makinano.94</v>
      </c>
      <c r="B2076" s="1" t="str">
        <f ca="1">IFERROR(__xludf.DUMMYFUNCTION("""COMPUTED_VALUE"""),"Lon Makinano")</f>
        <v>Lon Makinano</v>
      </c>
      <c r="C2076" s="1" t="str">
        <f ca="1">IFERROR(__xludf.DUMMYFUNCTION("""COMPUTED_VALUE"""),"Lon")</f>
        <v>Lon</v>
      </c>
      <c r="D2076" s="1" t="str">
        <f ca="1">IFERROR(__xludf.DUMMYFUNCTION("""COMPUTED_VALUE"""),"Makinano")</f>
        <v>Makinano</v>
      </c>
      <c r="E2076" s="1" t="str">
        <f ca="1">IFERROR(__xludf.DUMMYFUNCTION("""COMPUTED_VALUE"""),"Wag na kayong mag hanap nang asenso dahil mismo kayo ayaw umasenso ang Pinas.Sana sama na lang tayong kumapit sa patalim at patuloy na iboto ang gusto nyong politician para mas lalo silang yumaman habang tayo patay gutom.")</f>
        <v>Wag na kayong mag hanap nang asenso dahil mismo kayo ayaw umasenso ang Pinas.Sana sama na lang tayong kumapit sa patalim at patuloy na iboto ang gusto nyong politician para mas lalo silang yumaman habang tayo patay gutom.</v>
      </c>
      <c r="F2076" s="1"/>
      <c r="G2076" s="1" t="str">
        <f ca="1">IFERROR(__xludf.DUMMYFUNCTION("""COMPUTED_VALUE"""),"3 mos")</f>
        <v>3 mos</v>
      </c>
      <c r="H2076" s="1" t="str">
        <f ca="1">IFERROR(__xludf.DUMMYFUNCTION("""COMPUTED_VALUE"""),"comment")</f>
        <v>comment</v>
      </c>
      <c r="I2076" s="2" t="str">
        <f ca="1">IFERROR(__xludf.DUMMYFUNCTION("""COMPUTED_VALUE"""),"https://www.facebook.com/rapplerdotcom/photos/a.317154781638645/5594954703858600/")</f>
        <v>https://www.facebook.com/rapplerdotcom/photos/a.317154781638645/5594954703858600/</v>
      </c>
      <c r="J2076" s="1" t="str">
        <f ca="1">IFERROR(__xludf.DUMMYFUNCTION("""COMPUTED_VALUE"""),"2022-07-04T15:48:35.883Z")</f>
        <v>2022-07-04T15:48:35.883Z</v>
      </c>
    </row>
    <row r="2077" spans="1:10" x14ac:dyDescent="0.2">
      <c r="A2077" s="2" t="str">
        <f ca="1">IFERROR(__xludf.DUMMYFUNCTION("""COMPUTED_VALUE"""),"https://www.facebook.com/augustus.diaz.77")</f>
        <v>https://www.facebook.com/augustus.diaz.77</v>
      </c>
      <c r="B2077" s="1" t="str">
        <f ca="1">IFERROR(__xludf.DUMMYFUNCTION("""COMPUTED_VALUE"""),"Augustus Diaz")</f>
        <v>Augustus Diaz</v>
      </c>
      <c r="C2077" s="1" t="str">
        <f ca="1">IFERROR(__xludf.DUMMYFUNCTION("""COMPUTED_VALUE"""),"Augustus")</f>
        <v>Augustus</v>
      </c>
      <c r="D2077" s="1" t="str">
        <f ca="1">IFERROR(__xludf.DUMMYFUNCTION("""COMPUTED_VALUE"""),"Diaz")</f>
        <v>Diaz</v>
      </c>
      <c r="E2077" s="1" t="str">
        <f ca="1">IFERROR(__xludf.DUMMYFUNCTION("""COMPUTED_VALUE"""),"Uyy si marimar.. Nagsisilabasan na lahat pati walang kwentang tao para lang makahabol sa surveys.😂😂😂")</f>
        <v>Uyy si marimar.. Nagsisilabasan na lahat pati walang kwentang tao para lang makahabol sa surveys.😂😂😂</v>
      </c>
      <c r="F2077" s="1">
        <f ca="1">IFERROR(__xludf.DUMMYFUNCTION("""COMPUTED_VALUE"""),2)</f>
        <v>2</v>
      </c>
      <c r="G2077" s="1" t="str">
        <f ca="1">IFERROR(__xludf.DUMMYFUNCTION("""COMPUTED_VALUE"""),"3 mos")</f>
        <v>3 mos</v>
      </c>
      <c r="H2077" s="1" t="str">
        <f ca="1">IFERROR(__xludf.DUMMYFUNCTION("""COMPUTED_VALUE"""),"comment")</f>
        <v>comment</v>
      </c>
      <c r="I2077" s="2" t="str">
        <f ca="1">IFERROR(__xludf.DUMMYFUNCTION("""COMPUTED_VALUE"""),"https://www.facebook.com/rapplerdotcom/photos/a.317154781638645/5594954703858600/")</f>
        <v>https://www.facebook.com/rapplerdotcom/photos/a.317154781638645/5594954703858600/</v>
      </c>
      <c r="J2077" s="1" t="str">
        <f ca="1">IFERROR(__xludf.DUMMYFUNCTION("""COMPUTED_VALUE"""),"2022-07-04T15:48:35.883Z")</f>
        <v>2022-07-04T15:48:35.883Z</v>
      </c>
    </row>
    <row r="2078" spans="1:10" x14ac:dyDescent="0.2">
      <c r="A2078" s="2" t="str">
        <f ca="1">IFERROR(__xludf.DUMMYFUNCTION("""COMPUTED_VALUE"""),"https://www.facebook.com/augustus.diaz.77")</f>
        <v>https://www.facebook.com/augustus.diaz.77</v>
      </c>
      <c r="B2078" s="1" t="str">
        <f ca="1">IFERROR(__xludf.DUMMYFUNCTION("""COMPUTED_VALUE"""),"Augustus Diaz")</f>
        <v>Augustus Diaz</v>
      </c>
      <c r="C2078" s="1" t="str">
        <f ca="1">IFERROR(__xludf.DUMMYFUNCTION("""COMPUTED_VALUE"""),"Augustus")</f>
        <v>Augustus</v>
      </c>
      <c r="D2078" s="1" t="str">
        <f ca="1">IFERROR(__xludf.DUMMYFUNCTION("""COMPUTED_VALUE"""),"Diaz")</f>
        <v>Diaz</v>
      </c>
      <c r="E2078" s="1" t="str">
        <f ca="1">IFERROR(__xludf.DUMMYFUNCTION("""COMPUTED_VALUE"""),"Angel Po masakit ba ang katotohanan???")</f>
        <v>Angel Po masakit ba ang katotohanan???</v>
      </c>
      <c r="F2078" s="1"/>
      <c r="G2078" s="1" t="str">
        <f ca="1">IFERROR(__xludf.DUMMYFUNCTION("""COMPUTED_VALUE"""),"3 mos")</f>
        <v>3 mos</v>
      </c>
      <c r="H2078" s="1" t="str">
        <f ca="1">IFERROR(__xludf.DUMMYFUNCTION("""COMPUTED_VALUE"""),"reply")</f>
        <v>reply</v>
      </c>
      <c r="I2078" s="2" t="str">
        <f ca="1">IFERROR(__xludf.DUMMYFUNCTION("""COMPUTED_VALUE"""),"https://www.facebook.com/rapplerdotcom/photos/a.317154781638645/5594954703858600/")</f>
        <v>https://www.facebook.com/rapplerdotcom/photos/a.317154781638645/5594954703858600/</v>
      </c>
      <c r="J2078" s="1" t="str">
        <f ca="1">IFERROR(__xludf.DUMMYFUNCTION("""COMPUTED_VALUE"""),"2022-07-04T15:48:35.883Z")</f>
        <v>2022-07-04T15:48:35.883Z</v>
      </c>
    </row>
    <row r="2079" spans="1:10" x14ac:dyDescent="0.2">
      <c r="A2079" s="2" t="str">
        <f ca="1">IFERROR(__xludf.DUMMYFUNCTION("""COMPUTED_VALUE"""),"https://www.facebook.com/awin.calderon")</f>
        <v>https://www.facebook.com/awin.calderon</v>
      </c>
      <c r="B2079" s="1" t="str">
        <f ca="1">IFERROR(__xludf.DUMMYFUNCTION("""COMPUTED_VALUE"""),"Awin Calderon")</f>
        <v>Awin Calderon</v>
      </c>
      <c r="C2079" s="1" t="str">
        <f ca="1">IFERROR(__xludf.DUMMYFUNCTION("""COMPUTED_VALUE"""),"Awin")</f>
        <v>Awin</v>
      </c>
      <c r="D2079" s="1" t="str">
        <f ca="1">IFERROR(__xludf.DUMMYFUNCTION("""COMPUTED_VALUE"""),"Calderon")</f>
        <v>Calderon</v>
      </c>
      <c r="E2079" s="1" t="str">
        <f ca="1">IFERROR(__xludf.DUMMYFUNCTION("""COMPUTED_VALUE"""),"Angel Po  2,400 correspondents vs 64Million voters 😂  paki sabe kay  kuya  2,400 lang ang tinanong  wag  siya shushunga  Shunga ni di  nga natin alam  kung sino yung mga tinanong")</f>
        <v>Angel Po  2,400 correspondents vs 64Million voters 😂  paki sabe kay  kuya  2,400 lang ang tinanong  wag  siya shushunga  Shunga ni di  nga natin alam  kung sino yung mga tinanong</v>
      </c>
      <c r="F2079" s="1"/>
      <c r="G2079" s="1" t="str">
        <f ca="1">IFERROR(__xludf.DUMMYFUNCTION("""COMPUTED_VALUE"""),"3 mos")</f>
        <v>3 mos</v>
      </c>
      <c r="H2079" s="1" t="str">
        <f ca="1">IFERROR(__xludf.DUMMYFUNCTION("""COMPUTED_VALUE"""),"reply")</f>
        <v>reply</v>
      </c>
      <c r="I2079" s="2" t="str">
        <f ca="1">IFERROR(__xludf.DUMMYFUNCTION("""COMPUTED_VALUE"""),"https://www.facebook.com/rapplerdotcom/photos/a.317154781638645/5594954703858600/")</f>
        <v>https://www.facebook.com/rapplerdotcom/photos/a.317154781638645/5594954703858600/</v>
      </c>
      <c r="J2079" s="1" t="str">
        <f ca="1">IFERROR(__xludf.DUMMYFUNCTION("""COMPUTED_VALUE"""),"2022-07-04T15:48:35.883Z")</f>
        <v>2022-07-04T15:48:35.883Z</v>
      </c>
    </row>
    <row r="2080" spans="1:10" x14ac:dyDescent="0.2">
      <c r="A2080" s="2" t="str">
        <f ca="1">IFERROR(__xludf.DUMMYFUNCTION("""COMPUTED_VALUE"""),"https://www.facebook.com/merlaflores.bendicion")</f>
        <v>https://www.facebook.com/merlaflores.bendicion</v>
      </c>
      <c r="B2080" s="1" t="str">
        <f ca="1">IFERROR(__xludf.DUMMYFUNCTION("""COMPUTED_VALUE"""),"Merla Flores Bendicion")</f>
        <v>Merla Flores Bendicion</v>
      </c>
      <c r="C2080" s="1" t="str">
        <f ca="1">IFERROR(__xludf.DUMMYFUNCTION("""COMPUTED_VALUE"""),"Merla")</f>
        <v>Merla</v>
      </c>
      <c r="D2080" s="1" t="str">
        <f ca="1">IFERROR(__xludf.DUMMYFUNCTION("""COMPUTED_VALUE"""),"Flores Bendicion")</f>
        <v>Flores Bendicion</v>
      </c>
      <c r="E2080" s="1" t="str">
        <f ca="1">IFERROR(__xludf.DUMMYFUNCTION("""COMPUTED_VALUE"""),"Thank you Mar Roxas  i vote for you as my President last 2016.")</f>
        <v>Thank you Mar Roxas  i vote for you as my President last 2016.</v>
      </c>
      <c r="F2080" s="1">
        <f ca="1">IFERROR(__xludf.DUMMYFUNCTION("""COMPUTED_VALUE"""),1)</f>
        <v>1</v>
      </c>
      <c r="G2080" s="1" t="str">
        <f ca="1">IFERROR(__xludf.DUMMYFUNCTION("""COMPUTED_VALUE"""),"3 mos")</f>
        <v>3 mos</v>
      </c>
      <c r="H2080" s="1" t="str">
        <f ca="1">IFERROR(__xludf.DUMMYFUNCTION("""COMPUTED_VALUE"""),"comment")</f>
        <v>comment</v>
      </c>
      <c r="I2080" s="2" t="str">
        <f ca="1">IFERROR(__xludf.DUMMYFUNCTION("""COMPUTED_VALUE"""),"https://www.facebook.com/rapplerdotcom/photos/a.317154781638645/5594954703858600/")</f>
        <v>https://www.facebook.com/rapplerdotcom/photos/a.317154781638645/5594954703858600/</v>
      </c>
      <c r="J2080" s="1" t="str">
        <f ca="1">IFERROR(__xludf.DUMMYFUNCTION("""COMPUTED_VALUE"""),"2022-07-04T15:48:35.883Z")</f>
        <v>2022-07-04T15:48:35.883Z</v>
      </c>
    </row>
    <row r="2081" spans="1:10" x14ac:dyDescent="0.2">
      <c r="A2081" s="2" t="str">
        <f ca="1">IFERROR(__xludf.DUMMYFUNCTION("""COMPUTED_VALUE"""),"https://www.facebook.com/ronald.andallo.52")</f>
        <v>https://www.facebook.com/ronald.andallo.52</v>
      </c>
      <c r="B2081" s="1" t="str">
        <f ca="1">IFERROR(__xludf.DUMMYFUNCTION("""COMPUTED_VALUE"""),"Ronald Andallo")</f>
        <v>Ronald Andallo</v>
      </c>
      <c r="C2081" s="1" t="str">
        <f ca="1">IFERROR(__xludf.DUMMYFUNCTION("""COMPUTED_VALUE"""),"Ronald")</f>
        <v>Ronald</v>
      </c>
      <c r="D2081" s="1" t="str">
        <f ca="1">IFERROR(__xludf.DUMMYFUNCTION("""COMPUTED_VALUE"""),"Andallo")</f>
        <v>Andallo</v>
      </c>
      <c r="E2081" s="1" t="str">
        <f ca="1">IFERROR(__xludf.DUMMYFUNCTION("""COMPUTED_VALUE"""),"Aba nabuboryong na siguro sa kanyang kubol kaya lumabas na at reresbak sa laban ni inang😁😁😁")</f>
        <v>Aba nabuboryong na siguro sa kanyang kubol kaya lumabas na at reresbak sa laban ni inang😁😁😁</v>
      </c>
      <c r="F2081" s="1">
        <f ca="1">IFERROR(__xludf.DUMMYFUNCTION("""COMPUTED_VALUE"""),17)</f>
        <v>17</v>
      </c>
      <c r="G2081" s="1" t="str">
        <f ca="1">IFERROR(__xludf.DUMMYFUNCTION("""COMPUTED_VALUE"""),"3 mos")</f>
        <v>3 mos</v>
      </c>
      <c r="H2081" s="1" t="str">
        <f ca="1">IFERROR(__xludf.DUMMYFUNCTION("""COMPUTED_VALUE"""),"comment")</f>
        <v>comment</v>
      </c>
      <c r="I2081" s="2" t="str">
        <f ca="1">IFERROR(__xludf.DUMMYFUNCTION("""COMPUTED_VALUE"""),"https://www.facebook.com/rapplerdotcom/photos/a.317154781638645/5594954703858600/")</f>
        <v>https://www.facebook.com/rapplerdotcom/photos/a.317154781638645/5594954703858600/</v>
      </c>
      <c r="J2081" s="1" t="str">
        <f ca="1">IFERROR(__xludf.DUMMYFUNCTION("""COMPUTED_VALUE"""),"2022-07-04T15:48:35.883Z")</f>
        <v>2022-07-04T15:48:35.883Z</v>
      </c>
    </row>
    <row r="2082" spans="1:10" x14ac:dyDescent="0.2">
      <c r="A2082" s="2" t="str">
        <f ca="1">IFERROR(__xludf.DUMMYFUNCTION("""COMPUTED_VALUE"""),"https://www.facebook.com/pau.gaitan.33")</f>
        <v>https://www.facebook.com/pau.gaitan.33</v>
      </c>
      <c r="B2082" s="1" t="str">
        <f ca="1">IFERROR(__xludf.DUMMYFUNCTION("""COMPUTED_VALUE"""),"Pau Gaitan Varron")</f>
        <v>Pau Gaitan Varron</v>
      </c>
      <c r="C2082" s="1" t="str">
        <f ca="1">IFERROR(__xludf.DUMMYFUNCTION("""COMPUTED_VALUE"""),"Pau")</f>
        <v>Pau</v>
      </c>
      <c r="D2082" s="1" t="str">
        <f ca="1">IFERROR(__xludf.DUMMYFUNCTION("""COMPUTED_VALUE"""),"Gaitan Varron")</f>
        <v>Gaitan Varron</v>
      </c>
      <c r="E2082" s="1" t="str">
        <f ca="1">IFERROR(__xludf.DUMMYFUNCTION("""COMPUTED_VALUE"""),"Ronald Andallo Mansion po ang bahay nila, hindi kubol. 🤪")</f>
        <v>Ronald Andallo Mansion po ang bahay nila, hindi kubol. 🤪</v>
      </c>
      <c r="F2082" s="1">
        <f ca="1">IFERROR(__xludf.DUMMYFUNCTION("""COMPUTED_VALUE"""),10)</f>
        <v>10</v>
      </c>
      <c r="G2082" s="1" t="str">
        <f ca="1">IFERROR(__xludf.DUMMYFUNCTION("""COMPUTED_VALUE"""),"3 mos")</f>
        <v>3 mos</v>
      </c>
      <c r="H2082" s="1" t="str">
        <f ca="1">IFERROR(__xludf.DUMMYFUNCTION("""COMPUTED_VALUE"""),"reply")</f>
        <v>reply</v>
      </c>
      <c r="I2082" s="2" t="str">
        <f ca="1">IFERROR(__xludf.DUMMYFUNCTION("""COMPUTED_VALUE"""),"https://www.facebook.com/rapplerdotcom/photos/a.317154781638645/5594954703858600/")</f>
        <v>https://www.facebook.com/rapplerdotcom/photos/a.317154781638645/5594954703858600/</v>
      </c>
      <c r="J2082" s="1" t="str">
        <f ca="1">IFERROR(__xludf.DUMMYFUNCTION("""COMPUTED_VALUE"""),"2022-07-04T15:48:35.883Z")</f>
        <v>2022-07-04T15:48:35.883Z</v>
      </c>
    </row>
    <row r="2083" spans="1:10" x14ac:dyDescent="0.2">
      <c r="A2083" s="2" t="str">
        <f ca="1">IFERROR(__xludf.DUMMYFUNCTION("""COMPUTED_VALUE"""),"https://www.facebook.com/johnny.collantes.37")</f>
        <v>https://www.facebook.com/johnny.collantes.37</v>
      </c>
      <c r="B2083" s="1" t="str">
        <f ca="1">IFERROR(__xludf.DUMMYFUNCTION("""COMPUTED_VALUE"""),"Johnny Collantes")</f>
        <v>Johnny Collantes</v>
      </c>
      <c r="C2083" s="1" t="str">
        <f ca="1">IFERROR(__xludf.DUMMYFUNCTION("""COMPUTED_VALUE"""),"Johnny")</f>
        <v>Johnny</v>
      </c>
      <c r="D2083" s="1" t="str">
        <f ca="1">IFERROR(__xludf.DUMMYFUNCTION("""COMPUTED_VALUE"""),"Collantes")</f>
        <v>Collantes</v>
      </c>
      <c r="E2083" s="1" t="str">
        <f ca="1">IFERROR(__xludf.DUMMYFUNCTION("""COMPUTED_VALUE"""),"Hindi po sa kubol hindi sa Mansion sa kuweba po!")</f>
        <v>Hindi po sa kubol hindi sa Mansion sa kuweba po!</v>
      </c>
      <c r="F2083" s="1"/>
      <c r="G2083" s="1" t="str">
        <f ca="1">IFERROR(__xludf.DUMMYFUNCTION("""COMPUTED_VALUE"""),"3 mos")</f>
        <v>3 mos</v>
      </c>
      <c r="H2083" s="1" t="str">
        <f ca="1">IFERROR(__xludf.DUMMYFUNCTION("""COMPUTED_VALUE"""),"reply")</f>
        <v>reply</v>
      </c>
      <c r="I2083" s="2" t="str">
        <f ca="1">IFERROR(__xludf.DUMMYFUNCTION("""COMPUTED_VALUE"""),"https://www.facebook.com/rapplerdotcom/photos/a.317154781638645/5594954703858600/")</f>
        <v>https://www.facebook.com/rapplerdotcom/photos/a.317154781638645/5594954703858600/</v>
      </c>
      <c r="J2083" s="1" t="str">
        <f ca="1">IFERROR(__xludf.DUMMYFUNCTION("""COMPUTED_VALUE"""),"2022-07-04T15:48:35.883Z")</f>
        <v>2022-07-04T15:48:35.883Z</v>
      </c>
    </row>
    <row r="2084" spans="1:10" x14ac:dyDescent="0.2">
      <c r="A2084" s="2" t="str">
        <f ca="1">IFERROR(__xludf.DUMMYFUNCTION("""COMPUTED_VALUE"""),"https://www.facebook.com/jude.romero.14")</f>
        <v>https://www.facebook.com/jude.romero.14</v>
      </c>
      <c r="B2084" s="1" t="str">
        <f ca="1">IFERROR(__xludf.DUMMYFUNCTION("""COMPUTED_VALUE"""),"Jude Romero")</f>
        <v>Jude Romero</v>
      </c>
      <c r="C2084" s="1" t="str">
        <f ca="1">IFERROR(__xludf.DUMMYFUNCTION("""COMPUTED_VALUE"""),"Jude")</f>
        <v>Jude</v>
      </c>
      <c r="D2084" s="1" t="str">
        <f ca="1">IFERROR(__xludf.DUMMYFUNCTION("""COMPUTED_VALUE"""),"Romero")</f>
        <v>Romero</v>
      </c>
      <c r="E2084" s="1" t="str">
        <f ca="1">IFERROR(__xludf.DUMMYFUNCTION("""COMPUTED_VALUE"""),"Ronald Andallo to the rescue, dagdag pondo din.")</f>
        <v>Ronald Andallo to the rescue, dagdag pondo din.</v>
      </c>
      <c r="F2084" s="1"/>
      <c r="G2084" s="1" t="str">
        <f ca="1">IFERROR(__xludf.DUMMYFUNCTION("""COMPUTED_VALUE"""),"3 mos")</f>
        <v>3 mos</v>
      </c>
      <c r="H2084" s="1" t="str">
        <f ca="1">IFERROR(__xludf.DUMMYFUNCTION("""COMPUTED_VALUE"""),"reply")</f>
        <v>reply</v>
      </c>
      <c r="I2084" s="2" t="str">
        <f ca="1">IFERROR(__xludf.DUMMYFUNCTION("""COMPUTED_VALUE"""),"https://www.facebook.com/rapplerdotcom/photos/a.317154781638645/5594954703858600/")</f>
        <v>https://www.facebook.com/rapplerdotcom/photos/a.317154781638645/5594954703858600/</v>
      </c>
      <c r="J2084" s="1" t="str">
        <f ca="1">IFERROR(__xludf.DUMMYFUNCTION("""COMPUTED_VALUE"""),"2022-07-04T15:48:35.883Z")</f>
        <v>2022-07-04T15:48:35.883Z</v>
      </c>
    </row>
    <row r="2085" spans="1:10" x14ac:dyDescent="0.2">
      <c r="A2085" s="2" t="str">
        <f ca="1">IFERROR(__xludf.DUMMYFUNCTION("""COMPUTED_VALUE"""),"https://www.facebook.com/amaya.sabado")</f>
        <v>https://www.facebook.com/amaya.sabado</v>
      </c>
      <c r="B2085" s="1" t="str">
        <f ca="1">IFERROR(__xludf.DUMMYFUNCTION("""COMPUTED_VALUE"""),"Gie Villacillo Buencamino")</f>
        <v>Gie Villacillo Buencamino</v>
      </c>
      <c r="C2085" s="1" t="str">
        <f ca="1">IFERROR(__xludf.DUMMYFUNCTION("""COMPUTED_VALUE"""),"Gie")</f>
        <v>Gie</v>
      </c>
      <c r="D2085" s="1" t="str">
        <f ca="1">IFERROR(__xludf.DUMMYFUNCTION("""COMPUTED_VALUE"""),"Villacillo Buencamino")</f>
        <v>Villacillo Buencamino</v>
      </c>
      <c r="E2085" s="1" t="str">
        <f ca="1">IFERROR(__xludf.DUMMYFUNCTION("""COMPUTED_VALUE"""),"Ronald Andallo wala ka nang pakialam dn")</f>
        <v>Ronald Andallo wala ka nang pakialam dn</v>
      </c>
      <c r="F2085" s="1">
        <f ca="1">IFERROR(__xludf.DUMMYFUNCTION("""COMPUTED_VALUE"""),2)</f>
        <v>2</v>
      </c>
      <c r="G2085" s="1" t="str">
        <f ca="1">IFERROR(__xludf.DUMMYFUNCTION("""COMPUTED_VALUE"""),"3 mos")</f>
        <v>3 mos</v>
      </c>
      <c r="H2085" s="1" t="str">
        <f ca="1">IFERROR(__xludf.DUMMYFUNCTION("""COMPUTED_VALUE"""),"reply")</f>
        <v>reply</v>
      </c>
      <c r="I2085" s="2" t="str">
        <f ca="1">IFERROR(__xludf.DUMMYFUNCTION("""COMPUTED_VALUE"""),"https://www.facebook.com/rapplerdotcom/photos/a.317154781638645/5594954703858600/")</f>
        <v>https://www.facebook.com/rapplerdotcom/photos/a.317154781638645/5594954703858600/</v>
      </c>
      <c r="J2085" s="1" t="str">
        <f ca="1">IFERROR(__xludf.DUMMYFUNCTION("""COMPUTED_VALUE"""),"2022-07-04T15:48:35.883Z")</f>
        <v>2022-07-04T15:48:35.883Z</v>
      </c>
    </row>
    <row r="2086" spans="1:10" x14ac:dyDescent="0.2">
      <c r="A2086" s="2" t="str">
        <f ca="1">IFERROR(__xludf.DUMMYFUNCTION("""COMPUTED_VALUE"""),"https://www.facebook.com/aldo.lavingu")</f>
        <v>https://www.facebook.com/aldo.lavingu</v>
      </c>
      <c r="B2086" s="1" t="str">
        <f ca="1">IFERROR(__xludf.DUMMYFUNCTION("""COMPUTED_VALUE"""),"Bho Lan Tiaw")</f>
        <v>Bho Lan Tiaw</v>
      </c>
      <c r="C2086" s="1" t="str">
        <f ca="1">IFERROR(__xludf.DUMMYFUNCTION("""COMPUTED_VALUE"""),"Bho")</f>
        <v>Bho</v>
      </c>
      <c r="D2086" s="1" t="str">
        <f ca="1">IFERROR(__xludf.DUMMYFUNCTION("""COMPUTED_VALUE"""),"Lan Tiaw")</f>
        <v>Lan Tiaw</v>
      </c>
      <c r="E2086" s="1" t="str">
        <f ca="1">IFERROR(__xludf.DUMMYFUNCTION("""COMPUTED_VALUE"""),"Ronald Andallo tama ka, malaki TAMA mo, TABOGO")</f>
        <v>Ronald Andallo tama ka, malaki TAMA mo, TABOGO</v>
      </c>
      <c r="F2086" s="1">
        <f ca="1">IFERROR(__xludf.DUMMYFUNCTION("""COMPUTED_VALUE"""),5)</f>
        <v>5</v>
      </c>
      <c r="G2086" s="1" t="str">
        <f ca="1">IFERROR(__xludf.DUMMYFUNCTION("""COMPUTED_VALUE"""),"3 mos")</f>
        <v>3 mos</v>
      </c>
      <c r="H2086" s="1" t="str">
        <f ca="1">IFERROR(__xludf.DUMMYFUNCTION("""COMPUTED_VALUE"""),"reply")</f>
        <v>reply</v>
      </c>
      <c r="I2086" s="2" t="str">
        <f ca="1">IFERROR(__xludf.DUMMYFUNCTION("""COMPUTED_VALUE"""),"https://www.facebook.com/rapplerdotcom/photos/a.317154781638645/5594954703858600/")</f>
        <v>https://www.facebook.com/rapplerdotcom/photos/a.317154781638645/5594954703858600/</v>
      </c>
      <c r="J2086" s="1" t="str">
        <f ca="1">IFERROR(__xludf.DUMMYFUNCTION("""COMPUTED_VALUE"""),"2022-07-04T15:48:35.883Z")</f>
        <v>2022-07-04T15:48:35.883Z</v>
      </c>
    </row>
    <row r="2087" spans="1:10" x14ac:dyDescent="0.2">
      <c r="A2087" s="2" t="str">
        <f ca="1">IFERROR(__xludf.DUMMYFUNCTION("""COMPUTED_VALUE"""),"https://www.facebook.com/mcclain.lumiares")</f>
        <v>https://www.facebook.com/mcclain.lumiares</v>
      </c>
      <c r="B2087" s="1" t="str">
        <f ca="1">IFERROR(__xludf.DUMMYFUNCTION("""COMPUTED_VALUE"""),"Akosi Mac")</f>
        <v>Akosi Mac</v>
      </c>
      <c r="C2087" s="1" t="str">
        <f ca="1">IFERROR(__xludf.DUMMYFUNCTION("""COMPUTED_VALUE"""),"Akosi")</f>
        <v>Akosi</v>
      </c>
      <c r="D2087" s="1" t="str">
        <f ca="1">IFERROR(__xludf.DUMMYFUNCTION("""COMPUTED_VALUE"""),"Mac")</f>
        <v>Mac</v>
      </c>
      <c r="E2087" s="1" t="str">
        <f ca="1">IFERROR(__xludf.DUMMYFUNCTION("""COMPUTED_VALUE"""),"Ronald Andallo sir nag isip ng mabuti yan, kasi ung asawa ng blemblong ay kamag anak pa ni roxas, research mung bago kuda")</f>
        <v>Ronald Andallo sir nag isip ng mabuti yan, kasi ung asawa ng blemblong ay kamag anak pa ni roxas, research mung bago kuda</v>
      </c>
      <c r="F2087" s="1">
        <f ca="1">IFERROR(__xludf.DUMMYFUNCTION("""COMPUTED_VALUE"""),3)</f>
        <v>3</v>
      </c>
      <c r="G2087" s="1" t="str">
        <f ca="1">IFERROR(__xludf.DUMMYFUNCTION("""COMPUTED_VALUE"""),"3 mos")</f>
        <v>3 mos</v>
      </c>
      <c r="H2087" s="1" t="str">
        <f ca="1">IFERROR(__xludf.DUMMYFUNCTION("""COMPUTED_VALUE"""),"reply")</f>
        <v>reply</v>
      </c>
      <c r="I2087" s="2" t="str">
        <f ca="1">IFERROR(__xludf.DUMMYFUNCTION("""COMPUTED_VALUE"""),"https://www.facebook.com/rapplerdotcom/photos/a.317154781638645/5594954703858600/")</f>
        <v>https://www.facebook.com/rapplerdotcom/photos/a.317154781638645/5594954703858600/</v>
      </c>
      <c r="J2087" s="1" t="str">
        <f ca="1">IFERROR(__xludf.DUMMYFUNCTION("""COMPUTED_VALUE"""),"2022-07-04T15:48:35.883Z")</f>
        <v>2022-07-04T15:48:35.883Z</v>
      </c>
    </row>
    <row r="2088" spans="1:10" x14ac:dyDescent="0.2">
      <c r="A2088" s="2" t="str">
        <f ca="1">IFERROR(__xludf.DUMMYFUNCTION("""COMPUTED_VALUE"""),"https://www.facebook.com/ronald.andallo.52")</f>
        <v>https://www.facebook.com/ronald.andallo.52</v>
      </c>
      <c r="B2088" s="1" t="str">
        <f ca="1">IFERROR(__xludf.DUMMYFUNCTION("""COMPUTED_VALUE"""),"Ronald Andallo")</f>
        <v>Ronald Andallo</v>
      </c>
      <c r="C2088" s="1" t="str">
        <f ca="1">IFERROR(__xludf.DUMMYFUNCTION("""COMPUTED_VALUE"""),"Ronald")</f>
        <v>Ronald</v>
      </c>
      <c r="D2088" s="1" t="str">
        <f ca="1">IFERROR(__xludf.DUMMYFUNCTION("""COMPUTED_VALUE"""),"Andallo")</f>
        <v>Andallo</v>
      </c>
      <c r="E2088" s="1" t="str">
        <f ca="1">IFERROR(__xludf.DUMMYFUNCTION("""COMPUTED_VALUE"""),"Akosi Mac matagal ko ng alam na mag pinsan sila")</f>
        <v>Akosi Mac matagal ko ng alam na mag pinsan sila</v>
      </c>
      <c r="F2088" s="1">
        <f ca="1">IFERROR(__xludf.DUMMYFUNCTION("""COMPUTED_VALUE"""),2)</f>
        <v>2</v>
      </c>
      <c r="G2088" s="1" t="str">
        <f ca="1">IFERROR(__xludf.DUMMYFUNCTION("""COMPUTED_VALUE"""),"3 mos")</f>
        <v>3 mos</v>
      </c>
      <c r="H2088" s="1" t="str">
        <f ca="1">IFERROR(__xludf.DUMMYFUNCTION("""COMPUTED_VALUE"""),"reply")</f>
        <v>reply</v>
      </c>
      <c r="I2088" s="2" t="str">
        <f ca="1">IFERROR(__xludf.DUMMYFUNCTION("""COMPUTED_VALUE"""),"https://www.facebook.com/rapplerdotcom/photos/a.317154781638645/5594954703858600/")</f>
        <v>https://www.facebook.com/rapplerdotcom/photos/a.317154781638645/5594954703858600/</v>
      </c>
      <c r="J2088" s="1" t="str">
        <f ca="1">IFERROR(__xludf.DUMMYFUNCTION("""COMPUTED_VALUE"""),"2022-07-04T15:48:35.883Z")</f>
        <v>2022-07-04T15:48:35.883Z</v>
      </c>
    </row>
    <row r="2089" spans="1:10" x14ac:dyDescent="0.2">
      <c r="A2089" s="2" t="str">
        <f ca="1">IFERROR(__xludf.DUMMYFUNCTION("""COMPUTED_VALUE"""),"https://www.facebook.com/jane.quibilan")</f>
        <v>https://www.facebook.com/jane.quibilan</v>
      </c>
      <c r="B2089" s="1" t="str">
        <f ca="1">IFERROR(__xludf.DUMMYFUNCTION("""COMPUTED_VALUE"""),"Jane S. Quibilan")</f>
        <v>Jane S. Quibilan</v>
      </c>
      <c r="C2089" s="1" t="str">
        <f ca="1">IFERROR(__xludf.DUMMYFUNCTION("""COMPUTED_VALUE"""),"Jane")</f>
        <v>Jane</v>
      </c>
      <c r="D2089" s="1" t="str">
        <f ca="1">IFERROR(__xludf.DUMMYFUNCTION("""COMPUTED_VALUE"""),"S. Quibilan")</f>
        <v>S. Quibilan</v>
      </c>
      <c r="E2089" s="1" t="str">
        <f ca="1">IFERROR(__xludf.DUMMYFUNCTION("""COMPUTED_VALUE"""),"👏🏻👏🏻👏🏻💗💗💗 from the race of a good president  to endorsing a good Presidentiable. Salamat po Sir Mar Roxas!")</f>
        <v>👏🏻👏🏻👏🏻💗💗💗 from the race of a good president  to endorsing a good Presidentiable. Salamat po Sir Mar Roxas!</v>
      </c>
      <c r="F2089" s="1">
        <f ca="1">IFERROR(__xludf.DUMMYFUNCTION("""COMPUTED_VALUE"""),7)</f>
        <v>7</v>
      </c>
      <c r="G2089" s="1" t="str">
        <f ca="1">IFERROR(__xludf.DUMMYFUNCTION("""COMPUTED_VALUE"""),"3 mos")</f>
        <v>3 mos</v>
      </c>
      <c r="H2089" s="1" t="str">
        <f ca="1">IFERROR(__xludf.DUMMYFUNCTION("""COMPUTED_VALUE"""),"comment")</f>
        <v>comment</v>
      </c>
      <c r="I2089" s="2" t="str">
        <f ca="1">IFERROR(__xludf.DUMMYFUNCTION("""COMPUTED_VALUE"""),"https://www.facebook.com/rapplerdotcom/photos/a.317154781638645/5594954703858600/")</f>
        <v>https://www.facebook.com/rapplerdotcom/photos/a.317154781638645/5594954703858600/</v>
      </c>
      <c r="J2089" s="1" t="str">
        <f ca="1">IFERROR(__xludf.DUMMYFUNCTION("""COMPUTED_VALUE"""),"2022-07-04T15:48:35.883Z")</f>
        <v>2022-07-04T15:48:35.883Z</v>
      </c>
    </row>
    <row r="2090" spans="1:10" x14ac:dyDescent="0.2">
      <c r="A2090" s="2" t="str">
        <f ca="1">IFERROR(__xludf.DUMMYFUNCTION("""COMPUTED_VALUE"""),"https://www.facebook.com/mariacleofe.lim")</f>
        <v>https://www.facebook.com/mariacleofe.lim</v>
      </c>
      <c r="B2090" s="1" t="str">
        <f ca="1">IFERROR(__xludf.DUMMYFUNCTION("""COMPUTED_VALUE"""),"Maria Cleofe Lim")</f>
        <v>Maria Cleofe Lim</v>
      </c>
      <c r="C2090" s="1" t="str">
        <f ca="1">IFERROR(__xludf.DUMMYFUNCTION("""COMPUTED_VALUE"""),"Maria")</f>
        <v>Maria</v>
      </c>
      <c r="D2090" s="1" t="str">
        <f ca="1">IFERROR(__xludf.DUMMYFUNCTION("""COMPUTED_VALUE"""),"Cleofe Lim")</f>
        <v>Cleofe Lim</v>
      </c>
      <c r="E2090" s="1" t="str">
        <f ca="1">IFERROR(__xludf.DUMMYFUNCTION("""COMPUTED_VALUE"""),"Salamat po Sir Mar. As usual, you always side kung alin ang tama. Sayang nga hindi ikaw ang naging Presidente last 2016. Siguro we could have come out better with all the crises that this administration had met... #LeniKiko2022 tayo para #AngatBuhayLahat")</f>
        <v>Salamat po Sir Mar. As usual, you always side kung alin ang tama. Sayang nga hindi ikaw ang naging Presidente last 2016. Siguro we could have come out better with all the crises that this administration had met... #LeniKiko2022 tayo para #AngatBuhayLahat</v>
      </c>
      <c r="F2090" s="1"/>
      <c r="G2090" s="1" t="str">
        <f ca="1">IFERROR(__xludf.DUMMYFUNCTION("""COMPUTED_VALUE"""),"3 mos")</f>
        <v>3 mos</v>
      </c>
      <c r="H2090" s="1" t="str">
        <f ca="1">IFERROR(__xludf.DUMMYFUNCTION("""COMPUTED_VALUE"""),"comment")</f>
        <v>comment</v>
      </c>
      <c r="I2090" s="2" t="str">
        <f ca="1">IFERROR(__xludf.DUMMYFUNCTION("""COMPUTED_VALUE"""),"https://www.facebook.com/rapplerdotcom/photos/a.317154781638645/5594954703858600/")</f>
        <v>https://www.facebook.com/rapplerdotcom/photos/a.317154781638645/5594954703858600/</v>
      </c>
      <c r="J2090" s="1" t="str">
        <f ca="1">IFERROR(__xludf.DUMMYFUNCTION("""COMPUTED_VALUE"""),"2022-07-04T15:48:35.883Z")</f>
        <v>2022-07-04T15:48:35.883Z</v>
      </c>
    </row>
    <row r="2091" spans="1:10" x14ac:dyDescent="0.2">
      <c r="A2091" s="2" t="str">
        <f ca="1">IFERROR(__xludf.DUMMYFUNCTION("""COMPUTED_VALUE"""),"https://www.facebook.com/kuyah.tan")</f>
        <v>https://www.facebook.com/kuyah.tan</v>
      </c>
      <c r="B2091" s="1" t="str">
        <f ca="1">IFERROR(__xludf.DUMMYFUNCTION("""COMPUTED_VALUE"""),"Datu Puti")</f>
        <v>Datu Puti</v>
      </c>
      <c r="C2091" s="1" t="str">
        <f ca="1">IFERROR(__xludf.DUMMYFUNCTION("""COMPUTED_VALUE"""),"Datu")</f>
        <v>Datu</v>
      </c>
      <c r="D2091" s="1" t="str">
        <f ca="1">IFERROR(__xludf.DUMMYFUNCTION("""COMPUTED_VALUE"""),"Puti")</f>
        <v>Puti</v>
      </c>
      <c r="E2091" s="1" t="str">
        <f ca="1">IFERROR(__xludf.DUMMYFUNCTION("""COMPUTED_VALUE"""),"Pilit mang mag tago sa pink lalabas at lalabas paring ang tunay na kulay.  #NEVER AGAIN TO LP!!!!")</f>
        <v>Pilit mang mag tago sa pink lalabas at lalabas paring ang tunay na kulay.  #NEVER AGAIN TO LP!!!!</v>
      </c>
      <c r="F2091" s="1">
        <f ca="1">IFERROR(__xludf.DUMMYFUNCTION("""COMPUTED_VALUE"""),3)</f>
        <v>3</v>
      </c>
      <c r="G2091" s="1" t="str">
        <f ca="1">IFERROR(__xludf.DUMMYFUNCTION("""COMPUTED_VALUE"""),"3 mos")</f>
        <v>3 mos</v>
      </c>
      <c r="H2091" s="1" t="str">
        <f ca="1">IFERROR(__xludf.DUMMYFUNCTION("""COMPUTED_VALUE"""),"comment")</f>
        <v>comment</v>
      </c>
      <c r="I2091" s="2" t="str">
        <f ca="1">IFERROR(__xludf.DUMMYFUNCTION("""COMPUTED_VALUE"""),"https://www.facebook.com/rapplerdotcom/photos/a.317154781638645/5594954703858600/")</f>
        <v>https://www.facebook.com/rapplerdotcom/photos/a.317154781638645/5594954703858600/</v>
      </c>
      <c r="J2091" s="1" t="str">
        <f ca="1">IFERROR(__xludf.DUMMYFUNCTION("""COMPUTED_VALUE"""),"2022-07-04T15:48:35.884Z")</f>
        <v>2022-07-04T15:48:35.884Z</v>
      </c>
    </row>
    <row r="2092" spans="1:10" x14ac:dyDescent="0.2">
      <c r="A2092" s="2" t="str">
        <f ca="1">IFERROR(__xludf.DUMMYFUNCTION("""COMPUTED_VALUE"""),"https://www.facebook.com/joey.abella.507")</f>
        <v>https://www.facebook.com/joey.abella.507</v>
      </c>
      <c r="B2092" s="1" t="str">
        <f ca="1">IFERROR(__xludf.DUMMYFUNCTION("""COMPUTED_VALUE"""),"Lana")</f>
        <v>Lana</v>
      </c>
      <c r="C2092" s="1" t="str">
        <f ca="1">IFERROR(__xludf.DUMMYFUNCTION("""COMPUTED_VALUE"""),"Lana")</f>
        <v>Lana</v>
      </c>
      <c r="D2092" s="1"/>
      <c r="E2092" s="1" t="str">
        <f ca="1">IFERROR(__xludf.DUMMYFUNCTION("""COMPUTED_VALUE"""),"Datu Puti")</f>
        <v>Datu Puti</v>
      </c>
      <c r="F2092" s="1"/>
      <c r="G2092" s="1" t="str">
        <f ca="1">IFERROR(__xludf.DUMMYFUNCTION("""COMPUTED_VALUE"""),"3 mos")</f>
        <v>3 mos</v>
      </c>
      <c r="H2092" s="1" t="str">
        <f ca="1">IFERROR(__xludf.DUMMYFUNCTION("""COMPUTED_VALUE"""),"reply")</f>
        <v>reply</v>
      </c>
      <c r="I2092" s="2" t="str">
        <f ca="1">IFERROR(__xludf.DUMMYFUNCTION("""COMPUTED_VALUE"""),"https://www.facebook.com/rapplerdotcom/photos/a.317154781638645/5594954703858600/")</f>
        <v>https://www.facebook.com/rapplerdotcom/photos/a.317154781638645/5594954703858600/</v>
      </c>
      <c r="J2092" s="1" t="str">
        <f ca="1">IFERROR(__xludf.DUMMYFUNCTION("""COMPUTED_VALUE"""),"2022-07-04T15:48:35.884Z")</f>
        <v>2022-07-04T15:48:35.884Z</v>
      </c>
    </row>
    <row r="2093" spans="1:10" x14ac:dyDescent="0.2">
      <c r="A2093" s="2" t="str">
        <f ca="1">IFERROR(__xludf.DUMMYFUNCTION("""COMPUTED_VALUE"""),"https://www.facebook.com/mario.guevarra.56")</f>
        <v>https://www.facebook.com/mario.guevarra.56</v>
      </c>
      <c r="B2093" s="1" t="str">
        <f ca="1">IFERROR(__xludf.DUMMYFUNCTION("""COMPUTED_VALUE"""),"Mario Guevarra")</f>
        <v>Mario Guevarra</v>
      </c>
      <c r="C2093" s="1" t="str">
        <f ca="1">IFERROR(__xludf.DUMMYFUNCTION("""COMPUTED_VALUE"""),"Mario")</f>
        <v>Mario</v>
      </c>
      <c r="D2093" s="1" t="str">
        <f ca="1">IFERROR(__xludf.DUMMYFUNCTION("""COMPUTED_VALUE"""),"Guevarra")</f>
        <v>Guevarra</v>
      </c>
      <c r="E2093" s="1" t="str">
        <f ca="1">IFERROR(__xludf.DUMMYFUNCTION("""COMPUTED_VALUE"""),"Datu Puti sige doon tayo sa mga kawatan.😅")</f>
        <v>Datu Puti sige doon tayo sa mga kawatan.😅</v>
      </c>
      <c r="F2093" s="1"/>
      <c r="G2093" s="1" t="str">
        <f ca="1">IFERROR(__xludf.DUMMYFUNCTION("""COMPUTED_VALUE"""),"3 mos")</f>
        <v>3 mos</v>
      </c>
      <c r="H2093" s="1" t="str">
        <f ca="1">IFERROR(__xludf.DUMMYFUNCTION("""COMPUTED_VALUE"""),"reply")</f>
        <v>reply</v>
      </c>
      <c r="I2093" s="2" t="str">
        <f ca="1">IFERROR(__xludf.DUMMYFUNCTION("""COMPUTED_VALUE"""),"https://www.facebook.com/rapplerdotcom/photos/a.317154781638645/5594954703858600/")</f>
        <v>https://www.facebook.com/rapplerdotcom/photos/a.317154781638645/5594954703858600/</v>
      </c>
      <c r="J2093" s="1" t="str">
        <f ca="1">IFERROR(__xludf.DUMMYFUNCTION("""COMPUTED_VALUE"""),"2022-07-04T15:48:35.884Z")</f>
        <v>2022-07-04T15:48:35.884Z</v>
      </c>
    </row>
    <row r="2094" spans="1:10" x14ac:dyDescent="0.2">
      <c r="A2094" s="2" t="str">
        <f ca="1">IFERROR(__xludf.DUMMYFUNCTION("""COMPUTED_VALUE"""),"https://www.facebook.com/kuyah.tan")</f>
        <v>https://www.facebook.com/kuyah.tan</v>
      </c>
      <c r="B2094" s="1" t="str">
        <f ca="1">IFERROR(__xludf.DUMMYFUNCTION("""COMPUTED_VALUE"""),"Datu Puti")</f>
        <v>Datu Puti</v>
      </c>
      <c r="C2094" s="1" t="str">
        <f ca="1">IFERROR(__xludf.DUMMYFUNCTION("""COMPUTED_VALUE"""),"Datu")</f>
        <v>Datu</v>
      </c>
      <c r="D2094" s="1" t="str">
        <f ca="1">IFERROR(__xludf.DUMMYFUNCTION("""COMPUTED_VALUE"""),"Puti")</f>
        <v>Puti</v>
      </c>
      <c r="E2094" s="1" t="str">
        <f ca="1">IFERROR(__xludf.DUMMYFUNCTION("""COMPUTED_VALUE"""),"Mario Guevarra hahaha kawatan ba talaga anu ba ninakaw sa inyo???mukang may mga evidences naman pala kayo punta kayo supreme court mag sampa kayo ng kaso pcggnga walang mapakita ikaw pa kaya.mas maniwala pa ako kay maam Miriam defensor kesa sa inyo mga fe"&amp;"eling matatalino 🤣🤣🤣🤣🤣")</f>
        <v>Mario Guevarra hahaha kawatan ba talaga anu ba ninakaw sa inyo???mukang may mga evidences naman pala kayo punta kayo supreme court mag sampa kayo ng kaso pcggnga walang mapakita ikaw pa kaya.mas maniwala pa ako kay maam Miriam defensor kesa sa inyo mga feeling matatalino 🤣🤣🤣🤣🤣</v>
      </c>
      <c r="F2094" s="1"/>
      <c r="G2094" s="1" t="str">
        <f ca="1">IFERROR(__xludf.DUMMYFUNCTION("""COMPUTED_VALUE"""),"3 mos")</f>
        <v>3 mos</v>
      </c>
      <c r="H2094" s="1" t="str">
        <f ca="1">IFERROR(__xludf.DUMMYFUNCTION("""COMPUTED_VALUE"""),"reply")</f>
        <v>reply</v>
      </c>
      <c r="I2094" s="2" t="str">
        <f ca="1">IFERROR(__xludf.DUMMYFUNCTION("""COMPUTED_VALUE"""),"https://www.facebook.com/rapplerdotcom/photos/a.317154781638645/5594954703858600/")</f>
        <v>https://www.facebook.com/rapplerdotcom/photos/a.317154781638645/5594954703858600/</v>
      </c>
      <c r="J2094" s="1" t="str">
        <f ca="1">IFERROR(__xludf.DUMMYFUNCTION("""COMPUTED_VALUE"""),"2022-07-04T15:48:35.884Z")</f>
        <v>2022-07-04T15:48:35.884Z</v>
      </c>
    </row>
    <row r="2095" spans="1:10" x14ac:dyDescent="0.2">
      <c r="A2095" s="2" t="str">
        <f ca="1">IFERROR(__xludf.DUMMYFUNCTION("""COMPUTED_VALUE"""),"https://www.facebook.com/janet.estal")</f>
        <v>https://www.facebook.com/janet.estal</v>
      </c>
      <c r="B2095" s="1" t="str">
        <f ca="1">IFERROR(__xludf.DUMMYFUNCTION("""COMPUTED_VALUE"""),"Estal R Janet")</f>
        <v>Estal R Janet</v>
      </c>
      <c r="C2095" s="1" t="str">
        <f ca="1">IFERROR(__xludf.DUMMYFUNCTION("""COMPUTED_VALUE"""),"Estal")</f>
        <v>Estal</v>
      </c>
      <c r="D2095" s="1" t="str">
        <f ca="1">IFERROR(__xludf.DUMMYFUNCTION("""COMPUTED_VALUE"""),"R Janet")</f>
        <v>R Janet</v>
      </c>
      <c r="E2095" s="1" t="str">
        <f ca="1">IFERROR(__xludf.DUMMYFUNCTION("""COMPUTED_VALUE"""),"Ay nagpakita din si yolanda funds at saff44🤣🤣🤣🤣🤣umeksena kpa kc🤣🤣🤣")</f>
        <v>Ay nagpakita din si yolanda funds at saff44🤣🤣🤣🤣🤣umeksena kpa kc🤣🤣🤣</v>
      </c>
      <c r="F2095" s="1">
        <f ca="1">IFERROR(__xludf.DUMMYFUNCTION("""COMPUTED_VALUE"""),4)</f>
        <v>4</v>
      </c>
      <c r="G2095" s="1" t="str">
        <f ca="1">IFERROR(__xludf.DUMMYFUNCTION("""COMPUTED_VALUE"""),"3 mos")</f>
        <v>3 mos</v>
      </c>
      <c r="H2095" s="1" t="str">
        <f ca="1">IFERROR(__xludf.DUMMYFUNCTION("""COMPUTED_VALUE"""),"comment")</f>
        <v>comment</v>
      </c>
      <c r="I2095" s="2" t="str">
        <f ca="1">IFERROR(__xludf.DUMMYFUNCTION("""COMPUTED_VALUE"""),"https://www.facebook.com/rapplerdotcom/photos/a.317154781638645/5594954703858600/")</f>
        <v>https://www.facebook.com/rapplerdotcom/photos/a.317154781638645/5594954703858600/</v>
      </c>
      <c r="J2095" s="1" t="str">
        <f ca="1">IFERROR(__xludf.DUMMYFUNCTION("""COMPUTED_VALUE"""),"2022-07-04T15:48:35.884Z")</f>
        <v>2022-07-04T15:48:35.884Z</v>
      </c>
    </row>
    <row r="2096" spans="1:10" x14ac:dyDescent="0.2">
      <c r="A2096" s="2" t="str">
        <f ca="1">IFERROR(__xludf.DUMMYFUNCTION("""COMPUTED_VALUE"""),"https://www.facebook.com/loreta.ardaban.3")</f>
        <v>https://www.facebook.com/loreta.ardaban.3</v>
      </c>
      <c r="B2096" s="1" t="str">
        <f ca="1">IFERROR(__xludf.DUMMYFUNCTION("""COMPUTED_VALUE"""),"Loreta Ardaban")</f>
        <v>Loreta Ardaban</v>
      </c>
      <c r="C2096" s="1" t="str">
        <f ca="1">IFERROR(__xludf.DUMMYFUNCTION("""COMPUTED_VALUE"""),"Loreta")</f>
        <v>Loreta</v>
      </c>
      <c r="D2096" s="1" t="str">
        <f ca="1">IFERROR(__xludf.DUMMYFUNCTION("""COMPUTED_VALUE"""),"Ardaban")</f>
        <v>Ardaban</v>
      </c>
      <c r="E2096" s="1" t="str">
        <f ca="1">IFERROR(__xludf.DUMMYFUNCTION("""COMPUTED_VALUE"""),"Mar Roxas supports LeniRobredo .Thank you.")</f>
        <v>Mar Roxas supports LeniRobredo .Thank you.</v>
      </c>
      <c r="F2096" s="1"/>
      <c r="G2096" s="1" t="str">
        <f ca="1">IFERROR(__xludf.DUMMYFUNCTION("""COMPUTED_VALUE"""),"3 mos")</f>
        <v>3 mos</v>
      </c>
      <c r="H2096" s="1" t="str">
        <f ca="1">IFERROR(__xludf.DUMMYFUNCTION("""COMPUTED_VALUE"""),"reply")</f>
        <v>reply</v>
      </c>
      <c r="I2096" s="2" t="str">
        <f ca="1">IFERROR(__xludf.DUMMYFUNCTION("""COMPUTED_VALUE"""),"https://www.facebook.com/rapplerdotcom/photos/a.317154781638645/5594954703858600/")</f>
        <v>https://www.facebook.com/rapplerdotcom/photos/a.317154781638645/5594954703858600/</v>
      </c>
      <c r="J2096" s="1" t="str">
        <f ca="1">IFERROR(__xludf.DUMMYFUNCTION("""COMPUTED_VALUE"""),"2022-07-04T15:48:35.884Z")</f>
        <v>2022-07-04T15:48:35.884Z</v>
      </c>
    </row>
    <row r="2097" spans="1:10" x14ac:dyDescent="0.2">
      <c r="A2097" s="2" t="str">
        <f ca="1">IFERROR(__xludf.DUMMYFUNCTION("""COMPUTED_VALUE"""),"https://www.facebook.com/imma.bee.161")</f>
        <v>https://www.facebook.com/imma.bee.161</v>
      </c>
      <c r="B2097" s="1" t="str">
        <f ca="1">IFERROR(__xludf.DUMMYFUNCTION("""COMPUTED_VALUE"""),"MA RK")</f>
        <v>MA RK</v>
      </c>
      <c r="C2097" s="1" t="str">
        <f ca="1">IFERROR(__xludf.DUMMYFUNCTION("""COMPUTED_VALUE"""),"MA")</f>
        <v>MA</v>
      </c>
      <c r="D2097" s="1" t="str">
        <f ca="1">IFERROR(__xludf.DUMMYFUNCTION("""COMPUTED_VALUE"""),"RK")</f>
        <v>RK</v>
      </c>
      <c r="E2097" s="1" t="str">
        <f ca="1">IFERROR(__xludf.DUMMYFUNCTION("""COMPUTED_VALUE"""),"Yong yolanda fund hoy 😂")</f>
        <v>Yong yolanda fund hoy 😂</v>
      </c>
      <c r="F2097" s="1">
        <f ca="1">IFERROR(__xludf.DUMMYFUNCTION("""COMPUTED_VALUE"""),7)</f>
        <v>7</v>
      </c>
      <c r="G2097" s="1" t="str">
        <f ca="1">IFERROR(__xludf.DUMMYFUNCTION("""COMPUTED_VALUE"""),"3 mos")</f>
        <v>3 mos</v>
      </c>
      <c r="H2097" s="1" t="str">
        <f ca="1">IFERROR(__xludf.DUMMYFUNCTION("""COMPUTED_VALUE"""),"comment")</f>
        <v>comment</v>
      </c>
      <c r="I2097" s="2" t="str">
        <f ca="1">IFERROR(__xludf.DUMMYFUNCTION("""COMPUTED_VALUE"""),"https://www.facebook.com/rapplerdotcom/photos/a.317154781638645/5594954703858600/")</f>
        <v>https://www.facebook.com/rapplerdotcom/photos/a.317154781638645/5594954703858600/</v>
      </c>
      <c r="J2097" s="1" t="str">
        <f ca="1">IFERROR(__xludf.DUMMYFUNCTION("""COMPUTED_VALUE"""),"2022-07-04T15:48:35.884Z")</f>
        <v>2022-07-04T15:48:35.884Z</v>
      </c>
    </row>
    <row r="2098" spans="1:10" x14ac:dyDescent="0.2">
      <c r="A2098" s="2" t="str">
        <f ca="1">IFERROR(__xludf.DUMMYFUNCTION("""COMPUTED_VALUE"""),"https://www.facebook.com/janice.arroyo.98837")</f>
        <v>https://www.facebook.com/janice.arroyo.98837</v>
      </c>
      <c r="B2098" s="1" t="str">
        <f ca="1">IFERROR(__xludf.DUMMYFUNCTION("""COMPUTED_VALUE"""),"Janice Ruth Arroyo")</f>
        <v>Janice Ruth Arroyo</v>
      </c>
      <c r="C2098" s="1" t="str">
        <f ca="1">IFERROR(__xludf.DUMMYFUNCTION("""COMPUTED_VALUE"""),"Janice")</f>
        <v>Janice</v>
      </c>
      <c r="D2098" s="1" t="str">
        <f ca="1">IFERROR(__xludf.DUMMYFUNCTION("""COMPUTED_VALUE"""),"Ruth Arroyo")</f>
        <v>Ruth Arroyo</v>
      </c>
      <c r="E2098" s="1" t="str">
        <f ca="1">IFERROR(__xludf.DUMMYFUNCTION("""COMPUTED_VALUE"""),"MA RK https://dilg.gov.ph/news/DILG-P3455-B-or-85-percent-Yolanda-funds-liquidated/NC-2019-1169")</f>
        <v>MA RK https://dilg.gov.ph/news/DILG-P3455-B-or-85-percent-Yolanda-funds-liquidated/NC-2019-1169</v>
      </c>
      <c r="F2098" s="1">
        <f ca="1">IFERROR(__xludf.DUMMYFUNCTION("""COMPUTED_VALUE"""),4)</f>
        <v>4</v>
      </c>
      <c r="G2098" s="1" t="str">
        <f ca="1">IFERROR(__xludf.DUMMYFUNCTION("""COMPUTED_VALUE"""),"3 mos")</f>
        <v>3 mos</v>
      </c>
      <c r="H2098" s="1" t="str">
        <f ca="1">IFERROR(__xludf.DUMMYFUNCTION("""COMPUTED_VALUE"""),"reply")</f>
        <v>reply</v>
      </c>
      <c r="I2098" s="2" t="str">
        <f ca="1">IFERROR(__xludf.DUMMYFUNCTION("""COMPUTED_VALUE"""),"https://www.facebook.com/rapplerdotcom/photos/a.317154781638645/5594954703858600/")</f>
        <v>https://www.facebook.com/rapplerdotcom/photos/a.317154781638645/5594954703858600/</v>
      </c>
      <c r="J2098" s="1" t="str">
        <f ca="1">IFERROR(__xludf.DUMMYFUNCTION("""COMPUTED_VALUE"""),"2022-07-04T15:48:35.884Z")</f>
        <v>2022-07-04T15:48:35.884Z</v>
      </c>
    </row>
    <row r="2099" spans="1:10" x14ac:dyDescent="0.2">
      <c r="A2099" s="2" t="str">
        <f ca="1">IFERROR(__xludf.DUMMYFUNCTION("""COMPUTED_VALUE"""),"https://www.facebook.com/joey.abella.507")</f>
        <v>https://www.facebook.com/joey.abella.507</v>
      </c>
      <c r="B2099" s="1" t="str">
        <f ca="1">IFERROR(__xludf.DUMMYFUNCTION("""COMPUTED_VALUE"""),"Lana")</f>
        <v>Lana</v>
      </c>
      <c r="C2099" s="1" t="str">
        <f ca="1">IFERROR(__xludf.DUMMYFUNCTION("""COMPUTED_VALUE"""),"Lana")</f>
        <v>Lana</v>
      </c>
      <c r="D2099" s="1"/>
      <c r="E2099" s="1" t="str">
        <f ca="1">IFERROR(__xludf.DUMMYFUNCTION("""COMPUTED_VALUE"""),"MA RK")</f>
        <v>MA RK</v>
      </c>
      <c r="F2099" s="1"/>
      <c r="G2099" s="1" t="str">
        <f ca="1">IFERROR(__xludf.DUMMYFUNCTION("""COMPUTED_VALUE"""),"3 mos")</f>
        <v>3 mos</v>
      </c>
      <c r="H2099" s="1" t="str">
        <f ca="1">IFERROR(__xludf.DUMMYFUNCTION("""COMPUTED_VALUE"""),"reply")</f>
        <v>reply</v>
      </c>
      <c r="I2099" s="2" t="str">
        <f ca="1">IFERROR(__xludf.DUMMYFUNCTION("""COMPUTED_VALUE"""),"https://www.facebook.com/rapplerdotcom/photos/a.317154781638645/5594954703858600/")</f>
        <v>https://www.facebook.com/rapplerdotcom/photos/a.317154781638645/5594954703858600/</v>
      </c>
      <c r="J2099" s="1" t="str">
        <f ca="1">IFERROR(__xludf.DUMMYFUNCTION("""COMPUTED_VALUE"""),"2022-07-04T15:48:35.884Z")</f>
        <v>2022-07-04T15:48:35.884Z</v>
      </c>
    </row>
    <row r="2100" spans="1:10" x14ac:dyDescent="0.2">
      <c r="A2100" s="2" t="str">
        <f ca="1">IFERROR(__xludf.DUMMYFUNCTION("""COMPUTED_VALUE"""),"https://www.facebook.com/amaya.sabado")</f>
        <v>https://www.facebook.com/amaya.sabado</v>
      </c>
      <c r="B2100" s="1" t="str">
        <f ca="1">IFERROR(__xludf.DUMMYFUNCTION("""COMPUTED_VALUE"""),"Gie Villacillo Buencamino")</f>
        <v>Gie Villacillo Buencamino</v>
      </c>
      <c r="C2100" s="1" t="str">
        <f ca="1">IFERROR(__xludf.DUMMYFUNCTION("""COMPUTED_VALUE"""),"Gie")</f>
        <v>Gie</v>
      </c>
      <c r="D2100" s="1" t="str">
        <f ca="1">IFERROR(__xludf.DUMMYFUNCTION("""COMPUTED_VALUE"""),"Villacillo Buencamino")</f>
        <v>Villacillo Buencamino</v>
      </c>
      <c r="E2100" s="1" t="str">
        <f ca="1">IFERROR(__xludf.DUMMYFUNCTION("""COMPUTED_VALUE"""),"MA RK hoy ka rin.tanung mo sa mga romualdes kaya baka alam nila kung nsaan")</f>
        <v>MA RK hoy ka rin.tanung mo sa mga romualdes kaya baka alam nila kung nsaan</v>
      </c>
      <c r="F2100" s="1"/>
      <c r="G2100" s="1" t="str">
        <f ca="1">IFERROR(__xludf.DUMMYFUNCTION("""COMPUTED_VALUE"""),"3 mos")</f>
        <v>3 mos</v>
      </c>
      <c r="H2100" s="1" t="str">
        <f ca="1">IFERROR(__xludf.DUMMYFUNCTION("""COMPUTED_VALUE"""),"reply")</f>
        <v>reply</v>
      </c>
      <c r="I2100" s="2" t="str">
        <f ca="1">IFERROR(__xludf.DUMMYFUNCTION("""COMPUTED_VALUE"""),"https://www.facebook.com/rapplerdotcom/photos/a.317154781638645/5594954703858600/")</f>
        <v>https://www.facebook.com/rapplerdotcom/photos/a.317154781638645/5594954703858600/</v>
      </c>
      <c r="J2100" s="1" t="str">
        <f ca="1">IFERROR(__xludf.DUMMYFUNCTION("""COMPUTED_VALUE"""),"2022-07-04T15:48:35.884Z")</f>
        <v>2022-07-04T15:48:35.884Z</v>
      </c>
    </row>
    <row r="2101" spans="1:10" x14ac:dyDescent="0.2">
      <c r="A2101" s="2" t="str">
        <f ca="1">IFERROR(__xludf.DUMMYFUNCTION("""COMPUTED_VALUE"""),"https://www.facebook.com/kimberly.elardo.737")</f>
        <v>https://www.facebook.com/kimberly.elardo.737</v>
      </c>
      <c r="B2101" s="1" t="str">
        <f ca="1">IFERROR(__xludf.DUMMYFUNCTION("""COMPUTED_VALUE"""),"Kim Rosie")</f>
        <v>Kim Rosie</v>
      </c>
      <c r="C2101" s="1" t="str">
        <f ca="1">IFERROR(__xludf.DUMMYFUNCTION("""COMPUTED_VALUE"""),"Kim")</f>
        <v>Kim</v>
      </c>
      <c r="D2101" s="1" t="str">
        <f ca="1">IFERROR(__xludf.DUMMYFUNCTION("""COMPUTED_VALUE"""),"Rosie")</f>
        <v>Rosie</v>
      </c>
      <c r="E2101" s="1" t="str">
        <f ca="1">IFERROR(__xludf.DUMMYFUNCTION("""COMPUTED_VALUE"""),"MA RK mapapalock ka nalang talaga ng account kapag walang kwenta pinagsasabi mo e")</f>
        <v>MA RK mapapalock ka nalang talaga ng account kapag walang kwenta pinagsasabi mo e</v>
      </c>
      <c r="F2101" s="1">
        <f ca="1">IFERROR(__xludf.DUMMYFUNCTION("""COMPUTED_VALUE"""),3)</f>
        <v>3</v>
      </c>
      <c r="G2101" s="1" t="str">
        <f ca="1">IFERROR(__xludf.DUMMYFUNCTION("""COMPUTED_VALUE"""),"3 mos")</f>
        <v>3 mos</v>
      </c>
      <c r="H2101" s="1" t="str">
        <f ca="1">IFERROR(__xludf.DUMMYFUNCTION("""COMPUTED_VALUE"""),"reply")</f>
        <v>reply</v>
      </c>
      <c r="I2101" s="2" t="str">
        <f ca="1">IFERROR(__xludf.DUMMYFUNCTION("""COMPUTED_VALUE"""),"https://www.facebook.com/rapplerdotcom/photos/a.317154781638645/5594954703858600/")</f>
        <v>https://www.facebook.com/rapplerdotcom/photos/a.317154781638645/5594954703858600/</v>
      </c>
      <c r="J2101" s="1" t="str">
        <f ca="1">IFERROR(__xludf.DUMMYFUNCTION("""COMPUTED_VALUE"""),"2022-07-04T15:48:35.884Z")</f>
        <v>2022-07-04T15:48:35.884Z</v>
      </c>
    </row>
    <row r="2102" spans="1:10" x14ac:dyDescent="0.2">
      <c r="A2102" s="2" t="str">
        <f ca="1">IFERROR(__xludf.DUMMYFUNCTION("""COMPUTED_VALUE"""),"https://www.facebook.com/profile.php?id=100013497646924")</f>
        <v>https://www.facebook.com/profile.php?id=100013497646924</v>
      </c>
      <c r="B2102" s="1" t="str">
        <f ca="1">IFERROR(__xludf.DUMMYFUNCTION("""COMPUTED_VALUE"""),"John Canalan")</f>
        <v>John Canalan</v>
      </c>
      <c r="C2102" s="1" t="str">
        <f ca="1">IFERROR(__xludf.DUMMYFUNCTION("""COMPUTED_VALUE"""),"John")</f>
        <v>John</v>
      </c>
      <c r="D2102" s="1" t="str">
        <f ca="1">IFERROR(__xludf.DUMMYFUNCTION("""COMPUTED_VALUE"""),"Canalan")</f>
        <v>Canalan</v>
      </c>
      <c r="E2102" s="1" t="str">
        <f ca="1">IFERROR(__xludf.DUMMYFUNCTION("""COMPUTED_VALUE"""),"Kim Rosie mapapalock ka rin daw ng account 😅")</f>
        <v>Kim Rosie mapapalock ka rin daw ng account 😅</v>
      </c>
      <c r="F2102" s="1">
        <f ca="1">IFERROR(__xludf.DUMMYFUNCTION("""COMPUTED_VALUE"""),1)</f>
        <v>1</v>
      </c>
      <c r="G2102" s="1" t="str">
        <f ca="1">IFERROR(__xludf.DUMMYFUNCTION("""COMPUTED_VALUE"""),"3 mos")</f>
        <v>3 mos</v>
      </c>
      <c r="H2102" s="1" t="str">
        <f ca="1">IFERROR(__xludf.DUMMYFUNCTION("""COMPUTED_VALUE"""),"reply")</f>
        <v>reply</v>
      </c>
      <c r="I2102" s="2" t="str">
        <f ca="1">IFERROR(__xludf.DUMMYFUNCTION("""COMPUTED_VALUE"""),"https://www.facebook.com/rapplerdotcom/photos/a.317154781638645/5594954703858600/")</f>
        <v>https://www.facebook.com/rapplerdotcom/photos/a.317154781638645/5594954703858600/</v>
      </c>
      <c r="J2102" s="1" t="str">
        <f ca="1">IFERROR(__xludf.DUMMYFUNCTION("""COMPUTED_VALUE"""),"2022-07-04T15:48:35.884Z")</f>
        <v>2022-07-04T15:48:35.884Z</v>
      </c>
    </row>
    <row r="2103" spans="1:10" x14ac:dyDescent="0.2">
      <c r="A2103" s="2" t="str">
        <f ca="1">IFERROR(__xludf.DUMMYFUNCTION("""COMPUTED_VALUE"""),"https://www.facebook.com/profile.php?id=100009202957672")</f>
        <v>https://www.facebook.com/profile.php?id=100009202957672</v>
      </c>
      <c r="B2103" s="1" t="str">
        <f ca="1">IFERROR(__xludf.DUMMYFUNCTION("""COMPUTED_VALUE"""),"Larry Natividad")</f>
        <v>Larry Natividad</v>
      </c>
      <c r="C2103" s="1" t="str">
        <f ca="1">IFERROR(__xludf.DUMMYFUNCTION("""COMPUTED_VALUE"""),"Larry")</f>
        <v>Larry</v>
      </c>
      <c r="D2103" s="1" t="str">
        <f ca="1">IFERROR(__xludf.DUMMYFUNCTION("""COMPUTED_VALUE"""),"Natividad")</f>
        <v>Natividad</v>
      </c>
      <c r="E2103" s="1" t="str">
        <f ca="1">IFERROR(__xludf.DUMMYFUNCTION("""COMPUTED_VALUE"""),"Very principled man.thank you sir🎀")</f>
        <v>Very principled man.thank you sir🎀</v>
      </c>
      <c r="F2103" s="1">
        <f ca="1">IFERROR(__xludf.DUMMYFUNCTION("""COMPUTED_VALUE"""),6)</f>
        <v>6</v>
      </c>
      <c r="G2103" s="1" t="str">
        <f ca="1">IFERROR(__xludf.DUMMYFUNCTION("""COMPUTED_VALUE"""),"3 mos")</f>
        <v>3 mos</v>
      </c>
      <c r="H2103" s="1" t="str">
        <f ca="1">IFERROR(__xludf.DUMMYFUNCTION("""COMPUTED_VALUE"""),"comment")</f>
        <v>comment</v>
      </c>
      <c r="I2103" s="2" t="str">
        <f ca="1">IFERROR(__xludf.DUMMYFUNCTION("""COMPUTED_VALUE"""),"https://www.facebook.com/rapplerdotcom/photos/a.317154781638645/5594954703858600/")</f>
        <v>https://www.facebook.com/rapplerdotcom/photos/a.317154781638645/5594954703858600/</v>
      </c>
      <c r="J2103" s="1" t="str">
        <f ca="1">IFERROR(__xludf.DUMMYFUNCTION("""COMPUTED_VALUE"""),"2022-07-04T15:48:35.884Z")</f>
        <v>2022-07-04T15:48:35.884Z</v>
      </c>
    </row>
    <row r="2104" spans="1:10" x14ac:dyDescent="0.2">
      <c r="A2104" s="2" t="str">
        <f ca="1">IFERROR(__xludf.DUMMYFUNCTION("""COMPUTED_VALUE"""),"https://www.facebook.com/epal.aco.56")</f>
        <v>https://www.facebook.com/epal.aco.56</v>
      </c>
      <c r="B2104" s="1" t="str">
        <f ca="1">IFERROR(__xludf.DUMMYFUNCTION("""COMPUTED_VALUE"""),"Epal Aco")</f>
        <v>Epal Aco</v>
      </c>
      <c r="C2104" s="1" t="str">
        <f ca="1">IFERROR(__xludf.DUMMYFUNCTION("""COMPUTED_VALUE"""),"Epal")</f>
        <v>Epal</v>
      </c>
      <c r="D2104" s="1" t="str">
        <f ca="1">IFERROR(__xludf.DUMMYFUNCTION("""COMPUTED_VALUE"""),"Aco")</f>
        <v>Aco</v>
      </c>
      <c r="E2104" s="1" t="str">
        <f ca="1">IFERROR(__xludf.DUMMYFUNCTION("""COMPUTED_VALUE"""),"Larry Natividad hahahhahaa principle? Principal kamo ng yolanda funds away.. hhahaa")</f>
        <v>Larry Natividad hahahhahaa principle? Principal kamo ng yolanda funds away.. hhahaa</v>
      </c>
      <c r="F2104" s="1"/>
      <c r="G2104" s="1" t="str">
        <f ca="1">IFERROR(__xludf.DUMMYFUNCTION("""COMPUTED_VALUE"""),"3 mos")</f>
        <v>3 mos</v>
      </c>
      <c r="H2104" s="1" t="str">
        <f ca="1">IFERROR(__xludf.DUMMYFUNCTION("""COMPUTED_VALUE"""),"reply")</f>
        <v>reply</v>
      </c>
      <c r="I2104" s="2" t="str">
        <f ca="1">IFERROR(__xludf.DUMMYFUNCTION("""COMPUTED_VALUE"""),"https://www.facebook.com/rapplerdotcom/photos/a.317154781638645/5594954703858600/")</f>
        <v>https://www.facebook.com/rapplerdotcom/photos/a.317154781638645/5594954703858600/</v>
      </c>
      <c r="J2104" s="1" t="str">
        <f ca="1">IFERROR(__xludf.DUMMYFUNCTION("""COMPUTED_VALUE"""),"2022-07-04T15:48:35.884Z")</f>
        <v>2022-07-04T15:48:35.884Z</v>
      </c>
    </row>
    <row r="2105" spans="1:10" x14ac:dyDescent="0.2">
      <c r="A2105" s="2" t="str">
        <f ca="1">IFERROR(__xludf.DUMMYFUNCTION("""COMPUTED_VALUE"""),"https://www.facebook.com/antonio.monteverdeiii")</f>
        <v>https://www.facebook.com/antonio.monteverdeiii</v>
      </c>
      <c r="B2105" s="1" t="str">
        <f ca="1">IFERROR(__xludf.DUMMYFUNCTION("""COMPUTED_VALUE"""),"Driht Edrevetnom III")</f>
        <v>Driht Edrevetnom III</v>
      </c>
      <c r="C2105" s="1" t="str">
        <f ca="1">IFERROR(__xludf.DUMMYFUNCTION("""COMPUTED_VALUE"""),"Driht")</f>
        <v>Driht</v>
      </c>
      <c r="D2105" s="1" t="str">
        <f ca="1">IFERROR(__xludf.DUMMYFUNCTION("""COMPUTED_VALUE"""),"Edrevetnom III")</f>
        <v>Edrevetnom III</v>
      </c>
      <c r="E2105" s="1" t="str">
        <f ca="1">IFERROR(__xludf.DUMMYFUNCTION("""COMPUTED_VALUE"""),"NagsamaSama na sila😁🤣😂mga kawatan Ng Yolanda fund😁")</f>
        <v>NagsamaSama na sila😁🤣😂mga kawatan Ng Yolanda fund😁</v>
      </c>
      <c r="F2105" s="1">
        <f ca="1">IFERROR(__xludf.DUMMYFUNCTION("""COMPUTED_VALUE"""),22)</f>
        <v>22</v>
      </c>
      <c r="G2105" s="1" t="str">
        <f ca="1">IFERROR(__xludf.DUMMYFUNCTION("""COMPUTED_VALUE"""),"3 mos")</f>
        <v>3 mos</v>
      </c>
      <c r="H2105" s="1" t="str">
        <f ca="1">IFERROR(__xludf.DUMMYFUNCTION("""COMPUTED_VALUE"""),"comment")</f>
        <v>comment</v>
      </c>
      <c r="I2105" s="2" t="str">
        <f ca="1">IFERROR(__xludf.DUMMYFUNCTION("""COMPUTED_VALUE"""),"https://www.facebook.com/rapplerdotcom/photos/a.317154781638645/5594954703858600/")</f>
        <v>https://www.facebook.com/rapplerdotcom/photos/a.317154781638645/5594954703858600/</v>
      </c>
      <c r="J2105" s="1" t="str">
        <f ca="1">IFERROR(__xludf.DUMMYFUNCTION("""COMPUTED_VALUE"""),"2022-07-04T15:48:35.884Z")</f>
        <v>2022-07-04T15:48:35.884Z</v>
      </c>
    </row>
    <row r="2106" spans="1:10" x14ac:dyDescent="0.2">
      <c r="A2106" s="2" t="str">
        <f ca="1">IFERROR(__xludf.DUMMYFUNCTION("""COMPUTED_VALUE"""),"https://www.facebook.com/NGCD18")</f>
        <v>https://www.facebook.com/NGCD18</v>
      </c>
      <c r="B2106" s="1" t="str">
        <f ca="1">IFERROR(__xludf.DUMMYFUNCTION("""COMPUTED_VALUE"""),"Carl Angelo Lubon Daño")</f>
        <v>Carl Angelo Lubon Daño</v>
      </c>
      <c r="C2106" s="1" t="str">
        <f ca="1">IFERROR(__xludf.DUMMYFUNCTION("""COMPUTED_VALUE"""),"Carl")</f>
        <v>Carl</v>
      </c>
      <c r="D2106" s="1" t="str">
        <f ca="1">IFERROR(__xludf.DUMMYFUNCTION("""COMPUTED_VALUE"""),"Angelo Lubon Daño")</f>
        <v>Angelo Lubon Daño</v>
      </c>
      <c r="E2106" s="1" t="str">
        <f ca="1">IFERROR(__xludf.DUMMYFUNCTION("""COMPUTED_VALUE"""),"Re Chee Jhon Carlos https://philnews.ph/2017/11/21/dotr-files-plunder-charges-vs-mar-roxas-jun-abaya/")</f>
        <v>Re Chee Jhon Carlos https://philnews.ph/2017/11/21/dotr-files-plunder-charges-vs-mar-roxas-jun-abaya/</v>
      </c>
      <c r="F2106" s="1"/>
      <c r="G2106" s="1" t="str">
        <f ca="1">IFERROR(__xludf.DUMMYFUNCTION("""COMPUTED_VALUE"""),"3 mos")</f>
        <v>3 mos</v>
      </c>
      <c r="H2106" s="1" t="str">
        <f ca="1">IFERROR(__xludf.DUMMYFUNCTION("""COMPUTED_VALUE"""),"reply")</f>
        <v>reply</v>
      </c>
      <c r="I2106" s="2" t="str">
        <f ca="1">IFERROR(__xludf.DUMMYFUNCTION("""COMPUTED_VALUE"""),"https://www.facebook.com/rapplerdotcom/photos/a.317154781638645/5594954703858600/")</f>
        <v>https://www.facebook.com/rapplerdotcom/photos/a.317154781638645/5594954703858600/</v>
      </c>
      <c r="J2106" s="1" t="str">
        <f ca="1">IFERROR(__xludf.DUMMYFUNCTION("""COMPUTED_VALUE"""),"2022-07-04T15:48:35.884Z")</f>
        <v>2022-07-04T15:48:35.884Z</v>
      </c>
    </row>
    <row r="2107" spans="1:10" x14ac:dyDescent="0.2">
      <c r="A2107" s="2" t="str">
        <f ca="1">IFERROR(__xludf.DUMMYFUNCTION("""COMPUTED_VALUE"""),"https://www.facebook.com/nayrb.zemog.5")</f>
        <v>https://www.facebook.com/nayrb.zemog.5</v>
      </c>
      <c r="B2107" s="1" t="str">
        <f ca="1">IFERROR(__xludf.DUMMYFUNCTION("""COMPUTED_VALUE"""),"Nayrb Zemog")</f>
        <v>Nayrb Zemog</v>
      </c>
      <c r="C2107" s="1" t="str">
        <f ca="1">IFERROR(__xludf.DUMMYFUNCTION("""COMPUTED_VALUE"""),"Nayrb")</f>
        <v>Nayrb</v>
      </c>
      <c r="D2107" s="1" t="str">
        <f ca="1">IFERROR(__xludf.DUMMYFUNCTION("""COMPUTED_VALUE"""),"Zemog")</f>
        <v>Zemog</v>
      </c>
      <c r="E2107" s="1" t="str">
        <f ca="1">IFERROR(__xludf.DUMMYFUNCTION("""COMPUTED_VALUE"""),"Carl Angelo Lubon Daño bopols na ky romualdez at un iba ginastos rehab ng marawi.")</f>
        <v>Carl Angelo Lubon Daño bopols na ky romualdez at un iba ginastos rehab ng marawi.</v>
      </c>
      <c r="F2107" s="1"/>
      <c r="G2107" s="1" t="str">
        <f ca="1">IFERROR(__xludf.DUMMYFUNCTION("""COMPUTED_VALUE"""),"3 mos")</f>
        <v>3 mos</v>
      </c>
      <c r="H2107" s="1" t="str">
        <f ca="1">IFERROR(__xludf.DUMMYFUNCTION("""COMPUTED_VALUE"""),"reply")</f>
        <v>reply</v>
      </c>
      <c r="I2107" s="2" t="str">
        <f ca="1">IFERROR(__xludf.DUMMYFUNCTION("""COMPUTED_VALUE"""),"https://www.facebook.com/rapplerdotcom/photos/a.317154781638645/5594954703858600/")</f>
        <v>https://www.facebook.com/rapplerdotcom/photos/a.317154781638645/5594954703858600/</v>
      </c>
      <c r="J2107" s="1" t="str">
        <f ca="1">IFERROR(__xludf.DUMMYFUNCTION("""COMPUTED_VALUE"""),"2022-07-04T15:48:35.884Z")</f>
        <v>2022-07-04T15:48:35.884Z</v>
      </c>
    </row>
    <row r="2108" spans="1:10" x14ac:dyDescent="0.2">
      <c r="A2108" s="2" t="str">
        <f ca="1">IFERROR(__xludf.DUMMYFUNCTION("""COMPUTED_VALUE"""),"https://www.facebook.com/recheejhon.carlos.58")</f>
        <v>https://www.facebook.com/recheejhon.carlos.58</v>
      </c>
      <c r="B2108" s="1" t="str">
        <f ca="1">IFERROR(__xludf.DUMMYFUNCTION("""COMPUTED_VALUE"""),"Re Chee Jhon Carlos")</f>
        <v>Re Chee Jhon Carlos</v>
      </c>
      <c r="C2108" s="1" t="str">
        <f ca="1">IFERROR(__xludf.DUMMYFUNCTION("""COMPUTED_VALUE"""),"Re")</f>
        <v>Re</v>
      </c>
      <c r="D2108" s="1" t="str">
        <f ca="1">IFERROR(__xludf.DUMMYFUNCTION("""COMPUTED_VALUE"""),"Chee Jhon Carlos")</f>
        <v>Chee Jhon Carlos</v>
      </c>
      <c r="E2108" s="1" t="str">
        <f ca="1">IFERROR(__xludf.DUMMYFUNCTION("""COMPUTED_VALUE"""),"Carl Angelo Lubon Daño hahahaha ano yan chismis na namn...")</f>
        <v>Carl Angelo Lubon Daño hahahaha ano yan chismis na namn...</v>
      </c>
      <c r="F2108" s="1"/>
      <c r="G2108" s="1" t="str">
        <f ca="1">IFERROR(__xludf.DUMMYFUNCTION("""COMPUTED_VALUE"""),"3 mos")</f>
        <v>3 mos</v>
      </c>
      <c r="H2108" s="1" t="str">
        <f ca="1">IFERROR(__xludf.DUMMYFUNCTION("""COMPUTED_VALUE"""),"reply")</f>
        <v>reply</v>
      </c>
      <c r="I2108" s="2" t="str">
        <f ca="1">IFERROR(__xludf.DUMMYFUNCTION("""COMPUTED_VALUE"""),"https://www.facebook.com/rapplerdotcom/photos/a.317154781638645/5594954703858600/")</f>
        <v>https://www.facebook.com/rapplerdotcom/photos/a.317154781638645/5594954703858600/</v>
      </c>
      <c r="J2108" s="1" t="str">
        <f ca="1">IFERROR(__xludf.DUMMYFUNCTION("""COMPUTED_VALUE"""),"2022-07-04T15:48:35.884Z")</f>
        <v>2022-07-04T15:48:35.884Z</v>
      </c>
    </row>
    <row r="2109" spans="1:10" x14ac:dyDescent="0.2">
      <c r="A2109" s="2" t="str">
        <f ca="1">IFERROR(__xludf.DUMMYFUNCTION("""COMPUTED_VALUE"""),"https://www.facebook.com/NGCD18")</f>
        <v>https://www.facebook.com/NGCD18</v>
      </c>
      <c r="B2109" s="1" t="str">
        <f ca="1">IFERROR(__xludf.DUMMYFUNCTION("""COMPUTED_VALUE"""),"Carl Angelo Lubon Daño")</f>
        <v>Carl Angelo Lubon Daño</v>
      </c>
      <c r="C2109" s="1" t="str">
        <f ca="1">IFERROR(__xludf.DUMMYFUNCTION("""COMPUTED_VALUE"""),"Carl")</f>
        <v>Carl</v>
      </c>
      <c r="D2109" s="1" t="str">
        <f ca="1">IFERROR(__xludf.DUMMYFUNCTION("""COMPUTED_VALUE"""),"Angelo Lubon Daño")</f>
        <v>Angelo Lubon Daño</v>
      </c>
      <c r="E2109" s="1" t="str">
        <f ca="1">IFERROR(__xludf.DUMMYFUNCTION("""COMPUTED_VALUE"""),"Re Chee Jhon Carlos  libre po mag basa hahhahah")</f>
        <v>Re Chee Jhon Carlos  libre po mag basa hahhahah</v>
      </c>
      <c r="F2109" s="1"/>
      <c r="G2109" s="1" t="str">
        <f ca="1">IFERROR(__xludf.DUMMYFUNCTION("""COMPUTED_VALUE"""),"3 mos")</f>
        <v>3 mos</v>
      </c>
      <c r="H2109" s="1" t="str">
        <f ca="1">IFERROR(__xludf.DUMMYFUNCTION("""COMPUTED_VALUE"""),"reply")</f>
        <v>reply</v>
      </c>
      <c r="I2109" s="2" t="str">
        <f ca="1">IFERROR(__xludf.DUMMYFUNCTION("""COMPUTED_VALUE"""),"https://www.facebook.com/rapplerdotcom/photos/a.317154781638645/5594954703858600/")</f>
        <v>https://www.facebook.com/rapplerdotcom/photos/a.317154781638645/5594954703858600/</v>
      </c>
      <c r="J2109" s="1" t="str">
        <f ca="1">IFERROR(__xludf.DUMMYFUNCTION("""COMPUTED_VALUE"""),"2022-07-04T15:48:35.884Z")</f>
        <v>2022-07-04T15:48:35.884Z</v>
      </c>
    </row>
    <row r="2110" spans="1:10" x14ac:dyDescent="0.2">
      <c r="A2110" s="2" t="str">
        <f ca="1">IFERROR(__xludf.DUMMYFUNCTION("""COMPUTED_VALUE"""),"https://www.facebook.com/recheejhon.carlos.58")</f>
        <v>https://www.facebook.com/recheejhon.carlos.58</v>
      </c>
      <c r="B2110" s="1" t="str">
        <f ca="1">IFERROR(__xludf.DUMMYFUNCTION("""COMPUTED_VALUE"""),"Re Chee Jhon Carlos")</f>
        <v>Re Chee Jhon Carlos</v>
      </c>
      <c r="C2110" s="1" t="str">
        <f ca="1">IFERROR(__xludf.DUMMYFUNCTION("""COMPUTED_VALUE"""),"Re")</f>
        <v>Re</v>
      </c>
      <c r="D2110" s="1" t="str">
        <f ca="1">IFERROR(__xludf.DUMMYFUNCTION("""COMPUTED_VALUE"""),"Chee Jhon Carlos")</f>
        <v>Chee Jhon Carlos</v>
      </c>
      <c r="E2110" s="1" t="str">
        <f ca="1">IFERROR(__xludf.DUMMYFUNCTION("""COMPUTED_VALUE"""),"Carl Angelo Lubon Daño ayt.... Bakit ndi nabuksan ang kaso? Bat ndi pa nakulong yan? 😬")</f>
        <v>Carl Angelo Lubon Daño ayt.... Bakit ndi nabuksan ang kaso? Bat ndi pa nakulong yan? 😬</v>
      </c>
      <c r="F2110" s="1">
        <f ca="1">IFERROR(__xludf.DUMMYFUNCTION("""COMPUTED_VALUE"""),1)</f>
        <v>1</v>
      </c>
      <c r="G2110" s="1" t="str">
        <f ca="1">IFERROR(__xludf.DUMMYFUNCTION("""COMPUTED_VALUE"""),"3 mos")</f>
        <v>3 mos</v>
      </c>
      <c r="H2110" s="1" t="str">
        <f ca="1">IFERROR(__xludf.DUMMYFUNCTION("""COMPUTED_VALUE"""),"reply")</f>
        <v>reply</v>
      </c>
      <c r="I2110" s="2" t="str">
        <f ca="1">IFERROR(__xludf.DUMMYFUNCTION("""COMPUTED_VALUE"""),"https://www.facebook.com/rapplerdotcom/photos/a.317154781638645/5594954703858600/")</f>
        <v>https://www.facebook.com/rapplerdotcom/photos/a.317154781638645/5594954703858600/</v>
      </c>
      <c r="J2110" s="1" t="str">
        <f ca="1">IFERROR(__xludf.DUMMYFUNCTION("""COMPUTED_VALUE"""),"2022-07-04T15:48:35.884Z")</f>
        <v>2022-07-04T15:48:35.884Z</v>
      </c>
    </row>
    <row r="2111" spans="1:10" x14ac:dyDescent="0.2">
      <c r="A2111" s="2" t="str">
        <f ca="1">IFERROR(__xludf.DUMMYFUNCTION("""COMPUTED_VALUE"""),"https://www.facebook.com/NGCD18")</f>
        <v>https://www.facebook.com/NGCD18</v>
      </c>
      <c r="B2111" s="1" t="str">
        <f ca="1">IFERROR(__xludf.DUMMYFUNCTION("""COMPUTED_VALUE"""),"Carl Angelo Lubon Daño")</f>
        <v>Carl Angelo Lubon Daño</v>
      </c>
      <c r="C2111" s="1" t="str">
        <f ca="1">IFERROR(__xludf.DUMMYFUNCTION("""COMPUTED_VALUE"""),"Carl")</f>
        <v>Carl</v>
      </c>
      <c r="D2111" s="1" t="str">
        <f ca="1">IFERROR(__xludf.DUMMYFUNCTION("""COMPUTED_VALUE"""),"Angelo Lubon Daño")</f>
        <v>Angelo Lubon Daño</v>
      </c>
      <c r="E2111" s="1" t="str">
        <f ca="1">IFERROR(__xludf.DUMMYFUNCTION("""COMPUTED_VALUE"""),"Re Chee Jhon Carlos antay ka lang po malapit na. Wag ka po atat hehhehe")</f>
        <v>Re Chee Jhon Carlos antay ka lang po malapit na. Wag ka po atat hehhehe</v>
      </c>
      <c r="F2111" s="1"/>
      <c r="G2111" s="1" t="str">
        <f ca="1">IFERROR(__xludf.DUMMYFUNCTION("""COMPUTED_VALUE"""),"3 mos")</f>
        <v>3 mos</v>
      </c>
      <c r="H2111" s="1" t="str">
        <f ca="1">IFERROR(__xludf.DUMMYFUNCTION("""COMPUTED_VALUE"""),"reply")</f>
        <v>reply</v>
      </c>
      <c r="I2111" s="2" t="str">
        <f ca="1">IFERROR(__xludf.DUMMYFUNCTION("""COMPUTED_VALUE"""),"https://www.facebook.com/rapplerdotcom/photos/a.317154781638645/5594954703858600/")</f>
        <v>https://www.facebook.com/rapplerdotcom/photos/a.317154781638645/5594954703858600/</v>
      </c>
      <c r="J2111" s="1" t="str">
        <f ca="1">IFERROR(__xludf.DUMMYFUNCTION("""COMPUTED_VALUE"""),"2022-07-04T15:48:35.884Z")</f>
        <v>2022-07-04T15:48:35.884Z</v>
      </c>
    </row>
    <row r="2112" spans="1:10" x14ac:dyDescent="0.2">
      <c r="A2112" s="2" t="str">
        <f ca="1">IFERROR(__xludf.DUMMYFUNCTION("""COMPUTED_VALUE"""),"https://www.facebook.com/recheejhon.carlos.58")</f>
        <v>https://www.facebook.com/recheejhon.carlos.58</v>
      </c>
      <c r="B2112" s="1" t="str">
        <f ca="1">IFERROR(__xludf.DUMMYFUNCTION("""COMPUTED_VALUE"""),"Re Chee Jhon Carlos")</f>
        <v>Re Chee Jhon Carlos</v>
      </c>
      <c r="C2112" s="1" t="str">
        <f ca="1">IFERROR(__xludf.DUMMYFUNCTION("""COMPUTED_VALUE"""),"Re")</f>
        <v>Re</v>
      </c>
      <c r="D2112" s="1" t="str">
        <f ca="1">IFERROR(__xludf.DUMMYFUNCTION("""COMPUTED_VALUE"""),"Chee Jhon Carlos")</f>
        <v>Chee Jhon Carlos</v>
      </c>
      <c r="E2112" s="1" t="str">
        <f ca="1">IFERROR(__xludf.DUMMYFUNCTION("""COMPUTED_VALUE"""),"Carl Angelo Lubon Daño hahaha umaasa balik ka nlng sa unithieves")</f>
        <v>Carl Angelo Lubon Daño hahaha umaasa balik ka nlng sa unithieves</v>
      </c>
      <c r="F2112" s="1">
        <f ca="1">IFERROR(__xludf.DUMMYFUNCTION("""COMPUTED_VALUE"""),2)</f>
        <v>2</v>
      </c>
      <c r="G2112" s="1" t="str">
        <f ca="1">IFERROR(__xludf.DUMMYFUNCTION("""COMPUTED_VALUE"""),"3 mos")</f>
        <v>3 mos</v>
      </c>
      <c r="H2112" s="1" t="str">
        <f ca="1">IFERROR(__xludf.DUMMYFUNCTION("""COMPUTED_VALUE"""),"reply")</f>
        <v>reply</v>
      </c>
      <c r="I2112" s="2" t="str">
        <f ca="1">IFERROR(__xludf.DUMMYFUNCTION("""COMPUTED_VALUE"""),"https://www.facebook.com/rapplerdotcom/photos/a.317154781638645/5594954703858600/")</f>
        <v>https://www.facebook.com/rapplerdotcom/photos/a.317154781638645/5594954703858600/</v>
      </c>
      <c r="J2112" s="1" t="str">
        <f ca="1">IFERROR(__xludf.DUMMYFUNCTION("""COMPUTED_VALUE"""),"2022-07-04T15:48:35.884Z")</f>
        <v>2022-07-04T15:48:35.884Z</v>
      </c>
    </row>
    <row r="2113" spans="1:10" x14ac:dyDescent="0.2">
      <c r="A2113" s="2" t="str">
        <f ca="1">IFERROR(__xludf.DUMMYFUNCTION("""COMPUTED_VALUE"""),"https://www.facebook.com/janice.arroyo.98837")</f>
        <v>https://www.facebook.com/janice.arroyo.98837</v>
      </c>
      <c r="B2113" s="1" t="str">
        <f ca="1">IFERROR(__xludf.DUMMYFUNCTION("""COMPUTED_VALUE"""),"Janice Ruth Arroyo")</f>
        <v>Janice Ruth Arroyo</v>
      </c>
      <c r="C2113" s="1" t="str">
        <f ca="1">IFERROR(__xludf.DUMMYFUNCTION("""COMPUTED_VALUE"""),"Janice")</f>
        <v>Janice</v>
      </c>
      <c r="D2113" s="1" t="str">
        <f ca="1">IFERROR(__xludf.DUMMYFUNCTION("""COMPUTED_VALUE"""),"Ruth Arroyo")</f>
        <v>Ruth Arroyo</v>
      </c>
      <c r="E2113" s="1" t="str">
        <f ca="1">IFERROR(__xludf.DUMMYFUNCTION("""COMPUTED_VALUE"""),"Driht Edrevetnom III https://dilg.gov.ph/news/DILG-P3455-B-or-85-percent-Yolanda-funds-liquidated/NC-2019-1169")</f>
        <v>Driht Edrevetnom III https://dilg.gov.ph/news/DILG-P3455-B-or-85-percent-Yolanda-funds-liquidated/NC-2019-1169</v>
      </c>
      <c r="F2113" s="1"/>
      <c r="G2113" s="1" t="str">
        <f ca="1">IFERROR(__xludf.DUMMYFUNCTION("""COMPUTED_VALUE"""),"3 mos")</f>
        <v>3 mos</v>
      </c>
      <c r="H2113" s="1" t="str">
        <f ca="1">IFERROR(__xludf.DUMMYFUNCTION("""COMPUTED_VALUE"""),"reply")</f>
        <v>reply</v>
      </c>
      <c r="I2113" s="2" t="str">
        <f ca="1">IFERROR(__xludf.DUMMYFUNCTION("""COMPUTED_VALUE"""),"https://www.facebook.com/rapplerdotcom/photos/a.317154781638645/5594954703858600/")</f>
        <v>https://www.facebook.com/rapplerdotcom/photos/a.317154781638645/5594954703858600/</v>
      </c>
      <c r="J2113" s="1" t="str">
        <f ca="1">IFERROR(__xludf.DUMMYFUNCTION("""COMPUTED_VALUE"""),"2022-07-04T15:48:35.884Z")</f>
        <v>2022-07-04T15:48:35.884Z</v>
      </c>
    </row>
    <row r="2114" spans="1:10" x14ac:dyDescent="0.2">
      <c r="A2114" s="2" t="str">
        <f ca="1">IFERROR(__xludf.DUMMYFUNCTION("""COMPUTED_VALUE"""),"https://www.facebook.com/joey.abella.507")</f>
        <v>https://www.facebook.com/joey.abella.507</v>
      </c>
      <c r="B2114" s="1" t="str">
        <f ca="1">IFERROR(__xludf.DUMMYFUNCTION("""COMPUTED_VALUE"""),"Lana")</f>
        <v>Lana</v>
      </c>
      <c r="C2114" s="1" t="str">
        <f ca="1">IFERROR(__xludf.DUMMYFUNCTION("""COMPUTED_VALUE"""),"Lana")</f>
        <v>Lana</v>
      </c>
      <c r="D2114" s="1"/>
      <c r="E2114" s="1" t="str">
        <f ca="1">IFERROR(__xludf.DUMMYFUNCTION("""COMPUTED_VALUE"""),"Driht Edrevetnom III")</f>
        <v>Driht Edrevetnom III</v>
      </c>
      <c r="F2114" s="1"/>
      <c r="G2114" s="1" t="str">
        <f ca="1">IFERROR(__xludf.DUMMYFUNCTION("""COMPUTED_VALUE"""),"3 mos")</f>
        <v>3 mos</v>
      </c>
      <c r="H2114" s="1" t="str">
        <f ca="1">IFERROR(__xludf.DUMMYFUNCTION("""COMPUTED_VALUE"""),"reply")</f>
        <v>reply</v>
      </c>
      <c r="I2114" s="2" t="str">
        <f ca="1">IFERROR(__xludf.DUMMYFUNCTION("""COMPUTED_VALUE"""),"https://www.facebook.com/rapplerdotcom/photos/a.317154781638645/5594954703858600/")</f>
        <v>https://www.facebook.com/rapplerdotcom/photos/a.317154781638645/5594954703858600/</v>
      </c>
      <c r="J2114" s="1" t="str">
        <f ca="1">IFERROR(__xludf.DUMMYFUNCTION("""COMPUTED_VALUE"""),"2022-07-04T15:48:35.884Z")</f>
        <v>2022-07-04T15:48:35.884Z</v>
      </c>
    </row>
    <row r="2115" spans="1:10" x14ac:dyDescent="0.2">
      <c r="A2115" s="2" t="str">
        <f ca="1">IFERROR(__xludf.DUMMYFUNCTION("""COMPUTED_VALUE"""),"https://www.facebook.com/leahllane.llena.9")</f>
        <v>https://www.facebook.com/leahllane.llena.9</v>
      </c>
      <c r="B2115" s="1" t="str">
        <f ca="1">IFERROR(__xludf.DUMMYFUNCTION("""COMPUTED_VALUE"""),"Leah Diosana Llena")</f>
        <v>Leah Diosana Llena</v>
      </c>
      <c r="C2115" s="1" t="str">
        <f ca="1">IFERROR(__xludf.DUMMYFUNCTION("""COMPUTED_VALUE"""),"Leah")</f>
        <v>Leah</v>
      </c>
      <c r="D2115" s="1" t="str">
        <f ca="1">IFERROR(__xludf.DUMMYFUNCTION("""COMPUTED_VALUE"""),"Diosana Llena")</f>
        <v>Diosana Llena</v>
      </c>
      <c r="E2115" s="1" t="str">
        <f ca="1">IFERROR(__xludf.DUMMYFUNCTION("""COMPUTED_VALUE"""),"Driht Edrevetnom III galing a, proof pls")</f>
        <v>Driht Edrevetnom III galing a, proof pls</v>
      </c>
      <c r="F2115" s="1"/>
      <c r="G2115" s="1" t="str">
        <f ca="1">IFERROR(__xludf.DUMMYFUNCTION("""COMPUTED_VALUE"""),"3 mos")</f>
        <v>3 mos</v>
      </c>
      <c r="H2115" s="1" t="str">
        <f ca="1">IFERROR(__xludf.DUMMYFUNCTION("""COMPUTED_VALUE"""),"reply")</f>
        <v>reply</v>
      </c>
      <c r="I2115" s="2" t="str">
        <f ca="1">IFERROR(__xludf.DUMMYFUNCTION("""COMPUTED_VALUE"""),"https://www.facebook.com/rapplerdotcom/photos/a.317154781638645/5594954703858600/")</f>
        <v>https://www.facebook.com/rapplerdotcom/photos/a.317154781638645/5594954703858600/</v>
      </c>
      <c r="J2115" s="1" t="str">
        <f ca="1">IFERROR(__xludf.DUMMYFUNCTION("""COMPUTED_VALUE"""),"2022-07-04T15:48:35.884Z")</f>
        <v>2022-07-04T15:48:35.884Z</v>
      </c>
    </row>
    <row r="2116" spans="1:10" x14ac:dyDescent="0.2">
      <c r="A2116" s="2" t="str">
        <f ca="1">IFERROR(__xludf.DUMMYFUNCTION("""COMPUTED_VALUE"""),"https://www.facebook.com/vidsdpeche")</f>
        <v>https://www.facebook.com/vidsdpeche</v>
      </c>
      <c r="B2116" s="1" t="str">
        <f ca="1">IFERROR(__xludf.DUMMYFUNCTION("""COMPUTED_VALUE"""),"Vids P Debulgado")</f>
        <v>Vids P Debulgado</v>
      </c>
      <c r="C2116" s="1" t="str">
        <f ca="1">IFERROR(__xludf.DUMMYFUNCTION("""COMPUTED_VALUE"""),"Vids")</f>
        <v>Vids</v>
      </c>
      <c r="D2116" s="1" t="str">
        <f ca="1">IFERROR(__xludf.DUMMYFUNCTION("""COMPUTED_VALUE"""),"P Debulgado")</f>
        <v>P Debulgado</v>
      </c>
      <c r="E2116" s="1" t="str">
        <f ca="1">IFERROR(__xludf.DUMMYFUNCTION("""COMPUTED_VALUE"""),"Carl Angelo Lubon Daño Ganoon? Ang alam ko ang nagwaldas si Romualdez na pinsan ni Bongbong  1B yon.")</f>
        <v>Carl Angelo Lubon Daño Ganoon? Ang alam ko ang nagwaldas si Romualdez na pinsan ni Bongbong  1B yon.</v>
      </c>
      <c r="F2116" s="1">
        <f ca="1">IFERROR(__xludf.DUMMYFUNCTION("""COMPUTED_VALUE"""),5)</f>
        <v>5</v>
      </c>
      <c r="G2116" s="1" t="str">
        <f ca="1">IFERROR(__xludf.DUMMYFUNCTION("""COMPUTED_VALUE"""),"3 mos")</f>
        <v>3 mos</v>
      </c>
      <c r="H2116" s="1" t="str">
        <f ca="1">IFERROR(__xludf.DUMMYFUNCTION("""COMPUTED_VALUE"""),"reply")</f>
        <v>reply</v>
      </c>
      <c r="I2116" s="2" t="str">
        <f ca="1">IFERROR(__xludf.DUMMYFUNCTION("""COMPUTED_VALUE"""),"https://www.facebook.com/rapplerdotcom/photos/a.317154781638645/5594954703858600/")</f>
        <v>https://www.facebook.com/rapplerdotcom/photos/a.317154781638645/5594954703858600/</v>
      </c>
      <c r="J2116" s="1" t="str">
        <f ca="1">IFERROR(__xludf.DUMMYFUNCTION("""COMPUTED_VALUE"""),"2022-07-04T15:48:35.884Z")</f>
        <v>2022-07-04T15:48:35.884Z</v>
      </c>
    </row>
    <row r="2117" spans="1:10" x14ac:dyDescent="0.2">
      <c r="A2117" s="2" t="str">
        <f ca="1">IFERROR(__xludf.DUMMYFUNCTION("""COMPUTED_VALUE"""),"https://www.facebook.com/amaya.sabado")</f>
        <v>https://www.facebook.com/amaya.sabado</v>
      </c>
      <c r="B2117" s="1" t="str">
        <f ca="1">IFERROR(__xludf.DUMMYFUNCTION("""COMPUTED_VALUE"""),"Gie Villacillo Buencamino")</f>
        <v>Gie Villacillo Buencamino</v>
      </c>
      <c r="C2117" s="1" t="str">
        <f ca="1">IFERROR(__xludf.DUMMYFUNCTION("""COMPUTED_VALUE"""),"Gie")</f>
        <v>Gie</v>
      </c>
      <c r="D2117" s="1" t="str">
        <f ca="1">IFERROR(__xludf.DUMMYFUNCTION("""COMPUTED_VALUE"""),"Villacillo Buencamino")</f>
        <v>Villacillo Buencamino</v>
      </c>
      <c r="E2117" s="1" t="str">
        <f ca="1">IFERROR(__xludf.DUMMYFUNCTION("""COMPUTED_VALUE"""),"Driht Edrevetnom III mga romualdes po tanungin tungkol sa yolanda fund,inintriga ni roxas sa kanila yong funds")</f>
        <v>Driht Edrevetnom III mga romualdes po tanungin tungkol sa yolanda fund,inintriga ni roxas sa kanila yong funds</v>
      </c>
      <c r="F2117" s="1">
        <f ca="1">IFERROR(__xludf.DUMMYFUNCTION("""COMPUTED_VALUE"""),2)</f>
        <v>2</v>
      </c>
      <c r="G2117" s="1" t="str">
        <f ca="1">IFERROR(__xludf.DUMMYFUNCTION("""COMPUTED_VALUE"""),"3 mos")</f>
        <v>3 mos</v>
      </c>
      <c r="H2117" s="1" t="str">
        <f ca="1">IFERROR(__xludf.DUMMYFUNCTION("""COMPUTED_VALUE"""),"reply")</f>
        <v>reply</v>
      </c>
      <c r="I2117" s="2" t="str">
        <f ca="1">IFERROR(__xludf.DUMMYFUNCTION("""COMPUTED_VALUE"""),"https://www.facebook.com/rapplerdotcom/photos/a.317154781638645/5594954703858600/")</f>
        <v>https://www.facebook.com/rapplerdotcom/photos/a.317154781638645/5594954703858600/</v>
      </c>
      <c r="J2117" s="1" t="str">
        <f ca="1">IFERROR(__xludf.DUMMYFUNCTION("""COMPUTED_VALUE"""),"2022-07-04T15:48:35.884Z")</f>
        <v>2022-07-04T15:48:35.884Z</v>
      </c>
    </row>
    <row r="2118" spans="1:10" x14ac:dyDescent="0.2">
      <c r="A2118" s="2" t="str">
        <f ca="1">IFERROR(__xludf.DUMMYFUNCTION("""COMPUTED_VALUE"""),"https://www.facebook.com/yenflorida")</f>
        <v>https://www.facebook.com/yenflorida</v>
      </c>
      <c r="B2118" s="1" t="str">
        <f ca="1">IFERROR(__xludf.DUMMYFUNCTION("""COMPUTED_VALUE"""),"Yen Morata")</f>
        <v>Yen Morata</v>
      </c>
      <c r="C2118" s="1" t="str">
        <f ca="1">IFERROR(__xludf.DUMMYFUNCTION("""COMPUTED_VALUE"""),"Yen")</f>
        <v>Yen</v>
      </c>
      <c r="D2118" s="1" t="str">
        <f ca="1">IFERROR(__xludf.DUMMYFUNCTION("""COMPUTED_VALUE"""),"Morata")</f>
        <v>Morata</v>
      </c>
      <c r="E2118" s="2" t="str">
        <f ca="1">IFERROR(__xludf.DUMMYFUNCTION("""COMPUTED_VALUE"""),"https://dilg.gov.ph/news/DILG-P3455-B-or-85-percent-Yolanda-funds-liquidated/NC-2019-1169")</f>
        <v>https://dilg.gov.ph/news/DILG-P3455-B-or-85-percent-Yolanda-funds-liquidated/NC-2019-1169</v>
      </c>
      <c r="F2118" s="1"/>
      <c r="G2118" s="1" t="str">
        <f ca="1">IFERROR(__xludf.DUMMYFUNCTION("""COMPUTED_VALUE"""),"3 mos")</f>
        <v>3 mos</v>
      </c>
      <c r="H2118" s="1" t="str">
        <f ca="1">IFERROR(__xludf.DUMMYFUNCTION("""COMPUTED_VALUE"""),"reply")</f>
        <v>reply</v>
      </c>
      <c r="I2118" s="2" t="str">
        <f ca="1">IFERROR(__xludf.DUMMYFUNCTION("""COMPUTED_VALUE"""),"https://www.facebook.com/rapplerdotcom/photos/a.317154781638645/5594954703858600/")</f>
        <v>https://www.facebook.com/rapplerdotcom/photos/a.317154781638645/5594954703858600/</v>
      </c>
      <c r="J2118" s="1" t="str">
        <f ca="1">IFERROR(__xludf.DUMMYFUNCTION("""COMPUTED_VALUE"""),"2022-07-04T15:48:35.884Z")</f>
        <v>2022-07-04T15:48:35.884Z</v>
      </c>
    </row>
    <row r="2119" spans="1:10" x14ac:dyDescent="0.2">
      <c r="A2119" s="2" t="str">
        <f ca="1">IFERROR(__xludf.DUMMYFUNCTION("""COMPUTED_VALUE"""),"https://www.facebook.com/marianne.bautista.543")</f>
        <v>https://www.facebook.com/marianne.bautista.543</v>
      </c>
      <c r="B2119" s="1" t="str">
        <f ca="1">IFERROR(__xludf.DUMMYFUNCTION("""COMPUTED_VALUE"""),"Marianne Bautista")</f>
        <v>Marianne Bautista</v>
      </c>
      <c r="C2119" s="1" t="str">
        <f ca="1">IFERROR(__xludf.DUMMYFUNCTION("""COMPUTED_VALUE"""),"Marianne")</f>
        <v>Marianne</v>
      </c>
      <c r="D2119" s="1" t="str">
        <f ca="1">IFERROR(__xludf.DUMMYFUNCTION("""COMPUTED_VALUE"""),"Bautista")</f>
        <v>Bautista</v>
      </c>
      <c r="E2119" s="1" t="str">
        <f ca="1">IFERROR(__xludf.DUMMYFUNCTION("""COMPUTED_VALUE"""),"Driht Edrevetnom III nabuhay nxia🤣🤣🤣🤣")</f>
        <v>Driht Edrevetnom III nabuhay nxia🤣🤣🤣🤣</v>
      </c>
      <c r="F2119" s="1">
        <f ca="1">IFERROR(__xludf.DUMMYFUNCTION("""COMPUTED_VALUE"""),1)</f>
        <v>1</v>
      </c>
      <c r="G2119" s="1" t="str">
        <f ca="1">IFERROR(__xludf.DUMMYFUNCTION("""COMPUTED_VALUE"""),"3 mos")</f>
        <v>3 mos</v>
      </c>
      <c r="H2119" s="1" t="str">
        <f ca="1">IFERROR(__xludf.DUMMYFUNCTION("""COMPUTED_VALUE"""),"reply")</f>
        <v>reply</v>
      </c>
      <c r="I2119" s="2" t="str">
        <f ca="1">IFERROR(__xludf.DUMMYFUNCTION("""COMPUTED_VALUE"""),"https://www.facebook.com/rapplerdotcom/photos/a.317154781638645/5594954703858600/")</f>
        <v>https://www.facebook.com/rapplerdotcom/photos/a.317154781638645/5594954703858600/</v>
      </c>
      <c r="J2119" s="1" t="str">
        <f ca="1">IFERROR(__xludf.DUMMYFUNCTION("""COMPUTED_VALUE"""),"2022-07-04T15:48:35.884Z")</f>
        <v>2022-07-04T15:48:35.884Z</v>
      </c>
    </row>
    <row r="2120" spans="1:10" x14ac:dyDescent="0.2">
      <c r="A2120" s="2" t="str">
        <f ca="1">IFERROR(__xludf.DUMMYFUNCTION("""COMPUTED_VALUE"""),"https://www.facebook.com/honivmonts")</f>
        <v>https://www.facebook.com/honivmonts</v>
      </c>
      <c r="B2120" s="1" t="str">
        <f ca="1">IFERROR(__xludf.DUMMYFUNCTION("""COMPUTED_VALUE"""),"Honiv Monts")</f>
        <v>Honiv Monts</v>
      </c>
      <c r="C2120" s="1" t="str">
        <f ca="1">IFERROR(__xludf.DUMMYFUNCTION("""COMPUTED_VALUE"""),"Honiv")</f>
        <v>Honiv</v>
      </c>
      <c r="D2120" s="1" t="str">
        <f ca="1">IFERROR(__xludf.DUMMYFUNCTION("""COMPUTED_VALUE"""),"Monts")</f>
        <v>Monts</v>
      </c>
      <c r="E2120" s="1" t="str">
        <f ca="1">IFERROR(__xludf.DUMMYFUNCTION("""COMPUTED_VALUE"""),"Driht Edrevetnom III xempre ginamit yan sa pang hakot")</f>
        <v>Driht Edrevetnom III xempre ginamit yan sa pang hakot</v>
      </c>
      <c r="F2120" s="1"/>
      <c r="G2120" s="1" t="str">
        <f ca="1">IFERROR(__xludf.DUMMYFUNCTION("""COMPUTED_VALUE"""),"3 mos")</f>
        <v>3 mos</v>
      </c>
      <c r="H2120" s="1" t="str">
        <f ca="1">IFERROR(__xludf.DUMMYFUNCTION("""COMPUTED_VALUE"""),"reply")</f>
        <v>reply</v>
      </c>
      <c r="I2120" s="2" t="str">
        <f ca="1">IFERROR(__xludf.DUMMYFUNCTION("""COMPUTED_VALUE"""),"https://www.facebook.com/rapplerdotcom/photos/a.317154781638645/5594954703858600/")</f>
        <v>https://www.facebook.com/rapplerdotcom/photos/a.317154781638645/5594954703858600/</v>
      </c>
      <c r="J2120" s="1" t="str">
        <f ca="1">IFERROR(__xludf.DUMMYFUNCTION("""COMPUTED_VALUE"""),"2022-07-04T15:48:35.884Z")</f>
        <v>2022-07-04T15:48:35.884Z</v>
      </c>
    </row>
    <row r="2121" spans="1:10" x14ac:dyDescent="0.2">
      <c r="A2121" s="2" t="str">
        <f ca="1">IFERROR(__xludf.DUMMYFUNCTION("""COMPUTED_VALUE"""),"https://www.facebook.com/CornerPrinter.ph")</f>
        <v>https://www.facebook.com/CornerPrinter.ph</v>
      </c>
      <c r="B2121" s="1" t="str">
        <f ca="1">IFERROR(__xludf.DUMMYFUNCTION("""COMPUTED_VALUE"""),"Corner Print Services")</f>
        <v>Corner Print Services</v>
      </c>
      <c r="C2121" s="1" t="str">
        <f ca="1">IFERROR(__xludf.DUMMYFUNCTION("""COMPUTED_VALUE"""),"Corner")</f>
        <v>Corner</v>
      </c>
      <c r="D2121" s="1" t="str">
        <f ca="1">IFERROR(__xludf.DUMMYFUNCTION("""COMPUTED_VALUE"""),"Print Services")</f>
        <v>Print Services</v>
      </c>
      <c r="E2121" s="1" t="str">
        <f ca="1">IFERROR(__xludf.DUMMYFUNCTION("""COMPUTED_VALUE"""),"Driht Edrevetnom III kawawa nmn buo family nito :D")</f>
        <v>Driht Edrevetnom III kawawa nmn buo family nito :D</v>
      </c>
      <c r="F2121" s="1"/>
      <c r="G2121" s="1" t="str">
        <f ca="1">IFERROR(__xludf.DUMMYFUNCTION("""COMPUTED_VALUE"""),"3 mos")</f>
        <v>3 mos</v>
      </c>
      <c r="H2121" s="1" t="str">
        <f ca="1">IFERROR(__xludf.DUMMYFUNCTION("""COMPUTED_VALUE"""),"reply")</f>
        <v>reply</v>
      </c>
      <c r="I2121" s="2" t="str">
        <f ca="1">IFERROR(__xludf.DUMMYFUNCTION("""COMPUTED_VALUE"""),"https://www.facebook.com/rapplerdotcom/photos/a.317154781638645/5594954703858600/")</f>
        <v>https://www.facebook.com/rapplerdotcom/photos/a.317154781638645/5594954703858600/</v>
      </c>
      <c r="J2121" s="1" t="str">
        <f ca="1">IFERROR(__xludf.DUMMYFUNCTION("""COMPUTED_VALUE"""),"2022-07-04T15:48:35.884Z")</f>
        <v>2022-07-04T15:48:35.884Z</v>
      </c>
    </row>
    <row r="2122" spans="1:10" x14ac:dyDescent="0.2">
      <c r="A2122" s="2" t="str">
        <f ca="1">IFERROR(__xludf.DUMMYFUNCTION("""COMPUTED_VALUE"""),"https://www.facebook.com/epal.aco.56")</f>
        <v>https://www.facebook.com/epal.aco.56</v>
      </c>
      <c r="B2122" s="1" t="str">
        <f ca="1">IFERROR(__xludf.DUMMYFUNCTION("""COMPUTED_VALUE"""),"Epal Aco")</f>
        <v>Epal Aco</v>
      </c>
      <c r="C2122" s="1" t="str">
        <f ca="1">IFERROR(__xludf.DUMMYFUNCTION("""COMPUTED_VALUE"""),"Epal")</f>
        <v>Epal</v>
      </c>
      <c r="D2122" s="1" t="str">
        <f ca="1">IFERROR(__xludf.DUMMYFUNCTION("""COMPUTED_VALUE"""),"Aco")</f>
        <v>Aco</v>
      </c>
      <c r="E2122" s="1" t="str">
        <f ca="1">IFERROR(__xludf.DUMMYFUNCTION("""COMPUTED_VALUE"""),"Manuel Perez hahahahahahaa kaloka kasama ka ba sa nagkeep sa treasury ng yolanda funds? Bakit hinahanap ni PRRD ung yolanda funds? Bakit nangutang pa si PRRD ng pang ayuda sau nung Covid19? Mio dai wag nio na ipagtanggol ung gaya nian kasi di lang ikaw an"&amp;"g tao sa pinas para di malaman ang totoo..kwawa talga pinas kapg si lenlen nanalo..")</f>
        <v>Manuel Perez hahahahahahaa kaloka kasama ka ba sa nagkeep sa treasury ng yolanda funds? Bakit hinahanap ni PRRD ung yolanda funds? Bakit nangutang pa si PRRD ng pang ayuda sau nung Covid19? Mio dai wag nio na ipagtanggol ung gaya nian kasi di lang ikaw ang tao sa pinas para di malaman ang totoo..kwawa talga pinas kapg si lenlen nanalo..</v>
      </c>
      <c r="F2122" s="1"/>
      <c r="G2122" s="1" t="str">
        <f ca="1">IFERROR(__xludf.DUMMYFUNCTION("""COMPUTED_VALUE"""),"3 mos")</f>
        <v>3 mos</v>
      </c>
      <c r="H2122" s="1" t="str">
        <f ca="1">IFERROR(__xludf.DUMMYFUNCTION("""COMPUTED_VALUE"""),"reply")</f>
        <v>reply</v>
      </c>
      <c r="I2122" s="2" t="str">
        <f ca="1">IFERROR(__xludf.DUMMYFUNCTION("""COMPUTED_VALUE"""),"https://www.facebook.com/rapplerdotcom/photos/a.317154781638645/5594954703858600/")</f>
        <v>https://www.facebook.com/rapplerdotcom/photos/a.317154781638645/5594954703858600/</v>
      </c>
      <c r="J2122" s="1" t="str">
        <f ca="1">IFERROR(__xludf.DUMMYFUNCTION("""COMPUTED_VALUE"""),"2022-07-04T15:48:35.884Z")</f>
        <v>2022-07-04T15:48:35.884Z</v>
      </c>
    </row>
    <row r="2123" spans="1:10" x14ac:dyDescent="0.2">
      <c r="A2123" s="2" t="str">
        <f ca="1">IFERROR(__xludf.DUMMYFUNCTION("""COMPUTED_VALUE"""),"https://www.facebook.com/epal.aco.56")</f>
        <v>https://www.facebook.com/epal.aco.56</v>
      </c>
      <c r="B2123" s="1" t="str">
        <f ca="1">IFERROR(__xludf.DUMMYFUNCTION("""COMPUTED_VALUE"""),"Epal Aco")</f>
        <v>Epal Aco</v>
      </c>
      <c r="C2123" s="1" t="str">
        <f ca="1">IFERROR(__xludf.DUMMYFUNCTION("""COMPUTED_VALUE"""),"Epal")</f>
        <v>Epal</v>
      </c>
      <c r="D2123" s="1" t="str">
        <f ca="1">IFERROR(__xludf.DUMMYFUNCTION("""COMPUTED_VALUE"""),"Aco")</f>
        <v>Aco</v>
      </c>
      <c r="E2123" s="1" t="str">
        <f ca="1">IFERROR(__xludf.DUMMYFUNCTION("""COMPUTED_VALUE"""),"Re Chee Jhon Carlos hahahahahahha overpricing ang projects na ginawa nila noh.")</f>
        <v>Re Chee Jhon Carlos hahahahahahha overpricing ang projects na ginawa nila noh.</v>
      </c>
      <c r="F2123" s="1"/>
      <c r="G2123" s="1" t="str">
        <f ca="1">IFERROR(__xludf.DUMMYFUNCTION("""COMPUTED_VALUE"""),"3 mos")</f>
        <v>3 mos</v>
      </c>
      <c r="H2123" s="1" t="str">
        <f ca="1">IFERROR(__xludf.DUMMYFUNCTION("""COMPUTED_VALUE"""),"reply")</f>
        <v>reply</v>
      </c>
      <c r="I2123" s="2" t="str">
        <f ca="1">IFERROR(__xludf.DUMMYFUNCTION("""COMPUTED_VALUE"""),"https://www.facebook.com/rapplerdotcom/photos/a.317154781638645/5594954703858600/")</f>
        <v>https://www.facebook.com/rapplerdotcom/photos/a.317154781638645/5594954703858600/</v>
      </c>
      <c r="J2123" s="1" t="str">
        <f ca="1">IFERROR(__xludf.DUMMYFUNCTION("""COMPUTED_VALUE"""),"2022-07-04T15:48:35.884Z")</f>
        <v>2022-07-04T15:48:35.884Z</v>
      </c>
    </row>
    <row r="2124" spans="1:10" x14ac:dyDescent="0.2">
      <c r="A2124" s="2" t="str">
        <f ca="1">IFERROR(__xludf.DUMMYFUNCTION("""COMPUTED_VALUE"""),"https://www.facebook.com/loreta.ardaban.3")</f>
        <v>https://www.facebook.com/loreta.ardaban.3</v>
      </c>
      <c r="B2124" s="1" t="str">
        <f ca="1">IFERROR(__xludf.DUMMYFUNCTION("""COMPUTED_VALUE"""),"Loreta Ardaban")</f>
        <v>Loreta Ardaban</v>
      </c>
      <c r="C2124" s="1" t="str">
        <f ca="1">IFERROR(__xludf.DUMMYFUNCTION("""COMPUTED_VALUE"""),"Loreta")</f>
        <v>Loreta</v>
      </c>
      <c r="D2124" s="1" t="str">
        <f ca="1">IFERROR(__xludf.DUMMYFUNCTION("""COMPUTED_VALUE"""),"Ardaban")</f>
        <v>Ardaban</v>
      </c>
      <c r="E2124" s="1" t="str">
        <f ca="1">IFERROR(__xludf.DUMMYFUNCTION("""COMPUTED_VALUE"""),"Driht Edrevetnom III Pagtatawanan lang kayo ng yolanda victims . Dahil sa Yolanda wala ng mahirap ngayon sa Leyte..")</f>
        <v>Driht Edrevetnom III Pagtatawanan lang kayo ng yolanda victims . Dahil sa Yolanda wala ng mahirap ngayon sa Leyte..</v>
      </c>
      <c r="F2124" s="1">
        <f ca="1">IFERROR(__xludf.DUMMYFUNCTION("""COMPUTED_VALUE"""),1)</f>
        <v>1</v>
      </c>
      <c r="G2124" s="1" t="str">
        <f ca="1">IFERROR(__xludf.DUMMYFUNCTION("""COMPUTED_VALUE"""),"3 mos")</f>
        <v>3 mos</v>
      </c>
      <c r="H2124" s="1" t="str">
        <f ca="1">IFERROR(__xludf.DUMMYFUNCTION("""COMPUTED_VALUE"""),"reply")</f>
        <v>reply</v>
      </c>
      <c r="I2124" s="2" t="str">
        <f ca="1">IFERROR(__xludf.DUMMYFUNCTION("""COMPUTED_VALUE"""),"https://www.facebook.com/rapplerdotcom/photos/a.317154781638645/5594954703858600/")</f>
        <v>https://www.facebook.com/rapplerdotcom/photos/a.317154781638645/5594954703858600/</v>
      </c>
      <c r="J2124" s="1" t="str">
        <f ca="1">IFERROR(__xludf.DUMMYFUNCTION("""COMPUTED_VALUE"""),"2022-07-04T15:48:35.884Z")</f>
        <v>2022-07-04T15:48:35.884Z</v>
      </c>
    </row>
    <row r="2125" spans="1:10" x14ac:dyDescent="0.2">
      <c r="A2125" s="2" t="str">
        <f ca="1">IFERROR(__xludf.DUMMYFUNCTION("""COMPUTED_VALUE"""),"https://www.facebook.com/loreta.ardaban.3")</f>
        <v>https://www.facebook.com/loreta.ardaban.3</v>
      </c>
      <c r="B2125" s="1" t="str">
        <f ca="1">IFERROR(__xludf.DUMMYFUNCTION("""COMPUTED_VALUE"""),"Loreta Ardaban")</f>
        <v>Loreta Ardaban</v>
      </c>
      <c r="C2125" s="1" t="str">
        <f ca="1">IFERROR(__xludf.DUMMYFUNCTION("""COMPUTED_VALUE"""),"Loreta")</f>
        <v>Loreta</v>
      </c>
      <c r="D2125" s="1" t="str">
        <f ca="1">IFERROR(__xludf.DUMMYFUNCTION("""COMPUTED_VALUE"""),"Ardaban")</f>
        <v>Ardaban</v>
      </c>
      <c r="E2125" s="1" t="str">
        <f ca="1">IFERROR(__xludf.DUMMYFUNCTION("""COMPUTED_VALUE"""),"Driht Edrevetnom III 🤣🤣🤣🤣Di wow.ang kawatang ay galit sa kapwa kawatan.Siya nga pala Bakit Di Siya nakulong? Ang dami ng nakulong na may matataas na tungkulin sa Bansa🤭🤭🤭🤭")</f>
        <v>Driht Edrevetnom III 🤣🤣🤣🤣Di wow.ang kawatang ay galit sa kapwa kawatan.Siya nga pala Bakit Di Siya nakulong? Ang dami ng nakulong na may matataas na tungkulin sa Bansa🤭🤭🤭🤭</v>
      </c>
      <c r="F2125" s="1"/>
      <c r="G2125" s="1" t="str">
        <f ca="1">IFERROR(__xludf.DUMMYFUNCTION("""COMPUTED_VALUE"""),"3 mos")</f>
        <v>3 mos</v>
      </c>
      <c r="H2125" s="1" t="str">
        <f ca="1">IFERROR(__xludf.DUMMYFUNCTION("""COMPUTED_VALUE"""),"reply")</f>
        <v>reply</v>
      </c>
      <c r="I2125" s="2" t="str">
        <f ca="1">IFERROR(__xludf.DUMMYFUNCTION("""COMPUTED_VALUE"""),"https://www.facebook.com/rapplerdotcom/photos/a.317154781638645/5594954703858600/")</f>
        <v>https://www.facebook.com/rapplerdotcom/photos/a.317154781638645/5594954703858600/</v>
      </c>
      <c r="J2125" s="1" t="str">
        <f ca="1">IFERROR(__xludf.DUMMYFUNCTION("""COMPUTED_VALUE"""),"2022-07-04T15:48:35.884Z")</f>
        <v>2022-07-04T15:48:35.884Z</v>
      </c>
    </row>
    <row r="2126" spans="1:10" x14ac:dyDescent="0.2">
      <c r="A2126" s="2" t="str">
        <f ca="1">IFERROR(__xludf.DUMMYFUNCTION("""COMPUTED_VALUE"""),"https://www.facebook.com/divina.chicano")</f>
        <v>https://www.facebook.com/divina.chicano</v>
      </c>
      <c r="B2126" s="1" t="str">
        <f ca="1">IFERROR(__xludf.DUMMYFUNCTION("""COMPUTED_VALUE"""),"Divine Seraspe Chicano")</f>
        <v>Divine Seraspe Chicano</v>
      </c>
      <c r="C2126" s="1" t="str">
        <f ca="1">IFERROR(__xludf.DUMMYFUNCTION("""COMPUTED_VALUE"""),"Divine")</f>
        <v>Divine</v>
      </c>
      <c r="D2126" s="1" t="str">
        <f ca="1">IFERROR(__xludf.DUMMYFUNCTION("""COMPUTED_VALUE"""),"Seraspe Chicano")</f>
        <v>Seraspe Chicano</v>
      </c>
      <c r="E2126" s="1" t="str">
        <f ca="1">IFERROR(__xludf.DUMMYFUNCTION("""COMPUTED_VALUE"""),"Bilib ako sayo Secretary Mar Roxas kasi kahit may kapamilya at kadugo sa kabila ay pinili mo ang di kadugo. Bayan muna bago ang lahat! Maraming salamat sa pagmamahal sa ating Inang bayan ang Pilipinas!")</f>
        <v>Bilib ako sayo Secretary Mar Roxas kasi kahit may kapamilya at kadugo sa kabila ay pinili mo ang di kadugo. Bayan muna bago ang lahat! Maraming salamat sa pagmamahal sa ating Inang bayan ang Pilipinas!</v>
      </c>
      <c r="F2126" s="1">
        <f ca="1">IFERROR(__xludf.DUMMYFUNCTION("""COMPUTED_VALUE"""),17)</f>
        <v>17</v>
      </c>
      <c r="G2126" s="1" t="str">
        <f ca="1">IFERROR(__xludf.DUMMYFUNCTION("""COMPUTED_VALUE"""),"3 mos")</f>
        <v>3 mos</v>
      </c>
      <c r="H2126" s="1" t="str">
        <f ca="1">IFERROR(__xludf.DUMMYFUNCTION("""COMPUTED_VALUE"""),"comment")</f>
        <v>comment</v>
      </c>
      <c r="I2126" s="2" t="str">
        <f ca="1">IFERROR(__xludf.DUMMYFUNCTION("""COMPUTED_VALUE"""),"https://www.facebook.com/rapplerdotcom/photos/a.317154781638645/5594954703858600/")</f>
        <v>https://www.facebook.com/rapplerdotcom/photos/a.317154781638645/5594954703858600/</v>
      </c>
      <c r="J2126" s="1" t="str">
        <f ca="1">IFERROR(__xludf.DUMMYFUNCTION("""COMPUTED_VALUE"""),"2022-07-04T15:48:35.884Z")</f>
        <v>2022-07-04T15:48:35.884Z</v>
      </c>
    </row>
    <row r="2127" spans="1:10" x14ac:dyDescent="0.2">
      <c r="A2127" s="2" t="str">
        <f ca="1">IFERROR(__xludf.DUMMYFUNCTION("""COMPUTED_VALUE"""),"https://www.facebook.com/danilo.lansani.5")</f>
        <v>https://www.facebook.com/danilo.lansani.5</v>
      </c>
      <c r="B2127" s="1" t="str">
        <f ca="1">IFERROR(__xludf.DUMMYFUNCTION("""COMPUTED_VALUE"""),"Danilo Lansani")</f>
        <v>Danilo Lansani</v>
      </c>
      <c r="C2127" s="1" t="str">
        <f ca="1">IFERROR(__xludf.DUMMYFUNCTION("""COMPUTED_VALUE"""),"Danilo")</f>
        <v>Danilo</v>
      </c>
      <c r="D2127" s="1" t="str">
        <f ca="1">IFERROR(__xludf.DUMMYFUNCTION("""COMPUTED_VALUE"""),"Lansani")</f>
        <v>Lansani</v>
      </c>
      <c r="E2127" s="1" t="str">
        <f ca="1">IFERROR(__xludf.DUMMYFUNCTION("""COMPUTED_VALUE"""),"Divine Seraspe Chicano lul lumutang pa ang walang silbi")</f>
        <v>Divine Seraspe Chicano lul lumutang pa ang walang silbi</v>
      </c>
      <c r="F2127" s="1">
        <f ca="1">IFERROR(__xludf.DUMMYFUNCTION("""COMPUTED_VALUE"""),1)</f>
        <v>1</v>
      </c>
      <c r="G2127" s="1" t="str">
        <f ca="1">IFERROR(__xludf.DUMMYFUNCTION("""COMPUTED_VALUE"""),"3 mos")</f>
        <v>3 mos</v>
      </c>
      <c r="H2127" s="1" t="str">
        <f ca="1">IFERROR(__xludf.DUMMYFUNCTION("""COMPUTED_VALUE"""),"reply")</f>
        <v>reply</v>
      </c>
      <c r="I2127" s="2" t="str">
        <f ca="1">IFERROR(__xludf.DUMMYFUNCTION("""COMPUTED_VALUE"""),"https://www.facebook.com/rapplerdotcom/photos/a.317154781638645/5594954703858600/")</f>
        <v>https://www.facebook.com/rapplerdotcom/photos/a.317154781638645/5594954703858600/</v>
      </c>
      <c r="J2127" s="1" t="str">
        <f ca="1">IFERROR(__xludf.DUMMYFUNCTION("""COMPUTED_VALUE"""),"2022-07-04T15:48:35.884Z")</f>
        <v>2022-07-04T15:48:35.884Z</v>
      </c>
    </row>
    <row r="2128" spans="1:10" x14ac:dyDescent="0.2">
      <c r="A2128" s="2" t="str">
        <f ca="1">IFERROR(__xludf.DUMMYFUNCTION("""COMPUTED_VALUE"""),"https://www.facebook.com/drixsaydie")</f>
        <v>https://www.facebook.com/drixsaydie</v>
      </c>
      <c r="B2128" s="1" t="str">
        <f ca="1">IFERROR(__xludf.DUMMYFUNCTION("""COMPUTED_VALUE"""),"Armo Agape")</f>
        <v>Armo Agape</v>
      </c>
      <c r="C2128" s="1" t="str">
        <f ca="1">IFERROR(__xludf.DUMMYFUNCTION("""COMPUTED_VALUE"""),"Armo")</f>
        <v>Armo</v>
      </c>
      <c r="D2128" s="1" t="str">
        <f ca="1">IFERROR(__xludf.DUMMYFUNCTION("""COMPUTED_VALUE"""),"Agape")</f>
        <v>Agape</v>
      </c>
      <c r="E2128" s="1" t="str">
        <f ca="1">IFERROR(__xludf.DUMMYFUNCTION("""COMPUTED_VALUE"""),"Danilo Lansani very obvious yung gnyang mentalidad!!😬🥴😂")</f>
        <v>Danilo Lansani very obvious yung gnyang mentalidad!!😬🥴😂</v>
      </c>
      <c r="F2128" s="1"/>
      <c r="G2128" s="1" t="str">
        <f ca="1">IFERROR(__xludf.DUMMYFUNCTION("""COMPUTED_VALUE"""),"3 mos")</f>
        <v>3 mos</v>
      </c>
      <c r="H2128" s="1" t="str">
        <f ca="1">IFERROR(__xludf.DUMMYFUNCTION("""COMPUTED_VALUE"""),"reply")</f>
        <v>reply</v>
      </c>
      <c r="I2128" s="2" t="str">
        <f ca="1">IFERROR(__xludf.DUMMYFUNCTION("""COMPUTED_VALUE"""),"https://www.facebook.com/rapplerdotcom/photos/a.317154781638645/5594954703858600/")</f>
        <v>https://www.facebook.com/rapplerdotcom/photos/a.317154781638645/5594954703858600/</v>
      </c>
      <c r="J2128" s="1" t="str">
        <f ca="1">IFERROR(__xludf.DUMMYFUNCTION("""COMPUTED_VALUE"""),"2022-07-04T15:48:35.884Z")</f>
        <v>2022-07-04T15:48:35.884Z</v>
      </c>
    </row>
    <row r="2129" spans="1:10" x14ac:dyDescent="0.2">
      <c r="A2129" s="2" t="str">
        <f ca="1">IFERROR(__xludf.DUMMYFUNCTION("""COMPUTED_VALUE"""),"https://www.facebook.com/danilo.lansani.5")</f>
        <v>https://www.facebook.com/danilo.lansani.5</v>
      </c>
      <c r="B2129" s="1" t="str">
        <f ca="1">IFERROR(__xludf.DUMMYFUNCTION("""COMPUTED_VALUE"""),"Danilo Lansani")</f>
        <v>Danilo Lansani</v>
      </c>
      <c r="C2129" s="1" t="str">
        <f ca="1">IFERROR(__xludf.DUMMYFUNCTION("""COMPUTED_VALUE"""),"Danilo")</f>
        <v>Danilo</v>
      </c>
      <c r="D2129" s="1" t="str">
        <f ca="1">IFERROR(__xludf.DUMMYFUNCTION("""COMPUTED_VALUE"""),"Lansani")</f>
        <v>Lansani</v>
      </c>
      <c r="E2129" s="1" t="str">
        <f ca="1">IFERROR(__xludf.DUMMYFUNCTION("""COMPUTED_VALUE"""),"Armo Agape billioner sa YULANDA🤣")</f>
        <v>Armo Agape billioner sa YULANDA🤣</v>
      </c>
      <c r="F2129" s="1"/>
      <c r="G2129" s="1" t="str">
        <f ca="1">IFERROR(__xludf.DUMMYFUNCTION("""COMPUTED_VALUE"""),"3 mos")</f>
        <v>3 mos</v>
      </c>
      <c r="H2129" s="1" t="str">
        <f ca="1">IFERROR(__xludf.DUMMYFUNCTION("""COMPUTED_VALUE"""),"reply")</f>
        <v>reply</v>
      </c>
      <c r="I2129" s="2" t="str">
        <f ca="1">IFERROR(__xludf.DUMMYFUNCTION("""COMPUTED_VALUE"""),"https://www.facebook.com/rapplerdotcom/photos/a.317154781638645/5594954703858600/")</f>
        <v>https://www.facebook.com/rapplerdotcom/photos/a.317154781638645/5594954703858600/</v>
      </c>
      <c r="J2129" s="1" t="str">
        <f ca="1">IFERROR(__xludf.DUMMYFUNCTION("""COMPUTED_VALUE"""),"2022-07-04T15:48:35.884Z")</f>
        <v>2022-07-04T15:48:35.884Z</v>
      </c>
    </row>
    <row r="2130" spans="1:10" x14ac:dyDescent="0.2">
      <c r="A2130" s="2" t="str">
        <f ca="1">IFERROR(__xludf.DUMMYFUNCTION("""COMPUTED_VALUE"""),"https://www.facebook.com/divina.chicano")</f>
        <v>https://www.facebook.com/divina.chicano</v>
      </c>
      <c r="B2130" s="1" t="str">
        <f ca="1">IFERROR(__xludf.DUMMYFUNCTION("""COMPUTED_VALUE"""),"Divine Seraspe Chicano")</f>
        <v>Divine Seraspe Chicano</v>
      </c>
      <c r="C2130" s="1" t="str">
        <f ca="1">IFERROR(__xludf.DUMMYFUNCTION("""COMPUTED_VALUE"""),"Divine")</f>
        <v>Divine</v>
      </c>
      <c r="D2130" s="1" t="str">
        <f ca="1">IFERROR(__xludf.DUMMYFUNCTION("""COMPUTED_VALUE"""),"Seraspe Chicano")</f>
        <v>Seraspe Chicano</v>
      </c>
      <c r="E2130" s="1" t="str">
        <f ca="1">IFERROR(__xludf.DUMMYFUNCTION("""COMPUTED_VALUE"""),"Danilo Lansani si romualdez kamo ang billionaire! 😅 hanapan mo sya ng liquidation ng 5bilyon binigay ni Mar Roxas sa kanya!")</f>
        <v>Danilo Lansani si romualdez kamo ang billionaire! 😅 hanapan mo sya ng liquidation ng 5bilyon binigay ni Mar Roxas sa kanya!</v>
      </c>
      <c r="F2130" s="1"/>
      <c r="G2130" s="1" t="str">
        <f ca="1">IFERROR(__xludf.DUMMYFUNCTION("""COMPUTED_VALUE"""),"3 mos")</f>
        <v>3 mos</v>
      </c>
      <c r="H2130" s="1" t="str">
        <f ca="1">IFERROR(__xludf.DUMMYFUNCTION("""COMPUTED_VALUE"""),"reply")</f>
        <v>reply</v>
      </c>
      <c r="I2130" s="2" t="str">
        <f ca="1">IFERROR(__xludf.DUMMYFUNCTION("""COMPUTED_VALUE"""),"https://www.facebook.com/rapplerdotcom/photos/a.317154781638645/5594954703858600/")</f>
        <v>https://www.facebook.com/rapplerdotcom/photos/a.317154781638645/5594954703858600/</v>
      </c>
      <c r="J2130" s="1" t="str">
        <f ca="1">IFERROR(__xludf.DUMMYFUNCTION("""COMPUTED_VALUE"""),"2022-07-04T15:48:35.884Z")</f>
        <v>2022-07-04T15:48:35.884Z</v>
      </c>
    </row>
    <row r="2131" spans="1:10" x14ac:dyDescent="0.2">
      <c r="A2131" s="2" t="str">
        <f ca="1">IFERROR(__xludf.DUMMYFUNCTION("""COMPUTED_VALUE"""),"https://www.facebook.com/drixsaydie")</f>
        <v>https://www.facebook.com/drixsaydie</v>
      </c>
      <c r="B2131" s="1" t="str">
        <f ca="1">IFERROR(__xludf.DUMMYFUNCTION("""COMPUTED_VALUE"""),"Armo Agape")</f>
        <v>Armo Agape</v>
      </c>
      <c r="C2131" s="1" t="str">
        <f ca="1">IFERROR(__xludf.DUMMYFUNCTION("""COMPUTED_VALUE"""),"Armo")</f>
        <v>Armo</v>
      </c>
      <c r="D2131" s="1" t="str">
        <f ca="1">IFERROR(__xludf.DUMMYFUNCTION("""COMPUTED_VALUE"""),"Agape")</f>
        <v>Agape</v>
      </c>
      <c r="E2131" s="1" t="str">
        <f ca="1">IFERROR(__xludf.DUMMYFUNCTION("""COMPUTED_VALUE"""),"Danilo LansaniDanilo  dinaig mo pa coa ombudsman doF dBm !😂🤣😁 Pati MGA tga eastern Visayas Mahihiya sayo ..panalo nga si Mar dun last election!!!🤣😂😂😂😂")</f>
        <v>Danilo LansaniDanilo  dinaig mo pa coa ombudsman doF dBm !😂🤣😁 Pati MGA tga eastern Visayas Mahihiya sayo ..panalo nga si Mar dun last election!!!🤣😂😂😂😂</v>
      </c>
      <c r="F2131" s="1">
        <f ca="1">IFERROR(__xludf.DUMMYFUNCTION("""COMPUTED_VALUE"""),1)</f>
        <v>1</v>
      </c>
      <c r="G2131" s="1" t="str">
        <f ca="1">IFERROR(__xludf.DUMMYFUNCTION("""COMPUTED_VALUE"""),"3 mos")</f>
        <v>3 mos</v>
      </c>
      <c r="H2131" s="1" t="str">
        <f ca="1">IFERROR(__xludf.DUMMYFUNCTION("""COMPUTED_VALUE"""),"reply")</f>
        <v>reply</v>
      </c>
      <c r="I2131" s="2" t="str">
        <f ca="1">IFERROR(__xludf.DUMMYFUNCTION("""COMPUTED_VALUE"""),"https://www.facebook.com/rapplerdotcom/photos/a.317154781638645/5594954703858600/")</f>
        <v>https://www.facebook.com/rapplerdotcom/photos/a.317154781638645/5594954703858600/</v>
      </c>
      <c r="J2131" s="1" t="str">
        <f ca="1">IFERROR(__xludf.DUMMYFUNCTION("""COMPUTED_VALUE"""),"2022-07-04T15:48:35.884Z")</f>
        <v>2022-07-04T15:48:35.884Z</v>
      </c>
    </row>
    <row r="2132" spans="1:10" x14ac:dyDescent="0.2">
      <c r="A2132" s="2" t="str">
        <f ca="1">IFERROR(__xludf.DUMMYFUNCTION("""COMPUTED_VALUE"""),"https://www.facebook.com/divina.chicano")</f>
        <v>https://www.facebook.com/divina.chicano</v>
      </c>
      <c r="B2132" s="1" t="str">
        <f ca="1">IFERROR(__xludf.DUMMYFUNCTION("""COMPUTED_VALUE"""),"Divine Seraspe Chicano")</f>
        <v>Divine Seraspe Chicano</v>
      </c>
      <c r="C2132" s="1" t="str">
        <f ca="1">IFERROR(__xludf.DUMMYFUNCTION("""COMPUTED_VALUE"""),"Divine")</f>
        <v>Divine</v>
      </c>
      <c r="D2132" s="1" t="str">
        <f ca="1">IFERROR(__xludf.DUMMYFUNCTION("""COMPUTED_VALUE"""),"Seraspe Chicano")</f>
        <v>Seraspe Chicano</v>
      </c>
      <c r="E2132" s="1" t="str">
        <f ca="1">IFERROR(__xludf.DUMMYFUNCTION("""COMPUTED_VALUE"""),"Armo Agape mahina signal sa kanila di ma open ang COA para makita ang liquidation ng YOlanda funds.. pati spelling niya mali.. hay!.. Danilo , hanapin mo ang 5 bilyon liquidation ng mga Romualdez kung nasaan na ang Yolanda funds?")</f>
        <v>Armo Agape mahina signal sa kanila di ma open ang COA para makita ang liquidation ng YOlanda funds.. pati spelling niya mali.. hay!.. Danilo , hanapin mo ang 5 bilyon liquidation ng mga Romualdez kung nasaan na ang Yolanda funds?</v>
      </c>
      <c r="F2132" s="1"/>
      <c r="G2132" s="1" t="str">
        <f ca="1">IFERROR(__xludf.DUMMYFUNCTION("""COMPUTED_VALUE"""),"3 mos")</f>
        <v>3 mos</v>
      </c>
      <c r="H2132" s="1" t="str">
        <f ca="1">IFERROR(__xludf.DUMMYFUNCTION("""COMPUTED_VALUE"""),"reply")</f>
        <v>reply</v>
      </c>
      <c r="I2132" s="2" t="str">
        <f ca="1">IFERROR(__xludf.DUMMYFUNCTION("""COMPUTED_VALUE"""),"https://www.facebook.com/rapplerdotcom/photos/a.317154781638645/5594954703858600/")</f>
        <v>https://www.facebook.com/rapplerdotcom/photos/a.317154781638645/5594954703858600/</v>
      </c>
      <c r="J2132" s="1" t="str">
        <f ca="1">IFERROR(__xludf.DUMMYFUNCTION("""COMPUTED_VALUE"""),"2022-07-04T15:48:35.884Z")</f>
        <v>2022-07-04T15:48:35.884Z</v>
      </c>
    </row>
    <row r="2133" spans="1:10" x14ac:dyDescent="0.2">
      <c r="A2133" s="2" t="str">
        <f ca="1">IFERROR(__xludf.DUMMYFUNCTION("""COMPUTED_VALUE"""),"https://www.facebook.com/ping.deluna.50")</f>
        <v>https://www.facebook.com/ping.deluna.50</v>
      </c>
      <c r="B2133" s="1" t="str">
        <f ca="1">IFERROR(__xludf.DUMMYFUNCTION("""COMPUTED_VALUE"""),"Ping Santos De Luna")</f>
        <v>Ping Santos De Luna</v>
      </c>
      <c r="C2133" s="1" t="str">
        <f ca="1">IFERROR(__xludf.DUMMYFUNCTION("""COMPUTED_VALUE"""),"Ping")</f>
        <v>Ping</v>
      </c>
      <c r="D2133" s="1" t="str">
        <f ca="1">IFERROR(__xludf.DUMMYFUNCTION("""COMPUTED_VALUE"""),"Santos De Luna")</f>
        <v>Santos De Luna</v>
      </c>
      <c r="E2133" s="1" t="str">
        <f ca="1">IFERROR(__xludf.DUMMYFUNCTION("""COMPUTED_VALUE"""),"Divine Seraspe Chicano bka may mkuha ulit s kaban kaya lumabas n...")</f>
        <v>Divine Seraspe Chicano bka may mkuha ulit s kaban kaya lumabas n...</v>
      </c>
      <c r="F2133" s="1">
        <f ca="1">IFERROR(__xludf.DUMMYFUNCTION("""COMPUTED_VALUE"""),1)</f>
        <v>1</v>
      </c>
      <c r="G2133" s="1" t="str">
        <f ca="1">IFERROR(__xludf.DUMMYFUNCTION("""COMPUTED_VALUE"""),"3 mos")</f>
        <v>3 mos</v>
      </c>
      <c r="H2133" s="1" t="str">
        <f ca="1">IFERROR(__xludf.DUMMYFUNCTION("""COMPUTED_VALUE"""),"reply")</f>
        <v>reply</v>
      </c>
      <c r="I2133" s="2" t="str">
        <f ca="1">IFERROR(__xludf.DUMMYFUNCTION("""COMPUTED_VALUE"""),"https://www.facebook.com/rapplerdotcom/photos/a.317154781638645/5594954703858600/")</f>
        <v>https://www.facebook.com/rapplerdotcom/photos/a.317154781638645/5594954703858600/</v>
      </c>
      <c r="J2133" s="1" t="str">
        <f ca="1">IFERROR(__xludf.DUMMYFUNCTION("""COMPUTED_VALUE"""),"2022-07-04T15:48:35.884Z")</f>
        <v>2022-07-04T15:48:35.884Z</v>
      </c>
    </row>
    <row r="2134" spans="1:10" x14ac:dyDescent="0.2">
      <c r="A2134" s="2" t="str">
        <f ca="1">IFERROR(__xludf.DUMMYFUNCTION("""COMPUTED_VALUE"""),"https://www.facebook.com/CornerPrinter.ph")</f>
        <v>https://www.facebook.com/CornerPrinter.ph</v>
      </c>
      <c r="B2134" s="1" t="str">
        <f ca="1">IFERROR(__xludf.DUMMYFUNCTION("""COMPUTED_VALUE"""),"Corner Print Services")</f>
        <v>Corner Print Services</v>
      </c>
      <c r="C2134" s="1" t="str">
        <f ca="1">IFERROR(__xludf.DUMMYFUNCTION("""COMPUTED_VALUE"""),"Corner")</f>
        <v>Corner</v>
      </c>
      <c r="D2134" s="1" t="str">
        <f ca="1">IFERROR(__xludf.DUMMYFUNCTION("""COMPUTED_VALUE"""),"Print Services")</f>
        <v>Print Services</v>
      </c>
      <c r="E2134" s="1" t="str">
        <f ca="1">IFERROR(__xludf.DUMMYFUNCTION("""COMPUTED_VALUE"""),"Danilo Lansani hnd ka updated ? research")</f>
        <v>Danilo Lansani hnd ka updated ? research</v>
      </c>
      <c r="F2134" s="1"/>
      <c r="G2134" s="1" t="str">
        <f ca="1">IFERROR(__xludf.DUMMYFUNCTION("""COMPUTED_VALUE"""),"3 mos")</f>
        <v>3 mos</v>
      </c>
      <c r="H2134" s="1" t="str">
        <f ca="1">IFERROR(__xludf.DUMMYFUNCTION("""COMPUTED_VALUE"""),"reply")</f>
        <v>reply</v>
      </c>
      <c r="I2134" s="2" t="str">
        <f ca="1">IFERROR(__xludf.DUMMYFUNCTION("""COMPUTED_VALUE"""),"https://www.facebook.com/rapplerdotcom/photos/a.317154781638645/5594954703858600/")</f>
        <v>https://www.facebook.com/rapplerdotcom/photos/a.317154781638645/5594954703858600/</v>
      </c>
      <c r="J2134" s="1" t="str">
        <f ca="1">IFERROR(__xludf.DUMMYFUNCTION("""COMPUTED_VALUE"""),"2022-07-04T15:48:35.884Z")</f>
        <v>2022-07-04T15:48:35.884Z</v>
      </c>
    </row>
    <row r="2135" spans="1:10" x14ac:dyDescent="0.2">
      <c r="A2135" s="2" t="str">
        <f ca="1">IFERROR(__xludf.DUMMYFUNCTION("""COMPUTED_VALUE"""),"https://www.facebook.com/cayetano.cabello.3")</f>
        <v>https://www.facebook.com/cayetano.cabello.3</v>
      </c>
      <c r="B2135" s="1" t="str">
        <f ca="1">IFERROR(__xludf.DUMMYFUNCTION("""COMPUTED_VALUE"""),"Cayetano Cabello")</f>
        <v>Cayetano Cabello</v>
      </c>
      <c r="C2135" s="1" t="str">
        <f ca="1">IFERROR(__xludf.DUMMYFUNCTION("""COMPUTED_VALUE"""),"Cayetano")</f>
        <v>Cayetano</v>
      </c>
      <c r="D2135" s="1" t="str">
        <f ca="1">IFERROR(__xludf.DUMMYFUNCTION("""COMPUTED_VALUE"""),"Cabello")</f>
        <v>Cabello</v>
      </c>
      <c r="E2135" s="1" t="str">
        <f ca="1">IFERROR(__xludf.DUMMYFUNCTION("""COMPUTED_VALUE"""),"Divine Seraspe Chicano asussss.. lumabas Yan kasi gusto makabalik sa pwesto..")</f>
        <v>Divine Seraspe Chicano asussss.. lumabas Yan kasi gusto makabalik sa pwesto..</v>
      </c>
      <c r="F2135" s="1"/>
      <c r="G2135" s="1" t="str">
        <f ca="1">IFERROR(__xludf.DUMMYFUNCTION("""COMPUTED_VALUE"""),"3 mos")</f>
        <v>3 mos</v>
      </c>
      <c r="H2135" s="1" t="str">
        <f ca="1">IFERROR(__xludf.DUMMYFUNCTION("""COMPUTED_VALUE"""),"reply")</f>
        <v>reply</v>
      </c>
      <c r="I2135" s="2" t="str">
        <f ca="1">IFERROR(__xludf.DUMMYFUNCTION("""COMPUTED_VALUE"""),"https://www.facebook.com/rapplerdotcom/photos/a.317154781638645/5594954703858600/")</f>
        <v>https://www.facebook.com/rapplerdotcom/photos/a.317154781638645/5594954703858600/</v>
      </c>
      <c r="J2135" s="1" t="str">
        <f ca="1">IFERROR(__xludf.DUMMYFUNCTION("""COMPUTED_VALUE"""),"2022-07-04T15:48:35.884Z")</f>
        <v>2022-07-04T15:48:35.884Z</v>
      </c>
    </row>
    <row r="2136" spans="1:10" x14ac:dyDescent="0.2">
      <c r="A2136" s="2" t="str">
        <f ca="1">IFERROR(__xludf.DUMMYFUNCTION("""COMPUTED_VALUE"""),"https://www.facebook.com/razelett.sape")</f>
        <v>https://www.facebook.com/razelett.sape</v>
      </c>
      <c r="B2136" s="1" t="str">
        <f ca="1">IFERROR(__xludf.DUMMYFUNCTION("""COMPUTED_VALUE"""),"Letty Sape Ciubal")</f>
        <v>Letty Sape Ciubal</v>
      </c>
      <c r="C2136" s="1" t="str">
        <f ca="1">IFERROR(__xludf.DUMMYFUNCTION("""COMPUTED_VALUE"""),"Letty")</f>
        <v>Letty</v>
      </c>
      <c r="D2136" s="1" t="str">
        <f ca="1">IFERROR(__xludf.DUMMYFUNCTION("""COMPUTED_VALUE"""),"Sape Ciubal")</f>
        <v>Sape Ciubal</v>
      </c>
      <c r="E2136" s="1" t="str">
        <f ca="1">IFERROR(__xludf.DUMMYFUNCTION("""COMPUTED_VALUE"""),"Thank you senator.Mar I vote for you last 2016 for president")</f>
        <v>Thank you senator.Mar I vote for you last 2016 for president</v>
      </c>
      <c r="F2136" s="1">
        <f ca="1">IFERROR(__xludf.DUMMYFUNCTION("""COMPUTED_VALUE"""),37)</f>
        <v>37</v>
      </c>
      <c r="G2136" s="1" t="str">
        <f ca="1">IFERROR(__xludf.DUMMYFUNCTION("""COMPUTED_VALUE"""),"3 mos")</f>
        <v>3 mos</v>
      </c>
      <c r="H2136" s="1" t="str">
        <f ca="1">IFERROR(__xludf.DUMMYFUNCTION("""COMPUTED_VALUE"""),"comment")</f>
        <v>comment</v>
      </c>
      <c r="I2136" s="2" t="str">
        <f ca="1">IFERROR(__xludf.DUMMYFUNCTION("""COMPUTED_VALUE"""),"https://www.facebook.com/rapplerdotcom/photos/a.317154781638645/5594954703858600/")</f>
        <v>https://www.facebook.com/rapplerdotcom/photos/a.317154781638645/5594954703858600/</v>
      </c>
      <c r="J2136" s="1" t="str">
        <f ca="1">IFERROR(__xludf.DUMMYFUNCTION("""COMPUTED_VALUE"""),"2022-07-04T15:48:35.884Z")</f>
        <v>2022-07-04T15:48:35.884Z</v>
      </c>
    </row>
    <row r="2137" spans="1:10" x14ac:dyDescent="0.2">
      <c r="A2137" s="2" t="str">
        <f ca="1">IFERROR(__xludf.DUMMYFUNCTION("""COMPUTED_VALUE"""),"https://www.facebook.com/epal.aco.56")</f>
        <v>https://www.facebook.com/epal.aco.56</v>
      </c>
      <c r="B2137" s="1" t="str">
        <f ca="1">IFERROR(__xludf.DUMMYFUNCTION("""COMPUTED_VALUE"""),"Epal Aco")</f>
        <v>Epal Aco</v>
      </c>
      <c r="C2137" s="1" t="str">
        <f ca="1">IFERROR(__xludf.DUMMYFUNCTION("""COMPUTED_VALUE"""),"Epal")</f>
        <v>Epal</v>
      </c>
      <c r="D2137" s="1" t="str">
        <f ca="1">IFERROR(__xludf.DUMMYFUNCTION("""COMPUTED_VALUE"""),"Aco")</f>
        <v>Aco</v>
      </c>
      <c r="E2137" s="1" t="str">
        <f ca="1">IFERROR(__xludf.DUMMYFUNCTION("""COMPUTED_VALUE"""),"Letty Sape Ciubal hahaha di na ko magtaka kung ang boto mo ay para kay lenlen. Kasi ung mga tiwaling tao ang sinusuporthan mo hahahaa..")</f>
        <v>Letty Sape Ciubal hahaha di na ko magtaka kung ang boto mo ay para kay lenlen. Kasi ung mga tiwaling tao ang sinusuporthan mo hahahaa..</v>
      </c>
      <c r="F2137" s="1"/>
      <c r="G2137" s="1" t="str">
        <f ca="1">IFERROR(__xludf.DUMMYFUNCTION("""COMPUTED_VALUE"""),"3 mos")</f>
        <v>3 mos</v>
      </c>
      <c r="H2137" s="1" t="str">
        <f ca="1">IFERROR(__xludf.DUMMYFUNCTION("""COMPUTED_VALUE"""),"reply")</f>
        <v>reply</v>
      </c>
      <c r="I2137" s="2" t="str">
        <f ca="1">IFERROR(__xludf.DUMMYFUNCTION("""COMPUTED_VALUE"""),"https://www.facebook.com/rapplerdotcom/photos/a.317154781638645/5594954703858600/")</f>
        <v>https://www.facebook.com/rapplerdotcom/photos/a.317154781638645/5594954703858600/</v>
      </c>
      <c r="J2137" s="1" t="str">
        <f ca="1">IFERROR(__xludf.DUMMYFUNCTION("""COMPUTED_VALUE"""),"2022-07-04T15:48:35.884Z")</f>
        <v>2022-07-04T15:48:35.884Z</v>
      </c>
    </row>
    <row r="2138" spans="1:10" x14ac:dyDescent="0.2">
      <c r="A2138" s="2" t="str">
        <f ca="1">IFERROR(__xludf.DUMMYFUNCTION("""COMPUTED_VALUE"""),"https://www.facebook.com/rome18erlano")</f>
        <v>https://www.facebook.com/rome18erlano</v>
      </c>
      <c r="B2138" s="1" t="str">
        <f ca="1">IFERROR(__xludf.DUMMYFUNCTION("""COMPUTED_VALUE"""),"Romeo Galarosa Erlano")</f>
        <v>Romeo Galarosa Erlano</v>
      </c>
      <c r="C2138" s="1" t="str">
        <f ca="1">IFERROR(__xludf.DUMMYFUNCTION("""COMPUTED_VALUE"""),"Romeo")</f>
        <v>Romeo</v>
      </c>
      <c r="D2138" s="1" t="str">
        <f ca="1">IFERROR(__xludf.DUMMYFUNCTION("""COMPUTED_VALUE"""),"Galarosa Erlano")</f>
        <v>Galarosa Erlano</v>
      </c>
      <c r="E2138" s="1" t="str">
        <f ca="1">IFERROR(__xludf.DUMMYFUNCTION("""COMPUTED_VALUE"""),"Salamat sa pagtulong sa bailiwick nyo Ex Sen.Mar Roxas sa Team RP-Robredo Pangilinan plus their senatorial slate po. God bless 🙏 Philippines and the World I 🌎.")</f>
        <v>Salamat sa pagtulong sa bailiwick nyo Ex Sen.Mar Roxas sa Team RP-Robredo Pangilinan plus their senatorial slate po. God bless 🙏 Philippines and the World I 🌎.</v>
      </c>
      <c r="F2138" s="1">
        <f ca="1">IFERROR(__xludf.DUMMYFUNCTION("""COMPUTED_VALUE"""),21)</f>
        <v>21</v>
      </c>
      <c r="G2138" s="1" t="str">
        <f ca="1">IFERROR(__xludf.DUMMYFUNCTION("""COMPUTED_VALUE"""),"3 mos")</f>
        <v>3 mos</v>
      </c>
      <c r="H2138" s="1" t="str">
        <f ca="1">IFERROR(__xludf.DUMMYFUNCTION("""COMPUTED_VALUE"""),"comment")</f>
        <v>comment</v>
      </c>
      <c r="I2138" s="2" t="str">
        <f ca="1">IFERROR(__xludf.DUMMYFUNCTION("""COMPUTED_VALUE"""),"https://www.facebook.com/rapplerdotcom/photos/a.317154781638645/5594954703858600/")</f>
        <v>https://www.facebook.com/rapplerdotcom/photos/a.317154781638645/5594954703858600/</v>
      </c>
      <c r="J2138" s="1" t="str">
        <f ca="1">IFERROR(__xludf.DUMMYFUNCTION("""COMPUTED_VALUE"""),"2022-07-04T15:48:35.884Z")</f>
        <v>2022-07-04T15:48:35.884Z</v>
      </c>
    </row>
    <row r="2139" spans="1:10" x14ac:dyDescent="0.2">
      <c r="A2139" s="2" t="str">
        <f ca="1">IFERROR(__xludf.DUMMYFUNCTION("""COMPUTED_VALUE"""),"https://www.facebook.com/frechy.ebas")</f>
        <v>https://www.facebook.com/frechy.ebas</v>
      </c>
      <c r="B2139" s="1" t="str">
        <f ca="1">IFERROR(__xludf.DUMMYFUNCTION("""COMPUTED_VALUE"""),"Frechy Gabriel Ebas")</f>
        <v>Frechy Gabriel Ebas</v>
      </c>
      <c r="C2139" s="1" t="str">
        <f ca="1">IFERROR(__xludf.DUMMYFUNCTION("""COMPUTED_VALUE"""),"Frechy")</f>
        <v>Frechy</v>
      </c>
      <c r="D2139" s="1" t="str">
        <f ca="1">IFERROR(__xludf.DUMMYFUNCTION("""COMPUTED_VALUE"""),"Gabriel Ebas")</f>
        <v>Gabriel Ebas</v>
      </c>
      <c r="E2139" s="1" t="str">
        <f ca="1">IFERROR(__xludf.DUMMYFUNCTION("""COMPUTED_VALUE"""),"Same color,same principle,same governance...and you want to win?")</f>
        <v>Same color,same principle,same governance...and you want to win?</v>
      </c>
      <c r="F2139" s="1">
        <f ca="1">IFERROR(__xludf.DUMMYFUNCTION("""COMPUTED_VALUE"""),5)</f>
        <v>5</v>
      </c>
      <c r="G2139" s="1" t="str">
        <f ca="1">IFERROR(__xludf.DUMMYFUNCTION("""COMPUTED_VALUE"""),"3 mos")</f>
        <v>3 mos</v>
      </c>
      <c r="H2139" s="1" t="str">
        <f ca="1">IFERROR(__xludf.DUMMYFUNCTION("""COMPUTED_VALUE"""),"comment")</f>
        <v>comment</v>
      </c>
      <c r="I2139" s="2" t="str">
        <f ca="1">IFERROR(__xludf.DUMMYFUNCTION("""COMPUTED_VALUE"""),"https://www.facebook.com/rapplerdotcom/photos/a.317154781638645/5594954703858600/")</f>
        <v>https://www.facebook.com/rapplerdotcom/photos/a.317154781638645/5594954703858600/</v>
      </c>
      <c r="J2139" s="1" t="str">
        <f ca="1">IFERROR(__xludf.DUMMYFUNCTION("""COMPUTED_VALUE"""),"2022-07-04T15:48:35.884Z")</f>
        <v>2022-07-04T15:48:35.884Z</v>
      </c>
    </row>
    <row r="2140" spans="1:10" x14ac:dyDescent="0.2">
      <c r="A2140" s="2" t="str">
        <f ca="1">IFERROR(__xludf.DUMMYFUNCTION("""COMPUTED_VALUE"""),"https://www.facebook.com/nongbi")</f>
        <v>https://www.facebook.com/nongbi</v>
      </c>
      <c r="B2140" s="1" t="str">
        <f ca="1">IFERROR(__xludf.DUMMYFUNCTION("""COMPUTED_VALUE"""),"Andrew Bryan N. Sapigao")</f>
        <v>Andrew Bryan N. Sapigao</v>
      </c>
      <c r="C2140" s="1" t="str">
        <f ca="1">IFERROR(__xludf.DUMMYFUNCTION("""COMPUTED_VALUE"""),"Andrew")</f>
        <v>Andrew</v>
      </c>
      <c r="D2140" s="1" t="str">
        <f ca="1">IFERROR(__xludf.DUMMYFUNCTION("""COMPUTED_VALUE"""),"Bryan N. Sapigao")</f>
        <v>Bryan N. Sapigao</v>
      </c>
      <c r="E2140" s="1" t="str">
        <f ca="1">IFERROR(__xludf.DUMMYFUNCTION("""COMPUTED_VALUE"""),"There is no Big or Small Support. We welcome any form of endorsement. Thank you former DILG Secretary and Trade and Industry Secretary")</f>
        <v>There is no Big or Small Support. We welcome any form of endorsement. Thank you former DILG Secretary and Trade and Industry Secretary</v>
      </c>
      <c r="F2140" s="1">
        <f ca="1">IFERROR(__xludf.DUMMYFUNCTION("""COMPUTED_VALUE"""),12)</f>
        <v>12</v>
      </c>
      <c r="G2140" s="1" t="str">
        <f ca="1">IFERROR(__xludf.DUMMYFUNCTION("""COMPUTED_VALUE"""),"3 mos")</f>
        <v>3 mos</v>
      </c>
      <c r="H2140" s="1" t="str">
        <f ca="1">IFERROR(__xludf.DUMMYFUNCTION("""COMPUTED_VALUE"""),"comment")</f>
        <v>comment</v>
      </c>
      <c r="I2140" s="2" t="str">
        <f ca="1">IFERROR(__xludf.DUMMYFUNCTION("""COMPUTED_VALUE"""),"https://www.facebook.com/rapplerdotcom/photos/a.317154781638645/5594954703858600/")</f>
        <v>https://www.facebook.com/rapplerdotcom/photos/a.317154781638645/5594954703858600/</v>
      </c>
      <c r="J2140" s="1" t="str">
        <f ca="1">IFERROR(__xludf.DUMMYFUNCTION("""COMPUTED_VALUE"""),"2022-07-04T15:48:35.884Z")</f>
        <v>2022-07-04T15:48:35.884Z</v>
      </c>
    </row>
    <row r="2141" spans="1:10" x14ac:dyDescent="0.2">
      <c r="A2141" s="2" t="str">
        <f ca="1">IFERROR(__xludf.DUMMYFUNCTION("""COMPUTED_VALUE"""),"https://www.facebook.com/cayetano.cabello.3")</f>
        <v>https://www.facebook.com/cayetano.cabello.3</v>
      </c>
      <c r="B2141" s="1" t="str">
        <f ca="1">IFERROR(__xludf.DUMMYFUNCTION("""COMPUTED_VALUE"""),"Cayetano Cabello")</f>
        <v>Cayetano Cabello</v>
      </c>
      <c r="C2141" s="1" t="str">
        <f ca="1">IFERROR(__xludf.DUMMYFUNCTION("""COMPUTED_VALUE"""),"Cayetano")</f>
        <v>Cayetano</v>
      </c>
      <c r="D2141" s="1" t="str">
        <f ca="1">IFERROR(__xludf.DUMMYFUNCTION("""COMPUTED_VALUE"""),"Cabello")</f>
        <v>Cabello</v>
      </c>
      <c r="E2141" s="1" t="str">
        <f ca="1">IFERROR(__xludf.DUMMYFUNCTION("""COMPUTED_VALUE"""),"Andrew Bryan N. Sapigao pweeee..")</f>
        <v>Andrew Bryan N. Sapigao pweeee..</v>
      </c>
      <c r="F2141" s="1"/>
      <c r="G2141" s="1" t="str">
        <f ca="1">IFERROR(__xludf.DUMMYFUNCTION("""COMPUTED_VALUE"""),"3 mos")</f>
        <v>3 mos</v>
      </c>
      <c r="H2141" s="1" t="str">
        <f ca="1">IFERROR(__xludf.DUMMYFUNCTION("""COMPUTED_VALUE"""),"reply")</f>
        <v>reply</v>
      </c>
      <c r="I2141" s="2" t="str">
        <f ca="1">IFERROR(__xludf.DUMMYFUNCTION("""COMPUTED_VALUE"""),"https://www.facebook.com/rapplerdotcom/photos/a.317154781638645/5594954703858600/")</f>
        <v>https://www.facebook.com/rapplerdotcom/photos/a.317154781638645/5594954703858600/</v>
      </c>
      <c r="J2141" s="1" t="str">
        <f ca="1">IFERROR(__xludf.DUMMYFUNCTION("""COMPUTED_VALUE"""),"2022-07-04T15:48:35.884Z")</f>
        <v>2022-07-04T15:48:35.884Z</v>
      </c>
    </row>
    <row r="2142" spans="1:10" x14ac:dyDescent="0.2">
      <c r="A2142" s="2" t="str">
        <f ca="1">IFERROR(__xludf.DUMMYFUNCTION("""COMPUTED_VALUE"""),"https://www.facebook.com/ronald.lojares")</f>
        <v>https://www.facebook.com/ronald.lojares</v>
      </c>
      <c r="B2142" s="1" t="str">
        <f ca="1">IFERROR(__xludf.DUMMYFUNCTION("""COMPUTED_VALUE"""),"Ron Lo")</f>
        <v>Ron Lo</v>
      </c>
      <c r="C2142" s="1" t="str">
        <f ca="1">IFERROR(__xludf.DUMMYFUNCTION("""COMPUTED_VALUE"""),"Ron")</f>
        <v>Ron</v>
      </c>
      <c r="D2142" s="1" t="str">
        <f ca="1">IFERROR(__xludf.DUMMYFUNCTION("""COMPUTED_VALUE"""),"Lo")</f>
        <v>Lo</v>
      </c>
      <c r="E2142" s="1" t="str">
        <f ca="1">IFERROR(__xludf.DUMMYFUNCTION("""COMPUTED_VALUE"""),"Nabuhay si mars")</f>
        <v>Nabuhay si mars</v>
      </c>
      <c r="F2142" s="1">
        <f ca="1">IFERROR(__xludf.DUMMYFUNCTION("""COMPUTED_VALUE"""),4)</f>
        <v>4</v>
      </c>
      <c r="G2142" s="1" t="str">
        <f ca="1">IFERROR(__xludf.DUMMYFUNCTION("""COMPUTED_VALUE"""),"3 mos")</f>
        <v>3 mos</v>
      </c>
      <c r="H2142" s="1" t="str">
        <f ca="1">IFERROR(__xludf.DUMMYFUNCTION("""COMPUTED_VALUE"""),"comment")</f>
        <v>comment</v>
      </c>
      <c r="I2142" s="2" t="str">
        <f ca="1">IFERROR(__xludf.DUMMYFUNCTION("""COMPUTED_VALUE"""),"https://www.facebook.com/rapplerdotcom/photos/a.317154781638645/5594954703858600/")</f>
        <v>https://www.facebook.com/rapplerdotcom/photos/a.317154781638645/5594954703858600/</v>
      </c>
      <c r="J2142" s="1" t="str">
        <f ca="1">IFERROR(__xludf.DUMMYFUNCTION("""COMPUTED_VALUE"""),"2022-07-04T15:48:35.884Z")</f>
        <v>2022-07-04T15:48:35.884Z</v>
      </c>
    </row>
    <row r="2143" spans="1:10" x14ac:dyDescent="0.2">
      <c r="A2143" s="2" t="str">
        <f ca="1">IFERROR(__xludf.DUMMYFUNCTION("""COMPUTED_VALUE"""),"https://www.facebook.com/ronald.lojares")</f>
        <v>https://www.facebook.com/ronald.lojares</v>
      </c>
      <c r="B2143" s="1" t="str">
        <f ca="1">IFERROR(__xludf.DUMMYFUNCTION("""COMPUTED_VALUE"""),"Ron Lo")</f>
        <v>Ron Lo</v>
      </c>
      <c r="C2143" s="1" t="str">
        <f ca="1">IFERROR(__xludf.DUMMYFUNCTION("""COMPUTED_VALUE"""),"Ron")</f>
        <v>Ron</v>
      </c>
      <c r="D2143" s="1" t="str">
        <f ca="1">IFERROR(__xludf.DUMMYFUNCTION("""COMPUTED_VALUE"""),"Lo")</f>
        <v>Lo</v>
      </c>
      <c r="E2143" s="1" t="str">
        <f ca="1">IFERROR(__xludf.DUMMYFUNCTION("""COMPUTED_VALUE"""),"👎👎")</f>
        <v>👎👎</v>
      </c>
      <c r="F2143" s="1">
        <f ca="1">IFERROR(__xludf.DUMMYFUNCTION("""COMPUTED_VALUE"""),1)</f>
        <v>1</v>
      </c>
      <c r="G2143" s="1" t="str">
        <f ca="1">IFERROR(__xludf.DUMMYFUNCTION("""COMPUTED_VALUE"""),"3 mos")</f>
        <v>3 mos</v>
      </c>
      <c r="H2143" s="1" t="str">
        <f ca="1">IFERROR(__xludf.DUMMYFUNCTION("""COMPUTED_VALUE"""),"reply")</f>
        <v>reply</v>
      </c>
      <c r="I2143" s="2" t="str">
        <f ca="1">IFERROR(__xludf.DUMMYFUNCTION("""COMPUTED_VALUE"""),"https://www.facebook.com/rapplerdotcom/photos/a.317154781638645/5594954703858600/")</f>
        <v>https://www.facebook.com/rapplerdotcom/photos/a.317154781638645/5594954703858600/</v>
      </c>
      <c r="J2143" s="1" t="str">
        <f ca="1">IFERROR(__xludf.DUMMYFUNCTION("""COMPUTED_VALUE"""),"2022-07-04T15:48:35.884Z")</f>
        <v>2022-07-04T15:48:35.884Z</v>
      </c>
    </row>
    <row r="2144" spans="1:10" x14ac:dyDescent="0.2">
      <c r="A2144" s="2" t="str">
        <f ca="1">IFERROR(__xludf.DUMMYFUNCTION("""COMPUTED_VALUE"""),"https://www.facebook.com/terry.galanza")</f>
        <v>https://www.facebook.com/terry.galanza</v>
      </c>
      <c r="B2144" s="1" t="str">
        <f ca="1">IFERROR(__xludf.DUMMYFUNCTION("""COMPUTED_VALUE"""),"Terry Galanza")</f>
        <v>Terry Galanza</v>
      </c>
      <c r="C2144" s="1" t="str">
        <f ca="1">IFERROR(__xludf.DUMMYFUNCTION("""COMPUTED_VALUE"""),"Terry")</f>
        <v>Terry</v>
      </c>
      <c r="D2144" s="1" t="str">
        <f ca="1">IFERROR(__xludf.DUMMYFUNCTION("""COMPUTED_VALUE"""),"Galanza")</f>
        <v>Galanza</v>
      </c>
      <c r="E2144" s="1" t="str">
        <f ca="1">IFERROR(__xludf.DUMMYFUNCTION("""COMPUTED_VALUE"""),"Ron Lo nabuhay c Yolanda wahahaha")</f>
        <v>Ron Lo nabuhay c Yolanda wahahaha</v>
      </c>
      <c r="F2144" s="1"/>
      <c r="G2144" s="1" t="str">
        <f ca="1">IFERROR(__xludf.DUMMYFUNCTION("""COMPUTED_VALUE"""),"3 mos")</f>
        <v>3 mos</v>
      </c>
      <c r="H2144" s="1" t="str">
        <f ca="1">IFERROR(__xludf.DUMMYFUNCTION("""COMPUTED_VALUE"""),"reply")</f>
        <v>reply</v>
      </c>
      <c r="I2144" s="2" t="str">
        <f ca="1">IFERROR(__xludf.DUMMYFUNCTION("""COMPUTED_VALUE"""),"https://www.facebook.com/rapplerdotcom/photos/a.317154781638645/5594954703858600/")</f>
        <v>https://www.facebook.com/rapplerdotcom/photos/a.317154781638645/5594954703858600/</v>
      </c>
      <c r="J2144" s="1" t="str">
        <f ca="1">IFERROR(__xludf.DUMMYFUNCTION("""COMPUTED_VALUE"""),"2022-07-04T15:48:35.884Z")</f>
        <v>2022-07-04T15:48:35.884Z</v>
      </c>
    </row>
    <row r="2145" spans="1:10" x14ac:dyDescent="0.2">
      <c r="A2145" s="2" t="str">
        <f ca="1">IFERROR(__xludf.DUMMYFUNCTION("""COMPUTED_VALUE"""),"https://www.facebook.com/drixsaydie")</f>
        <v>https://www.facebook.com/drixsaydie</v>
      </c>
      <c r="B2145" s="1" t="str">
        <f ca="1">IFERROR(__xludf.DUMMYFUNCTION("""COMPUTED_VALUE"""),"Armo Agape")</f>
        <v>Armo Agape</v>
      </c>
      <c r="C2145" s="1" t="str">
        <f ca="1">IFERROR(__xludf.DUMMYFUNCTION("""COMPUTED_VALUE"""),"Armo")</f>
        <v>Armo</v>
      </c>
      <c r="D2145" s="1" t="str">
        <f ca="1">IFERROR(__xludf.DUMMYFUNCTION("""COMPUTED_VALUE"""),"Agape")</f>
        <v>Agape</v>
      </c>
      <c r="E2145" s="1" t="str">
        <f ca="1">IFERROR(__xludf.DUMMYFUNCTION("""COMPUTED_VALUE"""),"Terry Galanza hiyang hiya nmn Sayo MGA taga eastern Visayas !!🥴😂😁panalo nga si Mar dun!!!😂😂😂😂")</f>
        <v>Terry Galanza hiyang hiya nmn Sayo MGA taga eastern Visayas !!🥴😂😁panalo nga si Mar dun!!!😂😂😂😂</v>
      </c>
      <c r="F2145" s="1"/>
      <c r="G2145" s="1" t="str">
        <f ca="1">IFERROR(__xludf.DUMMYFUNCTION("""COMPUTED_VALUE"""),"3 mos")</f>
        <v>3 mos</v>
      </c>
      <c r="H2145" s="1" t="str">
        <f ca="1">IFERROR(__xludf.DUMMYFUNCTION("""COMPUTED_VALUE"""),"reply")</f>
        <v>reply</v>
      </c>
      <c r="I2145" s="2" t="str">
        <f ca="1">IFERROR(__xludf.DUMMYFUNCTION("""COMPUTED_VALUE"""),"https://www.facebook.com/rapplerdotcom/photos/a.317154781638645/5594954703858600/")</f>
        <v>https://www.facebook.com/rapplerdotcom/photos/a.317154781638645/5594954703858600/</v>
      </c>
      <c r="J2145" s="1" t="str">
        <f ca="1">IFERROR(__xludf.DUMMYFUNCTION("""COMPUTED_VALUE"""),"2022-07-04T15:48:35.884Z")</f>
        <v>2022-07-04T15:48:35.884Z</v>
      </c>
    </row>
    <row r="2146" spans="1:10" x14ac:dyDescent="0.2">
      <c r="A2146" s="2" t="str">
        <f ca="1">IFERROR(__xludf.DUMMYFUNCTION("""COMPUTED_VALUE"""),"https://www.facebook.com/armin.manalastas")</f>
        <v>https://www.facebook.com/armin.manalastas</v>
      </c>
      <c r="B2146" s="1" t="str">
        <f ca="1">IFERROR(__xludf.DUMMYFUNCTION("""COMPUTED_VALUE"""),"Armin Remoquillo Manalastas")</f>
        <v>Armin Remoquillo Manalastas</v>
      </c>
      <c r="C2146" s="1" t="str">
        <f ca="1">IFERROR(__xludf.DUMMYFUNCTION("""COMPUTED_VALUE"""),"Armin")</f>
        <v>Armin</v>
      </c>
      <c r="D2146" s="1" t="str">
        <f ca="1">IFERROR(__xludf.DUMMYFUNCTION("""COMPUTED_VALUE"""),"Remoquillo Manalastas")</f>
        <v>Remoquillo Manalastas</v>
      </c>
      <c r="E2146" s="1" t="str">
        <f ca="1">IFERROR(__xludf.DUMMYFUNCTION("""COMPUTED_VALUE"""),"Lalong natalo si lug...")</f>
        <v>Lalong natalo si lug...</v>
      </c>
      <c r="F2146" s="1">
        <f ca="1">IFERROR(__xludf.DUMMYFUNCTION("""COMPUTED_VALUE"""),4)</f>
        <v>4</v>
      </c>
      <c r="G2146" s="1" t="str">
        <f ca="1">IFERROR(__xludf.DUMMYFUNCTION("""COMPUTED_VALUE"""),"3 mos")</f>
        <v>3 mos</v>
      </c>
      <c r="H2146" s="1" t="str">
        <f ca="1">IFERROR(__xludf.DUMMYFUNCTION("""COMPUTED_VALUE"""),"comment")</f>
        <v>comment</v>
      </c>
      <c r="I2146" s="2" t="str">
        <f ca="1">IFERROR(__xludf.DUMMYFUNCTION("""COMPUTED_VALUE"""),"https://www.facebook.com/rapplerdotcom/photos/a.317154781638645/5594954703858600/")</f>
        <v>https://www.facebook.com/rapplerdotcom/photos/a.317154781638645/5594954703858600/</v>
      </c>
      <c r="J2146" s="1" t="str">
        <f ca="1">IFERROR(__xludf.DUMMYFUNCTION("""COMPUTED_VALUE"""),"2022-07-04T15:48:35.884Z")</f>
        <v>2022-07-04T15:48:35.884Z</v>
      </c>
    </row>
    <row r="2147" spans="1:10" x14ac:dyDescent="0.2">
      <c r="A2147" s="2" t="str">
        <f ca="1">IFERROR(__xludf.DUMMYFUNCTION("""COMPUTED_VALUE"""),"https://www.facebook.com/joey.abella.507")</f>
        <v>https://www.facebook.com/joey.abella.507</v>
      </c>
      <c r="B2147" s="1" t="str">
        <f ca="1">IFERROR(__xludf.DUMMYFUNCTION("""COMPUTED_VALUE"""),"Lana")</f>
        <v>Lana</v>
      </c>
      <c r="C2147" s="1" t="str">
        <f ca="1">IFERROR(__xludf.DUMMYFUNCTION("""COMPUTED_VALUE"""),"Lana")</f>
        <v>Lana</v>
      </c>
      <c r="D2147" s="1"/>
      <c r="E2147" s="1" t="str">
        <f ca="1">IFERROR(__xludf.DUMMYFUNCTION("""COMPUTED_VALUE"""),"Armin Remoquillo Manalastas")</f>
        <v>Armin Remoquillo Manalastas</v>
      </c>
      <c r="F2147" s="1">
        <f ca="1">IFERROR(__xludf.DUMMYFUNCTION("""COMPUTED_VALUE"""),1)</f>
        <v>1</v>
      </c>
      <c r="G2147" s="1" t="str">
        <f ca="1">IFERROR(__xludf.DUMMYFUNCTION("""COMPUTED_VALUE"""),"3 mos")</f>
        <v>3 mos</v>
      </c>
      <c r="H2147" s="1" t="str">
        <f ca="1">IFERROR(__xludf.DUMMYFUNCTION("""COMPUTED_VALUE"""),"reply")</f>
        <v>reply</v>
      </c>
      <c r="I2147" s="2" t="str">
        <f ca="1">IFERROR(__xludf.DUMMYFUNCTION("""COMPUTED_VALUE"""),"https://www.facebook.com/rapplerdotcom/photos/a.317154781638645/5594954703858600/")</f>
        <v>https://www.facebook.com/rapplerdotcom/photos/a.317154781638645/5594954703858600/</v>
      </c>
      <c r="J2147" s="1" t="str">
        <f ca="1">IFERROR(__xludf.DUMMYFUNCTION("""COMPUTED_VALUE"""),"2022-07-04T15:48:35.884Z")</f>
        <v>2022-07-04T15:48:35.884Z</v>
      </c>
    </row>
    <row r="2148" spans="1:10" x14ac:dyDescent="0.2">
      <c r="A2148" s="2" t="str">
        <f ca="1">IFERROR(__xludf.DUMMYFUNCTION("""COMPUTED_VALUE"""),"https://www.facebook.com/drixsaydie")</f>
        <v>https://www.facebook.com/drixsaydie</v>
      </c>
      <c r="B2148" s="1" t="str">
        <f ca="1">IFERROR(__xludf.DUMMYFUNCTION("""COMPUTED_VALUE"""),"Armo Agape")</f>
        <v>Armo Agape</v>
      </c>
      <c r="C2148" s="1" t="str">
        <f ca="1">IFERROR(__xludf.DUMMYFUNCTION("""COMPUTED_VALUE"""),"Armo")</f>
        <v>Armo</v>
      </c>
      <c r="D2148" s="1" t="str">
        <f ca="1">IFERROR(__xludf.DUMMYFUNCTION("""COMPUTED_VALUE"""),"Agape")</f>
        <v>Agape</v>
      </c>
      <c r="E2148" s="1" t="str">
        <f ca="1">IFERROR(__xludf.DUMMYFUNCTION("""COMPUTED_VALUE"""),"Armin Remoquillo Manalastas  sino kaya Yung nakailang recount last election???😬🤔🤔🤔")</f>
        <v>Armin Remoquillo Manalastas  sino kaya Yung nakailang recount last election???😬🤔🤔🤔</v>
      </c>
      <c r="F2148" s="1">
        <f ca="1">IFERROR(__xludf.DUMMYFUNCTION("""COMPUTED_VALUE"""),3)</f>
        <v>3</v>
      </c>
      <c r="G2148" s="1" t="str">
        <f ca="1">IFERROR(__xludf.DUMMYFUNCTION("""COMPUTED_VALUE"""),"3 mos")</f>
        <v>3 mos</v>
      </c>
      <c r="H2148" s="1" t="str">
        <f ca="1">IFERROR(__xludf.DUMMYFUNCTION("""COMPUTED_VALUE"""),"reply")</f>
        <v>reply</v>
      </c>
      <c r="I2148" s="2" t="str">
        <f ca="1">IFERROR(__xludf.DUMMYFUNCTION("""COMPUTED_VALUE"""),"https://www.facebook.com/rapplerdotcom/photos/a.317154781638645/5594954703858600/")</f>
        <v>https://www.facebook.com/rapplerdotcom/photos/a.317154781638645/5594954703858600/</v>
      </c>
      <c r="J2148" s="1" t="str">
        <f ca="1">IFERROR(__xludf.DUMMYFUNCTION("""COMPUTED_VALUE"""),"2022-07-04T15:48:35.884Z")</f>
        <v>2022-07-04T15:48:35.884Z</v>
      </c>
    </row>
    <row r="2149" spans="1:10" x14ac:dyDescent="0.2">
      <c r="A2149" s="2" t="str">
        <f ca="1">IFERROR(__xludf.DUMMYFUNCTION("""COMPUTED_VALUE"""),"https://www.facebook.com/profile.php?id=100005805521954")</f>
        <v>https://www.facebook.com/profile.php?id=100005805521954</v>
      </c>
      <c r="B2149" s="1" t="str">
        <f ca="1">IFERROR(__xludf.DUMMYFUNCTION("""COMPUTED_VALUE"""),"Elvie Cabahug")</f>
        <v>Elvie Cabahug</v>
      </c>
      <c r="C2149" s="1" t="str">
        <f ca="1">IFERROR(__xludf.DUMMYFUNCTION("""COMPUTED_VALUE"""),"Elvie")</f>
        <v>Elvie</v>
      </c>
      <c r="D2149" s="1" t="str">
        <f ca="1">IFERROR(__xludf.DUMMYFUNCTION("""COMPUTED_VALUE"""),"Cabahug")</f>
        <v>Cabahug</v>
      </c>
      <c r="E2149" s="1" t="str">
        <f ca="1">IFERROR(__xludf.DUMMYFUNCTION("""COMPUTED_VALUE"""),"Salamat Mar Roxas #LeniForPresident2022  #LeniKiko2022")</f>
        <v>Salamat Mar Roxas #LeniForPresident2022  #LeniKiko2022</v>
      </c>
      <c r="F2149" s="1">
        <f ca="1">IFERROR(__xludf.DUMMYFUNCTION("""COMPUTED_VALUE"""),14)</f>
        <v>14</v>
      </c>
      <c r="G2149" s="1" t="str">
        <f ca="1">IFERROR(__xludf.DUMMYFUNCTION("""COMPUTED_VALUE"""),"3 mos")</f>
        <v>3 mos</v>
      </c>
      <c r="H2149" s="1" t="str">
        <f ca="1">IFERROR(__xludf.DUMMYFUNCTION("""COMPUTED_VALUE"""),"comment")</f>
        <v>comment</v>
      </c>
      <c r="I2149" s="2" t="str">
        <f ca="1">IFERROR(__xludf.DUMMYFUNCTION("""COMPUTED_VALUE"""),"https://www.facebook.com/rapplerdotcom/photos/a.317154781638645/5594954703858600/")</f>
        <v>https://www.facebook.com/rapplerdotcom/photos/a.317154781638645/5594954703858600/</v>
      </c>
      <c r="J2149" s="1" t="str">
        <f ca="1">IFERROR(__xludf.DUMMYFUNCTION("""COMPUTED_VALUE"""),"2022-07-04T15:48:35.884Z")</f>
        <v>2022-07-04T15:48:35.884Z</v>
      </c>
    </row>
    <row r="2150" spans="1:10" x14ac:dyDescent="0.2">
      <c r="A2150" s="2" t="str">
        <f ca="1">IFERROR(__xludf.DUMMYFUNCTION("""COMPUTED_VALUE"""),"https://www.facebook.com/bownie.abagatan")</f>
        <v>https://www.facebook.com/bownie.abagatan</v>
      </c>
      <c r="B2150" s="1" t="str">
        <f ca="1">IFERROR(__xludf.DUMMYFUNCTION("""COMPUTED_VALUE"""),"Brian Dave")</f>
        <v>Brian Dave</v>
      </c>
      <c r="C2150" s="1" t="str">
        <f ca="1">IFERROR(__xludf.DUMMYFUNCTION("""COMPUTED_VALUE"""),"Brian")</f>
        <v>Brian</v>
      </c>
      <c r="D2150" s="1" t="str">
        <f ca="1">IFERROR(__xludf.DUMMYFUNCTION("""COMPUTED_VALUE"""),"Dave")</f>
        <v>Dave</v>
      </c>
      <c r="E2150" s="1" t="str">
        <f ca="1">IFERROR(__xludf.DUMMYFUNCTION("""COMPUTED_VALUE"""),"Bahala kayo sa buhay niyo! -mar roxas")</f>
        <v>Bahala kayo sa buhay niyo! -mar roxas</v>
      </c>
      <c r="F2150" s="1">
        <f ca="1">IFERROR(__xludf.DUMMYFUNCTION("""COMPUTED_VALUE"""),2)</f>
        <v>2</v>
      </c>
      <c r="G2150" s="1" t="str">
        <f ca="1">IFERROR(__xludf.DUMMYFUNCTION("""COMPUTED_VALUE"""),"3 mos")</f>
        <v>3 mos</v>
      </c>
      <c r="H2150" s="1" t="str">
        <f ca="1">IFERROR(__xludf.DUMMYFUNCTION("""COMPUTED_VALUE"""),"comment")</f>
        <v>comment</v>
      </c>
      <c r="I2150" s="2" t="str">
        <f ca="1">IFERROR(__xludf.DUMMYFUNCTION("""COMPUTED_VALUE"""),"https://www.facebook.com/rapplerdotcom/photos/a.317154781638645/5594954703858600/")</f>
        <v>https://www.facebook.com/rapplerdotcom/photos/a.317154781638645/5594954703858600/</v>
      </c>
      <c r="J2150" s="1" t="str">
        <f ca="1">IFERROR(__xludf.DUMMYFUNCTION("""COMPUTED_VALUE"""),"2022-07-04T15:48:35.884Z")</f>
        <v>2022-07-04T15:48:35.884Z</v>
      </c>
    </row>
    <row r="2151" spans="1:10" x14ac:dyDescent="0.2">
      <c r="A2151" s="2" t="str">
        <f ca="1">IFERROR(__xludf.DUMMYFUNCTION("""COMPUTED_VALUE"""),"https://www.facebook.com/marvin.noche.1")</f>
        <v>https://www.facebook.com/marvin.noche.1</v>
      </c>
      <c r="B2151" s="1" t="str">
        <f ca="1">IFERROR(__xludf.DUMMYFUNCTION("""COMPUTED_VALUE"""),"Marvin Noche")</f>
        <v>Marvin Noche</v>
      </c>
      <c r="C2151" s="1" t="str">
        <f ca="1">IFERROR(__xludf.DUMMYFUNCTION("""COMPUTED_VALUE"""),"Marvin")</f>
        <v>Marvin</v>
      </c>
      <c r="D2151" s="1" t="str">
        <f ca="1">IFERROR(__xludf.DUMMYFUNCTION("""COMPUTED_VALUE"""),"Noche")</f>
        <v>Noche</v>
      </c>
      <c r="E2151" s="1" t="str">
        <f ca="1">IFERROR(__xludf.DUMMYFUNCTION("""COMPUTED_VALUE"""),"Nahihinog na ang pigsa at lumalabas na ang tunay na kulay")</f>
        <v>Nahihinog na ang pigsa at lumalabas na ang tunay na kulay</v>
      </c>
      <c r="F2151" s="1">
        <f ca="1">IFERROR(__xludf.DUMMYFUNCTION("""COMPUTED_VALUE"""),8)</f>
        <v>8</v>
      </c>
      <c r="G2151" s="1" t="str">
        <f ca="1">IFERROR(__xludf.DUMMYFUNCTION("""COMPUTED_VALUE"""),"3 mos")</f>
        <v>3 mos</v>
      </c>
      <c r="H2151" s="1" t="str">
        <f ca="1">IFERROR(__xludf.DUMMYFUNCTION("""COMPUTED_VALUE"""),"comment")</f>
        <v>comment</v>
      </c>
      <c r="I2151" s="2" t="str">
        <f ca="1">IFERROR(__xludf.DUMMYFUNCTION("""COMPUTED_VALUE"""),"https://www.facebook.com/rapplerdotcom/photos/a.317154781638645/5594954703858600/")</f>
        <v>https://www.facebook.com/rapplerdotcom/photos/a.317154781638645/5594954703858600/</v>
      </c>
      <c r="J2151" s="1" t="str">
        <f ca="1">IFERROR(__xludf.DUMMYFUNCTION("""COMPUTED_VALUE"""),"2022-07-04T15:48:35.884Z")</f>
        <v>2022-07-04T15:48:35.884Z</v>
      </c>
    </row>
    <row r="2152" spans="1:10" x14ac:dyDescent="0.2">
      <c r="A2152" s="2" t="str">
        <f ca="1">IFERROR(__xludf.DUMMYFUNCTION("""COMPUTED_VALUE"""),"https://www.facebook.com/rose.cadavicio")</f>
        <v>https://www.facebook.com/rose.cadavicio</v>
      </c>
      <c r="B2152" s="1" t="str">
        <f ca="1">IFERROR(__xludf.DUMMYFUNCTION("""COMPUTED_VALUE"""),"Rose Cadavicio")</f>
        <v>Rose Cadavicio</v>
      </c>
      <c r="C2152" s="1" t="str">
        <f ca="1">IFERROR(__xludf.DUMMYFUNCTION("""COMPUTED_VALUE"""),"Rose")</f>
        <v>Rose</v>
      </c>
      <c r="D2152" s="1" t="str">
        <f ca="1">IFERROR(__xludf.DUMMYFUNCTION("""COMPUTED_VALUE"""),"Cadavicio")</f>
        <v>Cadavicio</v>
      </c>
      <c r="E2152" s="1" t="str">
        <f ca="1">IFERROR(__xludf.DUMMYFUNCTION("""COMPUTED_VALUE"""),"Go! Sir Mar Roxas for Kakampink 🙏🌷🌷🌷🌷God bless")</f>
        <v>Go! Sir Mar Roxas for Kakampink 🙏🌷🌷🌷🌷God bless</v>
      </c>
      <c r="F2152" s="1">
        <f ca="1">IFERROR(__xludf.DUMMYFUNCTION("""COMPUTED_VALUE"""),3)</f>
        <v>3</v>
      </c>
      <c r="G2152" s="1" t="str">
        <f ca="1">IFERROR(__xludf.DUMMYFUNCTION("""COMPUTED_VALUE"""),"3 mos")</f>
        <v>3 mos</v>
      </c>
      <c r="H2152" s="1" t="str">
        <f ca="1">IFERROR(__xludf.DUMMYFUNCTION("""COMPUTED_VALUE"""),"comment")</f>
        <v>comment</v>
      </c>
      <c r="I2152" s="2" t="str">
        <f ca="1">IFERROR(__xludf.DUMMYFUNCTION("""COMPUTED_VALUE"""),"https://www.facebook.com/rapplerdotcom/photos/a.317154781638645/5594954703858600/")</f>
        <v>https://www.facebook.com/rapplerdotcom/photos/a.317154781638645/5594954703858600/</v>
      </c>
      <c r="J2152" s="1" t="str">
        <f ca="1">IFERROR(__xludf.DUMMYFUNCTION("""COMPUTED_VALUE"""),"2022-07-04T15:48:35.884Z")</f>
        <v>2022-07-04T15:48:35.884Z</v>
      </c>
    </row>
    <row r="2153" spans="1:10" x14ac:dyDescent="0.2">
      <c r="A2153" s="2" t="str">
        <f ca="1">IFERROR(__xludf.DUMMYFUNCTION("""COMPUTED_VALUE"""),"https://www.facebook.com/epal.aco.56")</f>
        <v>https://www.facebook.com/epal.aco.56</v>
      </c>
      <c r="B2153" s="1" t="str">
        <f ca="1">IFERROR(__xludf.DUMMYFUNCTION("""COMPUTED_VALUE"""),"Epal Aco")</f>
        <v>Epal Aco</v>
      </c>
      <c r="C2153" s="1" t="str">
        <f ca="1">IFERROR(__xludf.DUMMYFUNCTION("""COMPUTED_VALUE"""),"Epal")</f>
        <v>Epal</v>
      </c>
      <c r="D2153" s="1" t="str">
        <f ca="1">IFERROR(__xludf.DUMMYFUNCTION("""COMPUTED_VALUE"""),"Aco")</f>
        <v>Aco</v>
      </c>
      <c r="E2153" s="1" t="str">
        <f ca="1">IFERROR(__xludf.DUMMYFUNCTION("""COMPUTED_VALUE"""),"Rose Cadavicio proud sila na suporter nila si Yolanda funds robbery hahahaahaha.. mio dai di ako mgtaka talga lenlen suporters nga kau hahahahhaha")</f>
        <v>Rose Cadavicio proud sila na suporter nila si Yolanda funds robbery hahahaahaha.. mio dai di ako mgtaka talga lenlen suporters nga kau hahahahhaha</v>
      </c>
      <c r="F2153" s="1"/>
      <c r="G2153" s="1" t="str">
        <f ca="1">IFERROR(__xludf.DUMMYFUNCTION("""COMPUTED_VALUE"""),"3 mos")</f>
        <v>3 mos</v>
      </c>
      <c r="H2153" s="1" t="str">
        <f ca="1">IFERROR(__xludf.DUMMYFUNCTION("""COMPUTED_VALUE"""),"reply")</f>
        <v>reply</v>
      </c>
      <c r="I2153" s="2" t="str">
        <f ca="1">IFERROR(__xludf.DUMMYFUNCTION("""COMPUTED_VALUE"""),"https://www.facebook.com/rapplerdotcom/photos/a.317154781638645/5594954703858600/")</f>
        <v>https://www.facebook.com/rapplerdotcom/photos/a.317154781638645/5594954703858600/</v>
      </c>
      <c r="J2153" s="1" t="str">
        <f ca="1">IFERROR(__xludf.DUMMYFUNCTION("""COMPUTED_VALUE"""),"2022-07-04T15:48:35.884Z")</f>
        <v>2022-07-04T15:48:35.884Z</v>
      </c>
    </row>
    <row r="2154" spans="1:10" x14ac:dyDescent="0.2">
      <c r="A2154" s="2" t="str">
        <f ca="1">IFERROR(__xludf.DUMMYFUNCTION("""COMPUTED_VALUE"""),"https://www.facebook.com/gener.satsatin")</f>
        <v>https://www.facebook.com/gener.satsatin</v>
      </c>
      <c r="B2154" s="1" t="str">
        <f ca="1">IFERROR(__xludf.DUMMYFUNCTION("""COMPUTED_VALUE"""),"Gener Satsatin")</f>
        <v>Gener Satsatin</v>
      </c>
      <c r="C2154" s="1" t="str">
        <f ca="1">IFERROR(__xludf.DUMMYFUNCTION("""COMPUTED_VALUE"""),"Gener")</f>
        <v>Gener</v>
      </c>
      <c r="D2154" s="1" t="str">
        <f ca="1">IFERROR(__xludf.DUMMYFUNCTION("""COMPUTED_VALUE"""),"Satsatin")</f>
        <v>Satsatin</v>
      </c>
      <c r="E2154" s="1" t="str">
        <f ca="1">IFERROR(__xludf.DUMMYFUNCTION("""COMPUTED_VALUE"""),"Ang sakit gunitain ang bagyong yulanda sa panahon nila")</f>
        <v>Ang sakit gunitain ang bagyong yulanda sa panahon nila</v>
      </c>
      <c r="F2154" s="1"/>
      <c r="G2154" s="1" t="str">
        <f ca="1">IFERROR(__xludf.DUMMYFUNCTION("""COMPUTED_VALUE"""),"3 mos")</f>
        <v>3 mos</v>
      </c>
      <c r="H2154" s="1" t="str">
        <f ca="1">IFERROR(__xludf.DUMMYFUNCTION("""COMPUTED_VALUE"""),"comment")</f>
        <v>comment</v>
      </c>
      <c r="I2154" s="2" t="str">
        <f ca="1">IFERROR(__xludf.DUMMYFUNCTION("""COMPUTED_VALUE"""),"https://www.facebook.com/rapplerdotcom/photos/a.317154781638645/5594954703858600/")</f>
        <v>https://www.facebook.com/rapplerdotcom/photos/a.317154781638645/5594954703858600/</v>
      </c>
      <c r="J2154" s="1" t="str">
        <f ca="1">IFERROR(__xludf.DUMMYFUNCTION("""COMPUTED_VALUE"""),"2022-07-04T15:48:35.884Z")</f>
        <v>2022-07-04T15:48:35.884Z</v>
      </c>
    </row>
    <row r="2155" spans="1:10" x14ac:dyDescent="0.2">
      <c r="A2155" s="2" t="str">
        <f ca="1">IFERROR(__xludf.DUMMYFUNCTION("""COMPUTED_VALUE"""),"https://www.facebook.com/yolanda.villegas.92167")</f>
        <v>https://www.facebook.com/yolanda.villegas.92167</v>
      </c>
      <c r="B2155" s="1" t="str">
        <f ca="1">IFERROR(__xludf.DUMMYFUNCTION("""COMPUTED_VALUE"""),"Yoly Villegas")</f>
        <v>Yoly Villegas</v>
      </c>
      <c r="C2155" s="1" t="str">
        <f ca="1">IFERROR(__xludf.DUMMYFUNCTION("""COMPUTED_VALUE"""),"Yoly")</f>
        <v>Yoly</v>
      </c>
      <c r="D2155" s="1" t="str">
        <f ca="1">IFERROR(__xludf.DUMMYFUNCTION("""COMPUTED_VALUE"""),"Villegas")</f>
        <v>Villegas</v>
      </c>
      <c r="E2155" s="1" t="str">
        <f ca="1">IFERROR(__xludf.DUMMYFUNCTION("""COMPUTED_VALUE"""),"Thank you Mar Roxas💗 Kay LeniKiko tayo🎀💗")</f>
        <v>Thank you Mar Roxas💗 Kay LeniKiko tayo🎀💗</v>
      </c>
      <c r="F2155" s="1">
        <f ca="1">IFERROR(__xludf.DUMMYFUNCTION("""COMPUTED_VALUE"""),8)</f>
        <v>8</v>
      </c>
      <c r="G2155" s="1" t="str">
        <f ca="1">IFERROR(__xludf.DUMMYFUNCTION("""COMPUTED_VALUE"""),"3 mos")</f>
        <v>3 mos</v>
      </c>
      <c r="H2155" s="1" t="str">
        <f ca="1">IFERROR(__xludf.DUMMYFUNCTION("""COMPUTED_VALUE"""),"comment")</f>
        <v>comment</v>
      </c>
      <c r="I2155" s="2" t="str">
        <f ca="1">IFERROR(__xludf.DUMMYFUNCTION("""COMPUTED_VALUE"""),"https://www.facebook.com/rapplerdotcom/photos/a.317154781638645/5594954703858600/")</f>
        <v>https://www.facebook.com/rapplerdotcom/photos/a.317154781638645/5594954703858600/</v>
      </c>
      <c r="J2155" s="1" t="str">
        <f ca="1">IFERROR(__xludf.DUMMYFUNCTION("""COMPUTED_VALUE"""),"2022-07-04T15:48:35.884Z")</f>
        <v>2022-07-04T15:48:35.884Z</v>
      </c>
    </row>
    <row r="2156" spans="1:10" x14ac:dyDescent="0.2">
      <c r="A2156" s="2" t="str">
        <f ca="1">IFERROR(__xludf.DUMMYFUNCTION("""COMPUTED_VALUE"""),"https://www.facebook.com/alex.lanestosa.7")</f>
        <v>https://www.facebook.com/alex.lanestosa.7</v>
      </c>
      <c r="B2156" s="1" t="str">
        <f ca="1">IFERROR(__xludf.DUMMYFUNCTION("""COMPUTED_VALUE"""),"Ali La")</f>
        <v>Ali La</v>
      </c>
      <c r="C2156" s="1" t="str">
        <f ca="1">IFERROR(__xludf.DUMMYFUNCTION("""COMPUTED_VALUE"""),"Ali")</f>
        <v>Ali</v>
      </c>
      <c r="D2156" s="1" t="str">
        <f ca="1">IFERROR(__xludf.DUMMYFUNCTION("""COMPUTED_VALUE"""),"La")</f>
        <v>La</v>
      </c>
      <c r="E2156" s="1" t="str">
        <f ca="1">IFERROR(__xludf.DUMMYFUNCTION("""COMPUTED_VALUE"""),"Salamat mar,, itutuloy na ni lenlen ang daang patuwad.")</f>
        <v>Salamat mar,, itutuloy na ni lenlen ang daang patuwad.</v>
      </c>
      <c r="F2156" s="1">
        <f ca="1">IFERROR(__xludf.DUMMYFUNCTION("""COMPUTED_VALUE"""),1)</f>
        <v>1</v>
      </c>
      <c r="G2156" s="1" t="str">
        <f ca="1">IFERROR(__xludf.DUMMYFUNCTION("""COMPUTED_VALUE"""),"3 mos")</f>
        <v>3 mos</v>
      </c>
      <c r="H2156" s="1" t="str">
        <f ca="1">IFERROR(__xludf.DUMMYFUNCTION("""COMPUTED_VALUE"""),"comment")</f>
        <v>comment</v>
      </c>
      <c r="I2156" s="2" t="str">
        <f ca="1">IFERROR(__xludf.DUMMYFUNCTION("""COMPUTED_VALUE"""),"https://www.facebook.com/rapplerdotcom/photos/a.317154781638645/5594954703858600/")</f>
        <v>https://www.facebook.com/rapplerdotcom/photos/a.317154781638645/5594954703858600/</v>
      </c>
      <c r="J2156" s="1" t="str">
        <f ca="1">IFERROR(__xludf.DUMMYFUNCTION("""COMPUTED_VALUE"""),"2022-07-04T15:48:35.884Z")</f>
        <v>2022-07-04T15:48:35.884Z</v>
      </c>
    </row>
    <row r="2157" spans="1:10" x14ac:dyDescent="0.2">
      <c r="A2157" s="2" t="str">
        <f ca="1">IFERROR(__xludf.DUMMYFUNCTION("""COMPUTED_VALUE"""),"https://www.facebook.com/noscire.padilla")</f>
        <v>https://www.facebook.com/noscire.padilla</v>
      </c>
      <c r="B2157" s="1" t="str">
        <f ca="1">IFERROR(__xludf.DUMMYFUNCTION("""COMPUTED_VALUE"""),"Seann Shazelle")</f>
        <v>Seann Shazelle</v>
      </c>
      <c r="C2157" s="1" t="str">
        <f ca="1">IFERROR(__xludf.DUMMYFUNCTION("""COMPUTED_VALUE"""),"Seann")</f>
        <v>Seann</v>
      </c>
      <c r="D2157" s="1" t="str">
        <f ca="1">IFERROR(__xludf.DUMMYFUNCTION("""COMPUTED_VALUE"""),"Shazelle")</f>
        <v>Shazelle</v>
      </c>
      <c r="E2157" s="1" t="str">
        <f ca="1">IFERROR(__xludf.DUMMYFUNCTION("""COMPUTED_VALUE"""),"Walang kadaladala🤣")</f>
        <v>Walang kadaladala🤣</v>
      </c>
      <c r="F2157" s="1">
        <f ca="1">IFERROR(__xludf.DUMMYFUNCTION("""COMPUTED_VALUE"""),4)</f>
        <v>4</v>
      </c>
      <c r="G2157" s="1" t="str">
        <f ca="1">IFERROR(__xludf.DUMMYFUNCTION("""COMPUTED_VALUE"""),"3 mos")</f>
        <v>3 mos</v>
      </c>
      <c r="H2157" s="1" t="str">
        <f ca="1">IFERROR(__xludf.DUMMYFUNCTION("""COMPUTED_VALUE"""),"comment")</f>
        <v>comment</v>
      </c>
      <c r="I2157" s="2" t="str">
        <f ca="1">IFERROR(__xludf.DUMMYFUNCTION("""COMPUTED_VALUE"""),"https://www.facebook.com/rapplerdotcom/photos/a.317154781638645/5594954703858600/")</f>
        <v>https://www.facebook.com/rapplerdotcom/photos/a.317154781638645/5594954703858600/</v>
      </c>
      <c r="J2157" s="1" t="str">
        <f ca="1">IFERROR(__xludf.DUMMYFUNCTION("""COMPUTED_VALUE"""),"2022-07-04T15:48:35.884Z")</f>
        <v>2022-07-04T15:48:35.884Z</v>
      </c>
    </row>
    <row r="2158" spans="1:10" x14ac:dyDescent="0.2">
      <c r="A2158" s="2" t="str">
        <f ca="1">IFERROR(__xludf.DUMMYFUNCTION("""COMPUTED_VALUE"""),"https://www.facebook.com/nrgatdula")</f>
        <v>https://www.facebook.com/nrgatdula</v>
      </c>
      <c r="B2158" s="1" t="str">
        <f ca="1">IFERROR(__xludf.DUMMYFUNCTION("""COMPUTED_VALUE"""),"Nancy GR")</f>
        <v>Nancy GR</v>
      </c>
      <c r="C2158" s="1" t="str">
        <f ca="1">IFERROR(__xludf.DUMMYFUNCTION("""COMPUTED_VALUE"""),"Nancy")</f>
        <v>Nancy</v>
      </c>
      <c r="D2158" s="1" t="str">
        <f ca="1">IFERROR(__xludf.DUMMYFUNCTION("""COMPUTED_VALUE"""),"GR")</f>
        <v>GR</v>
      </c>
      <c r="E2158" s="1" t="str">
        <f ca="1">IFERROR(__xludf.DUMMYFUNCTION("""COMPUTED_VALUE"""),"For our country’s sake !")</f>
        <v>For our country’s sake !</v>
      </c>
      <c r="F2158" s="1"/>
      <c r="G2158" s="1" t="str">
        <f ca="1">IFERROR(__xludf.DUMMYFUNCTION("""COMPUTED_VALUE"""),"3 mos")</f>
        <v>3 mos</v>
      </c>
      <c r="H2158" s="1" t="str">
        <f ca="1">IFERROR(__xludf.DUMMYFUNCTION("""COMPUTED_VALUE"""),"comment")</f>
        <v>comment</v>
      </c>
      <c r="I2158" s="2" t="str">
        <f ca="1">IFERROR(__xludf.DUMMYFUNCTION("""COMPUTED_VALUE"""),"https://www.facebook.com/rapplerdotcom/photos/a.317154781638645/5594954703858600/")</f>
        <v>https://www.facebook.com/rapplerdotcom/photos/a.317154781638645/5594954703858600/</v>
      </c>
      <c r="J2158" s="1" t="str">
        <f ca="1">IFERROR(__xludf.DUMMYFUNCTION("""COMPUTED_VALUE"""),"2022-07-04T15:48:35.884Z")</f>
        <v>2022-07-04T15:48:35.884Z</v>
      </c>
    </row>
    <row r="2159" spans="1:10" x14ac:dyDescent="0.2">
      <c r="A2159" s="2" t="str">
        <f ca="1">IFERROR(__xludf.DUMMYFUNCTION("""COMPUTED_VALUE"""),"https://www.facebook.com/ulyssesleodegario.lim")</f>
        <v>https://www.facebook.com/ulyssesleodegario.lim</v>
      </c>
      <c r="B2159" s="1" t="str">
        <f ca="1">IFERROR(__xludf.DUMMYFUNCTION("""COMPUTED_VALUE"""),"Ulysses Leodegario Lim")</f>
        <v>Ulysses Leodegario Lim</v>
      </c>
      <c r="C2159" s="1" t="str">
        <f ca="1">IFERROR(__xludf.DUMMYFUNCTION("""COMPUTED_VALUE"""),"Ulysses")</f>
        <v>Ulysses</v>
      </c>
      <c r="D2159" s="1" t="str">
        <f ca="1">IFERROR(__xludf.DUMMYFUNCTION("""COMPUTED_VALUE"""),"Leodegario Lim")</f>
        <v>Leodegario Lim</v>
      </c>
      <c r="E2159" s="1" t="str">
        <f ca="1">IFERROR(__xludf.DUMMYFUNCTION("""COMPUTED_VALUE"""),"Gising gising gising")</f>
        <v>Gising gising gising</v>
      </c>
      <c r="F2159" s="1">
        <f ca="1">IFERROR(__xludf.DUMMYFUNCTION("""COMPUTED_VALUE"""),2)</f>
        <v>2</v>
      </c>
      <c r="G2159" s="1" t="str">
        <f ca="1">IFERROR(__xludf.DUMMYFUNCTION("""COMPUTED_VALUE"""),"3 mos")</f>
        <v>3 mos</v>
      </c>
      <c r="H2159" s="1" t="str">
        <f ca="1">IFERROR(__xludf.DUMMYFUNCTION("""COMPUTED_VALUE"""),"comment")</f>
        <v>comment</v>
      </c>
      <c r="I2159" s="2" t="str">
        <f ca="1">IFERROR(__xludf.DUMMYFUNCTION("""COMPUTED_VALUE"""),"https://www.facebook.com/rapplerdotcom/photos/a.317154781638645/5594954703858600/")</f>
        <v>https://www.facebook.com/rapplerdotcom/photos/a.317154781638645/5594954703858600/</v>
      </c>
      <c r="J2159" s="1" t="str">
        <f ca="1">IFERROR(__xludf.DUMMYFUNCTION("""COMPUTED_VALUE"""),"2022-07-04T15:48:35.884Z")</f>
        <v>2022-07-04T15:48:35.884Z</v>
      </c>
    </row>
    <row r="2160" spans="1:10" x14ac:dyDescent="0.2">
      <c r="A2160" s="2" t="str">
        <f ca="1">IFERROR(__xludf.DUMMYFUNCTION("""COMPUTED_VALUE"""),"https://www.facebook.com/karyata.gwapako")</f>
        <v>https://www.facebook.com/karyata.gwapako</v>
      </c>
      <c r="B2160" s="1" t="str">
        <f ca="1">IFERROR(__xludf.DUMMYFUNCTION("""COMPUTED_VALUE"""),"Maria del Carmen")</f>
        <v>Maria del Carmen</v>
      </c>
      <c r="C2160" s="1" t="str">
        <f ca="1">IFERROR(__xludf.DUMMYFUNCTION("""COMPUTED_VALUE"""),"Maria")</f>
        <v>Maria</v>
      </c>
      <c r="D2160" s="1" t="str">
        <f ca="1">IFERROR(__xludf.DUMMYFUNCTION("""COMPUTED_VALUE"""),"del Carmen")</f>
        <v>del Carmen</v>
      </c>
      <c r="E2160" s="1" t="str">
        <f ca="1">IFERROR(__xludf.DUMMYFUNCTION("""COMPUTED_VALUE"""),"Good")</f>
        <v>Good</v>
      </c>
      <c r="F2160" s="1">
        <f ca="1">IFERROR(__xludf.DUMMYFUNCTION("""COMPUTED_VALUE"""),2)</f>
        <v>2</v>
      </c>
      <c r="G2160" s="1" t="str">
        <f ca="1">IFERROR(__xludf.DUMMYFUNCTION("""COMPUTED_VALUE"""),"3 mos")</f>
        <v>3 mos</v>
      </c>
      <c r="H2160" s="1" t="str">
        <f ca="1">IFERROR(__xludf.DUMMYFUNCTION("""COMPUTED_VALUE"""),"comment")</f>
        <v>comment</v>
      </c>
      <c r="I2160" s="2" t="str">
        <f ca="1">IFERROR(__xludf.DUMMYFUNCTION("""COMPUTED_VALUE"""),"https://www.facebook.com/rapplerdotcom/photos/a.317154781638645/5594954703858600/")</f>
        <v>https://www.facebook.com/rapplerdotcom/photos/a.317154781638645/5594954703858600/</v>
      </c>
      <c r="J2160" s="1" t="str">
        <f ca="1">IFERROR(__xludf.DUMMYFUNCTION("""COMPUTED_VALUE"""),"2022-07-04T15:48:35.884Z")</f>
        <v>2022-07-04T15:48:35.884Z</v>
      </c>
    </row>
    <row r="2161" spans="1:10" x14ac:dyDescent="0.2">
      <c r="A2161" s="2" t="str">
        <f ca="1">IFERROR(__xludf.DUMMYFUNCTION("""COMPUTED_VALUE"""),"https://www.facebook.com/phoebe.fernandez.12576")</f>
        <v>https://www.facebook.com/phoebe.fernandez.12576</v>
      </c>
      <c r="B2161" s="1" t="str">
        <f ca="1">IFERROR(__xludf.DUMMYFUNCTION("""COMPUTED_VALUE"""),"Fatima Fernandez Gabriel")</f>
        <v>Fatima Fernandez Gabriel</v>
      </c>
      <c r="C2161" s="1" t="str">
        <f ca="1">IFERROR(__xludf.DUMMYFUNCTION("""COMPUTED_VALUE"""),"Fatima")</f>
        <v>Fatima</v>
      </c>
      <c r="D2161" s="1" t="str">
        <f ca="1">IFERROR(__xludf.DUMMYFUNCTION("""COMPUTED_VALUE"""),"Fernandez Gabriel")</f>
        <v>Fernandez Gabriel</v>
      </c>
      <c r="E2161" s="1" t="str">
        <f ca="1">IFERROR(__xludf.DUMMYFUNCTION("""COMPUTED_VALUE"""),"Salita lang yan tulad dati noynoy wala asinso pilipinas dumami lang adik sa pilipinas. Sabi noon matuwid na daan pero saan ang matuwid walang duterte umupo sabog na pilipinas.")</f>
        <v>Salita lang yan tulad dati noynoy wala asinso pilipinas dumami lang adik sa pilipinas. Sabi noon matuwid na daan pero saan ang matuwid walang duterte umupo sabog na pilipinas.</v>
      </c>
      <c r="F2161" s="1"/>
      <c r="G2161" s="1" t="str">
        <f ca="1">IFERROR(__xludf.DUMMYFUNCTION("""COMPUTED_VALUE"""),"3 mos")</f>
        <v>3 mos</v>
      </c>
      <c r="H2161" s="1" t="str">
        <f ca="1">IFERROR(__xludf.DUMMYFUNCTION("""COMPUTED_VALUE"""),"comment")</f>
        <v>comment</v>
      </c>
      <c r="I2161" s="2" t="str">
        <f ca="1">IFERROR(__xludf.DUMMYFUNCTION("""COMPUTED_VALUE"""),"https://www.facebook.com/rapplerdotcom/photos/a.317154781638645/5594954703858600/")</f>
        <v>https://www.facebook.com/rapplerdotcom/photos/a.317154781638645/5594954703858600/</v>
      </c>
      <c r="J2161" s="1" t="str">
        <f ca="1">IFERROR(__xludf.DUMMYFUNCTION("""COMPUTED_VALUE"""),"2022-07-04T15:48:35.884Z")</f>
        <v>2022-07-04T15:48:35.884Z</v>
      </c>
    </row>
    <row r="2162" spans="1:10" x14ac:dyDescent="0.2">
      <c r="A2162" s="2" t="str">
        <f ca="1">IFERROR(__xludf.DUMMYFUNCTION("""COMPUTED_VALUE"""),"https://www.facebook.com/CornerPrinter.ph")</f>
        <v>https://www.facebook.com/CornerPrinter.ph</v>
      </c>
      <c r="B2162" s="1" t="str">
        <f ca="1">IFERROR(__xludf.DUMMYFUNCTION("""COMPUTED_VALUE"""),"Corner Print Services")</f>
        <v>Corner Print Services</v>
      </c>
      <c r="C2162" s="1" t="str">
        <f ca="1">IFERROR(__xludf.DUMMYFUNCTION("""COMPUTED_VALUE"""),"Corner")</f>
        <v>Corner</v>
      </c>
      <c r="D2162" s="1" t="str">
        <f ca="1">IFERROR(__xludf.DUMMYFUNCTION("""COMPUTED_VALUE"""),"Print Services")</f>
        <v>Print Services</v>
      </c>
      <c r="E2162" s="1" t="str">
        <f ca="1">IFERROR(__xludf.DUMMYFUNCTION("""COMPUTED_VALUE"""),"eto taong to ang nagpasaya ng marami tao marami salamat sayo mar.")</f>
        <v>eto taong to ang nagpasaya ng marami tao marami salamat sayo mar.</v>
      </c>
      <c r="F2162" s="1">
        <f ca="1">IFERROR(__xludf.DUMMYFUNCTION("""COMPUTED_VALUE"""),1)</f>
        <v>1</v>
      </c>
      <c r="G2162" s="1" t="str">
        <f ca="1">IFERROR(__xludf.DUMMYFUNCTION("""COMPUTED_VALUE"""),"3 mos")</f>
        <v>3 mos</v>
      </c>
      <c r="H2162" s="1" t="str">
        <f ca="1">IFERROR(__xludf.DUMMYFUNCTION("""COMPUTED_VALUE"""),"comment")</f>
        <v>comment</v>
      </c>
      <c r="I2162" s="2" t="str">
        <f ca="1">IFERROR(__xludf.DUMMYFUNCTION("""COMPUTED_VALUE"""),"https://www.facebook.com/rapplerdotcom/photos/a.317154781638645/5594954703858600/")</f>
        <v>https://www.facebook.com/rapplerdotcom/photos/a.317154781638645/5594954703858600/</v>
      </c>
      <c r="J2162" s="1" t="str">
        <f ca="1">IFERROR(__xludf.DUMMYFUNCTION("""COMPUTED_VALUE"""),"2022-07-04T15:48:35.885Z")</f>
        <v>2022-07-04T15:48:35.885Z</v>
      </c>
    </row>
    <row r="2163" spans="1:10" x14ac:dyDescent="0.2">
      <c r="A2163" s="2" t="str">
        <f ca="1">IFERROR(__xludf.DUMMYFUNCTION("""COMPUTED_VALUE"""),"https://www.facebook.com/juliusryan.tuquero")</f>
        <v>https://www.facebook.com/juliusryan.tuquero</v>
      </c>
      <c r="B2163" s="1" t="str">
        <f ca="1">IFERROR(__xludf.DUMMYFUNCTION("""COMPUTED_VALUE"""),"Julius Ryan Tuquero")</f>
        <v>Julius Ryan Tuquero</v>
      </c>
      <c r="C2163" s="1" t="str">
        <f ca="1">IFERROR(__xludf.DUMMYFUNCTION("""COMPUTED_VALUE"""),"Julius")</f>
        <v>Julius</v>
      </c>
      <c r="D2163" s="1" t="str">
        <f ca="1">IFERROR(__xludf.DUMMYFUNCTION("""COMPUTED_VALUE"""),"Ryan Tuquero")</f>
        <v>Ryan Tuquero</v>
      </c>
      <c r="E2163" s="1" t="str">
        <f ca="1">IFERROR(__xludf.DUMMYFUNCTION("""COMPUTED_VALUE"""),"Anak itabi mo....🙃")</f>
        <v>Anak itabi mo....🙃</v>
      </c>
      <c r="F2163" s="1"/>
      <c r="G2163" s="1" t="str">
        <f ca="1">IFERROR(__xludf.DUMMYFUNCTION("""COMPUTED_VALUE"""),"3 mos")</f>
        <v>3 mos</v>
      </c>
      <c r="H2163" s="1" t="str">
        <f ca="1">IFERROR(__xludf.DUMMYFUNCTION("""COMPUTED_VALUE"""),"comment")</f>
        <v>comment</v>
      </c>
      <c r="I2163" s="2" t="str">
        <f ca="1">IFERROR(__xludf.DUMMYFUNCTION("""COMPUTED_VALUE"""),"https://www.facebook.com/rapplerdotcom/photos/a.317154781638645/5594954703858600/")</f>
        <v>https://www.facebook.com/rapplerdotcom/photos/a.317154781638645/5594954703858600/</v>
      </c>
      <c r="J2163" s="1" t="str">
        <f ca="1">IFERROR(__xludf.DUMMYFUNCTION("""COMPUTED_VALUE"""),"2022-07-04T15:48:35.885Z")</f>
        <v>2022-07-04T15:48:35.885Z</v>
      </c>
    </row>
    <row r="2164" spans="1:10" x14ac:dyDescent="0.2">
      <c r="A2164" s="2" t="str">
        <f ca="1">IFERROR(__xludf.DUMMYFUNCTION("""COMPUTED_VALUE"""),"https://www.facebook.com/galit.jerol")</f>
        <v>https://www.facebook.com/galit.jerol</v>
      </c>
      <c r="B2164" s="1" t="str">
        <f ca="1">IFERROR(__xludf.DUMMYFUNCTION("""COMPUTED_VALUE"""),"Galit Jerol")</f>
        <v>Galit Jerol</v>
      </c>
      <c r="C2164" s="1" t="str">
        <f ca="1">IFERROR(__xludf.DUMMYFUNCTION("""COMPUTED_VALUE"""),"Galit")</f>
        <v>Galit</v>
      </c>
      <c r="D2164" s="1" t="str">
        <f ca="1">IFERROR(__xludf.DUMMYFUNCTION("""COMPUTED_VALUE"""),"Jerol")</f>
        <v>Jerol</v>
      </c>
      <c r="E2164" s="1" t="str">
        <f ca="1">IFERROR(__xludf.DUMMYFUNCTION("""COMPUTED_VALUE"""),"Wag ka dyan robredo malas yan😀😀😀")</f>
        <v>Wag ka dyan robredo malas yan😀😀😀</v>
      </c>
      <c r="F2164" s="1"/>
      <c r="G2164" s="1" t="str">
        <f ca="1">IFERROR(__xludf.DUMMYFUNCTION("""COMPUTED_VALUE"""),"3 mos")</f>
        <v>3 mos</v>
      </c>
      <c r="H2164" s="1" t="str">
        <f ca="1">IFERROR(__xludf.DUMMYFUNCTION("""COMPUTED_VALUE"""),"comment")</f>
        <v>comment</v>
      </c>
      <c r="I2164" s="2" t="str">
        <f ca="1">IFERROR(__xludf.DUMMYFUNCTION("""COMPUTED_VALUE"""),"https://www.facebook.com/rapplerdotcom/photos/a.317154781638645/5594954703858600/")</f>
        <v>https://www.facebook.com/rapplerdotcom/photos/a.317154781638645/5594954703858600/</v>
      </c>
      <c r="J2164" s="1" t="str">
        <f ca="1">IFERROR(__xludf.DUMMYFUNCTION("""COMPUTED_VALUE"""),"2022-07-04T15:48:35.885Z")</f>
        <v>2022-07-04T15:48:35.885Z</v>
      </c>
    </row>
    <row r="2165" spans="1:10" x14ac:dyDescent="0.2">
      <c r="A2165" s="2" t="str">
        <f ca="1">IFERROR(__xludf.DUMMYFUNCTION("""COMPUTED_VALUE"""),"https://www.facebook.com/stan.galang.3")</f>
        <v>https://www.facebook.com/stan.galang.3</v>
      </c>
      <c r="B2165" s="1" t="str">
        <f ca="1">IFERROR(__xludf.DUMMYFUNCTION("""COMPUTED_VALUE"""),"Nats Galang")</f>
        <v>Nats Galang</v>
      </c>
      <c r="C2165" s="1" t="str">
        <f ca="1">IFERROR(__xludf.DUMMYFUNCTION("""COMPUTED_VALUE"""),"Nats")</f>
        <v>Nats</v>
      </c>
      <c r="D2165" s="1" t="str">
        <f ca="1">IFERROR(__xludf.DUMMYFUNCTION("""COMPUTED_VALUE"""),"Galang")</f>
        <v>Galang</v>
      </c>
      <c r="E2165" s="1" t="str">
        <f ca="1">IFERROR(__xludf.DUMMYFUNCTION("""COMPUTED_VALUE"""),"Ui may biglang umahon ah")</f>
        <v>Ui may biglang umahon ah</v>
      </c>
      <c r="F2165" s="1"/>
      <c r="G2165" s="1" t="str">
        <f ca="1">IFERROR(__xludf.DUMMYFUNCTION("""COMPUTED_VALUE"""),"3 mos")</f>
        <v>3 mos</v>
      </c>
      <c r="H2165" s="1" t="str">
        <f ca="1">IFERROR(__xludf.DUMMYFUNCTION("""COMPUTED_VALUE"""),"comment")</f>
        <v>comment</v>
      </c>
      <c r="I2165" s="2" t="str">
        <f ca="1">IFERROR(__xludf.DUMMYFUNCTION("""COMPUTED_VALUE"""),"https://www.facebook.com/rapplerdotcom/photos/a.317154781638645/5594954703858600/")</f>
        <v>https://www.facebook.com/rapplerdotcom/photos/a.317154781638645/5594954703858600/</v>
      </c>
      <c r="J2165" s="1" t="str">
        <f ca="1">IFERROR(__xludf.DUMMYFUNCTION("""COMPUTED_VALUE"""),"2022-07-04T15:48:35.885Z")</f>
        <v>2022-07-04T15:48:35.885Z</v>
      </c>
    </row>
    <row r="2166" spans="1:10" x14ac:dyDescent="0.2">
      <c r="A2166" s="2" t="str">
        <f ca="1">IFERROR(__xludf.DUMMYFUNCTION("""COMPUTED_VALUE"""),"https://www.facebook.com/profile.php?id=100011150311111")</f>
        <v>https://www.facebook.com/profile.php?id=100011150311111</v>
      </c>
      <c r="B2166" s="1" t="str">
        <f ca="1">IFERROR(__xludf.DUMMYFUNCTION("""COMPUTED_VALUE"""),"Kristoff O. Emit")</f>
        <v>Kristoff O. Emit</v>
      </c>
      <c r="C2166" s="1" t="str">
        <f ca="1">IFERROR(__xludf.DUMMYFUNCTION("""COMPUTED_VALUE"""),"Kristoff")</f>
        <v>Kristoff</v>
      </c>
      <c r="D2166" s="1" t="str">
        <f ca="1">IFERROR(__xludf.DUMMYFUNCTION("""COMPUTED_VALUE"""),"O. Emit")</f>
        <v>O. Emit</v>
      </c>
      <c r="E2166" s="1" t="str">
        <f ca="1">IFERROR(__xludf.DUMMYFUNCTION("""COMPUTED_VALUE"""),"thank you sir mar Roxas..sa supporta ky ma'am lenie and sir kiko💓💓💓")</f>
        <v>thank you sir mar Roxas..sa supporta ky ma'am lenie and sir kiko💓💓💓</v>
      </c>
      <c r="F2166" s="1"/>
      <c r="G2166" s="1" t="str">
        <f ca="1">IFERROR(__xludf.DUMMYFUNCTION("""COMPUTED_VALUE"""),"3 mos")</f>
        <v>3 mos</v>
      </c>
      <c r="H2166" s="1" t="str">
        <f ca="1">IFERROR(__xludf.DUMMYFUNCTION("""COMPUTED_VALUE"""),"comment")</f>
        <v>comment</v>
      </c>
      <c r="I2166" s="2" t="str">
        <f ca="1">IFERROR(__xludf.DUMMYFUNCTION("""COMPUTED_VALUE"""),"https://www.facebook.com/rapplerdotcom/photos/a.317154781638645/5594954703858600/")</f>
        <v>https://www.facebook.com/rapplerdotcom/photos/a.317154781638645/5594954703858600/</v>
      </c>
      <c r="J2166" s="1" t="str">
        <f ca="1">IFERROR(__xludf.DUMMYFUNCTION("""COMPUTED_VALUE"""),"2022-07-04T15:48:35.885Z")</f>
        <v>2022-07-04T15:48:35.885Z</v>
      </c>
    </row>
    <row r="2167" spans="1:10" x14ac:dyDescent="0.2">
      <c r="A2167" s="2" t="str">
        <f ca="1">IFERROR(__xludf.DUMMYFUNCTION("""COMPUTED_VALUE"""),"https://www.facebook.com/edgar.basibas.1")</f>
        <v>https://www.facebook.com/edgar.basibas.1</v>
      </c>
      <c r="B2167" s="1" t="str">
        <f ca="1">IFERROR(__xludf.DUMMYFUNCTION("""COMPUTED_VALUE"""),"Edgar Basibas")</f>
        <v>Edgar Basibas</v>
      </c>
      <c r="C2167" s="1" t="str">
        <f ca="1">IFERROR(__xludf.DUMMYFUNCTION("""COMPUTED_VALUE"""),"Edgar")</f>
        <v>Edgar</v>
      </c>
      <c r="D2167" s="1" t="str">
        <f ca="1">IFERROR(__xludf.DUMMYFUNCTION("""COMPUTED_VALUE"""),"Basibas")</f>
        <v>Basibas</v>
      </c>
      <c r="E2167" s="1" t="str">
        <f ca="1">IFERROR(__xludf.DUMMYFUNCTION("""COMPUTED_VALUE"""),"Kolialat nga ASA pa")</f>
        <v>Kolialat nga ASA pa</v>
      </c>
      <c r="F2167" s="1"/>
      <c r="G2167" s="1" t="str">
        <f ca="1">IFERROR(__xludf.DUMMYFUNCTION("""COMPUTED_VALUE"""),"3 mos")</f>
        <v>3 mos</v>
      </c>
      <c r="H2167" s="1" t="str">
        <f ca="1">IFERROR(__xludf.DUMMYFUNCTION("""COMPUTED_VALUE"""),"comment")</f>
        <v>comment</v>
      </c>
      <c r="I2167" s="2" t="str">
        <f ca="1">IFERROR(__xludf.DUMMYFUNCTION("""COMPUTED_VALUE"""),"https://www.facebook.com/rapplerdotcom/photos/a.317154781638645/5594954703858600/")</f>
        <v>https://www.facebook.com/rapplerdotcom/photos/a.317154781638645/5594954703858600/</v>
      </c>
      <c r="J2167" s="1" t="str">
        <f ca="1">IFERROR(__xludf.DUMMYFUNCTION("""COMPUTED_VALUE"""),"2022-07-04T15:48:35.885Z")</f>
        <v>2022-07-04T15:48:35.885Z</v>
      </c>
    </row>
    <row r="2168" spans="1:10" x14ac:dyDescent="0.2">
      <c r="A2168" s="2" t="str">
        <f ca="1">IFERROR(__xludf.DUMMYFUNCTION("""COMPUTED_VALUE"""),"https://www.facebook.com/sayunara.lisura")</f>
        <v>https://www.facebook.com/sayunara.lisura</v>
      </c>
      <c r="B2168" s="1" t="str">
        <f ca="1">IFERROR(__xludf.DUMMYFUNCTION("""COMPUTED_VALUE"""),"Len Josol")</f>
        <v>Len Josol</v>
      </c>
      <c r="C2168" s="1" t="str">
        <f ca="1">IFERROR(__xludf.DUMMYFUNCTION("""COMPUTED_VALUE"""),"Len")</f>
        <v>Len</v>
      </c>
      <c r="D2168" s="1" t="str">
        <f ca="1">IFERROR(__xludf.DUMMYFUNCTION("""COMPUTED_VALUE"""),"Josol")</f>
        <v>Josol</v>
      </c>
      <c r="E2168" s="1" t="str">
        <f ca="1">IFERROR(__xludf.DUMMYFUNCTION("""COMPUTED_VALUE"""),"nisamot 😆")</f>
        <v>nisamot 😆</v>
      </c>
      <c r="F2168" s="1">
        <f ca="1">IFERROR(__xludf.DUMMYFUNCTION("""COMPUTED_VALUE"""),1)</f>
        <v>1</v>
      </c>
      <c r="G2168" s="1" t="str">
        <f ca="1">IFERROR(__xludf.DUMMYFUNCTION("""COMPUTED_VALUE"""),"3 mos")</f>
        <v>3 mos</v>
      </c>
      <c r="H2168" s="1" t="str">
        <f ca="1">IFERROR(__xludf.DUMMYFUNCTION("""COMPUTED_VALUE"""),"comment")</f>
        <v>comment</v>
      </c>
      <c r="I2168" s="2" t="str">
        <f ca="1">IFERROR(__xludf.DUMMYFUNCTION("""COMPUTED_VALUE"""),"https://www.facebook.com/rapplerdotcom/photos/a.317154781638645/5594954703858600/")</f>
        <v>https://www.facebook.com/rapplerdotcom/photos/a.317154781638645/5594954703858600/</v>
      </c>
      <c r="J2168" s="1" t="str">
        <f ca="1">IFERROR(__xludf.DUMMYFUNCTION("""COMPUTED_VALUE"""),"2022-07-04T15:48:35.885Z")</f>
        <v>2022-07-04T15:48:35.885Z</v>
      </c>
    </row>
    <row r="2169" spans="1:10" x14ac:dyDescent="0.2">
      <c r="A2169" s="2" t="str">
        <f ca="1">IFERROR(__xludf.DUMMYFUNCTION("""COMPUTED_VALUE"""),"https://www.facebook.com/kenneth.cauntay")</f>
        <v>https://www.facebook.com/kenneth.cauntay</v>
      </c>
      <c r="B2169" s="1" t="str">
        <f ca="1">IFERROR(__xludf.DUMMYFUNCTION("""COMPUTED_VALUE"""),"Kenneth Cauntay")</f>
        <v>Kenneth Cauntay</v>
      </c>
      <c r="C2169" s="1" t="str">
        <f ca="1">IFERROR(__xludf.DUMMYFUNCTION("""COMPUTED_VALUE"""),"Kenneth")</f>
        <v>Kenneth</v>
      </c>
      <c r="D2169" s="1" t="str">
        <f ca="1">IFERROR(__xludf.DUMMYFUNCTION("""COMPUTED_VALUE"""),"Cauntay")</f>
        <v>Cauntay</v>
      </c>
      <c r="E2169" s="1" t="str">
        <f ca="1">IFERROR(__xludf.DUMMYFUNCTION("""COMPUTED_VALUE"""),"Baka mapalo ka ni  Corina!!!")</f>
        <v>Baka mapalo ka ni  Corina!!!</v>
      </c>
      <c r="F2169" s="1"/>
      <c r="G2169" s="1" t="str">
        <f ca="1">IFERROR(__xludf.DUMMYFUNCTION("""COMPUTED_VALUE"""),"3 mos")</f>
        <v>3 mos</v>
      </c>
      <c r="H2169" s="1" t="str">
        <f ca="1">IFERROR(__xludf.DUMMYFUNCTION("""COMPUTED_VALUE"""),"comment")</f>
        <v>comment</v>
      </c>
      <c r="I2169" s="2" t="str">
        <f ca="1">IFERROR(__xludf.DUMMYFUNCTION("""COMPUTED_VALUE"""),"https://www.facebook.com/rapplerdotcom/photos/a.317154781638645/5594954703858600/")</f>
        <v>https://www.facebook.com/rapplerdotcom/photos/a.317154781638645/5594954703858600/</v>
      </c>
      <c r="J2169" s="1" t="str">
        <f ca="1">IFERROR(__xludf.DUMMYFUNCTION("""COMPUTED_VALUE"""),"2022-07-04T15:48:35.885Z")</f>
        <v>2022-07-04T15:48:35.885Z</v>
      </c>
    </row>
    <row r="2170" spans="1:10" x14ac:dyDescent="0.2">
      <c r="A2170" s="2" t="str">
        <f ca="1">IFERROR(__xludf.DUMMYFUNCTION("""COMPUTED_VALUE"""),"https://www.facebook.com/rachillecagwin")</f>
        <v>https://www.facebook.com/rachillecagwin</v>
      </c>
      <c r="B2170" s="1" t="str">
        <f ca="1">IFERROR(__xludf.DUMMYFUNCTION("""COMPUTED_VALUE"""),"Rachille Lepiten Cagwin-Parken")</f>
        <v>Rachille Lepiten Cagwin-Parken</v>
      </c>
      <c r="C2170" s="1" t="str">
        <f ca="1">IFERROR(__xludf.DUMMYFUNCTION("""COMPUTED_VALUE"""),"Rachille")</f>
        <v>Rachille</v>
      </c>
      <c r="D2170" s="1" t="str">
        <f ca="1">IFERROR(__xludf.DUMMYFUNCTION("""COMPUTED_VALUE"""),"Lepiten Cagwin-Parken")</f>
        <v>Lepiten Cagwin-Parken</v>
      </c>
      <c r="E2170" s="1" t="str">
        <f ca="1">IFERROR(__xludf.DUMMYFUNCTION("""COMPUTED_VALUE"""),"Trapik bai trapik")</f>
        <v>Trapik bai trapik</v>
      </c>
      <c r="F2170" s="1"/>
      <c r="G2170" s="1" t="str">
        <f ca="1">IFERROR(__xludf.DUMMYFUNCTION("""COMPUTED_VALUE"""),"3 mos")</f>
        <v>3 mos</v>
      </c>
      <c r="H2170" s="1" t="str">
        <f ca="1">IFERROR(__xludf.DUMMYFUNCTION("""COMPUTED_VALUE"""),"comment")</f>
        <v>comment</v>
      </c>
      <c r="I2170" s="2" t="str">
        <f ca="1">IFERROR(__xludf.DUMMYFUNCTION("""COMPUTED_VALUE"""),"https://www.facebook.com/rapplerdotcom/photos/a.317154781638645/5594954703858600/")</f>
        <v>https://www.facebook.com/rapplerdotcom/photos/a.317154781638645/5594954703858600/</v>
      </c>
      <c r="J2170" s="1" t="str">
        <f ca="1">IFERROR(__xludf.DUMMYFUNCTION("""COMPUTED_VALUE"""),"2022-07-04T15:48:35.885Z")</f>
        <v>2022-07-04T15:48:35.885Z</v>
      </c>
    </row>
    <row r="2171" spans="1:10" x14ac:dyDescent="0.2">
      <c r="A2171" s="2" t="str">
        <f ca="1">IFERROR(__xludf.DUMMYFUNCTION("""COMPUTED_VALUE"""),"https://www.facebook.com/smooch.dash.3")</f>
        <v>https://www.facebook.com/smooch.dash.3</v>
      </c>
      <c r="B2171" s="1" t="str">
        <f ca="1">IFERROR(__xludf.DUMMYFUNCTION("""COMPUTED_VALUE"""),"Fabtwo Smooch")</f>
        <v>Fabtwo Smooch</v>
      </c>
      <c r="C2171" s="1" t="str">
        <f ca="1">IFERROR(__xludf.DUMMYFUNCTION("""COMPUTED_VALUE"""),"Fabtwo")</f>
        <v>Fabtwo</v>
      </c>
      <c r="D2171" s="1" t="str">
        <f ca="1">IFERROR(__xludf.DUMMYFUNCTION("""COMPUTED_VALUE"""),"Smooch")</f>
        <v>Smooch</v>
      </c>
      <c r="E2171" s="1" t="str">
        <f ca="1">IFERROR(__xludf.DUMMYFUNCTION("""COMPUTED_VALUE"""),"🌸🌸🌸🌷🌷🌷🎀🎀🎀💓💓💓Thank you po Senator Mar Roxas!!!👏🏻👏🏻👏🏻 Proud Capiznon here. #LeniKikoAllTheWay #KulayRosasAngBukas #LetLeniLead2022")</f>
        <v>🌸🌸🌸🌷🌷🌷🎀🎀🎀💓💓💓Thank you po Senator Mar Roxas!!!👏🏻👏🏻👏🏻 Proud Capiznon here. #LeniKikoAllTheWay #KulayRosasAngBukas #LetLeniLead2022</v>
      </c>
      <c r="F2171" s="1"/>
      <c r="G2171" s="1" t="str">
        <f ca="1">IFERROR(__xludf.DUMMYFUNCTION("""COMPUTED_VALUE"""),"3 mos")</f>
        <v>3 mos</v>
      </c>
      <c r="H2171" s="1" t="str">
        <f ca="1">IFERROR(__xludf.DUMMYFUNCTION("""COMPUTED_VALUE"""),"comment")</f>
        <v>comment</v>
      </c>
      <c r="I2171" s="2" t="str">
        <f ca="1">IFERROR(__xludf.DUMMYFUNCTION("""COMPUTED_VALUE"""),"https://www.facebook.com/rapplerdotcom/photos/a.317154781638645/5594954703858600/")</f>
        <v>https://www.facebook.com/rapplerdotcom/photos/a.317154781638645/5594954703858600/</v>
      </c>
      <c r="J2171" s="1" t="str">
        <f ca="1">IFERROR(__xludf.DUMMYFUNCTION("""COMPUTED_VALUE"""),"2022-07-04T15:48:35.885Z")</f>
        <v>2022-07-04T15:48:35.885Z</v>
      </c>
    </row>
    <row r="2172" spans="1:10" x14ac:dyDescent="0.2">
      <c r="A2172" s="2" t="str">
        <f ca="1">IFERROR(__xludf.DUMMYFUNCTION("""COMPUTED_VALUE"""),"https://www.facebook.com/areumdawoyo")</f>
        <v>https://www.facebook.com/areumdawoyo</v>
      </c>
      <c r="B2172" s="1" t="str">
        <f ca="1">IFERROR(__xludf.DUMMYFUNCTION("""COMPUTED_VALUE"""),"Roniinn Abellera")</f>
        <v>Roniinn Abellera</v>
      </c>
      <c r="C2172" s="1" t="str">
        <f ca="1">IFERROR(__xludf.DUMMYFUNCTION("""COMPUTED_VALUE"""),"Roniinn")</f>
        <v>Roniinn</v>
      </c>
      <c r="D2172" s="1" t="str">
        <f ca="1">IFERROR(__xludf.DUMMYFUNCTION("""COMPUTED_VALUE"""),"Abellera")</f>
        <v>Abellera</v>
      </c>
      <c r="E2172" s="1" t="str">
        <f ca="1">IFERROR(__xludf.DUMMYFUNCTION("""COMPUTED_VALUE"""),"ISA KA PA")</f>
        <v>ISA KA PA</v>
      </c>
      <c r="F2172" s="1"/>
      <c r="G2172" s="1" t="str">
        <f ca="1">IFERROR(__xludf.DUMMYFUNCTION("""COMPUTED_VALUE"""),"3 mos")</f>
        <v>3 mos</v>
      </c>
      <c r="H2172" s="1" t="str">
        <f ca="1">IFERROR(__xludf.DUMMYFUNCTION("""COMPUTED_VALUE"""),"comment")</f>
        <v>comment</v>
      </c>
      <c r="I2172" s="2" t="str">
        <f ca="1">IFERROR(__xludf.DUMMYFUNCTION("""COMPUTED_VALUE"""),"https://www.facebook.com/rapplerdotcom/photos/a.317154781638645/5594954703858600/")</f>
        <v>https://www.facebook.com/rapplerdotcom/photos/a.317154781638645/5594954703858600/</v>
      </c>
      <c r="J2172" s="1" t="str">
        <f ca="1">IFERROR(__xludf.DUMMYFUNCTION("""COMPUTED_VALUE"""),"2022-07-04T15:48:35.885Z")</f>
        <v>2022-07-04T15:48:35.885Z</v>
      </c>
    </row>
    <row r="2173" spans="1:10" x14ac:dyDescent="0.2">
      <c r="A2173" s="2" t="str">
        <f ca="1">IFERROR(__xludf.DUMMYFUNCTION("""COMPUTED_VALUE"""),"https://www.facebook.com/jefferson.parrocha.3")</f>
        <v>https://www.facebook.com/jefferson.parrocha.3</v>
      </c>
      <c r="B2173" s="1" t="str">
        <f ca="1">IFERROR(__xludf.DUMMYFUNCTION("""COMPUTED_VALUE"""),"Jefferson Estandian Parrocha Jr.")</f>
        <v>Jefferson Estandian Parrocha Jr.</v>
      </c>
      <c r="C2173" s="1" t="str">
        <f ca="1">IFERROR(__xludf.DUMMYFUNCTION("""COMPUTED_VALUE"""),"Jefferson")</f>
        <v>Jefferson</v>
      </c>
      <c r="D2173" s="1" t="str">
        <f ca="1">IFERROR(__xludf.DUMMYFUNCTION("""COMPUTED_VALUE"""),"Estandian Parrocha Jr.")</f>
        <v>Estandian Parrocha Jr.</v>
      </c>
      <c r="E2173" s="1" t="str">
        <f ca="1">IFERROR(__xludf.DUMMYFUNCTION("""COMPUTED_VALUE"""),"sir mar traffic nman edsa bka naman🤣🤣")</f>
        <v>sir mar traffic nman edsa bka naman🤣🤣</v>
      </c>
      <c r="F2173" s="1">
        <f ca="1">IFERROR(__xludf.DUMMYFUNCTION("""COMPUTED_VALUE"""),3)</f>
        <v>3</v>
      </c>
      <c r="G2173" s="1" t="str">
        <f ca="1">IFERROR(__xludf.DUMMYFUNCTION("""COMPUTED_VALUE"""),"3 mos")</f>
        <v>3 mos</v>
      </c>
      <c r="H2173" s="1" t="str">
        <f ca="1">IFERROR(__xludf.DUMMYFUNCTION("""COMPUTED_VALUE"""),"comment")</f>
        <v>comment</v>
      </c>
      <c r="I2173" s="2" t="str">
        <f ca="1">IFERROR(__xludf.DUMMYFUNCTION("""COMPUTED_VALUE"""),"https://www.facebook.com/rapplerdotcom/photos/a.317154781638645/5594954703858600/")</f>
        <v>https://www.facebook.com/rapplerdotcom/photos/a.317154781638645/5594954703858600/</v>
      </c>
      <c r="J2173" s="1" t="str">
        <f ca="1">IFERROR(__xludf.DUMMYFUNCTION("""COMPUTED_VALUE"""),"2022-07-04T15:48:35.885Z")</f>
        <v>2022-07-04T15:48:35.885Z</v>
      </c>
    </row>
    <row r="2174" spans="1:10" x14ac:dyDescent="0.2">
      <c r="A2174" s="2" t="str">
        <f ca="1">IFERROR(__xludf.DUMMYFUNCTION("""COMPUTED_VALUE"""),"https://www.facebook.com/rick.capunihan")</f>
        <v>https://www.facebook.com/rick.capunihan</v>
      </c>
      <c r="B2174" s="1" t="str">
        <f ca="1">IFERROR(__xludf.DUMMYFUNCTION("""COMPUTED_VALUE"""),"Rick Capunihan")</f>
        <v>Rick Capunihan</v>
      </c>
      <c r="C2174" s="1" t="str">
        <f ca="1">IFERROR(__xludf.DUMMYFUNCTION("""COMPUTED_VALUE"""),"Rick")</f>
        <v>Rick</v>
      </c>
      <c r="D2174" s="1" t="str">
        <f ca="1">IFERROR(__xludf.DUMMYFUNCTION("""COMPUTED_VALUE"""),"Capunihan")</f>
        <v>Capunihan</v>
      </c>
      <c r="E2174" s="1" t="str">
        <f ca="1">IFERROR(__xludf.DUMMYFUNCTION("""COMPUTED_VALUE"""),"doon ka mag salita sa harap ng taga leyte at samar ang Yolanda Funds nasaan na daw")</f>
        <v>doon ka mag salita sa harap ng taga leyte at samar ang Yolanda Funds nasaan na daw</v>
      </c>
      <c r="F2174" s="1">
        <f ca="1">IFERROR(__xludf.DUMMYFUNCTION("""COMPUTED_VALUE"""),7)</f>
        <v>7</v>
      </c>
      <c r="G2174" s="1" t="str">
        <f ca="1">IFERROR(__xludf.DUMMYFUNCTION("""COMPUTED_VALUE"""),"3 mos")</f>
        <v>3 mos</v>
      </c>
      <c r="H2174" s="1" t="str">
        <f ca="1">IFERROR(__xludf.DUMMYFUNCTION("""COMPUTED_VALUE"""),"comment")</f>
        <v>comment</v>
      </c>
      <c r="I2174" s="2" t="str">
        <f ca="1">IFERROR(__xludf.DUMMYFUNCTION("""COMPUTED_VALUE"""),"https://www.facebook.com/rapplerdotcom/photos/a.317154781638645/5594954703858600/")</f>
        <v>https://www.facebook.com/rapplerdotcom/photos/a.317154781638645/5594954703858600/</v>
      </c>
      <c r="J2174" s="1" t="str">
        <f ca="1">IFERROR(__xludf.DUMMYFUNCTION("""COMPUTED_VALUE"""),"2022-07-04T15:48:35.885Z")</f>
        <v>2022-07-04T15:48:35.885Z</v>
      </c>
    </row>
    <row r="2175" spans="1:10" x14ac:dyDescent="0.2">
      <c r="A2175" s="2" t="str">
        <f ca="1">IFERROR(__xludf.DUMMYFUNCTION("""COMPUTED_VALUE"""),"https://www.facebook.com/nora.montejo.925")</f>
        <v>https://www.facebook.com/nora.montejo.925</v>
      </c>
      <c r="B2175" s="1" t="str">
        <f ca="1">IFERROR(__xludf.DUMMYFUNCTION("""COMPUTED_VALUE"""),"Nora Montejo")</f>
        <v>Nora Montejo</v>
      </c>
      <c r="C2175" s="1" t="str">
        <f ca="1">IFERROR(__xludf.DUMMYFUNCTION("""COMPUTED_VALUE"""),"Nora")</f>
        <v>Nora</v>
      </c>
      <c r="D2175" s="1" t="str">
        <f ca="1">IFERROR(__xludf.DUMMYFUNCTION("""COMPUTED_VALUE"""),"Montejo")</f>
        <v>Montejo</v>
      </c>
      <c r="E2175" s="1" t="str">
        <f ca="1">IFERROR(__xludf.DUMMYFUNCTION("""COMPUTED_VALUE"""),"Rick Capunihan Itanong mo k Romualdez at doon nya ibinigay noh!")</f>
        <v>Rick Capunihan Itanong mo k Romualdez at doon nya ibinigay noh!</v>
      </c>
      <c r="F2175" s="1">
        <f ca="1">IFERROR(__xludf.DUMMYFUNCTION("""COMPUTED_VALUE"""),4)</f>
        <v>4</v>
      </c>
      <c r="G2175" s="1" t="str">
        <f ca="1">IFERROR(__xludf.DUMMYFUNCTION("""COMPUTED_VALUE"""),"3 mos")</f>
        <v>3 mos</v>
      </c>
      <c r="H2175" s="1" t="str">
        <f ca="1">IFERROR(__xludf.DUMMYFUNCTION("""COMPUTED_VALUE"""),"reply")</f>
        <v>reply</v>
      </c>
      <c r="I2175" s="2" t="str">
        <f ca="1">IFERROR(__xludf.DUMMYFUNCTION("""COMPUTED_VALUE"""),"https://www.facebook.com/rapplerdotcom/photos/a.317154781638645/5594954703858600/")</f>
        <v>https://www.facebook.com/rapplerdotcom/photos/a.317154781638645/5594954703858600/</v>
      </c>
      <c r="J2175" s="1" t="str">
        <f ca="1">IFERROR(__xludf.DUMMYFUNCTION("""COMPUTED_VALUE"""),"2022-07-04T15:48:35.885Z")</f>
        <v>2022-07-04T15:48:35.885Z</v>
      </c>
    </row>
    <row r="2176" spans="1:10" x14ac:dyDescent="0.2">
      <c r="A2176" s="2" t="str">
        <f ca="1">IFERROR(__xludf.DUMMYFUNCTION("""COMPUTED_VALUE"""),"https://www.facebook.com/rick.capunihan")</f>
        <v>https://www.facebook.com/rick.capunihan</v>
      </c>
      <c r="B2176" s="1" t="str">
        <f ca="1">IFERROR(__xludf.DUMMYFUNCTION("""COMPUTED_VALUE"""),"Rick Capunihan")</f>
        <v>Rick Capunihan</v>
      </c>
      <c r="C2176" s="1" t="str">
        <f ca="1">IFERROR(__xludf.DUMMYFUNCTION("""COMPUTED_VALUE"""),"Rick")</f>
        <v>Rick</v>
      </c>
      <c r="D2176" s="1" t="str">
        <f ca="1">IFERROR(__xludf.DUMMYFUNCTION("""COMPUTED_VALUE"""),"Capunihan")</f>
        <v>Capunihan</v>
      </c>
      <c r="E2176" s="1" t="str">
        <f ca="1">IFERROR(__xludf.DUMMYFUNCTION("""COMPUTED_VALUE"""),"Nora Montejo tinanong ko na no? walang binigay sa kanya talaga kasama nia si Pinoy")</f>
        <v>Nora Montejo tinanong ko na no? walang binigay sa kanya talaga kasama nia si Pinoy</v>
      </c>
      <c r="F2176" s="1">
        <f ca="1">IFERROR(__xludf.DUMMYFUNCTION("""COMPUTED_VALUE"""),1)</f>
        <v>1</v>
      </c>
      <c r="G2176" s="1" t="str">
        <f ca="1">IFERROR(__xludf.DUMMYFUNCTION("""COMPUTED_VALUE"""),"3 mos")</f>
        <v>3 mos</v>
      </c>
      <c r="H2176" s="1" t="str">
        <f ca="1">IFERROR(__xludf.DUMMYFUNCTION("""COMPUTED_VALUE"""),"reply")</f>
        <v>reply</v>
      </c>
      <c r="I2176" s="2" t="str">
        <f ca="1">IFERROR(__xludf.DUMMYFUNCTION("""COMPUTED_VALUE"""),"https://www.facebook.com/rapplerdotcom/photos/a.317154781638645/5594954703858600/")</f>
        <v>https://www.facebook.com/rapplerdotcom/photos/a.317154781638645/5594954703858600/</v>
      </c>
      <c r="J2176" s="1" t="str">
        <f ca="1">IFERROR(__xludf.DUMMYFUNCTION("""COMPUTED_VALUE"""),"2022-07-04T15:48:35.885Z")</f>
        <v>2022-07-04T15:48:35.885Z</v>
      </c>
    </row>
    <row r="2177" spans="1:10" x14ac:dyDescent="0.2">
      <c r="A2177" s="2" t="str">
        <f ca="1">IFERROR(__xludf.DUMMYFUNCTION("""COMPUTED_VALUE"""),"https://www.facebook.com/tolits.briones")</f>
        <v>https://www.facebook.com/tolits.briones</v>
      </c>
      <c r="B2177" s="1" t="str">
        <f ca="1">IFERROR(__xludf.DUMMYFUNCTION("""COMPUTED_VALUE"""),"Tolits Briones")</f>
        <v>Tolits Briones</v>
      </c>
      <c r="C2177" s="1" t="str">
        <f ca="1">IFERROR(__xludf.DUMMYFUNCTION("""COMPUTED_VALUE"""),"Tolits")</f>
        <v>Tolits</v>
      </c>
      <c r="D2177" s="1" t="str">
        <f ca="1">IFERROR(__xludf.DUMMYFUNCTION("""COMPUTED_VALUE"""),"Briones")</f>
        <v>Briones</v>
      </c>
      <c r="E2177" s="1" t="str">
        <f ca="1">IFERROR(__xludf.DUMMYFUNCTION("""COMPUTED_VALUE"""),"Rick Capunihan ay sarado ba ang utak mo at hindi mo alam kung saan dinala ni Duterte ung 5bilyon nq Yolanda fund? 🤣🤣🤣 grabing T*n*@ mo..ginamit ni Duterte sa Marawi un..")</f>
        <v>Rick Capunihan ay sarado ba ang utak mo at hindi mo alam kung saan dinala ni Duterte ung 5bilyon nq Yolanda fund? 🤣🤣🤣 grabing T*n*@ mo..ginamit ni Duterte sa Marawi un..</v>
      </c>
      <c r="F2177" s="1"/>
      <c r="G2177" s="1" t="str">
        <f ca="1">IFERROR(__xludf.DUMMYFUNCTION("""COMPUTED_VALUE"""),"3 mos")</f>
        <v>3 mos</v>
      </c>
      <c r="H2177" s="1" t="str">
        <f ca="1">IFERROR(__xludf.DUMMYFUNCTION("""COMPUTED_VALUE"""),"reply")</f>
        <v>reply</v>
      </c>
      <c r="I2177" s="2" t="str">
        <f ca="1">IFERROR(__xludf.DUMMYFUNCTION("""COMPUTED_VALUE"""),"https://www.facebook.com/rapplerdotcom/photos/a.317154781638645/5594954703858600/")</f>
        <v>https://www.facebook.com/rapplerdotcom/photos/a.317154781638645/5594954703858600/</v>
      </c>
      <c r="J2177" s="1" t="str">
        <f ca="1">IFERROR(__xludf.DUMMYFUNCTION("""COMPUTED_VALUE"""),"2022-07-04T15:48:35.885Z")</f>
        <v>2022-07-04T15:48:35.885Z</v>
      </c>
    </row>
    <row r="2178" spans="1:10" x14ac:dyDescent="0.2">
      <c r="A2178" s="2" t="str">
        <f ca="1">IFERROR(__xludf.DUMMYFUNCTION("""COMPUTED_VALUE"""),"https://www.facebook.com/euji.666")</f>
        <v>https://www.facebook.com/euji.666</v>
      </c>
      <c r="B2178" s="1" t="str">
        <f ca="1">IFERROR(__xludf.DUMMYFUNCTION("""COMPUTED_VALUE"""),"Euji Ishizaki")</f>
        <v>Euji Ishizaki</v>
      </c>
      <c r="C2178" s="1" t="str">
        <f ca="1">IFERROR(__xludf.DUMMYFUNCTION("""COMPUTED_VALUE"""),"Euji")</f>
        <v>Euji</v>
      </c>
      <c r="D2178" s="1" t="str">
        <f ca="1">IFERROR(__xludf.DUMMYFUNCTION("""COMPUTED_VALUE"""),"Ishizaki")</f>
        <v>Ishizaki</v>
      </c>
      <c r="E2178" s="1" t="str">
        <f ca="1">IFERROR(__xludf.DUMMYFUNCTION("""COMPUTED_VALUE"""),"Rick Capunihan nasa marawi rehabilitation na po. tanungin mo si duterte")</f>
        <v>Rick Capunihan nasa marawi rehabilitation na po. tanungin mo si duterte</v>
      </c>
      <c r="F2178" s="1"/>
      <c r="G2178" s="1" t="str">
        <f ca="1">IFERROR(__xludf.DUMMYFUNCTION("""COMPUTED_VALUE"""),"3 mos")</f>
        <v>3 mos</v>
      </c>
      <c r="H2178" s="1" t="str">
        <f ca="1">IFERROR(__xludf.DUMMYFUNCTION("""COMPUTED_VALUE"""),"reply")</f>
        <v>reply</v>
      </c>
      <c r="I2178" s="2" t="str">
        <f ca="1">IFERROR(__xludf.DUMMYFUNCTION("""COMPUTED_VALUE"""),"https://www.facebook.com/rapplerdotcom/photos/a.317154781638645/5594954703858600/")</f>
        <v>https://www.facebook.com/rapplerdotcom/photos/a.317154781638645/5594954703858600/</v>
      </c>
      <c r="J2178" s="1" t="str">
        <f ca="1">IFERROR(__xludf.DUMMYFUNCTION("""COMPUTED_VALUE"""),"2022-07-04T15:48:35.885Z")</f>
        <v>2022-07-04T15:48:35.885Z</v>
      </c>
    </row>
    <row r="2179" spans="1:10" x14ac:dyDescent="0.2">
      <c r="A2179" s="2" t="str">
        <f ca="1">IFERROR(__xludf.DUMMYFUNCTION("""COMPUTED_VALUE"""),"https://www.facebook.com/athena.margarette.71")</f>
        <v>https://www.facebook.com/athena.margarette.71</v>
      </c>
      <c r="B2179" s="1" t="str">
        <f ca="1">IFERROR(__xludf.DUMMYFUNCTION("""COMPUTED_VALUE"""),"Jane")</f>
        <v>Jane</v>
      </c>
      <c r="C2179" s="1" t="str">
        <f ca="1">IFERROR(__xludf.DUMMYFUNCTION("""COMPUTED_VALUE"""),"Jane")</f>
        <v>Jane</v>
      </c>
      <c r="D2179" s="1"/>
      <c r="E2179" s="1" t="str">
        <f ca="1">IFERROR(__xludf.DUMMYFUNCTION("""COMPUTED_VALUE"""),"Nora Montejo at kay PRRD dhl sa kanila itinurn-over,gagawing Marawi fund kuno😁")</f>
        <v>Nora Montejo at kay PRRD dhl sa kanila itinurn-over,gagawing Marawi fund kuno😁</v>
      </c>
      <c r="F2179" s="1"/>
      <c r="G2179" s="1" t="str">
        <f ca="1">IFERROR(__xludf.DUMMYFUNCTION("""COMPUTED_VALUE"""),"3 mos")</f>
        <v>3 mos</v>
      </c>
      <c r="H2179" s="1" t="str">
        <f ca="1">IFERROR(__xludf.DUMMYFUNCTION("""COMPUTED_VALUE"""),"reply")</f>
        <v>reply</v>
      </c>
      <c r="I2179" s="2" t="str">
        <f ca="1">IFERROR(__xludf.DUMMYFUNCTION("""COMPUTED_VALUE"""),"https://www.facebook.com/rapplerdotcom/photos/a.317154781638645/5594954703858600/")</f>
        <v>https://www.facebook.com/rapplerdotcom/photos/a.317154781638645/5594954703858600/</v>
      </c>
      <c r="J2179" s="1" t="str">
        <f ca="1">IFERROR(__xludf.DUMMYFUNCTION("""COMPUTED_VALUE"""),"2022-07-04T15:48:35.885Z")</f>
        <v>2022-07-04T15:48:35.885Z</v>
      </c>
    </row>
    <row r="2180" spans="1:10" x14ac:dyDescent="0.2">
      <c r="A2180" s="2" t="str">
        <f ca="1">IFERROR(__xludf.DUMMYFUNCTION("""COMPUTED_VALUE"""),"https://www.facebook.com/josie.salas.731")</f>
        <v>https://www.facebook.com/josie.salas.731</v>
      </c>
      <c r="B2180" s="1" t="str">
        <f ca="1">IFERROR(__xludf.DUMMYFUNCTION("""COMPUTED_VALUE"""),"Josie Salas")</f>
        <v>Josie Salas</v>
      </c>
      <c r="C2180" s="1" t="str">
        <f ca="1">IFERROR(__xludf.DUMMYFUNCTION("""COMPUTED_VALUE"""),"Josie")</f>
        <v>Josie</v>
      </c>
      <c r="D2180" s="1" t="str">
        <f ca="1">IFERROR(__xludf.DUMMYFUNCTION("""COMPUTED_VALUE"""),"Salas")</f>
        <v>Salas</v>
      </c>
      <c r="E2180" s="1" t="str">
        <f ca="1">IFERROR(__xludf.DUMMYFUNCTION("""COMPUTED_VALUE"""),"Rick Capunihan sabot ko Yan sa ilalim ng San juanico bridge Yan si mar Roxas Yung mga bigay ng ibang bansa Hanggang ngaun wala")</f>
        <v>Rick Capunihan sabot ko Yan sa ilalim ng San juanico bridge Yan si mar Roxas Yung mga bigay ng ibang bansa Hanggang ngaun wala</v>
      </c>
      <c r="F2180" s="1"/>
      <c r="G2180" s="1" t="str">
        <f ca="1">IFERROR(__xludf.DUMMYFUNCTION("""COMPUTED_VALUE"""),"3 mos")</f>
        <v>3 mos</v>
      </c>
      <c r="H2180" s="1" t="str">
        <f ca="1">IFERROR(__xludf.DUMMYFUNCTION("""COMPUTED_VALUE"""),"reply")</f>
        <v>reply</v>
      </c>
      <c r="I2180" s="2" t="str">
        <f ca="1">IFERROR(__xludf.DUMMYFUNCTION("""COMPUTED_VALUE"""),"https://www.facebook.com/rapplerdotcom/photos/a.317154781638645/5594954703858600/")</f>
        <v>https://www.facebook.com/rapplerdotcom/photos/a.317154781638645/5594954703858600/</v>
      </c>
      <c r="J2180" s="1" t="str">
        <f ca="1">IFERROR(__xludf.DUMMYFUNCTION("""COMPUTED_VALUE"""),"2022-07-04T15:48:35.885Z")</f>
        <v>2022-07-04T15:48:35.885Z</v>
      </c>
    </row>
    <row r="2181" spans="1:10" x14ac:dyDescent="0.2">
      <c r="A2181" s="2" t="str">
        <f ca="1">IFERROR(__xludf.DUMMYFUNCTION("""COMPUTED_VALUE"""),"https://www.facebook.com/janice.arroyo.98837")</f>
        <v>https://www.facebook.com/janice.arroyo.98837</v>
      </c>
      <c r="B2181" s="1" t="str">
        <f ca="1">IFERROR(__xludf.DUMMYFUNCTION("""COMPUTED_VALUE"""),"Janice Ruth Arroyo")</f>
        <v>Janice Ruth Arroyo</v>
      </c>
      <c r="C2181" s="1" t="str">
        <f ca="1">IFERROR(__xludf.DUMMYFUNCTION("""COMPUTED_VALUE"""),"Janice")</f>
        <v>Janice</v>
      </c>
      <c r="D2181" s="1" t="str">
        <f ca="1">IFERROR(__xludf.DUMMYFUNCTION("""COMPUTED_VALUE"""),"Ruth Arroyo")</f>
        <v>Ruth Arroyo</v>
      </c>
      <c r="E2181" s="1" t="str">
        <f ca="1">IFERROR(__xludf.DUMMYFUNCTION("""COMPUTED_VALUE"""),"Rick Capunihan https://dilg.gov.ph/news/DILG-P3455-B-or-85-percent-Yolanda-funds-liquidated/NC-2019-1169")</f>
        <v>Rick Capunihan https://dilg.gov.ph/news/DILG-P3455-B-or-85-percent-Yolanda-funds-liquidated/NC-2019-1169</v>
      </c>
      <c r="F2181" s="1"/>
      <c r="G2181" s="1" t="str">
        <f ca="1">IFERROR(__xludf.DUMMYFUNCTION("""COMPUTED_VALUE"""),"3 mos")</f>
        <v>3 mos</v>
      </c>
      <c r="H2181" s="1" t="str">
        <f ca="1">IFERROR(__xludf.DUMMYFUNCTION("""COMPUTED_VALUE"""),"reply")</f>
        <v>reply</v>
      </c>
      <c r="I2181" s="2" t="str">
        <f ca="1">IFERROR(__xludf.DUMMYFUNCTION("""COMPUTED_VALUE"""),"https://www.facebook.com/rapplerdotcom/photos/a.317154781638645/5594954703858600/")</f>
        <v>https://www.facebook.com/rapplerdotcom/photos/a.317154781638645/5594954703858600/</v>
      </c>
      <c r="J2181" s="1" t="str">
        <f ca="1">IFERROR(__xludf.DUMMYFUNCTION("""COMPUTED_VALUE"""),"2022-07-04T15:48:35.885Z")</f>
        <v>2022-07-04T15:48:35.885Z</v>
      </c>
    </row>
    <row r="2182" spans="1:10" x14ac:dyDescent="0.2">
      <c r="A2182" s="2" t="str">
        <f ca="1">IFERROR(__xludf.DUMMYFUNCTION("""COMPUTED_VALUE"""),"https://www.facebook.com/joey.abella.507")</f>
        <v>https://www.facebook.com/joey.abella.507</v>
      </c>
      <c r="B2182" s="1" t="str">
        <f ca="1">IFERROR(__xludf.DUMMYFUNCTION("""COMPUTED_VALUE"""),"Lana")</f>
        <v>Lana</v>
      </c>
      <c r="C2182" s="1" t="str">
        <f ca="1">IFERROR(__xludf.DUMMYFUNCTION("""COMPUTED_VALUE"""),"Lana")</f>
        <v>Lana</v>
      </c>
      <c r="D2182" s="1"/>
      <c r="E2182" s="1" t="str">
        <f ca="1">IFERROR(__xludf.DUMMYFUNCTION("""COMPUTED_VALUE"""),"Rick Capunihan")</f>
        <v>Rick Capunihan</v>
      </c>
      <c r="F2182" s="1"/>
      <c r="G2182" s="1" t="str">
        <f ca="1">IFERROR(__xludf.DUMMYFUNCTION("""COMPUTED_VALUE"""),"3 mos")</f>
        <v>3 mos</v>
      </c>
      <c r="H2182" s="1" t="str">
        <f ca="1">IFERROR(__xludf.DUMMYFUNCTION("""COMPUTED_VALUE"""),"reply")</f>
        <v>reply</v>
      </c>
      <c r="I2182" s="2" t="str">
        <f ca="1">IFERROR(__xludf.DUMMYFUNCTION("""COMPUTED_VALUE"""),"https://www.facebook.com/rapplerdotcom/photos/a.317154781638645/5594954703858600/")</f>
        <v>https://www.facebook.com/rapplerdotcom/photos/a.317154781638645/5594954703858600/</v>
      </c>
      <c r="J2182" s="1" t="str">
        <f ca="1">IFERROR(__xludf.DUMMYFUNCTION("""COMPUTED_VALUE"""),"2022-07-04T15:48:35.885Z")</f>
        <v>2022-07-04T15:48:35.885Z</v>
      </c>
    </row>
    <row r="2183" spans="1:10" x14ac:dyDescent="0.2">
      <c r="A2183" s="2" t="str">
        <f ca="1">IFERROR(__xludf.DUMMYFUNCTION("""COMPUTED_VALUE"""),"https://www.facebook.com/rick.capunihan")</f>
        <v>https://www.facebook.com/rick.capunihan</v>
      </c>
      <c r="B2183" s="1" t="str">
        <f ca="1">IFERROR(__xludf.DUMMYFUNCTION("""COMPUTED_VALUE"""),"Rick Capunihan")</f>
        <v>Rick Capunihan</v>
      </c>
      <c r="C2183" s="1" t="str">
        <f ca="1">IFERROR(__xludf.DUMMYFUNCTION("""COMPUTED_VALUE"""),"Rick")</f>
        <v>Rick</v>
      </c>
      <c r="D2183" s="1" t="str">
        <f ca="1">IFERROR(__xludf.DUMMYFUNCTION("""COMPUTED_VALUE"""),"Capunihan")</f>
        <v>Capunihan</v>
      </c>
      <c r="E2183" s="1" t="str">
        <f ca="1">IFERROR(__xludf.DUMMYFUNCTION("""COMPUTED_VALUE"""),"Euji Iniwan subukan nia mag rally sa leyte at samar")</f>
        <v>Euji Iniwan subukan nia mag rally sa leyte at samar</v>
      </c>
      <c r="F2183" s="1"/>
      <c r="G2183" s="1" t="str">
        <f ca="1">IFERROR(__xludf.DUMMYFUNCTION("""COMPUTED_VALUE"""),"3 mos")</f>
        <v>3 mos</v>
      </c>
      <c r="H2183" s="1" t="str">
        <f ca="1">IFERROR(__xludf.DUMMYFUNCTION("""COMPUTED_VALUE"""),"reply")</f>
        <v>reply</v>
      </c>
      <c r="I2183" s="2" t="str">
        <f ca="1">IFERROR(__xludf.DUMMYFUNCTION("""COMPUTED_VALUE"""),"https://www.facebook.com/rapplerdotcom/photos/a.317154781638645/5594954703858600/")</f>
        <v>https://www.facebook.com/rapplerdotcom/photos/a.317154781638645/5594954703858600/</v>
      </c>
      <c r="J2183" s="1" t="str">
        <f ca="1">IFERROR(__xludf.DUMMYFUNCTION("""COMPUTED_VALUE"""),"2022-07-04T15:48:35.885Z")</f>
        <v>2022-07-04T15:48:35.885Z</v>
      </c>
    </row>
    <row r="2184" spans="1:10" x14ac:dyDescent="0.2">
      <c r="A2184" s="2" t="str">
        <f ca="1">IFERROR(__xludf.DUMMYFUNCTION("""COMPUTED_VALUE"""),"https://www.facebook.com/rick.capunihan")</f>
        <v>https://www.facebook.com/rick.capunihan</v>
      </c>
      <c r="B2184" s="1" t="str">
        <f ca="1">IFERROR(__xludf.DUMMYFUNCTION("""COMPUTED_VALUE"""),"Rick Capunihan")</f>
        <v>Rick Capunihan</v>
      </c>
      <c r="C2184" s="1" t="str">
        <f ca="1">IFERROR(__xludf.DUMMYFUNCTION("""COMPUTED_VALUE"""),"Rick")</f>
        <v>Rick</v>
      </c>
      <c r="D2184" s="1" t="str">
        <f ca="1">IFERROR(__xludf.DUMMYFUNCTION("""COMPUTED_VALUE"""),"Capunihan")</f>
        <v>Capunihan</v>
      </c>
      <c r="E2184" s="1" t="str">
        <f ca="1">IFERROR(__xludf.DUMMYFUNCTION("""COMPUTED_VALUE"""),"Eric Morales subukan ni mar mah rally sa harap ng mga tao sa leyte at samar")</f>
        <v>Eric Morales subukan ni mar mah rally sa harap ng mga tao sa leyte at samar</v>
      </c>
      <c r="F2184" s="1"/>
      <c r="G2184" s="1" t="str">
        <f ca="1">IFERROR(__xludf.DUMMYFUNCTION("""COMPUTED_VALUE"""),"3 mos")</f>
        <v>3 mos</v>
      </c>
      <c r="H2184" s="1" t="str">
        <f ca="1">IFERROR(__xludf.DUMMYFUNCTION("""COMPUTED_VALUE"""),"reply")</f>
        <v>reply</v>
      </c>
      <c r="I2184" s="2" t="str">
        <f ca="1">IFERROR(__xludf.DUMMYFUNCTION("""COMPUTED_VALUE"""),"https://www.facebook.com/rapplerdotcom/photos/a.317154781638645/5594954703858600/")</f>
        <v>https://www.facebook.com/rapplerdotcom/photos/a.317154781638645/5594954703858600/</v>
      </c>
      <c r="J2184" s="1" t="str">
        <f ca="1">IFERROR(__xludf.DUMMYFUNCTION("""COMPUTED_VALUE"""),"2022-07-04T15:48:35.885Z")</f>
        <v>2022-07-04T15:48:35.885Z</v>
      </c>
    </row>
    <row r="2185" spans="1:10" x14ac:dyDescent="0.2">
      <c r="A2185" s="2" t="str">
        <f ca="1">IFERROR(__xludf.DUMMYFUNCTION("""COMPUTED_VALUE"""),"https://www.facebook.com/rick.capunihan")</f>
        <v>https://www.facebook.com/rick.capunihan</v>
      </c>
      <c r="B2185" s="1" t="str">
        <f ca="1">IFERROR(__xludf.DUMMYFUNCTION("""COMPUTED_VALUE"""),"Rick Capunihan")</f>
        <v>Rick Capunihan</v>
      </c>
      <c r="C2185" s="1" t="str">
        <f ca="1">IFERROR(__xludf.DUMMYFUNCTION("""COMPUTED_VALUE"""),"Rick")</f>
        <v>Rick</v>
      </c>
      <c r="D2185" s="1" t="str">
        <f ca="1">IFERROR(__xludf.DUMMYFUNCTION("""COMPUTED_VALUE"""),"Capunihan")</f>
        <v>Capunihan</v>
      </c>
      <c r="E2185" s="1" t="str">
        <f ca="1">IFERROR(__xludf.DUMMYFUNCTION("""COMPUTED_VALUE"""),"Josie Salas subukan ni mar mag rally sa leyte at samar")</f>
        <v>Josie Salas subukan ni mar mag rally sa leyte at samar</v>
      </c>
      <c r="F2185" s="1"/>
      <c r="G2185" s="1" t="str">
        <f ca="1">IFERROR(__xludf.DUMMYFUNCTION("""COMPUTED_VALUE"""),"3 mos")</f>
        <v>3 mos</v>
      </c>
      <c r="H2185" s="1" t="str">
        <f ca="1">IFERROR(__xludf.DUMMYFUNCTION("""COMPUTED_VALUE"""),"reply")</f>
        <v>reply</v>
      </c>
      <c r="I2185" s="2" t="str">
        <f ca="1">IFERROR(__xludf.DUMMYFUNCTION("""COMPUTED_VALUE"""),"https://www.facebook.com/rapplerdotcom/photos/a.317154781638645/5594954703858600/")</f>
        <v>https://www.facebook.com/rapplerdotcom/photos/a.317154781638645/5594954703858600/</v>
      </c>
      <c r="J2185" s="1" t="str">
        <f ca="1">IFERROR(__xludf.DUMMYFUNCTION("""COMPUTED_VALUE"""),"2022-07-04T15:48:35.885Z")</f>
        <v>2022-07-04T15:48:35.885Z</v>
      </c>
    </row>
    <row r="2186" spans="1:10" x14ac:dyDescent="0.2">
      <c r="A2186" s="2" t="str">
        <f ca="1">IFERROR(__xludf.DUMMYFUNCTION("""COMPUTED_VALUE"""),"https://www.facebook.com/josie.salas.731")</f>
        <v>https://www.facebook.com/josie.salas.731</v>
      </c>
      <c r="B2186" s="1" t="str">
        <f ca="1">IFERROR(__xludf.DUMMYFUNCTION("""COMPUTED_VALUE"""),"Josie Salas")</f>
        <v>Josie Salas</v>
      </c>
      <c r="C2186" s="1" t="str">
        <f ca="1">IFERROR(__xludf.DUMMYFUNCTION("""COMPUTED_VALUE"""),"Josie")</f>
        <v>Josie</v>
      </c>
      <c r="D2186" s="1" t="str">
        <f ca="1">IFERROR(__xludf.DUMMYFUNCTION("""COMPUTED_VALUE"""),"Salas")</f>
        <v>Salas</v>
      </c>
      <c r="E2186" s="1" t="str">
        <f ca="1">IFERROR(__xludf.DUMMYFUNCTION("""COMPUTED_VALUE"""),"Rick Capunihan ako hulog ko yan sa tulay ng San juanico bridge mag ala Dante varona Yan nasa loob Ang kulor nyan .")</f>
        <v>Rick Capunihan ako hulog ko yan sa tulay ng San juanico bridge mag ala Dante varona Yan nasa loob Ang kulor nyan .</v>
      </c>
      <c r="F2186" s="1"/>
      <c r="G2186" s="1" t="str">
        <f ca="1">IFERROR(__xludf.DUMMYFUNCTION("""COMPUTED_VALUE"""),"3 mos")</f>
        <v>3 mos</v>
      </c>
      <c r="H2186" s="1" t="str">
        <f ca="1">IFERROR(__xludf.DUMMYFUNCTION("""COMPUTED_VALUE"""),"reply")</f>
        <v>reply</v>
      </c>
      <c r="I2186" s="2" t="str">
        <f ca="1">IFERROR(__xludf.DUMMYFUNCTION("""COMPUTED_VALUE"""),"https://www.facebook.com/rapplerdotcom/photos/a.317154781638645/5594954703858600/")</f>
        <v>https://www.facebook.com/rapplerdotcom/photos/a.317154781638645/5594954703858600/</v>
      </c>
      <c r="J2186" s="1" t="str">
        <f ca="1">IFERROR(__xludf.DUMMYFUNCTION("""COMPUTED_VALUE"""),"2022-07-04T15:48:35.885Z")</f>
        <v>2022-07-04T15:48:35.885Z</v>
      </c>
    </row>
    <row r="2187" spans="1:10" x14ac:dyDescent="0.2">
      <c r="A2187" s="2" t="str">
        <f ca="1">IFERROR(__xludf.DUMMYFUNCTION("""COMPUTED_VALUE"""),"https://www.facebook.com/onie.abon.98")</f>
        <v>https://www.facebook.com/onie.abon.98</v>
      </c>
      <c r="B2187" s="1" t="str">
        <f ca="1">IFERROR(__xludf.DUMMYFUNCTION("""COMPUTED_VALUE"""),"Onie Abon")</f>
        <v>Onie Abon</v>
      </c>
      <c r="C2187" s="1" t="str">
        <f ca="1">IFERROR(__xludf.DUMMYFUNCTION("""COMPUTED_VALUE"""),"Onie")</f>
        <v>Onie</v>
      </c>
      <c r="D2187" s="1" t="str">
        <f ca="1">IFERROR(__xludf.DUMMYFUNCTION("""COMPUTED_VALUE"""),"Abon")</f>
        <v>Abon</v>
      </c>
      <c r="E2187" s="1" t="str">
        <f ca="1">IFERROR(__xludf.DUMMYFUNCTION("""COMPUTED_VALUE"""),"Trapo ppansin")</f>
        <v>Trapo ppansin</v>
      </c>
      <c r="F2187" s="1"/>
      <c r="G2187" s="1" t="str">
        <f ca="1">IFERROR(__xludf.DUMMYFUNCTION("""COMPUTED_VALUE"""),"3 mos")</f>
        <v>3 mos</v>
      </c>
      <c r="H2187" s="1" t="str">
        <f ca="1">IFERROR(__xludf.DUMMYFUNCTION("""COMPUTED_VALUE"""),"comment")</f>
        <v>comment</v>
      </c>
      <c r="I2187" s="2" t="str">
        <f ca="1">IFERROR(__xludf.DUMMYFUNCTION("""COMPUTED_VALUE"""),"https://www.facebook.com/rapplerdotcom/photos/a.317154781638645/5594954703858600/")</f>
        <v>https://www.facebook.com/rapplerdotcom/photos/a.317154781638645/5594954703858600/</v>
      </c>
      <c r="J2187" s="1" t="str">
        <f ca="1">IFERROR(__xludf.DUMMYFUNCTION("""COMPUTED_VALUE"""),"2022-07-04T15:48:35.885Z")</f>
        <v>2022-07-04T15:48:35.885Z</v>
      </c>
    </row>
    <row r="2188" spans="1:10" x14ac:dyDescent="0.2">
      <c r="A2188" s="2" t="str">
        <f ca="1">IFERROR(__xludf.DUMMYFUNCTION("""COMPUTED_VALUE"""),"https://www.facebook.com/labicanefloraalday")</f>
        <v>https://www.facebook.com/labicanefloraalday</v>
      </c>
      <c r="B2188" s="1" t="str">
        <f ca="1">IFERROR(__xludf.DUMMYFUNCTION("""COMPUTED_VALUE"""),"Flora Alday Labicane")</f>
        <v>Flora Alday Labicane</v>
      </c>
      <c r="C2188" s="1" t="str">
        <f ca="1">IFERROR(__xludf.DUMMYFUNCTION("""COMPUTED_VALUE"""),"Flora")</f>
        <v>Flora</v>
      </c>
      <c r="D2188" s="1" t="str">
        <f ca="1">IFERROR(__xludf.DUMMYFUNCTION("""COMPUTED_VALUE"""),"Alday Labicane")</f>
        <v>Alday Labicane</v>
      </c>
      <c r="E2188" s="1" t="str">
        <f ca="1">IFERROR(__xludf.DUMMYFUNCTION("""COMPUTED_VALUE"""),"Onie Abon oy !!! Lumutang na si mar ....ubos na ba po ba yulanda funds?")</f>
        <v>Onie Abon oy !!! Lumutang na si mar ....ubos na ba po ba yulanda funds?</v>
      </c>
      <c r="F2188" s="1"/>
      <c r="G2188" s="1" t="str">
        <f ca="1">IFERROR(__xludf.DUMMYFUNCTION("""COMPUTED_VALUE"""),"3 mos")</f>
        <v>3 mos</v>
      </c>
      <c r="H2188" s="1" t="str">
        <f ca="1">IFERROR(__xludf.DUMMYFUNCTION("""COMPUTED_VALUE"""),"reply")</f>
        <v>reply</v>
      </c>
      <c r="I2188" s="2" t="str">
        <f ca="1">IFERROR(__xludf.DUMMYFUNCTION("""COMPUTED_VALUE"""),"https://www.facebook.com/rapplerdotcom/photos/a.317154781638645/5594954703858600/")</f>
        <v>https://www.facebook.com/rapplerdotcom/photos/a.317154781638645/5594954703858600/</v>
      </c>
      <c r="J2188" s="1" t="str">
        <f ca="1">IFERROR(__xludf.DUMMYFUNCTION("""COMPUTED_VALUE"""),"2022-07-04T15:48:35.885Z")</f>
        <v>2022-07-04T15:48:35.885Z</v>
      </c>
    </row>
    <row r="2189" spans="1:10" x14ac:dyDescent="0.2">
      <c r="A2189" s="2" t="str">
        <f ca="1">IFERROR(__xludf.DUMMYFUNCTION("""COMPUTED_VALUE"""),"https://www.facebook.com/dianjane.sy")</f>
        <v>https://www.facebook.com/dianjane.sy</v>
      </c>
      <c r="B2189" s="1" t="str">
        <f ca="1">IFERROR(__xludf.DUMMYFUNCTION("""COMPUTED_VALUE"""),"Dian Jane Sy")</f>
        <v>Dian Jane Sy</v>
      </c>
      <c r="C2189" s="1" t="str">
        <f ca="1">IFERROR(__xludf.DUMMYFUNCTION("""COMPUTED_VALUE"""),"Dian")</f>
        <v>Dian</v>
      </c>
      <c r="D2189" s="1" t="str">
        <f ca="1">IFERROR(__xludf.DUMMYFUNCTION("""COMPUTED_VALUE"""),"Jane Sy")</f>
        <v>Jane Sy</v>
      </c>
      <c r="E2189" s="1" t="str">
        <f ca="1">IFERROR(__xludf.DUMMYFUNCTION("""COMPUTED_VALUE"""),"Mga Lutang parin 😁😂👎")</f>
        <v>Mga Lutang parin 😁😂👎</v>
      </c>
      <c r="F2189" s="1">
        <f ca="1">IFERROR(__xludf.DUMMYFUNCTION("""COMPUTED_VALUE"""),2)</f>
        <v>2</v>
      </c>
      <c r="G2189" s="1" t="str">
        <f ca="1">IFERROR(__xludf.DUMMYFUNCTION("""COMPUTED_VALUE"""),"3 mos")</f>
        <v>3 mos</v>
      </c>
      <c r="H2189" s="1" t="str">
        <f ca="1">IFERROR(__xludf.DUMMYFUNCTION("""COMPUTED_VALUE"""),"comment")</f>
        <v>comment</v>
      </c>
      <c r="I2189" s="2" t="str">
        <f ca="1">IFERROR(__xludf.DUMMYFUNCTION("""COMPUTED_VALUE"""),"https://www.facebook.com/rapplerdotcom/photos/a.317154781638645/5594954703858600/")</f>
        <v>https://www.facebook.com/rapplerdotcom/photos/a.317154781638645/5594954703858600/</v>
      </c>
      <c r="J2189" s="1" t="str">
        <f ca="1">IFERROR(__xludf.DUMMYFUNCTION("""COMPUTED_VALUE"""),"2022-07-04T15:48:35.885Z")</f>
        <v>2022-07-04T15:48:35.885Z</v>
      </c>
    </row>
    <row r="2190" spans="1:10" x14ac:dyDescent="0.2">
      <c r="A2190" s="2" t="str">
        <f ca="1">IFERROR(__xludf.DUMMYFUNCTION("""COMPUTED_VALUE"""),"https://www.facebook.com/noel.ramirez.35110")</f>
        <v>https://www.facebook.com/noel.ramirez.35110</v>
      </c>
      <c r="B2190" s="1" t="str">
        <f ca="1">IFERROR(__xludf.DUMMYFUNCTION("""COMPUTED_VALUE"""),"Noel Ramirez")</f>
        <v>Noel Ramirez</v>
      </c>
      <c r="C2190" s="1" t="str">
        <f ca="1">IFERROR(__xludf.DUMMYFUNCTION("""COMPUTED_VALUE"""),"Noel")</f>
        <v>Noel</v>
      </c>
      <c r="D2190" s="1" t="str">
        <f ca="1">IFERROR(__xludf.DUMMYFUNCTION("""COMPUTED_VALUE"""),"Ramirez")</f>
        <v>Ramirez</v>
      </c>
      <c r="E2190" s="1" t="str">
        <f ca="1">IFERROR(__xludf.DUMMYFUNCTION("""COMPUTED_VALUE"""),"Nkisawsaw p maslalo tuloy nganga")</f>
        <v>Nkisawsaw p maslalo tuloy nganga</v>
      </c>
      <c r="F2190" s="1"/>
      <c r="G2190" s="1" t="str">
        <f ca="1">IFERROR(__xludf.DUMMYFUNCTION("""COMPUTED_VALUE"""),"3 mos")</f>
        <v>3 mos</v>
      </c>
      <c r="H2190" s="1" t="str">
        <f ca="1">IFERROR(__xludf.DUMMYFUNCTION("""COMPUTED_VALUE"""),"comment")</f>
        <v>comment</v>
      </c>
      <c r="I2190" s="2" t="str">
        <f ca="1">IFERROR(__xludf.DUMMYFUNCTION("""COMPUTED_VALUE"""),"https://www.facebook.com/rapplerdotcom/photos/a.317154781638645/5594954703858600/")</f>
        <v>https://www.facebook.com/rapplerdotcom/photos/a.317154781638645/5594954703858600/</v>
      </c>
      <c r="J2190" s="1" t="str">
        <f ca="1">IFERROR(__xludf.DUMMYFUNCTION("""COMPUTED_VALUE"""),"2022-07-04T15:48:35.885Z")</f>
        <v>2022-07-04T15:48:35.885Z</v>
      </c>
    </row>
    <row r="2191" spans="1:10" x14ac:dyDescent="0.2">
      <c r="A2191" s="2" t="str">
        <f ca="1">IFERROR(__xludf.DUMMYFUNCTION("""COMPUTED_VALUE"""),"https://www.facebook.com/profile.php?id=100009754082201")</f>
        <v>https://www.facebook.com/profile.php?id=100009754082201</v>
      </c>
      <c r="B2191" s="1" t="str">
        <f ca="1">IFERROR(__xludf.DUMMYFUNCTION("""COMPUTED_VALUE"""),"George Grande")</f>
        <v>George Grande</v>
      </c>
      <c r="C2191" s="1" t="str">
        <f ca="1">IFERROR(__xludf.DUMMYFUNCTION("""COMPUTED_VALUE"""),"George")</f>
        <v>George</v>
      </c>
      <c r="D2191" s="1" t="str">
        <f ca="1">IFERROR(__xludf.DUMMYFUNCTION("""COMPUTED_VALUE"""),"Grande")</f>
        <v>Grande</v>
      </c>
      <c r="E2191" s="1" t="str">
        <f ca="1">IFERROR(__xludf.DUMMYFUNCTION("""COMPUTED_VALUE"""),"Ayaw nga nung kasama niyo ung naka green na longsleeve at pink pants nagtakip ng mukha niya at tumatawa")</f>
        <v>Ayaw nga nung kasama niyo ung naka green na longsleeve at pink pants nagtakip ng mukha niya at tumatawa</v>
      </c>
      <c r="F2191" s="1"/>
      <c r="G2191" s="1" t="str">
        <f ca="1">IFERROR(__xludf.DUMMYFUNCTION("""COMPUTED_VALUE"""),"3 mos")</f>
        <v>3 mos</v>
      </c>
      <c r="H2191" s="1" t="str">
        <f ca="1">IFERROR(__xludf.DUMMYFUNCTION("""COMPUTED_VALUE"""),"comment")</f>
        <v>comment</v>
      </c>
      <c r="I2191" s="2" t="str">
        <f ca="1">IFERROR(__xludf.DUMMYFUNCTION("""COMPUTED_VALUE"""),"https://www.facebook.com/rapplerdotcom/photos/a.317154781638645/5594954703858600/")</f>
        <v>https://www.facebook.com/rapplerdotcom/photos/a.317154781638645/5594954703858600/</v>
      </c>
      <c r="J2191" s="1" t="str">
        <f ca="1">IFERROR(__xludf.DUMMYFUNCTION("""COMPUTED_VALUE"""),"2022-07-04T15:48:35.885Z")</f>
        <v>2022-07-04T15:48:35.885Z</v>
      </c>
    </row>
    <row r="2192" spans="1:10" x14ac:dyDescent="0.2">
      <c r="A2192" s="2" t="str">
        <f ca="1">IFERROR(__xludf.DUMMYFUNCTION("""COMPUTED_VALUE"""),"https://www.facebook.com/johnny.collantes.37")</f>
        <v>https://www.facebook.com/johnny.collantes.37</v>
      </c>
      <c r="B2192" s="1" t="str">
        <f ca="1">IFERROR(__xludf.DUMMYFUNCTION("""COMPUTED_VALUE"""),"Johnny Collantes")</f>
        <v>Johnny Collantes</v>
      </c>
      <c r="C2192" s="1" t="str">
        <f ca="1">IFERROR(__xludf.DUMMYFUNCTION("""COMPUTED_VALUE"""),"Johnny")</f>
        <v>Johnny</v>
      </c>
      <c r="D2192" s="1" t="str">
        <f ca="1">IFERROR(__xludf.DUMMYFUNCTION("""COMPUTED_VALUE"""),"Collantes")</f>
        <v>Collantes</v>
      </c>
      <c r="E2192" s="1" t="str">
        <f ca="1">IFERROR(__xludf.DUMMYFUNCTION("""COMPUTED_VALUE"""),"Mababawasan na naman ang boto ni Madam  ""L""")</f>
        <v>Mababawasan na naman ang boto ni Madam  "L"</v>
      </c>
      <c r="F2192" s="1"/>
      <c r="G2192" s="1" t="str">
        <f ca="1">IFERROR(__xludf.DUMMYFUNCTION("""COMPUTED_VALUE"""),"3 mos")</f>
        <v>3 mos</v>
      </c>
      <c r="H2192" s="1" t="str">
        <f ca="1">IFERROR(__xludf.DUMMYFUNCTION("""COMPUTED_VALUE"""),"comment")</f>
        <v>comment</v>
      </c>
      <c r="I2192" s="2" t="str">
        <f ca="1">IFERROR(__xludf.DUMMYFUNCTION("""COMPUTED_VALUE"""),"https://www.facebook.com/rapplerdotcom/photos/a.317154781638645/5594954703858600/")</f>
        <v>https://www.facebook.com/rapplerdotcom/photos/a.317154781638645/5594954703858600/</v>
      </c>
      <c r="J2192" s="1" t="str">
        <f ca="1">IFERROR(__xludf.DUMMYFUNCTION("""COMPUTED_VALUE"""),"2022-07-04T15:48:35.885Z")</f>
        <v>2022-07-04T15:48:35.885Z</v>
      </c>
    </row>
    <row r="2193" spans="1:10" x14ac:dyDescent="0.2">
      <c r="A2193" s="2" t="str">
        <f ca="1">IFERROR(__xludf.DUMMYFUNCTION("""COMPUTED_VALUE"""),"https://www.facebook.com/erick.balbin")</f>
        <v>https://www.facebook.com/erick.balbin</v>
      </c>
      <c r="B2193" s="1" t="str">
        <f ca="1">IFERROR(__xludf.DUMMYFUNCTION("""COMPUTED_VALUE"""),"Erick Balbin")</f>
        <v>Erick Balbin</v>
      </c>
      <c r="C2193" s="1" t="str">
        <f ca="1">IFERROR(__xludf.DUMMYFUNCTION("""COMPUTED_VALUE"""),"Erick")</f>
        <v>Erick</v>
      </c>
      <c r="D2193" s="1" t="str">
        <f ca="1">IFERROR(__xludf.DUMMYFUNCTION("""COMPUTED_VALUE"""),"Balbin")</f>
        <v>Balbin</v>
      </c>
      <c r="E2193" s="1" t="str">
        <f ca="1">IFERROR(__xludf.DUMMYFUNCTION("""COMPUTED_VALUE"""),"Mag trapik ka na lng sir..mas bagay po sa inyo")</f>
        <v>Mag trapik ka na lng sir..mas bagay po sa inyo</v>
      </c>
      <c r="F2193" s="1"/>
      <c r="G2193" s="1" t="str">
        <f ca="1">IFERROR(__xludf.DUMMYFUNCTION("""COMPUTED_VALUE"""),"3 mos")</f>
        <v>3 mos</v>
      </c>
      <c r="H2193" s="1" t="str">
        <f ca="1">IFERROR(__xludf.DUMMYFUNCTION("""COMPUTED_VALUE"""),"comment")</f>
        <v>comment</v>
      </c>
      <c r="I2193" s="2" t="str">
        <f ca="1">IFERROR(__xludf.DUMMYFUNCTION("""COMPUTED_VALUE"""),"https://www.facebook.com/rapplerdotcom/photos/a.317154781638645/5594954703858600/")</f>
        <v>https://www.facebook.com/rapplerdotcom/photos/a.317154781638645/5594954703858600/</v>
      </c>
      <c r="J2193" s="1" t="str">
        <f ca="1">IFERROR(__xludf.DUMMYFUNCTION("""COMPUTED_VALUE"""),"2022-07-04T15:48:35.885Z")</f>
        <v>2022-07-04T15:48:35.885Z</v>
      </c>
    </row>
    <row r="2194" spans="1:10" x14ac:dyDescent="0.2">
      <c r="A2194" s="2" t="str">
        <f ca="1">IFERROR(__xludf.DUMMYFUNCTION("""COMPUTED_VALUE"""),"https://www.facebook.com/joeven.alvarez")</f>
        <v>https://www.facebook.com/joeven.alvarez</v>
      </c>
      <c r="B2194" s="1" t="str">
        <f ca="1">IFERROR(__xludf.DUMMYFUNCTION("""COMPUTED_VALUE"""),"Joeven Alvarez")</f>
        <v>Joeven Alvarez</v>
      </c>
      <c r="C2194" s="1" t="str">
        <f ca="1">IFERROR(__xludf.DUMMYFUNCTION("""COMPUTED_VALUE"""),"Joeven")</f>
        <v>Joeven</v>
      </c>
      <c r="D2194" s="1" t="str">
        <f ca="1">IFERROR(__xludf.DUMMYFUNCTION("""COMPUTED_VALUE"""),"Alvarez")</f>
        <v>Alvarez</v>
      </c>
      <c r="E2194" s="1" t="str">
        <f ca="1">IFERROR(__xludf.DUMMYFUNCTION("""COMPUTED_VALUE"""),"Dahilan gyud ni ba")</f>
        <v>Dahilan gyud ni ba</v>
      </c>
      <c r="F2194" s="1"/>
      <c r="G2194" s="1" t="str">
        <f ca="1">IFERROR(__xludf.DUMMYFUNCTION("""COMPUTED_VALUE"""),"3 mos")</f>
        <v>3 mos</v>
      </c>
      <c r="H2194" s="1" t="str">
        <f ca="1">IFERROR(__xludf.DUMMYFUNCTION("""COMPUTED_VALUE"""),"comment")</f>
        <v>comment</v>
      </c>
      <c r="I2194" s="2" t="str">
        <f ca="1">IFERROR(__xludf.DUMMYFUNCTION("""COMPUTED_VALUE"""),"https://www.facebook.com/rapplerdotcom/photos/a.317154781638645/5594954703858600/")</f>
        <v>https://www.facebook.com/rapplerdotcom/photos/a.317154781638645/5594954703858600/</v>
      </c>
      <c r="J2194" s="1" t="str">
        <f ca="1">IFERROR(__xludf.DUMMYFUNCTION("""COMPUTED_VALUE"""),"2022-07-04T15:48:35.885Z")</f>
        <v>2022-07-04T15:48:35.885Z</v>
      </c>
    </row>
    <row r="2195" spans="1:10" x14ac:dyDescent="0.2">
      <c r="A2195" s="2" t="str">
        <f ca="1">IFERROR(__xludf.DUMMYFUNCTION("""COMPUTED_VALUE"""),"https://www.facebook.com/rogen.divinagracia.1")</f>
        <v>https://www.facebook.com/rogen.divinagracia.1</v>
      </c>
      <c r="B2195" s="1" t="str">
        <f ca="1">IFERROR(__xludf.DUMMYFUNCTION("""COMPUTED_VALUE"""),"Floribel Cariaso Divinagracia")</f>
        <v>Floribel Cariaso Divinagracia</v>
      </c>
      <c r="C2195" s="1" t="str">
        <f ca="1">IFERROR(__xludf.DUMMYFUNCTION("""COMPUTED_VALUE"""),"Floribel")</f>
        <v>Floribel</v>
      </c>
      <c r="D2195" s="1" t="str">
        <f ca="1">IFERROR(__xludf.DUMMYFUNCTION("""COMPUTED_VALUE"""),"Cariaso Divinagracia")</f>
        <v>Cariaso Divinagracia</v>
      </c>
      <c r="E2195" s="1" t="str">
        <f ca="1">IFERROR(__xludf.DUMMYFUNCTION("""COMPUTED_VALUE"""),"Saan n iyong Yolanda funds")</f>
        <v>Saan n iyong Yolanda funds</v>
      </c>
      <c r="F2195" s="1">
        <f ca="1">IFERROR(__xludf.DUMMYFUNCTION("""COMPUTED_VALUE"""),14)</f>
        <v>14</v>
      </c>
      <c r="G2195" s="1" t="str">
        <f ca="1">IFERROR(__xludf.DUMMYFUNCTION("""COMPUTED_VALUE"""),"3 mos")</f>
        <v>3 mos</v>
      </c>
      <c r="H2195" s="1" t="str">
        <f ca="1">IFERROR(__xludf.DUMMYFUNCTION("""COMPUTED_VALUE"""),"comment")</f>
        <v>comment</v>
      </c>
      <c r="I2195" s="2" t="str">
        <f ca="1">IFERROR(__xludf.DUMMYFUNCTION("""COMPUTED_VALUE"""),"https://www.facebook.com/rapplerdotcom/photos/a.317154781638645/5594954703858600/")</f>
        <v>https://www.facebook.com/rapplerdotcom/photos/a.317154781638645/5594954703858600/</v>
      </c>
      <c r="J2195" s="1" t="str">
        <f ca="1">IFERROR(__xludf.DUMMYFUNCTION("""COMPUTED_VALUE"""),"2022-07-04T15:48:35.885Z")</f>
        <v>2022-07-04T15:48:35.885Z</v>
      </c>
    </row>
    <row r="2196" spans="1:10" x14ac:dyDescent="0.2">
      <c r="A2196" s="2" t="str">
        <f ca="1">IFERROR(__xludf.DUMMYFUNCTION("""COMPUTED_VALUE"""),"https://www.facebook.com/janice.arroyo.98837")</f>
        <v>https://www.facebook.com/janice.arroyo.98837</v>
      </c>
      <c r="B2196" s="1" t="str">
        <f ca="1">IFERROR(__xludf.DUMMYFUNCTION("""COMPUTED_VALUE"""),"Janice Ruth Arroyo")</f>
        <v>Janice Ruth Arroyo</v>
      </c>
      <c r="C2196" s="1" t="str">
        <f ca="1">IFERROR(__xludf.DUMMYFUNCTION("""COMPUTED_VALUE"""),"Janice")</f>
        <v>Janice</v>
      </c>
      <c r="D2196" s="1" t="str">
        <f ca="1">IFERROR(__xludf.DUMMYFUNCTION("""COMPUTED_VALUE"""),"Ruth Arroyo")</f>
        <v>Ruth Arroyo</v>
      </c>
      <c r="E2196" s="1" t="str">
        <f ca="1">IFERROR(__xludf.DUMMYFUNCTION("""COMPUTED_VALUE"""),"Floribel Cariaso Divinagracia https://dilg.gov.ph/news/DILG-P3455-B-or-85-percent-Yolanda-funds-liquidated/NC-2019-1169")</f>
        <v>Floribel Cariaso Divinagracia https://dilg.gov.ph/news/DILG-P3455-B-or-85-percent-Yolanda-funds-liquidated/NC-2019-1169</v>
      </c>
      <c r="F2196" s="1">
        <f ca="1">IFERROR(__xludf.DUMMYFUNCTION("""COMPUTED_VALUE"""),10)</f>
        <v>10</v>
      </c>
      <c r="G2196" s="1" t="str">
        <f ca="1">IFERROR(__xludf.DUMMYFUNCTION("""COMPUTED_VALUE"""),"3 mos")</f>
        <v>3 mos</v>
      </c>
      <c r="H2196" s="1" t="str">
        <f ca="1">IFERROR(__xludf.DUMMYFUNCTION("""COMPUTED_VALUE"""),"reply")</f>
        <v>reply</v>
      </c>
      <c r="I2196" s="2" t="str">
        <f ca="1">IFERROR(__xludf.DUMMYFUNCTION("""COMPUTED_VALUE"""),"https://www.facebook.com/rapplerdotcom/photos/a.317154781638645/5594954703858600/")</f>
        <v>https://www.facebook.com/rapplerdotcom/photos/a.317154781638645/5594954703858600/</v>
      </c>
      <c r="J2196" s="1" t="str">
        <f ca="1">IFERROR(__xludf.DUMMYFUNCTION("""COMPUTED_VALUE"""),"2022-07-04T15:48:35.885Z")</f>
        <v>2022-07-04T15:48:35.885Z</v>
      </c>
    </row>
    <row r="2197" spans="1:10" x14ac:dyDescent="0.2">
      <c r="A2197" s="2" t="str">
        <f ca="1">IFERROR(__xludf.DUMMYFUNCTION("""COMPUTED_VALUE"""),"https://www.facebook.com/ester.barcelon")</f>
        <v>https://www.facebook.com/ester.barcelon</v>
      </c>
      <c r="B2197" s="1" t="str">
        <f ca="1">IFERROR(__xludf.DUMMYFUNCTION("""COMPUTED_VALUE"""),"Ester Barcelon")</f>
        <v>Ester Barcelon</v>
      </c>
      <c r="C2197" s="1" t="str">
        <f ca="1">IFERROR(__xludf.DUMMYFUNCTION("""COMPUTED_VALUE"""),"Ester")</f>
        <v>Ester</v>
      </c>
      <c r="D2197" s="1" t="str">
        <f ca="1">IFERROR(__xludf.DUMMYFUNCTION("""COMPUTED_VALUE"""),"Barcelon")</f>
        <v>Barcelon</v>
      </c>
      <c r="E2197" s="1" t="str">
        <f ca="1">IFERROR(__xludf.DUMMYFUNCTION("""COMPUTED_VALUE"""),"Floribel Cariaso Divinagracia itanong mo ka Romualdes sa kanya binigay ang 5billion funds ok na ba")</f>
        <v>Floribel Cariaso Divinagracia itanong mo ka Romualdes sa kanya binigay ang 5billion funds ok na ba</v>
      </c>
      <c r="F2197" s="1">
        <f ca="1">IFERROR(__xludf.DUMMYFUNCTION("""COMPUTED_VALUE"""),19)</f>
        <v>19</v>
      </c>
      <c r="G2197" s="1" t="str">
        <f ca="1">IFERROR(__xludf.DUMMYFUNCTION("""COMPUTED_VALUE"""),"3 mos")</f>
        <v>3 mos</v>
      </c>
      <c r="H2197" s="1" t="str">
        <f ca="1">IFERROR(__xludf.DUMMYFUNCTION("""COMPUTED_VALUE"""),"reply")</f>
        <v>reply</v>
      </c>
      <c r="I2197" s="2" t="str">
        <f ca="1">IFERROR(__xludf.DUMMYFUNCTION("""COMPUTED_VALUE"""),"https://www.facebook.com/rapplerdotcom/photos/a.317154781638645/5594954703858600/")</f>
        <v>https://www.facebook.com/rapplerdotcom/photos/a.317154781638645/5594954703858600/</v>
      </c>
      <c r="J2197" s="1" t="str">
        <f ca="1">IFERROR(__xludf.DUMMYFUNCTION("""COMPUTED_VALUE"""),"2022-07-04T15:48:35.885Z")</f>
        <v>2022-07-04T15:48:35.885Z</v>
      </c>
    </row>
    <row r="2198" spans="1:10" x14ac:dyDescent="0.2">
      <c r="A2198" s="2" t="str">
        <f ca="1">IFERROR(__xludf.DUMMYFUNCTION("""COMPUTED_VALUE"""),"https://www.facebook.com/divina.chicano")</f>
        <v>https://www.facebook.com/divina.chicano</v>
      </c>
      <c r="B2198" s="1" t="str">
        <f ca="1">IFERROR(__xludf.DUMMYFUNCTION("""COMPUTED_VALUE"""),"Divine Seraspe Chicano")</f>
        <v>Divine Seraspe Chicano</v>
      </c>
      <c r="C2198" s="1" t="str">
        <f ca="1">IFERROR(__xludf.DUMMYFUNCTION("""COMPUTED_VALUE"""),"Divine")</f>
        <v>Divine</v>
      </c>
      <c r="D2198" s="1" t="str">
        <f ca="1">IFERROR(__xludf.DUMMYFUNCTION("""COMPUTED_VALUE"""),"Seraspe Chicano")</f>
        <v>Seraspe Chicano</v>
      </c>
      <c r="E2198" s="1" t="str">
        <f ca="1">IFERROR(__xludf.DUMMYFUNCTION("""COMPUTED_VALUE"""),"Ester Barcelon wait natin ma’am kung kalampagin niya sila Romualdez?")</f>
        <v>Ester Barcelon wait natin ma’am kung kalampagin niya sila Romualdez?</v>
      </c>
      <c r="F2198" s="1"/>
      <c r="G2198" s="1" t="str">
        <f ca="1">IFERROR(__xludf.DUMMYFUNCTION("""COMPUTED_VALUE"""),"3 mos")</f>
        <v>3 mos</v>
      </c>
      <c r="H2198" s="1" t="str">
        <f ca="1">IFERROR(__xludf.DUMMYFUNCTION("""COMPUTED_VALUE"""),"reply")</f>
        <v>reply</v>
      </c>
      <c r="I2198" s="2" t="str">
        <f ca="1">IFERROR(__xludf.DUMMYFUNCTION("""COMPUTED_VALUE"""),"https://www.facebook.com/rapplerdotcom/photos/a.317154781638645/5594954703858600/")</f>
        <v>https://www.facebook.com/rapplerdotcom/photos/a.317154781638645/5594954703858600/</v>
      </c>
      <c r="J2198" s="1" t="str">
        <f ca="1">IFERROR(__xludf.DUMMYFUNCTION("""COMPUTED_VALUE"""),"2022-07-04T15:48:35.885Z")</f>
        <v>2022-07-04T15:48:35.885Z</v>
      </c>
    </row>
    <row r="2199" spans="1:10" x14ac:dyDescent="0.2">
      <c r="A2199" s="2" t="str">
        <f ca="1">IFERROR(__xludf.DUMMYFUNCTION("""COMPUTED_VALUE"""),"https://www.facebook.com/eduardo.bonndadjr")</f>
        <v>https://www.facebook.com/eduardo.bonndadjr</v>
      </c>
      <c r="B2199" s="1" t="str">
        <f ca="1">IFERROR(__xludf.DUMMYFUNCTION("""COMPUTED_VALUE"""),"Eduardo Bonndad Jr.")</f>
        <v>Eduardo Bonndad Jr.</v>
      </c>
      <c r="C2199" s="1" t="str">
        <f ca="1">IFERROR(__xludf.DUMMYFUNCTION("""COMPUTED_VALUE"""),"Eduardo")</f>
        <v>Eduardo</v>
      </c>
      <c r="D2199" s="1" t="str">
        <f ca="1">IFERROR(__xludf.DUMMYFUNCTION("""COMPUTED_VALUE"""),"Bonndad Jr.")</f>
        <v>Bonndad Jr.</v>
      </c>
      <c r="E2199" s="1" t="str">
        <f ca="1">IFERROR(__xludf.DUMMYFUNCTION("""COMPUTED_VALUE"""),"Floribel Cariaso Divinagracia O paano na, sinagot ka na ni janice ruth arroyo. Patuloy na maghanap ng katotohanan para matoto.")</f>
        <v>Floribel Cariaso Divinagracia O paano na, sinagot ka na ni janice ruth arroyo. Patuloy na maghanap ng katotohanan para matoto.</v>
      </c>
      <c r="F2199" s="1">
        <f ca="1">IFERROR(__xludf.DUMMYFUNCTION("""COMPUTED_VALUE"""),4)</f>
        <v>4</v>
      </c>
      <c r="G2199" s="1" t="str">
        <f ca="1">IFERROR(__xludf.DUMMYFUNCTION("""COMPUTED_VALUE"""),"3 mos")</f>
        <v>3 mos</v>
      </c>
      <c r="H2199" s="1" t="str">
        <f ca="1">IFERROR(__xludf.DUMMYFUNCTION("""COMPUTED_VALUE"""),"reply")</f>
        <v>reply</v>
      </c>
      <c r="I2199" s="2" t="str">
        <f ca="1">IFERROR(__xludf.DUMMYFUNCTION("""COMPUTED_VALUE"""),"https://www.facebook.com/rapplerdotcom/photos/a.317154781638645/5594954703858600/")</f>
        <v>https://www.facebook.com/rapplerdotcom/photos/a.317154781638645/5594954703858600/</v>
      </c>
      <c r="J2199" s="1" t="str">
        <f ca="1">IFERROR(__xludf.DUMMYFUNCTION("""COMPUTED_VALUE"""),"2022-07-04T15:48:35.885Z")</f>
        <v>2022-07-04T15:48:35.885Z</v>
      </c>
    </row>
    <row r="2200" spans="1:10" x14ac:dyDescent="0.2">
      <c r="A2200" s="2" t="str">
        <f ca="1">IFERROR(__xludf.DUMMYFUNCTION("""COMPUTED_VALUE"""),"https://www.facebook.com/marcial.acbang")</f>
        <v>https://www.facebook.com/marcial.acbang</v>
      </c>
      <c r="B2200" s="1" t="str">
        <f ca="1">IFERROR(__xludf.DUMMYFUNCTION("""COMPUTED_VALUE"""),"Marcial P. Acbang")</f>
        <v>Marcial P. Acbang</v>
      </c>
      <c r="C2200" s="1" t="str">
        <f ca="1">IFERROR(__xludf.DUMMYFUNCTION("""COMPUTED_VALUE"""),"Marcial")</f>
        <v>Marcial</v>
      </c>
      <c r="D2200" s="1" t="str">
        <f ca="1">IFERROR(__xludf.DUMMYFUNCTION("""COMPUTED_VALUE"""),"P. Acbang")</f>
        <v>P. Acbang</v>
      </c>
      <c r="E2200" s="1" t="str">
        <f ca="1">IFERROR(__xludf.DUMMYFUNCTION("""COMPUTED_VALUE"""),"Floribel Cariaso Divinagracia from Good Samaritan? Hehe dapat ikahiya ka ng school na yon.")</f>
        <v>Floribel Cariaso Divinagracia from Good Samaritan? Hehe dapat ikahiya ka ng school na yon.</v>
      </c>
      <c r="F2200" s="1">
        <f ca="1">IFERROR(__xludf.DUMMYFUNCTION("""COMPUTED_VALUE"""),1)</f>
        <v>1</v>
      </c>
      <c r="G2200" s="1" t="str">
        <f ca="1">IFERROR(__xludf.DUMMYFUNCTION("""COMPUTED_VALUE"""),"3 mos")</f>
        <v>3 mos</v>
      </c>
      <c r="H2200" s="1" t="str">
        <f ca="1">IFERROR(__xludf.DUMMYFUNCTION("""COMPUTED_VALUE"""),"reply")</f>
        <v>reply</v>
      </c>
      <c r="I2200" s="2" t="str">
        <f ca="1">IFERROR(__xludf.DUMMYFUNCTION("""COMPUTED_VALUE"""),"https://www.facebook.com/rapplerdotcom/photos/a.317154781638645/5594954703858600/")</f>
        <v>https://www.facebook.com/rapplerdotcom/photos/a.317154781638645/5594954703858600/</v>
      </c>
      <c r="J2200" s="1" t="str">
        <f ca="1">IFERROR(__xludf.DUMMYFUNCTION("""COMPUTED_VALUE"""),"2022-07-04T15:48:35.885Z")</f>
        <v>2022-07-04T15:48:35.885Z</v>
      </c>
    </row>
    <row r="2201" spans="1:10" x14ac:dyDescent="0.2">
      <c r="A2201" s="2" t="str">
        <f ca="1">IFERROR(__xludf.DUMMYFUNCTION("""COMPUTED_VALUE"""),"https://www.facebook.com/amaya.sabado")</f>
        <v>https://www.facebook.com/amaya.sabado</v>
      </c>
      <c r="B2201" s="1" t="str">
        <f ca="1">IFERROR(__xludf.DUMMYFUNCTION("""COMPUTED_VALUE"""),"Gie Villacillo Buencamino")</f>
        <v>Gie Villacillo Buencamino</v>
      </c>
      <c r="C2201" s="1" t="str">
        <f ca="1">IFERROR(__xludf.DUMMYFUNCTION("""COMPUTED_VALUE"""),"Gie")</f>
        <v>Gie</v>
      </c>
      <c r="D2201" s="1" t="str">
        <f ca="1">IFERROR(__xludf.DUMMYFUNCTION("""COMPUTED_VALUE"""),"Villacillo Buencamino")</f>
        <v>Villacillo Buencamino</v>
      </c>
      <c r="E2201" s="1" t="str">
        <f ca="1">IFERROR(__xludf.DUMMYFUNCTION("""COMPUTED_VALUE"""),"Floribel Cariaso Divinagracia itanung mo sa mga romualdes")</f>
        <v>Floribel Cariaso Divinagracia itanung mo sa mga romualdes</v>
      </c>
      <c r="F2201" s="1">
        <f ca="1">IFERROR(__xludf.DUMMYFUNCTION("""COMPUTED_VALUE"""),2)</f>
        <v>2</v>
      </c>
      <c r="G2201" s="1" t="str">
        <f ca="1">IFERROR(__xludf.DUMMYFUNCTION("""COMPUTED_VALUE"""),"3 mos")</f>
        <v>3 mos</v>
      </c>
      <c r="H2201" s="1" t="str">
        <f ca="1">IFERROR(__xludf.DUMMYFUNCTION("""COMPUTED_VALUE"""),"reply")</f>
        <v>reply</v>
      </c>
      <c r="I2201" s="2" t="str">
        <f ca="1">IFERROR(__xludf.DUMMYFUNCTION("""COMPUTED_VALUE"""),"https://www.facebook.com/rapplerdotcom/photos/a.317154781638645/5594954703858600/")</f>
        <v>https://www.facebook.com/rapplerdotcom/photos/a.317154781638645/5594954703858600/</v>
      </c>
      <c r="J2201" s="1" t="str">
        <f ca="1">IFERROR(__xludf.DUMMYFUNCTION("""COMPUTED_VALUE"""),"2022-07-04T15:48:35.885Z")</f>
        <v>2022-07-04T15:48:35.885Z</v>
      </c>
    </row>
    <row r="2202" spans="1:10" x14ac:dyDescent="0.2">
      <c r="A2202" s="2" t="str">
        <f ca="1">IFERROR(__xludf.DUMMYFUNCTION("""COMPUTED_VALUE"""),"https://www.facebook.com/josefina.deri.5")</f>
        <v>https://www.facebook.com/josefina.deri.5</v>
      </c>
      <c r="B2202" s="1" t="str">
        <f ca="1">IFERROR(__xludf.DUMMYFUNCTION("""COMPUTED_VALUE"""),"Josefina Deri")</f>
        <v>Josefina Deri</v>
      </c>
      <c r="C2202" s="1" t="str">
        <f ca="1">IFERROR(__xludf.DUMMYFUNCTION("""COMPUTED_VALUE"""),"Josefina")</f>
        <v>Josefina</v>
      </c>
      <c r="D2202" s="1" t="str">
        <f ca="1">IFERROR(__xludf.DUMMYFUNCTION("""COMPUTED_VALUE"""),"Deri")</f>
        <v>Deri</v>
      </c>
      <c r="E2202" s="1" t="str">
        <f ca="1">IFERROR(__xludf.DUMMYFUNCTION("""COMPUTED_VALUE"""),"Floribel Cariaso Divinagracia itanong mo ky romualdez, baka masagot ka")</f>
        <v>Floribel Cariaso Divinagracia itanong mo ky romualdez, baka masagot ka</v>
      </c>
      <c r="F2202" s="1"/>
      <c r="G2202" s="1" t="str">
        <f ca="1">IFERROR(__xludf.DUMMYFUNCTION("""COMPUTED_VALUE"""),"3 mos")</f>
        <v>3 mos</v>
      </c>
      <c r="H2202" s="1" t="str">
        <f ca="1">IFERROR(__xludf.DUMMYFUNCTION("""COMPUTED_VALUE"""),"reply")</f>
        <v>reply</v>
      </c>
      <c r="I2202" s="2" t="str">
        <f ca="1">IFERROR(__xludf.DUMMYFUNCTION("""COMPUTED_VALUE"""),"https://www.facebook.com/rapplerdotcom/photos/a.317154781638645/5594954703858600/")</f>
        <v>https://www.facebook.com/rapplerdotcom/photos/a.317154781638645/5594954703858600/</v>
      </c>
      <c r="J2202" s="1" t="str">
        <f ca="1">IFERROR(__xludf.DUMMYFUNCTION("""COMPUTED_VALUE"""),"2022-07-04T15:48:35.885Z")</f>
        <v>2022-07-04T15:48:35.885Z</v>
      </c>
    </row>
    <row r="2203" spans="1:10" x14ac:dyDescent="0.2">
      <c r="A2203" s="2" t="str">
        <f ca="1">IFERROR(__xludf.DUMMYFUNCTION("""COMPUTED_VALUE"""),"https://www.facebook.com/solito.barana.86")</f>
        <v>https://www.facebook.com/solito.barana.86</v>
      </c>
      <c r="B2203" s="1" t="str">
        <f ca="1">IFERROR(__xludf.DUMMYFUNCTION("""COMPUTED_VALUE"""),"Solito Barana")</f>
        <v>Solito Barana</v>
      </c>
      <c r="C2203" s="1" t="str">
        <f ca="1">IFERROR(__xludf.DUMMYFUNCTION("""COMPUTED_VALUE"""),"Solito")</f>
        <v>Solito</v>
      </c>
      <c r="D2203" s="1" t="str">
        <f ca="1">IFERROR(__xludf.DUMMYFUNCTION("""COMPUTED_VALUE"""),"Barana")</f>
        <v>Barana</v>
      </c>
      <c r="E2203" s="1" t="str">
        <f ca="1">IFERROR(__xludf.DUMMYFUNCTION("""COMPUTED_VALUE"""),"sagad sa buto ang pagkasarado ng pag-iisip. panatiko. dahil dyan 6 na taon ng hirap at pagtitiis ng bayan.")</f>
        <v>sagad sa buto ang pagkasarado ng pag-iisip. panatiko. dahil dyan 6 na taon ng hirap at pagtitiis ng bayan.</v>
      </c>
      <c r="F2203" s="1"/>
      <c r="G2203" s="1" t="str">
        <f ca="1">IFERROR(__xludf.DUMMYFUNCTION("""COMPUTED_VALUE"""),"3 mos")</f>
        <v>3 mos</v>
      </c>
      <c r="H2203" s="1" t="str">
        <f ca="1">IFERROR(__xludf.DUMMYFUNCTION("""COMPUTED_VALUE"""),"reply")</f>
        <v>reply</v>
      </c>
      <c r="I2203" s="2" t="str">
        <f ca="1">IFERROR(__xludf.DUMMYFUNCTION("""COMPUTED_VALUE"""),"https://www.facebook.com/rapplerdotcom/photos/a.317154781638645/5594954703858600/")</f>
        <v>https://www.facebook.com/rapplerdotcom/photos/a.317154781638645/5594954703858600/</v>
      </c>
      <c r="J2203" s="1" t="str">
        <f ca="1">IFERROR(__xludf.DUMMYFUNCTION("""COMPUTED_VALUE"""),"2022-07-04T15:48:35.885Z")</f>
        <v>2022-07-04T15:48:35.885Z</v>
      </c>
    </row>
    <row r="2204" spans="1:10" x14ac:dyDescent="0.2">
      <c r="A2204" s="2" t="str">
        <f ca="1">IFERROR(__xludf.DUMMYFUNCTION("""COMPUTED_VALUE"""),"https://www.facebook.com/arnold.austria.1")</f>
        <v>https://www.facebook.com/arnold.austria.1</v>
      </c>
      <c r="B2204" s="1" t="str">
        <f ca="1">IFERROR(__xludf.DUMMYFUNCTION("""COMPUTED_VALUE"""),"Arnold Diloy Austria")</f>
        <v>Arnold Diloy Austria</v>
      </c>
      <c r="C2204" s="1" t="str">
        <f ca="1">IFERROR(__xludf.DUMMYFUNCTION("""COMPUTED_VALUE"""),"Arnold")</f>
        <v>Arnold</v>
      </c>
      <c r="D2204" s="1" t="str">
        <f ca="1">IFERROR(__xludf.DUMMYFUNCTION("""COMPUTED_VALUE"""),"Diloy Austria")</f>
        <v>Diloy Austria</v>
      </c>
      <c r="E2204" s="1" t="str">
        <f ca="1">IFERROR(__xludf.DUMMYFUNCTION("""COMPUTED_VALUE"""),"Floribel Cariaso Divinagracia Isusuporta npo yata sa kandidato nya")</f>
        <v>Floribel Cariaso Divinagracia Isusuporta npo yata sa kandidato nya</v>
      </c>
      <c r="F2204" s="1"/>
      <c r="G2204" s="1" t="str">
        <f ca="1">IFERROR(__xludf.DUMMYFUNCTION("""COMPUTED_VALUE"""),"3 mos")</f>
        <v>3 mos</v>
      </c>
      <c r="H2204" s="1" t="str">
        <f ca="1">IFERROR(__xludf.DUMMYFUNCTION("""COMPUTED_VALUE"""),"reply")</f>
        <v>reply</v>
      </c>
      <c r="I2204" s="2" t="str">
        <f ca="1">IFERROR(__xludf.DUMMYFUNCTION("""COMPUTED_VALUE"""),"https://www.facebook.com/rapplerdotcom/photos/a.317154781638645/5594954703858600/")</f>
        <v>https://www.facebook.com/rapplerdotcom/photos/a.317154781638645/5594954703858600/</v>
      </c>
      <c r="J2204" s="1" t="str">
        <f ca="1">IFERROR(__xludf.DUMMYFUNCTION("""COMPUTED_VALUE"""),"2022-07-04T15:48:35.885Z")</f>
        <v>2022-07-04T15:48:35.885Z</v>
      </c>
    </row>
    <row r="2205" spans="1:10" x14ac:dyDescent="0.2">
      <c r="A2205" s="2" t="str">
        <f ca="1">IFERROR(__xludf.DUMMYFUNCTION("""COMPUTED_VALUE"""),"https://www.facebook.com/priscila.serenoreyes")</f>
        <v>https://www.facebook.com/priscila.serenoreyes</v>
      </c>
      <c r="B2205" s="1" t="str">
        <f ca="1">IFERROR(__xludf.DUMMYFUNCTION("""COMPUTED_VALUE"""),"Priscila Serenoreyes")</f>
        <v>Priscila Serenoreyes</v>
      </c>
      <c r="C2205" s="1" t="str">
        <f ca="1">IFERROR(__xludf.DUMMYFUNCTION("""COMPUTED_VALUE"""),"Priscila")</f>
        <v>Priscila</v>
      </c>
      <c r="D2205" s="1" t="str">
        <f ca="1">IFERROR(__xludf.DUMMYFUNCTION("""COMPUTED_VALUE"""),"Serenoreyes")</f>
        <v>Serenoreyes</v>
      </c>
      <c r="E2205" s="1" t="str">
        <f ca="1">IFERROR(__xludf.DUMMYFUNCTION("""COMPUTED_VALUE"""),"Floribel Cariaso Divinagracia mag tanong ka kay Mr Google")</f>
        <v>Floribel Cariaso Divinagracia mag tanong ka kay Mr Google</v>
      </c>
      <c r="F2205" s="1"/>
      <c r="G2205" s="1" t="str">
        <f ca="1">IFERROR(__xludf.DUMMYFUNCTION("""COMPUTED_VALUE"""),"3 mos")</f>
        <v>3 mos</v>
      </c>
      <c r="H2205" s="1" t="str">
        <f ca="1">IFERROR(__xludf.DUMMYFUNCTION("""COMPUTED_VALUE"""),"reply")</f>
        <v>reply</v>
      </c>
      <c r="I2205" s="2" t="str">
        <f ca="1">IFERROR(__xludf.DUMMYFUNCTION("""COMPUTED_VALUE"""),"https://www.facebook.com/rapplerdotcom/photos/a.317154781638645/5594954703858600/")</f>
        <v>https://www.facebook.com/rapplerdotcom/photos/a.317154781638645/5594954703858600/</v>
      </c>
      <c r="J2205" s="1" t="str">
        <f ca="1">IFERROR(__xludf.DUMMYFUNCTION("""COMPUTED_VALUE"""),"2022-07-04T15:48:35.885Z")</f>
        <v>2022-07-04T15:48:35.885Z</v>
      </c>
    </row>
    <row r="2206" spans="1:10" x14ac:dyDescent="0.2">
      <c r="A2206" s="2" t="str">
        <f ca="1">IFERROR(__xludf.DUMMYFUNCTION("""COMPUTED_VALUE"""),"https://www.facebook.com/myrna.gipulan")</f>
        <v>https://www.facebook.com/myrna.gipulan</v>
      </c>
      <c r="B2206" s="1" t="str">
        <f ca="1">IFERROR(__xludf.DUMMYFUNCTION("""COMPUTED_VALUE"""),"Myrna Torno Gipulan")</f>
        <v>Myrna Torno Gipulan</v>
      </c>
      <c r="C2206" s="1" t="str">
        <f ca="1">IFERROR(__xludf.DUMMYFUNCTION("""COMPUTED_VALUE"""),"Myrna")</f>
        <v>Myrna</v>
      </c>
      <c r="D2206" s="1" t="str">
        <f ca="1">IFERROR(__xludf.DUMMYFUNCTION("""COMPUTED_VALUE"""),"Torno Gipulan")</f>
        <v>Torno Gipulan</v>
      </c>
      <c r="E2206" s="1" t="str">
        <f ca="1">IFERROR(__xludf.DUMMYFUNCTION("""COMPUTED_VALUE"""),"Floribel Cariaso Divinagracia puro k tanong mag research k dagdag kaalaman wag puro tiktok nkkbobo un")</f>
        <v>Floribel Cariaso Divinagracia puro k tanong mag research k dagdag kaalaman wag puro tiktok nkkbobo un</v>
      </c>
      <c r="F2206" s="1"/>
      <c r="G2206" s="1" t="str">
        <f ca="1">IFERROR(__xludf.DUMMYFUNCTION("""COMPUTED_VALUE"""),"3 mos")</f>
        <v>3 mos</v>
      </c>
      <c r="H2206" s="1" t="str">
        <f ca="1">IFERROR(__xludf.DUMMYFUNCTION("""COMPUTED_VALUE"""),"reply")</f>
        <v>reply</v>
      </c>
      <c r="I2206" s="2" t="str">
        <f ca="1">IFERROR(__xludf.DUMMYFUNCTION("""COMPUTED_VALUE"""),"https://www.facebook.com/rapplerdotcom/photos/a.317154781638645/5594954703858600/")</f>
        <v>https://www.facebook.com/rapplerdotcom/photos/a.317154781638645/5594954703858600/</v>
      </c>
      <c r="J2206" s="1" t="str">
        <f ca="1">IFERROR(__xludf.DUMMYFUNCTION("""COMPUTED_VALUE"""),"2022-07-04T15:48:35.885Z")</f>
        <v>2022-07-04T15:48:35.885Z</v>
      </c>
    </row>
    <row r="2207" spans="1:10" x14ac:dyDescent="0.2">
      <c r="A2207" s="2" t="str">
        <f ca="1">IFERROR(__xludf.DUMMYFUNCTION("""COMPUTED_VALUE"""),"https://www.facebook.com/profile.php?id=100007155289018")</f>
        <v>https://www.facebook.com/profile.php?id=100007155289018</v>
      </c>
      <c r="B2207" s="1" t="str">
        <f ca="1">IFERROR(__xludf.DUMMYFUNCTION("""COMPUTED_VALUE"""),"Victorino Pendon")</f>
        <v>Victorino Pendon</v>
      </c>
      <c r="C2207" s="1" t="str">
        <f ca="1">IFERROR(__xludf.DUMMYFUNCTION("""COMPUTED_VALUE"""),"Victorino")</f>
        <v>Victorino</v>
      </c>
      <c r="D2207" s="1" t="str">
        <f ca="1">IFERROR(__xludf.DUMMYFUNCTION("""COMPUTED_VALUE"""),"Pendon")</f>
        <v>Pendon</v>
      </c>
      <c r="E2207" s="1" t="str">
        <f ca="1">IFERROR(__xludf.DUMMYFUNCTION("""COMPUTED_VALUE"""),"Myrna Torno Gipulan mars parang nagalit ka")</f>
        <v>Myrna Torno Gipulan mars parang nagalit ka</v>
      </c>
      <c r="F2207" s="1"/>
      <c r="G2207" s="1" t="str">
        <f ca="1">IFERROR(__xludf.DUMMYFUNCTION("""COMPUTED_VALUE"""),"3 mos")</f>
        <v>3 mos</v>
      </c>
      <c r="H2207" s="1" t="str">
        <f ca="1">IFERROR(__xludf.DUMMYFUNCTION("""COMPUTED_VALUE"""),"reply")</f>
        <v>reply</v>
      </c>
      <c r="I2207" s="2" t="str">
        <f ca="1">IFERROR(__xludf.DUMMYFUNCTION("""COMPUTED_VALUE"""),"https://www.facebook.com/rapplerdotcom/photos/a.317154781638645/5594954703858600/")</f>
        <v>https://www.facebook.com/rapplerdotcom/photos/a.317154781638645/5594954703858600/</v>
      </c>
      <c r="J2207" s="1" t="str">
        <f ca="1">IFERROR(__xludf.DUMMYFUNCTION("""COMPUTED_VALUE"""),"2022-07-04T15:48:35.885Z")</f>
        <v>2022-07-04T15:48:35.885Z</v>
      </c>
    </row>
    <row r="2208" spans="1:10" x14ac:dyDescent="0.2">
      <c r="A2208" s="2" t="str">
        <f ca="1">IFERROR(__xludf.DUMMYFUNCTION("""COMPUTED_VALUE"""),"https://www.facebook.com/josie.roncal.3")</f>
        <v>https://www.facebook.com/josie.roncal.3</v>
      </c>
      <c r="B2208" s="1" t="str">
        <f ca="1">IFERROR(__xludf.DUMMYFUNCTION("""COMPUTED_VALUE"""),"Josie Roncal")</f>
        <v>Josie Roncal</v>
      </c>
      <c r="C2208" s="1" t="str">
        <f ca="1">IFERROR(__xludf.DUMMYFUNCTION("""COMPUTED_VALUE"""),"Josie")</f>
        <v>Josie</v>
      </c>
      <c r="D2208" s="1" t="str">
        <f ca="1">IFERROR(__xludf.DUMMYFUNCTION("""COMPUTED_VALUE"""),"Roncal")</f>
        <v>Roncal</v>
      </c>
      <c r="E2208" s="1" t="str">
        <f ca="1">IFERROR(__xludf.DUMMYFUNCTION("""COMPUTED_VALUE"""),"Ester Barcelon parehas pala tayo ng reply hehe …. Di pa rin nila alam hanggang ngayon.")</f>
        <v>Ester Barcelon parehas pala tayo ng reply hehe …. Di pa rin nila alam hanggang ngayon.</v>
      </c>
      <c r="F2208" s="1">
        <f ca="1">IFERROR(__xludf.DUMMYFUNCTION("""COMPUTED_VALUE"""),1)</f>
        <v>1</v>
      </c>
      <c r="G2208" s="1" t="str">
        <f ca="1">IFERROR(__xludf.DUMMYFUNCTION("""COMPUTED_VALUE"""),"3 mos")</f>
        <v>3 mos</v>
      </c>
      <c r="H2208" s="1" t="str">
        <f ca="1">IFERROR(__xludf.DUMMYFUNCTION("""COMPUTED_VALUE"""),"reply")</f>
        <v>reply</v>
      </c>
      <c r="I2208" s="2" t="str">
        <f ca="1">IFERROR(__xludf.DUMMYFUNCTION("""COMPUTED_VALUE"""),"https://www.facebook.com/rapplerdotcom/photos/a.317154781638645/5594954703858600/")</f>
        <v>https://www.facebook.com/rapplerdotcom/photos/a.317154781638645/5594954703858600/</v>
      </c>
      <c r="J2208" s="1" t="str">
        <f ca="1">IFERROR(__xludf.DUMMYFUNCTION("""COMPUTED_VALUE"""),"2022-07-04T15:48:35.885Z")</f>
        <v>2022-07-04T15:48:35.885Z</v>
      </c>
    </row>
    <row r="2209" spans="1:10" x14ac:dyDescent="0.2">
      <c r="A2209" s="2" t="str">
        <f ca="1">IFERROR(__xludf.DUMMYFUNCTION("""COMPUTED_VALUE"""),"https://www.facebook.com/CornerPrinter.ph")</f>
        <v>https://www.facebook.com/CornerPrinter.ph</v>
      </c>
      <c r="B2209" s="1" t="str">
        <f ca="1">IFERROR(__xludf.DUMMYFUNCTION("""COMPUTED_VALUE"""),"Corner Print Services")</f>
        <v>Corner Print Services</v>
      </c>
      <c r="C2209" s="1" t="str">
        <f ca="1">IFERROR(__xludf.DUMMYFUNCTION("""COMPUTED_VALUE"""),"Corner")</f>
        <v>Corner</v>
      </c>
      <c r="D2209" s="1" t="str">
        <f ca="1">IFERROR(__xludf.DUMMYFUNCTION("""COMPUTED_VALUE"""),"Print Services")</f>
        <v>Print Services</v>
      </c>
      <c r="E2209" s="1" t="str">
        <f ca="1">IFERROR(__xludf.DUMMYFUNCTION("""COMPUTED_VALUE"""),"Floribel Cariaso Divinagracia for sure 10 yrs later yon joke mo nakakatawa na :D tagal kac ng update")</f>
        <v>Floribel Cariaso Divinagracia for sure 10 yrs later yon joke mo nakakatawa na :D tagal kac ng update</v>
      </c>
      <c r="F2209" s="1"/>
      <c r="G2209" s="1" t="str">
        <f ca="1">IFERROR(__xludf.DUMMYFUNCTION("""COMPUTED_VALUE"""),"3 mos")</f>
        <v>3 mos</v>
      </c>
      <c r="H2209" s="1" t="str">
        <f ca="1">IFERROR(__xludf.DUMMYFUNCTION("""COMPUTED_VALUE"""),"reply")</f>
        <v>reply</v>
      </c>
      <c r="I2209" s="2" t="str">
        <f ca="1">IFERROR(__xludf.DUMMYFUNCTION("""COMPUTED_VALUE"""),"https://www.facebook.com/rapplerdotcom/photos/a.317154781638645/5594954703858600/")</f>
        <v>https://www.facebook.com/rapplerdotcom/photos/a.317154781638645/5594954703858600/</v>
      </c>
      <c r="J2209" s="1" t="str">
        <f ca="1">IFERROR(__xludf.DUMMYFUNCTION("""COMPUTED_VALUE"""),"2022-07-04T15:48:35.885Z")</f>
        <v>2022-07-04T15:48:35.885Z</v>
      </c>
    </row>
    <row r="2210" spans="1:10" x14ac:dyDescent="0.2">
      <c r="A2210" s="2" t="str">
        <f ca="1">IFERROR(__xludf.DUMMYFUNCTION("""COMPUTED_VALUE"""),"https://www.facebook.com/shelongrace.fernando.96")</f>
        <v>https://www.facebook.com/shelongrace.fernando.96</v>
      </c>
      <c r="B2210" s="1" t="str">
        <f ca="1">IFERROR(__xludf.DUMMYFUNCTION("""COMPUTED_VALUE"""),"Shelon Medina Fernando")</f>
        <v>Shelon Medina Fernando</v>
      </c>
      <c r="C2210" s="1" t="str">
        <f ca="1">IFERROR(__xludf.DUMMYFUNCTION("""COMPUTED_VALUE"""),"Shelon")</f>
        <v>Shelon</v>
      </c>
      <c r="D2210" s="1" t="str">
        <f ca="1">IFERROR(__xludf.DUMMYFUNCTION("""COMPUTED_VALUE"""),"Medina Fernando")</f>
        <v>Medina Fernando</v>
      </c>
      <c r="E2210" s="1" t="str">
        <f ca="1">IFERROR(__xludf.DUMMYFUNCTION("""COMPUTED_VALUE"""),"Solito Barana ikaw lng siguro, wag mu lahatin")</f>
        <v>Solito Barana ikaw lng siguro, wag mu lahatin</v>
      </c>
      <c r="F2210" s="1"/>
      <c r="G2210" s="1" t="str">
        <f ca="1">IFERROR(__xludf.DUMMYFUNCTION("""COMPUTED_VALUE"""),"2 wks")</f>
        <v>2 wks</v>
      </c>
      <c r="H2210" s="1" t="str">
        <f ca="1">IFERROR(__xludf.DUMMYFUNCTION("""COMPUTED_VALUE"""),"reply")</f>
        <v>reply</v>
      </c>
      <c r="I2210" s="2" t="str">
        <f ca="1">IFERROR(__xludf.DUMMYFUNCTION("""COMPUTED_VALUE"""),"https://www.facebook.com/rapplerdotcom/photos/a.317154781638645/5594954703858600/")</f>
        <v>https://www.facebook.com/rapplerdotcom/photos/a.317154781638645/5594954703858600/</v>
      </c>
      <c r="J2210" s="1" t="str">
        <f ca="1">IFERROR(__xludf.DUMMYFUNCTION("""COMPUTED_VALUE"""),"2022-07-04T15:48:35.885Z")</f>
        <v>2022-07-04T15:48:35.885Z</v>
      </c>
    </row>
    <row r="2211" spans="1:10" x14ac:dyDescent="0.2">
      <c r="A2211" s="2" t="str">
        <f ca="1">IFERROR(__xludf.DUMMYFUNCTION("""COMPUTED_VALUE"""),"https://www.facebook.com/myrna.gipulan")</f>
        <v>https://www.facebook.com/myrna.gipulan</v>
      </c>
      <c r="B2211" s="1" t="str">
        <f ca="1">IFERROR(__xludf.DUMMYFUNCTION("""COMPUTED_VALUE"""),"Myrna Torno Gipulan")</f>
        <v>Myrna Torno Gipulan</v>
      </c>
      <c r="C2211" s="1" t="str">
        <f ca="1">IFERROR(__xludf.DUMMYFUNCTION("""COMPUTED_VALUE"""),"Myrna")</f>
        <v>Myrna</v>
      </c>
      <c r="D2211" s="1" t="str">
        <f ca="1">IFERROR(__xludf.DUMMYFUNCTION("""COMPUTED_VALUE"""),"Torno Gipulan")</f>
        <v>Torno Gipulan</v>
      </c>
      <c r="E2211" s="1" t="str">
        <f ca="1">IFERROR(__xludf.DUMMYFUNCTION("""COMPUTED_VALUE"""),"Victorino Pendon indi po bossing tgal n kc cnabi ni Mar Roxas n binigay n ang funds s mayor n c romualdez p ulit ulit tnong....")</f>
        <v>Victorino Pendon indi po bossing tgal n kc cnabi ni Mar Roxas n binigay n ang funds s mayor n c romualdez p ulit ulit tnong....</v>
      </c>
      <c r="F2211" s="1"/>
      <c r="G2211" s="1" t="str">
        <f ca="1">IFERROR(__xludf.DUMMYFUNCTION("""COMPUTED_VALUE"""),"3 mos")</f>
        <v>3 mos</v>
      </c>
      <c r="H2211" s="1" t="str">
        <f ca="1">IFERROR(__xludf.DUMMYFUNCTION("""COMPUTED_VALUE"""),"reply")</f>
        <v>reply</v>
      </c>
      <c r="I2211" s="2" t="str">
        <f ca="1">IFERROR(__xludf.DUMMYFUNCTION("""COMPUTED_VALUE"""),"https://www.facebook.com/rapplerdotcom/photos/a.317154781638645/5594954703858600/")</f>
        <v>https://www.facebook.com/rapplerdotcom/photos/a.317154781638645/5594954703858600/</v>
      </c>
      <c r="J2211" s="1" t="str">
        <f ca="1">IFERROR(__xludf.DUMMYFUNCTION("""COMPUTED_VALUE"""),"2022-07-04T15:48:35.885Z")</f>
        <v>2022-07-04T15:48:35.885Z</v>
      </c>
    </row>
    <row r="2212" spans="1:10" x14ac:dyDescent="0.2">
      <c r="A2212" s="2" t="str">
        <f ca="1">IFERROR(__xludf.DUMMYFUNCTION("""COMPUTED_VALUE"""),"https://www.facebook.com/profile.php?id=100007155289018")</f>
        <v>https://www.facebook.com/profile.php?id=100007155289018</v>
      </c>
      <c r="B2212" s="1" t="str">
        <f ca="1">IFERROR(__xludf.DUMMYFUNCTION("""COMPUTED_VALUE"""),"Victorino Pendon")</f>
        <v>Victorino Pendon</v>
      </c>
      <c r="C2212" s="1" t="str">
        <f ca="1">IFERROR(__xludf.DUMMYFUNCTION("""COMPUTED_VALUE"""),"Victorino")</f>
        <v>Victorino</v>
      </c>
      <c r="D2212" s="1" t="str">
        <f ca="1">IFERROR(__xludf.DUMMYFUNCTION("""COMPUTED_VALUE"""),"Pendon")</f>
        <v>Pendon</v>
      </c>
      <c r="E2212" s="1" t="str">
        <f ca="1">IFERROR(__xludf.DUMMYFUNCTION("""COMPUTED_VALUE"""),"Myrna Torno Gipulan oo nga")</f>
        <v>Myrna Torno Gipulan oo nga</v>
      </c>
      <c r="F2212" s="1"/>
      <c r="G2212" s="1" t="str">
        <f ca="1">IFERROR(__xludf.DUMMYFUNCTION("""COMPUTED_VALUE"""),"3 mos")</f>
        <v>3 mos</v>
      </c>
      <c r="H2212" s="1" t="str">
        <f ca="1">IFERROR(__xludf.DUMMYFUNCTION("""COMPUTED_VALUE"""),"reply")</f>
        <v>reply</v>
      </c>
      <c r="I2212" s="2" t="str">
        <f ca="1">IFERROR(__xludf.DUMMYFUNCTION("""COMPUTED_VALUE"""),"https://www.facebook.com/rapplerdotcom/photos/a.317154781638645/5594954703858600/")</f>
        <v>https://www.facebook.com/rapplerdotcom/photos/a.317154781638645/5594954703858600/</v>
      </c>
      <c r="J2212" s="1" t="str">
        <f ca="1">IFERROR(__xludf.DUMMYFUNCTION("""COMPUTED_VALUE"""),"2022-07-04T15:48:35.885Z")</f>
        <v>2022-07-04T15:48:35.885Z</v>
      </c>
    </row>
    <row r="2213" spans="1:10" x14ac:dyDescent="0.2">
      <c r="A2213" s="2" t="str">
        <f ca="1">IFERROR(__xludf.DUMMYFUNCTION("""COMPUTED_VALUE"""),"https://www.facebook.com/profile.php?id=100007155289018")</f>
        <v>https://www.facebook.com/profile.php?id=100007155289018</v>
      </c>
      <c r="B2213" s="1" t="str">
        <f ca="1">IFERROR(__xludf.DUMMYFUNCTION("""COMPUTED_VALUE"""),"Victorino Pendon")</f>
        <v>Victorino Pendon</v>
      </c>
      <c r="C2213" s="1" t="str">
        <f ca="1">IFERROR(__xludf.DUMMYFUNCTION("""COMPUTED_VALUE"""),"Victorino")</f>
        <v>Victorino</v>
      </c>
      <c r="D2213" s="1" t="str">
        <f ca="1">IFERROR(__xludf.DUMMYFUNCTION("""COMPUTED_VALUE"""),"Pendon")</f>
        <v>Pendon</v>
      </c>
      <c r="E2213" s="1" t="str">
        <f ca="1">IFERROR(__xludf.DUMMYFUNCTION("""COMPUTED_VALUE"""),"Myrna Torno Gipulan oo nga")</f>
        <v>Myrna Torno Gipulan oo nga</v>
      </c>
      <c r="F2213" s="1"/>
      <c r="G2213" s="1" t="str">
        <f ca="1">IFERROR(__xludf.DUMMYFUNCTION("""COMPUTED_VALUE"""),"3 mos")</f>
        <v>3 mos</v>
      </c>
      <c r="H2213" s="1" t="str">
        <f ca="1">IFERROR(__xludf.DUMMYFUNCTION("""COMPUTED_VALUE"""),"reply")</f>
        <v>reply</v>
      </c>
      <c r="I2213" s="2" t="str">
        <f ca="1">IFERROR(__xludf.DUMMYFUNCTION("""COMPUTED_VALUE"""),"https://www.facebook.com/rapplerdotcom/photos/a.317154781638645/5594954703858600/")</f>
        <v>https://www.facebook.com/rapplerdotcom/photos/a.317154781638645/5594954703858600/</v>
      </c>
      <c r="J2213" s="1" t="str">
        <f ca="1">IFERROR(__xludf.DUMMYFUNCTION("""COMPUTED_VALUE"""),"2022-07-04T15:48:35.885Z")</f>
        <v>2022-07-04T15:48:35.885Z</v>
      </c>
    </row>
    <row r="2214" spans="1:10" x14ac:dyDescent="0.2">
      <c r="A2214" s="2" t="str">
        <f ca="1">IFERROR(__xludf.DUMMYFUNCTION("""COMPUTED_VALUE"""),"https://www.facebook.com/solito.barana.86")</f>
        <v>https://www.facebook.com/solito.barana.86</v>
      </c>
      <c r="B2214" s="1" t="str">
        <f ca="1">IFERROR(__xludf.DUMMYFUNCTION("""COMPUTED_VALUE"""),"Solito Barana")</f>
        <v>Solito Barana</v>
      </c>
      <c r="C2214" s="1" t="str">
        <f ca="1">IFERROR(__xludf.DUMMYFUNCTION("""COMPUTED_VALUE"""),"Solito")</f>
        <v>Solito</v>
      </c>
      <c r="D2214" s="1" t="str">
        <f ca="1">IFERROR(__xludf.DUMMYFUNCTION("""COMPUTED_VALUE"""),"Barana")</f>
        <v>Barana</v>
      </c>
      <c r="E2214" s="1" t="str">
        <f ca="1">IFERROR(__xludf.DUMMYFUNCTION("""COMPUTED_VALUE"""),"Shelon Medina Fernando Reply ko yun kay Floribel.  LeniKiko rin ako.")</f>
        <v>Shelon Medina Fernando Reply ko yun kay Floribel.  LeniKiko rin ako.</v>
      </c>
      <c r="F2214" s="1">
        <f ca="1">IFERROR(__xludf.DUMMYFUNCTION("""COMPUTED_VALUE"""),1)</f>
        <v>1</v>
      </c>
      <c r="G2214" s="1" t="str">
        <f ca="1">IFERROR(__xludf.DUMMYFUNCTION("""COMPUTED_VALUE"""),"3 mos")</f>
        <v>3 mos</v>
      </c>
      <c r="H2214" s="1" t="str">
        <f ca="1">IFERROR(__xludf.DUMMYFUNCTION("""COMPUTED_VALUE"""),"reply")</f>
        <v>reply</v>
      </c>
      <c r="I2214" s="2" t="str">
        <f ca="1">IFERROR(__xludf.DUMMYFUNCTION("""COMPUTED_VALUE"""),"https://www.facebook.com/rapplerdotcom/photos/a.317154781638645/5594954703858600/")</f>
        <v>https://www.facebook.com/rapplerdotcom/photos/a.317154781638645/5594954703858600/</v>
      </c>
      <c r="J2214" s="1" t="str">
        <f ca="1">IFERROR(__xludf.DUMMYFUNCTION("""COMPUTED_VALUE"""),"2022-07-04T15:48:35.885Z")</f>
        <v>2022-07-04T15:48:35.885Z</v>
      </c>
    </row>
    <row r="2215" spans="1:10" x14ac:dyDescent="0.2">
      <c r="A2215" s="2" t="str">
        <f ca="1">IFERROR(__xludf.DUMMYFUNCTION("""COMPUTED_VALUE"""),"https://www.facebook.com/lon.makinano.94")</f>
        <v>https://www.facebook.com/lon.makinano.94</v>
      </c>
      <c r="B2215" s="1" t="str">
        <f ca="1">IFERROR(__xludf.DUMMYFUNCTION("""COMPUTED_VALUE"""),"Lon Makinano")</f>
        <v>Lon Makinano</v>
      </c>
      <c r="C2215" s="1" t="str">
        <f ca="1">IFERROR(__xludf.DUMMYFUNCTION("""COMPUTED_VALUE"""),"Lon")</f>
        <v>Lon</v>
      </c>
      <c r="D2215" s="1" t="str">
        <f ca="1">IFERROR(__xludf.DUMMYFUNCTION("""COMPUTED_VALUE"""),"Makinano")</f>
        <v>Makinano</v>
      </c>
      <c r="E2215" s="1" t="str">
        <f ca="1">IFERROR(__xludf.DUMMYFUNCTION("""COMPUTED_VALUE"""),"Floribel Cariaso Divinagracia itanong mo sa mga Romualdez")</f>
        <v>Floribel Cariaso Divinagracia itanong mo sa mga Romualdez</v>
      </c>
      <c r="F2215" s="1"/>
      <c r="G2215" s="1" t="str">
        <f ca="1">IFERROR(__xludf.DUMMYFUNCTION("""COMPUTED_VALUE"""),"3 mos")</f>
        <v>3 mos</v>
      </c>
      <c r="H2215" s="1" t="str">
        <f ca="1">IFERROR(__xludf.DUMMYFUNCTION("""COMPUTED_VALUE"""),"reply")</f>
        <v>reply</v>
      </c>
      <c r="I2215" s="2" t="str">
        <f ca="1">IFERROR(__xludf.DUMMYFUNCTION("""COMPUTED_VALUE"""),"https://www.facebook.com/rapplerdotcom/photos/a.317154781638645/5594954703858600/")</f>
        <v>https://www.facebook.com/rapplerdotcom/photos/a.317154781638645/5594954703858600/</v>
      </c>
      <c r="J2215" s="1" t="str">
        <f ca="1">IFERROR(__xludf.DUMMYFUNCTION("""COMPUTED_VALUE"""),"2022-07-04T15:48:35.885Z")</f>
        <v>2022-07-04T15:48:35.885Z</v>
      </c>
    </row>
    <row r="2216" spans="1:10" x14ac:dyDescent="0.2">
      <c r="A2216" s="2" t="str">
        <f ca="1">IFERROR(__xludf.DUMMYFUNCTION("""COMPUTED_VALUE"""),"https://www.facebook.com/awin.calderon")</f>
        <v>https://www.facebook.com/awin.calderon</v>
      </c>
      <c r="B2216" s="1" t="str">
        <f ca="1">IFERROR(__xludf.DUMMYFUNCTION("""COMPUTED_VALUE"""),"Awin Calderon")</f>
        <v>Awin Calderon</v>
      </c>
      <c r="C2216" s="1" t="str">
        <f ca="1">IFERROR(__xludf.DUMMYFUNCTION("""COMPUTED_VALUE"""),"Awin")</f>
        <v>Awin</v>
      </c>
      <c r="D2216" s="1" t="str">
        <f ca="1">IFERROR(__xludf.DUMMYFUNCTION("""COMPUTED_VALUE"""),"Calderon")</f>
        <v>Calderon</v>
      </c>
      <c r="E2216" s="1" t="str">
        <f ca="1">IFERROR(__xludf.DUMMYFUNCTION("""COMPUTED_VALUE"""),"Ester Barcelon  bakit di nila tanong ka  Blengblong di ba kamag anak nya si  Romualdes?")</f>
        <v>Ester Barcelon  bakit di nila tanong ka  Blengblong di ba kamag anak nya si  Romualdes?</v>
      </c>
      <c r="F2216" s="1">
        <f ca="1">IFERROR(__xludf.DUMMYFUNCTION("""COMPUTED_VALUE"""),1)</f>
        <v>1</v>
      </c>
      <c r="G2216" s="1" t="str">
        <f ca="1">IFERROR(__xludf.DUMMYFUNCTION("""COMPUTED_VALUE"""),"3 mos")</f>
        <v>3 mos</v>
      </c>
      <c r="H2216" s="1" t="str">
        <f ca="1">IFERROR(__xludf.DUMMYFUNCTION("""COMPUTED_VALUE"""),"reply")</f>
        <v>reply</v>
      </c>
      <c r="I2216" s="2" t="str">
        <f ca="1">IFERROR(__xludf.DUMMYFUNCTION("""COMPUTED_VALUE"""),"https://www.facebook.com/rapplerdotcom/photos/a.317154781638645/5594954703858600/")</f>
        <v>https://www.facebook.com/rapplerdotcom/photos/a.317154781638645/5594954703858600/</v>
      </c>
      <c r="J2216" s="1" t="str">
        <f ca="1">IFERROR(__xludf.DUMMYFUNCTION("""COMPUTED_VALUE"""),"2022-07-04T15:48:35.885Z")</f>
        <v>2022-07-04T15:48:35.885Z</v>
      </c>
    </row>
    <row r="2217" spans="1:10" x14ac:dyDescent="0.2">
      <c r="A2217" s="2" t="str">
        <f ca="1">IFERROR(__xludf.DUMMYFUNCTION("""COMPUTED_VALUE"""),"https://www.facebook.com/ester.barcelon")</f>
        <v>https://www.facebook.com/ester.barcelon</v>
      </c>
      <c r="B2217" s="1" t="str">
        <f ca="1">IFERROR(__xludf.DUMMYFUNCTION("""COMPUTED_VALUE"""),"Ester Barcelon")</f>
        <v>Ester Barcelon</v>
      </c>
      <c r="C2217" s="1" t="str">
        <f ca="1">IFERROR(__xludf.DUMMYFUNCTION("""COMPUTED_VALUE"""),"Ester")</f>
        <v>Ester</v>
      </c>
      <c r="D2217" s="1" t="str">
        <f ca="1">IFERROR(__xludf.DUMMYFUNCTION("""COMPUTED_VALUE"""),"Barcelon")</f>
        <v>Barcelon</v>
      </c>
      <c r="E2217" s="1" t="str">
        <f ca="1">IFERROR(__xludf.DUMMYFUNCTION("""COMPUTED_VALUE"""),"Awin Calderon si Roxas mismo ng bigay kay Romualdes ng 5 billion fund na hinahanap nila")</f>
        <v>Awin Calderon si Roxas mismo ng bigay kay Romualdes ng 5 billion fund na hinahanap nila</v>
      </c>
      <c r="F2217" s="1"/>
      <c r="G2217" s="1" t="str">
        <f ca="1">IFERROR(__xludf.DUMMYFUNCTION("""COMPUTED_VALUE"""),"3 mos")</f>
        <v>3 mos</v>
      </c>
      <c r="H2217" s="1" t="str">
        <f ca="1">IFERROR(__xludf.DUMMYFUNCTION("""COMPUTED_VALUE"""),"reply")</f>
        <v>reply</v>
      </c>
      <c r="I2217" s="2" t="str">
        <f ca="1">IFERROR(__xludf.DUMMYFUNCTION("""COMPUTED_VALUE"""),"https://www.facebook.com/rapplerdotcom/photos/a.317154781638645/5594954703858600/")</f>
        <v>https://www.facebook.com/rapplerdotcom/photos/a.317154781638645/5594954703858600/</v>
      </c>
      <c r="J2217" s="1" t="str">
        <f ca="1">IFERROR(__xludf.DUMMYFUNCTION("""COMPUTED_VALUE"""),"2022-07-04T15:48:35.885Z")</f>
        <v>2022-07-04T15:48:35.885Z</v>
      </c>
    </row>
    <row r="2218" spans="1:10" x14ac:dyDescent="0.2">
      <c r="A2218" s="2" t="str">
        <f ca="1">IFERROR(__xludf.DUMMYFUNCTION("""COMPUTED_VALUE"""),"https://www.facebook.com/madz.gomez.73")</f>
        <v>https://www.facebook.com/madz.gomez.73</v>
      </c>
      <c r="B2218" s="1" t="str">
        <f ca="1">IFERROR(__xludf.DUMMYFUNCTION("""COMPUTED_VALUE"""),"Zemo Damz")</f>
        <v>Zemo Damz</v>
      </c>
      <c r="C2218" s="1" t="str">
        <f ca="1">IFERROR(__xludf.DUMMYFUNCTION("""COMPUTED_VALUE"""),"Zemo")</f>
        <v>Zemo</v>
      </c>
      <c r="D2218" s="1" t="str">
        <f ca="1">IFERROR(__xludf.DUMMYFUNCTION("""COMPUTED_VALUE"""),"Damz")</f>
        <v>Damz</v>
      </c>
      <c r="E2218" s="1" t="str">
        <f ca="1">IFERROR(__xludf.DUMMYFUNCTION("""COMPUTED_VALUE"""),"NAG LALABASAN NA MGA DILAWIN")</f>
        <v>NAG LALABASAN NA MGA DILAWIN</v>
      </c>
      <c r="F2218" s="1">
        <f ca="1">IFERROR(__xludf.DUMMYFUNCTION("""COMPUTED_VALUE"""),4)</f>
        <v>4</v>
      </c>
      <c r="G2218" s="1" t="str">
        <f ca="1">IFERROR(__xludf.DUMMYFUNCTION("""COMPUTED_VALUE"""),"3 mos")</f>
        <v>3 mos</v>
      </c>
      <c r="H2218" s="1" t="str">
        <f ca="1">IFERROR(__xludf.DUMMYFUNCTION("""COMPUTED_VALUE"""),"comment")</f>
        <v>comment</v>
      </c>
      <c r="I2218" s="2" t="str">
        <f ca="1">IFERROR(__xludf.DUMMYFUNCTION("""COMPUTED_VALUE"""),"https://www.facebook.com/rapplerdotcom/photos/a.317154781638645/5594954703858600/")</f>
        <v>https://www.facebook.com/rapplerdotcom/photos/a.317154781638645/5594954703858600/</v>
      </c>
      <c r="J2218" s="1" t="str">
        <f ca="1">IFERROR(__xludf.DUMMYFUNCTION("""COMPUTED_VALUE"""),"2022-07-04T15:48:35.885Z")</f>
        <v>2022-07-04T15:48:35.885Z</v>
      </c>
    </row>
    <row r="2219" spans="1:10" x14ac:dyDescent="0.2">
      <c r="A2219" s="2" t="str">
        <f ca="1">IFERROR(__xludf.DUMMYFUNCTION("""COMPUTED_VALUE"""),"https://www.facebook.com/emmaibarra.manabat")</f>
        <v>https://www.facebook.com/emmaibarra.manabat</v>
      </c>
      <c r="B2219" s="1" t="str">
        <f ca="1">IFERROR(__xludf.DUMMYFUNCTION("""COMPUTED_VALUE"""),"Emma Ibarra")</f>
        <v>Emma Ibarra</v>
      </c>
      <c r="C2219" s="1" t="str">
        <f ca="1">IFERROR(__xludf.DUMMYFUNCTION("""COMPUTED_VALUE"""),"Emma")</f>
        <v>Emma</v>
      </c>
      <c r="D2219" s="1" t="str">
        <f ca="1">IFERROR(__xludf.DUMMYFUNCTION("""COMPUTED_VALUE"""),"Ibarra")</f>
        <v>Ibarra</v>
      </c>
      <c r="E2219" s="1" t="str">
        <f ca="1">IFERROR(__xludf.DUMMYFUNCTION("""COMPUTED_VALUE"""),"Zdam Zemog kasi nagtutulungan")</f>
        <v>Zdam Zemog kasi nagtutulungan</v>
      </c>
      <c r="F2219" s="1"/>
      <c r="G2219" s="1" t="str">
        <f ca="1">IFERROR(__xludf.DUMMYFUNCTION("""COMPUTED_VALUE"""),"3 mos")</f>
        <v>3 mos</v>
      </c>
      <c r="H2219" s="1" t="str">
        <f ca="1">IFERROR(__xludf.DUMMYFUNCTION("""COMPUTED_VALUE"""),"reply")</f>
        <v>reply</v>
      </c>
      <c r="I2219" s="2" t="str">
        <f ca="1">IFERROR(__xludf.DUMMYFUNCTION("""COMPUTED_VALUE"""),"https://www.facebook.com/rapplerdotcom/photos/a.317154781638645/5594954703858600/")</f>
        <v>https://www.facebook.com/rapplerdotcom/photos/a.317154781638645/5594954703858600/</v>
      </c>
      <c r="J2219" s="1" t="str">
        <f ca="1">IFERROR(__xludf.DUMMYFUNCTION("""COMPUTED_VALUE"""),"2022-07-04T15:48:35.885Z")</f>
        <v>2022-07-04T15:48:35.885Z</v>
      </c>
    </row>
    <row r="2220" spans="1:10" x14ac:dyDescent="0.2">
      <c r="A2220" s="2" t="str">
        <f ca="1">IFERROR(__xludf.DUMMYFUNCTION("""COMPUTED_VALUE"""),"https://www.facebook.com/madz.gomez.73")</f>
        <v>https://www.facebook.com/madz.gomez.73</v>
      </c>
      <c r="B2220" s="1" t="str">
        <f ca="1">IFERROR(__xludf.DUMMYFUNCTION("""COMPUTED_VALUE"""),"Zemo Damz")</f>
        <v>Zemo Damz</v>
      </c>
      <c r="C2220" s="1" t="str">
        <f ca="1">IFERROR(__xludf.DUMMYFUNCTION("""COMPUTED_VALUE"""),"Zemo")</f>
        <v>Zemo</v>
      </c>
      <c r="D2220" s="1" t="str">
        <f ca="1">IFERROR(__xludf.DUMMYFUNCTION("""COMPUTED_VALUE"""),"Damz")</f>
        <v>Damz</v>
      </c>
      <c r="E2220" s="1" t="str">
        <f ca="1">IFERROR(__xludf.DUMMYFUNCTION("""COMPUTED_VALUE"""),"Emma Ibarra Nagtutulungan at Nagnamakaawa! No to DILAWIN! PINKLAWIN! Communism! And to Lies! Lies! And Lies!")</f>
        <v>Emma Ibarra Nagtutulungan at Nagnamakaawa! No to DILAWIN! PINKLAWIN! Communism! And to Lies! Lies! And Lies!</v>
      </c>
      <c r="F2220" s="1"/>
      <c r="G2220" s="1" t="str">
        <f ca="1">IFERROR(__xludf.DUMMYFUNCTION("""COMPUTED_VALUE"""),"3 mos")</f>
        <v>3 mos</v>
      </c>
      <c r="H2220" s="1" t="str">
        <f ca="1">IFERROR(__xludf.DUMMYFUNCTION("""COMPUTED_VALUE"""),"reply")</f>
        <v>reply</v>
      </c>
      <c r="I2220" s="2" t="str">
        <f ca="1">IFERROR(__xludf.DUMMYFUNCTION("""COMPUTED_VALUE"""),"https://www.facebook.com/rapplerdotcom/photos/a.317154781638645/5594954703858600/")</f>
        <v>https://www.facebook.com/rapplerdotcom/photos/a.317154781638645/5594954703858600/</v>
      </c>
      <c r="J2220" s="1" t="str">
        <f ca="1">IFERROR(__xludf.DUMMYFUNCTION("""COMPUTED_VALUE"""),"2022-07-04T15:48:35.885Z")</f>
        <v>2022-07-04T15:48:35.885Z</v>
      </c>
    </row>
    <row r="2221" spans="1:10" x14ac:dyDescent="0.2">
      <c r="A2221" s="2" t="str">
        <f ca="1">IFERROR(__xludf.DUMMYFUNCTION("""COMPUTED_VALUE"""),"https://www.facebook.com/CornerPrinter.ph")</f>
        <v>https://www.facebook.com/CornerPrinter.ph</v>
      </c>
      <c r="B2221" s="1" t="str">
        <f ca="1">IFERROR(__xludf.DUMMYFUNCTION("""COMPUTED_VALUE"""),"Corner Print Services")</f>
        <v>Corner Print Services</v>
      </c>
      <c r="C2221" s="1" t="str">
        <f ca="1">IFERROR(__xludf.DUMMYFUNCTION("""COMPUTED_VALUE"""),"Corner")</f>
        <v>Corner</v>
      </c>
      <c r="D2221" s="1" t="str">
        <f ca="1">IFERROR(__xludf.DUMMYFUNCTION("""COMPUTED_VALUE"""),"Print Services")</f>
        <v>Print Services</v>
      </c>
      <c r="E2221" s="1" t="str">
        <f ca="1">IFERROR(__xludf.DUMMYFUNCTION("""COMPUTED_VALUE"""),"Zdam Zemog now sino iboboto unithieves ?")</f>
        <v>Zdam Zemog now sino iboboto unithieves ?</v>
      </c>
      <c r="F2221" s="1"/>
      <c r="G2221" s="1" t="str">
        <f ca="1">IFERROR(__xludf.DUMMYFUNCTION("""COMPUTED_VALUE"""),"3 mos")</f>
        <v>3 mos</v>
      </c>
      <c r="H2221" s="1" t="str">
        <f ca="1">IFERROR(__xludf.DUMMYFUNCTION("""COMPUTED_VALUE"""),"reply")</f>
        <v>reply</v>
      </c>
      <c r="I2221" s="2" t="str">
        <f ca="1">IFERROR(__xludf.DUMMYFUNCTION("""COMPUTED_VALUE"""),"https://www.facebook.com/rapplerdotcom/photos/a.317154781638645/5594954703858600/")</f>
        <v>https://www.facebook.com/rapplerdotcom/photos/a.317154781638645/5594954703858600/</v>
      </c>
      <c r="J2221" s="1" t="str">
        <f ca="1">IFERROR(__xludf.DUMMYFUNCTION("""COMPUTED_VALUE"""),"2022-07-04T15:48:35.885Z")</f>
        <v>2022-07-04T15:48:35.885Z</v>
      </c>
    </row>
    <row r="2222" spans="1:10" x14ac:dyDescent="0.2">
      <c r="A2222" s="2" t="str">
        <f ca="1">IFERROR(__xludf.DUMMYFUNCTION("""COMPUTED_VALUE"""),"https://www.facebook.com/jayloudave.basog")</f>
        <v>https://www.facebook.com/jayloudave.basog</v>
      </c>
      <c r="B2222" s="1" t="str">
        <f ca="1">IFERROR(__xludf.DUMMYFUNCTION("""COMPUTED_VALUE"""),"Jaylou Dave Basog")</f>
        <v>Jaylou Dave Basog</v>
      </c>
      <c r="C2222" s="1" t="str">
        <f ca="1">IFERROR(__xludf.DUMMYFUNCTION("""COMPUTED_VALUE"""),"Jaylou")</f>
        <v>Jaylou</v>
      </c>
      <c r="D2222" s="1" t="str">
        <f ca="1">IFERROR(__xludf.DUMMYFUNCTION("""COMPUTED_VALUE"""),"Dave Basog")</f>
        <v>Dave Basog</v>
      </c>
      <c r="E2222" s="1" t="str">
        <f ca="1">IFERROR(__xludf.DUMMYFUNCTION("""COMPUTED_VALUE"""),"Ito ba yung umacting na Traffic Enforcer? HAHAHAHAHAHA")</f>
        <v>Ito ba yung umacting na Traffic Enforcer? HAHAHAHAHAHA</v>
      </c>
      <c r="F2222" s="1"/>
      <c r="G2222" s="1" t="str">
        <f ca="1">IFERROR(__xludf.DUMMYFUNCTION("""COMPUTED_VALUE"""),"3 mos")</f>
        <v>3 mos</v>
      </c>
      <c r="H2222" s="1" t="str">
        <f ca="1">IFERROR(__xludf.DUMMYFUNCTION("""COMPUTED_VALUE"""),"comment")</f>
        <v>comment</v>
      </c>
      <c r="I2222" s="2" t="str">
        <f ca="1">IFERROR(__xludf.DUMMYFUNCTION("""COMPUTED_VALUE"""),"https://www.facebook.com/rapplerdotcom/photos/a.317154781638645/5594954703858600/")</f>
        <v>https://www.facebook.com/rapplerdotcom/photos/a.317154781638645/5594954703858600/</v>
      </c>
      <c r="J2222" s="1" t="str">
        <f ca="1">IFERROR(__xludf.DUMMYFUNCTION("""COMPUTED_VALUE"""),"2022-07-04T15:48:35.885Z")</f>
        <v>2022-07-04T15:48:35.885Z</v>
      </c>
    </row>
    <row r="2223" spans="1:10" x14ac:dyDescent="0.2">
      <c r="A2223" s="2" t="str">
        <f ca="1">IFERROR(__xludf.DUMMYFUNCTION("""COMPUTED_VALUE"""),"https://www.facebook.com/amaya.sabado")</f>
        <v>https://www.facebook.com/amaya.sabado</v>
      </c>
      <c r="B2223" s="1" t="str">
        <f ca="1">IFERROR(__xludf.DUMMYFUNCTION("""COMPUTED_VALUE"""),"Gie Villacillo Buencamino")</f>
        <v>Gie Villacillo Buencamino</v>
      </c>
      <c r="C2223" s="1" t="str">
        <f ca="1">IFERROR(__xludf.DUMMYFUNCTION("""COMPUTED_VALUE"""),"Gie")</f>
        <v>Gie</v>
      </c>
      <c r="D2223" s="1" t="str">
        <f ca="1">IFERROR(__xludf.DUMMYFUNCTION("""COMPUTED_VALUE"""),"Villacillo Buencamino")</f>
        <v>Villacillo Buencamino</v>
      </c>
      <c r="E2223" s="1" t="str">
        <f ca="1">IFERROR(__xludf.DUMMYFUNCTION("""COMPUTED_VALUE"""),"Jaylou Dave Basog walang kwenta")</f>
        <v>Jaylou Dave Basog walang kwenta</v>
      </c>
      <c r="F2223" s="1"/>
      <c r="G2223" s="1" t="str">
        <f ca="1">IFERROR(__xludf.DUMMYFUNCTION("""COMPUTED_VALUE"""),"3 mos")</f>
        <v>3 mos</v>
      </c>
      <c r="H2223" s="1" t="str">
        <f ca="1">IFERROR(__xludf.DUMMYFUNCTION("""COMPUTED_VALUE"""),"reply")</f>
        <v>reply</v>
      </c>
      <c r="I2223" s="2" t="str">
        <f ca="1">IFERROR(__xludf.DUMMYFUNCTION("""COMPUTED_VALUE"""),"https://www.facebook.com/rapplerdotcom/photos/a.317154781638645/5594954703858600/")</f>
        <v>https://www.facebook.com/rapplerdotcom/photos/a.317154781638645/5594954703858600/</v>
      </c>
      <c r="J2223" s="1" t="str">
        <f ca="1">IFERROR(__xludf.DUMMYFUNCTION("""COMPUTED_VALUE"""),"2022-07-04T15:48:35.885Z")</f>
        <v>2022-07-04T15:48:35.885Z</v>
      </c>
    </row>
    <row r="2224" spans="1:10" x14ac:dyDescent="0.2">
      <c r="A2224" s="2" t="str">
        <f ca="1">IFERROR(__xludf.DUMMYFUNCTION("""COMPUTED_VALUE"""),"https://www.facebook.com/rosemarie.saturno")</f>
        <v>https://www.facebook.com/rosemarie.saturno</v>
      </c>
      <c r="B2224" s="1" t="str">
        <f ca="1">IFERROR(__xludf.DUMMYFUNCTION("""COMPUTED_VALUE"""),"Rosemarie Uy Saturno")</f>
        <v>Rosemarie Uy Saturno</v>
      </c>
      <c r="C2224" s="1" t="str">
        <f ca="1">IFERROR(__xludf.DUMMYFUNCTION("""COMPUTED_VALUE"""),"Rosemarie")</f>
        <v>Rosemarie</v>
      </c>
      <c r="D2224" s="1" t="str">
        <f ca="1">IFERROR(__xludf.DUMMYFUNCTION("""COMPUTED_VALUE"""),"Uy Saturno")</f>
        <v>Uy Saturno</v>
      </c>
      <c r="E2224" s="1" t="str">
        <f ca="1">IFERROR(__xludf.DUMMYFUNCTION("""COMPUTED_VALUE"""),"Mahalin natin ang pilipinas ✌❤👊💚🇵🇭")</f>
        <v>Mahalin natin ang pilipinas ✌❤👊💚🇵🇭</v>
      </c>
      <c r="F2224" s="1"/>
      <c r="G2224" s="1" t="str">
        <f ca="1">IFERROR(__xludf.DUMMYFUNCTION("""COMPUTED_VALUE"""),"3 mos")</f>
        <v>3 mos</v>
      </c>
      <c r="H2224" s="1" t="str">
        <f ca="1">IFERROR(__xludf.DUMMYFUNCTION("""COMPUTED_VALUE"""),"comment")</f>
        <v>comment</v>
      </c>
      <c r="I2224" s="2" t="str">
        <f ca="1">IFERROR(__xludf.DUMMYFUNCTION("""COMPUTED_VALUE"""),"https://www.facebook.com/rapplerdotcom/photos/a.317154781638645/5594954703858600/")</f>
        <v>https://www.facebook.com/rapplerdotcom/photos/a.317154781638645/5594954703858600/</v>
      </c>
      <c r="J2224" s="1" t="str">
        <f ca="1">IFERROR(__xludf.DUMMYFUNCTION("""COMPUTED_VALUE"""),"2022-07-04T15:48:35.885Z")</f>
        <v>2022-07-04T15:48:35.885Z</v>
      </c>
    </row>
    <row r="2225" spans="1:10" x14ac:dyDescent="0.2">
      <c r="A2225" s="2" t="str">
        <f ca="1">IFERROR(__xludf.DUMMYFUNCTION("""COMPUTED_VALUE"""),"https://www.facebook.com/rapkarl04")</f>
        <v>https://www.facebook.com/rapkarl04</v>
      </c>
      <c r="B2225" s="1" t="str">
        <f ca="1">IFERROR(__xludf.DUMMYFUNCTION("""COMPUTED_VALUE"""),"Ralphs Carlo Centeno")</f>
        <v>Ralphs Carlo Centeno</v>
      </c>
      <c r="C2225" s="1" t="str">
        <f ca="1">IFERROR(__xludf.DUMMYFUNCTION("""COMPUTED_VALUE"""),"Ralphs")</f>
        <v>Ralphs</v>
      </c>
      <c r="D2225" s="1" t="str">
        <f ca="1">IFERROR(__xludf.DUMMYFUNCTION("""COMPUTED_VALUE"""),"Carlo Centeno")</f>
        <v>Carlo Centeno</v>
      </c>
      <c r="E2225" s="1" t="str">
        <f ca="1">IFERROR(__xludf.DUMMYFUNCTION("""COMPUTED_VALUE"""),"Salamat Sec.Mar👆️🌷♥️📣")</f>
        <v>Salamat Sec.Mar👆️🌷♥️📣</v>
      </c>
      <c r="F2225" s="1">
        <f ca="1">IFERROR(__xludf.DUMMYFUNCTION("""COMPUTED_VALUE"""),8)</f>
        <v>8</v>
      </c>
      <c r="G2225" s="1" t="str">
        <f ca="1">IFERROR(__xludf.DUMMYFUNCTION("""COMPUTED_VALUE"""),"3 mos")</f>
        <v>3 mos</v>
      </c>
      <c r="H2225" s="1" t="str">
        <f ca="1">IFERROR(__xludf.DUMMYFUNCTION("""COMPUTED_VALUE"""),"comment")</f>
        <v>comment</v>
      </c>
      <c r="I2225" s="2" t="str">
        <f ca="1">IFERROR(__xludf.DUMMYFUNCTION("""COMPUTED_VALUE"""),"https://www.facebook.com/rapplerdotcom/photos/a.317154781638645/5594954703858600/")</f>
        <v>https://www.facebook.com/rapplerdotcom/photos/a.317154781638645/5594954703858600/</v>
      </c>
      <c r="J2225" s="1" t="str">
        <f ca="1">IFERROR(__xludf.DUMMYFUNCTION("""COMPUTED_VALUE"""),"2022-07-04T15:48:35.885Z")</f>
        <v>2022-07-04T15:48:35.885Z</v>
      </c>
    </row>
    <row r="2226" spans="1:10" x14ac:dyDescent="0.2">
      <c r="A2226" s="2" t="str">
        <f ca="1">IFERROR(__xludf.DUMMYFUNCTION("""COMPUTED_VALUE"""),"https://www.facebook.com/hayl06")</f>
        <v>https://www.facebook.com/hayl06</v>
      </c>
      <c r="B2226" s="1" t="str">
        <f ca="1">IFERROR(__xludf.DUMMYFUNCTION("""COMPUTED_VALUE"""),"Hayl Fariñas")</f>
        <v>Hayl Fariñas</v>
      </c>
      <c r="C2226" s="1" t="str">
        <f ca="1">IFERROR(__xludf.DUMMYFUNCTION("""COMPUTED_VALUE"""),"Hayl")</f>
        <v>Hayl</v>
      </c>
      <c r="D2226" s="1" t="str">
        <f ca="1">IFERROR(__xludf.DUMMYFUNCTION("""COMPUTED_VALUE"""),"Fariñas")</f>
        <v>Fariñas</v>
      </c>
      <c r="E2226" s="1" t="str">
        <f ca="1">IFERROR(__xludf.DUMMYFUNCTION("""COMPUTED_VALUE"""),"Pag iisipan namen! Yung bata ba sa pedicab kumusta po 😂")</f>
        <v>Pag iisipan namen! Yung bata ba sa pedicab kumusta po 😂</v>
      </c>
      <c r="F2226" s="1"/>
      <c r="G2226" s="1" t="str">
        <f ca="1">IFERROR(__xludf.DUMMYFUNCTION("""COMPUTED_VALUE"""),"3 mos")</f>
        <v>3 mos</v>
      </c>
      <c r="H2226" s="1" t="str">
        <f ca="1">IFERROR(__xludf.DUMMYFUNCTION("""COMPUTED_VALUE"""),"comment")</f>
        <v>comment</v>
      </c>
      <c r="I2226" s="2" t="str">
        <f ca="1">IFERROR(__xludf.DUMMYFUNCTION("""COMPUTED_VALUE"""),"https://www.facebook.com/rapplerdotcom/photos/a.317154781638645/5594954703858600/")</f>
        <v>https://www.facebook.com/rapplerdotcom/photos/a.317154781638645/5594954703858600/</v>
      </c>
      <c r="J2226" s="1" t="str">
        <f ca="1">IFERROR(__xludf.DUMMYFUNCTION("""COMPUTED_VALUE"""),"2022-07-04T15:48:35.885Z")</f>
        <v>2022-07-04T15:48:35.885Z</v>
      </c>
    </row>
    <row r="2227" spans="1:10" x14ac:dyDescent="0.2">
      <c r="A2227" s="2" t="str">
        <f ca="1">IFERROR(__xludf.DUMMYFUNCTION("""COMPUTED_VALUE"""),"https://www.facebook.com/frank.chavez.161")</f>
        <v>https://www.facebook.com/frank.chavez.161</v>
      </c>
      <c r="B2227" s="1" t="str">
        <f ca="1">IFERROR(__xludf.DUMMYFUNCTION("""COMPUTED_VALUE"""),"Frank Chavez")</f>
        <v>Frank Chavez</v>
      </c>
      <c r="C2227" s="1" t="str">
        <f ca="1">IFERROR(__xludf.DUMMYFUNCTION("""COMPUTED_VALUE"""),"Frank")</f>
        <v>Frank</v>
      </c>
      <c r="D2227" s="1" t="str">
        <f ca="1">IFERROR(__xludf.DUMMYFUNCTION("""COMPUTED_VALUE"""),"Chavez")</f>
        <v>Chavez</v>
      </c>
      <c r="E2227" s="1" t="str">
        <f ca="1">IFERROR(__xludf.DUMMYFUNCTION("""COMPUTED_VALUE"""),"Kaya nga kulang p daw ung kinita niya nung DILG cya kay pinoy.")</f>
        <v>Kaya nga kulang p daw ung kinita niya nung DILG cya kay pinoy.</v>
      </c>
      <c r="F2227" s="1"/>
      <c r="G2227" s="1" t="str">
        <f ca="1">IFERROR(__xludf.DUMMYFUNCTION("""COMPUTED_VALUE"""),"3 mos")</f>
        <v>3 mos</v>
      </c>
      <c r="H2227" s="1" t="str">
        <f ca="1">IFERROR(__xludf.DUMMYFUNCTION("""COMPUTED_VALUE"""),"comment")</f>
        <v>comment</v>
      </c>
      <c r="I2227" s="2" t="str">
        <f ca="1">IFERROR(__xludf.DUMMYFUNCTION("""COMPUTED_VALUE"""),"https://www.facebook.com/rapplerdotcom/photos/a.317154781638645/5594954703858600/")</f>
        <v>https://www.facebook.com/rapplerdotcom/photos/a.317154781638645/5594954703858600/</v>
      </c>
      <c r="J2227" s="1" t="str">
        <f ca="1">IFERROR(__xludf.DUMMYFUNCTION("""COMPUTED_VALUE"""),"2022-07-04T15:48:35.885Z")</f>
        <v>2022-07-04T15:48:35.885Z</v>
      </c>
    </row>
    <row r="2228" spans="1:10" x14ac:dyDescent="0.2">
      <c r="A2228" s="2" t="str">
        <f ca="1">IFERROR(__xludf.DUMMYFUNCTION("""COMPUTED_VALUE"""),"https://www.facebook.com/profile.php?id=100004913538639")</f>
        <v>https://www.facebook.com/profile.php?id=100004913538639</v>
      </c>
      <c r="B2228" s="1" t="str">
        <f ca="1">IFERROR(__xludf.DUMMYFUNCTION("""COMPUTED_VALUE"""),"Grace Gio Gayoso")</f>
        <v>Grace Gio Gayoso</v>
      </c>
      <c r="C2228" s="1" t="str">
        <f ca="1">IFERROR(__xludf.DUMMYFUNCTION("""COMPUTED_VALUE"""),"Grace")</f>
        <v>Grace</v>
      </c>
      <c r="D2228" s="1" t="str">
        <f ca="1">IFERROR(__xludf.DUMMYFUNCTION("""COMPUTED_VALUE"""),"Gio Gayoso")</f>
        <v>Gio Gayoso</v>
      </c>
      <c r="E2228" s="1" t="str">
        <f ca="1">IFERROR(__xludf.DUMMYFUNCTION("""COMPUTED_VALUE"""),"KULAY ROSAS ANG POSAS")</f>
        <v>KULAY ROSAS ANG POSAS</v>
      </c>
      <c r="F2228" s="1"/>
      <c r="G2228" s="1" t="str">
        <f ca="1">IFERROR(__xludf.DUMMYFUNCTION("""COMPUTED_VALUE"""),"3 mos")</f>
        <v>3 mos</v>
      </c>
      <c r="H2228" s="1" t="str">
        <f ca="1">IFERROR(__xludf.DUMMYFUNCTION("""COMPUTED_VALUE"""),"comment")</f>
        <v>comment</v>
      </c>
      <c r="I2228" s="2" t="str">
        <f ca="1">IFERROR(__xludf.DUMMYFUNCTION("""COMPUTED_VALUE"""),"https://www.facebook.com/rapplerdotcom/photos/a.317154781638645/5594954703858600/")</f>
        <v>https://www.facebook.com/rapplerdotcom/photos/a.317154781638645/5594954703858600/</v>
      </c>
      <c r="J2228" s="1" t="str">
        <f ca="1">IFERROR(__xludf.DUMMYFUNCTION("""COMPUTED_VALUE"""),"2022-07-04T15:48:35.885Z")</f>
        <v>2022-07-04T15:48:35.885Z</v>
      </c>
    </row>
    <row r="2229" spans="1:10" x14ac:dyDescent="0.2">
      <c r="A2229" s="2" t="str">
        <f ca="1">IFERROR(__xludf.DUMMYFUNCTION("""COMPUTED_VALUE"""),"https://www.facebook.com/profile.php?id=100070347279389")</f>
        <v>https://www.facebook.com/profile.php?id=100070347279389</v>
      </c>
      <c r="B2229" s="1" t="str">
        <f ca="1">IFERROR(__xludf.DUMMYFUNCTION("""COMPUTED_VALUE"""),"Emie Parungao")</f>
        <v>Emie Parungao</v>
      </c>
      <c r="C2229" s="1" t="str">
        <f ca="1">IFERROR(__xludf.DUMMYFUNCTION("""COMPUTED_VALUE"""),"Emie")</f>
        <v>Emie</v>
      </c>
      <c r="D2229" s="1" t="str">
        <f ca="1">IFERROR(__xludf.DUMMYFUNCTION("""COMPUTED_VALUE"""),"Parungao")</f>
        <v>Parungao</v>
      </c>
      <c r="E2229" s="1" t="str">
        <f ca="1">IFERROR(__xludf.DUMMYFUNCTION("""COMPUTED_VALUE"""),"Please follow on Instagram Twitter Facebook kumu Paolo Alcantara 🙏🙏🙏")</f>
        <v>Please follow on Instagram Twitter Facebook kumu Paolo Alcantara 🙏🙏🙏</v>
      </c>
      <c r="F2229" s="1"/>
      <c r="G2229" s="1" t="str">
        <f ca="1">IFERROR(__xludf.DUMMYFUNCTION("""COMPUTED_VALUE"""),"3 mos")</f>
        <v>3 mos</v>
      </c>
      <c r="H2229" s="1" t="str">
        <f ca="1">IFERROR(__xludf.DUMMYFUNCTION("""COMPUTED_VALUE"""),"comment")</f>
        <v>comment</v>
      </c>
      <c r="I2229" s="2" t="str">
        <f ca="1">IFERROR(__xludf.DUMMYFUNCTION("""COMPUTED_VALUE"""),"https://www.facebook.com/rapplerdotcom/photos/a.317154781638645/5594954703858600/")</f>
        <v>https://www.facebook.com/rapplerdotcom/photos/a.317154781638645/5594954703858600/</v>
      </c>
      <c r="J2229" s="1" t="str">
        <f ca="1">IFERROR(__xludf.DUMMYFUNCTION("""COMPUTED_VALUE"""),"2022-07-04T15:48:35.885Z")</f>
        <v>2022-07-04T15:48:35.885Z</v>
      </c>
    </row>
    <row r="2230" spans="1:10" x14ac:dyDescent="0.2">
      <c r="A2230" s="2" t="str">
        <f ca="1">IFERROR(__xludf.DUMMYFUNCTION("""COMPUTED_VALUE"""),"https://www.facebook.com/ricoisaac.acido")</f>
        <v>https://www.facebook.com/ricoisaac.acido</v>
      </c>
      <c r="B2230" s="1" t="str">
        <f ca="1">IFERROR(__xludf.DUMMYFUNCTION("""COMPUTED_VALUE"""),"Rico Isaac Acido")</f>
        <v>Rico Isaac Acido</v>
      </c>
      <c r="C2230" s="1" t="str">
        <f ca="1">IFERROR(__xludf.DUMMYFUNCTION("""COMPUTED_VALUE"""),"Rico")</f>
        <v>Rico</v>
      </c>
      <c r="D2230" s="1" t="str">
        <f ca="1">IFERROR(__xludf.DUMMYFUNCTION("""COMPUTED_VALUE"""),"Isaac Acido")</f>
        <v>Isaac Acido</v>
      </c>
      <c r="E2230" s="1" t="str">
        <f ca="1">IFERROR(__xludf.DUMMYFUNCTION("""COMPUTED_VALUE"""),"Gusto ko makita ulit nagttraffic sya at nagpapasan ng 1 sako ng sibuyas.😅🤣😂")</f>
        <v>Gusto ko makita ulit nagttraffic sya at nagpapasan ng 1 sako ng sibuyas.😅🤣😂</v>
      </c>
      <c r="F2230" s="1">
        <f ca="1">IFERROR(__xludf.DUMMYFUNCTION("""COMPUTED_VALUE"""),5)</f>
        <v>5</v>
      </c>
      <c r="G2230" s="1" t="str">
        <f ca="1">IFERROR(__xludf.DUMMYFUNCTION("""COMPUTED_VALUE"""),"3 mos")</f>
        <v>3 mos</v>
      </c>
      <c r="H2230" s="1" t="str">
        <f ca="1">IFERROR(__xludf.DUMMYFUNCTION("""COMPUTED_VALUE"""),"comment")</f>
        <v>comment</v>
      </c>
      <c r="I2230" s="2" t="str">
        <f ca="1">IFERROR(__xludf.DUMMYFUNCTION("""COMPUTED_VALUE"""),"https://www.facebook.com/rapplerdotcom/photos/a.317154781638645/5594954703858600/")</f>
        <v>https://www.facebook.com/rapplerdotcom/photos/a.317154781638645/5594954703858600/</v>
      </c>
      <c r="J2230" s="1" t="str">
        <f ca="1">IFERROR(__xludf.DUMMYFUNCTION("""COMPUTED_VALUE"""),"2022-07-04T15:48:35.885Z")</f>
        <v>2022-07-04T15:48:35.885Z</v>
      </c>
    </row>
    <row r="2231" spans="1:10" x14ac:dyDescent="0.2">
      <c r="A2231" s="2" t="str">
        <f ca="1">IFERROR(__xludf.DUMMYFUNCTION("""COMPUTED_VALUE"""),"https://www.facebook.com/Overhauled12")</f>
        <v>https://www.facebook.com/Overhauled12</v>
      </c>
      <c r="B2231" s="1" t="str">
        <f ca="1">IFERROR(__xludf.DUMMYFUNCTION("""COMPUTED_VALUE"""),"Em Cee")</f>
        <v>Em Cee</v>
      </c>
      <c r="C2231" s="1" t="str">
        <f ca="1">IFERROR(__xludf.DUMMYFUNCTION("""COMPUTED_VALUE"""),"Em")</f>
        <v>Em</v>
      </c>
      <c r="D2231" s="1" t="str">
        <f ca="1">IFERROR(__xludf.DUMMYFUNCTION("""COMPUTED_VALUE"""),"Cee")</f>
        <v>Cee</v>
      </c>
      <c r="E2231" s="1" t="str">
        <f ca="1">IFERROR(__xludf.DUMMYFUNCTION("""COMPUTED_VALUE"""),"Rico Isaac Acido legendary😆😆")</f>
        <v>Rico Isaac Acido legendary😆😆</v>
      </c>
      <c r="F2231" s="1"/>
      <c r="G2231" s="1" t="str">
        <f ca="1">IFERROR(__xludf.DUMMYFUNCTION("""COMPUTED_VALUE"""),"3 mos")</f>
        <v>3 mos</v>
      </c>
      <c r="H2231" s="1" t="str">
        <f ca="1">IFERROR(__xludf.DUMMYFUNCTION("""COMPUTED_VALUE"""),"reply")</f>
        <v>reply</v>
      </c>
      <c r="I2231" s="2" t="str">
        <f ca="1">IFERROR(__xludf.DUMMYFUNCTION("""COMPUTED_VALUE"""),"https://www.facebook.com/rapplerdotcom/photos/a.317154781638645/5594954703858600/")</f>
        <v>https://www.facebook.com/rapplerdotcom/photos/a.317154781638645/5594954703858600/</v>
      </c>
      <c r="J2231" s="1" t="str">
        <f ca="1">IFERROR(__xludf.DUMMYFUNCTION("""COMPUTED_VALUE"""),"2022-07-04T15:48:35.885Z")</f>
        <v>2022-07-04T15:48:35.885Z</v>
      </c>
    </row>
    <row r="2232" spans="1:10" x14ac:dyDescent="0.2">
      <c r="A2232" s="2" t="str">
        <f ca="1">IFERROR(__xludf.DUMMYFUNCTION("""COMPUTED_VALUE"""),"https://www.facebook.com/gina.besinga")</f>
        <v>https://www.facebook.com/gina.besinga</v>
      </c>
      <c r="B2232" s="1" t="str">
        <f ca="1">IFERROR(__xludf.DUMMYFUNCTION("""COMPUTED_VALUE"""),"Gina Besinga")</f>
        <v>Gina Besinga</v>
      </c>
      <c r="C2232" s="1" t="str">
        <f ca="1">IFERROR(__xludf.DUMMYFUNCTION("""COMPUTED_VALUE"""),"Gina")</f>
        <v>Gina</v>
      </c>
      <c r="D2232" s="1" t="str">
        <f ca="1">IFERROR(__xludf.DUMMYFUNCTION("""COMPUTED_VALUE"""),"Besinga")</f>
        <v>Besinga</v>
      </c>
      <c r="E2232" s="1" t="str">
        <f ca="1">IFERROR(__xludf.DUMMYFUNCTION("""COMPUTED_VALUE"""),"Rico Isaac Acido kahit Wala Yan sa pulitika sarap Buhay nyan baka ikaw Ang katawatawa!!!")</f>
        <v>Rico Isaac Acido kahit Wala Yan sa pulitika sarap Buhay nyan baka ikaw Ang katawatawa!!!</v>
      </c>
      <c r="F2232" s="1"/>
      <c r="G2232" s="1" t="str">
        <f ca="1">IFERROR(__xludf.DUMMYFUNCTION("""COMPUTED_VALUE"""),"3 mos")</f>
        <v>3 mos</v>
      </c>
      <c r="H2232" s="1" t="str">
        <f ca="1">IFERROR(__xludf.DUMMYFUNCTION("""COMPUTED_VALUE"""),"reply")</f>
        <v>reply</v>
      </c>
      <c r="I2232" s="2" t="str">
        <f ca="1">IFERROR(__xludf.DUMMYFUNCTION("""COMPUTED_VALUE"""),"https://www.facebook.com/rapplerdotcom/photos/a.317154781638645/5594954703858600/")</f>
        <v>https://www.facebook.com/rapplerdotcom/photos/a.317154781638645/5594954703858600/</v>
      </c>
      <c r="J2232" s="1" t="str">
        <f ca="1">IFERROR(__xludf.DUMMYFUNCTION("""COMPUTED_VALUE"""),"2022-07-04T15:48:35.885Z")</f>
        <v>2022-07-04T15:48:35.885Z</v>
      </c>
    </row>
    <row r="2233" spans="1:10" x14ac:dyDescent="0.2">
      <c r="A2233" s="2" t="str">
        <f ca="1">IFERROR(__xludf.DUMMYFUNCTION("""COMPUTED_VALUE"""),"https://www.facebook.com/amaya.sabado")</f>
        <v>https://www.facebook.com/amaya.sabado</v>
      </c>
      <c r="B2233" s="1" t="str">
        <f ca="1">IFERROR(__xludf.DUMMYFUNCTION("""COMPUTED_VALUE"""),"Gie Villacillo Buencamino")</f>
        <v>Gie Villacillo Buencamino</v>
      </c>
      <c r="C2233" s="1" t="str">
        <f ca="1">IFERROR(__xludf.DUMMYFUNCTION("""COMPUTED_VALUE"""),"Gie")</f>
        <v>Gie</v>
      </c>
      <c r="D2233" s="1" t="str">
        <f ca="1">IFERROR(__xludf.DUMMYFUNCTION("""COMPUTED_VALUE"""),"Villacillo Buencamino")</f>
        <v>Villacillo Buencamino</v>
      </c>
      <c r="E2233" s="1" t="str">
        <f ca="1">IFERROR(__xludf.DUMMYFUNCTION("""COMPUTED_VALUE"""),"Rico Isaac Acido magaan lng po yon sibuyas")</f>
        <v>Rico Isaac Acido magaan lng po yon sibuyas</v>
      </c>
      <c r="F2233" s="1"/>
      <c r="G2233" s="1" t="str">
        <f ca="1">IFERROR(__xludf.DUMMYFUNCTION("""COMPUTED_VALUE"""),"3 mos")</f>
        <v>3 mos</v>
      </c>
      <c r="H2233" s="1" t="str">
        <f ca="1">IFERROR(__xludf.DUMMYFUNCTION("""COMPUTED_VALUE"""),"reply")</f>
        <v>reply</v>
      </c>
      <c r="I2233" s="2" t="str">
        <f ca="1">IFERROR(__xludf.DUMMYFUNCTION("""COMPUTED_VALUE"""),"https://www.facebook.com/rapplerdotcom/photos/a.317154781638645/5594954703858600/")</f>
        <v>https://www.facebook.com/rapplerdotcom/photos/a.317154781638645/5594954703858600/</v>
      </c>
      <c r="J2233" s="1" t="str">
        <f ca="1">IFERROR(__xludf.DUMMYFUNCTION("""COMPUTED_VALUE"""),"2022-07-04T15:48:35.885Z")</f>
        <v>2022-07-04T15:48:35.885Z</v>
      </c>
    </row>
    <row r="2234" spans="1:10" x14ac:dyDescent="0.2">
      <c r="A2234" s="2" t="str">
        <f ca="1">IFERROR(__xludf.DUMMYFUNCTION("""COMPUTED_VALUE"""),"https://www.facebook.com/gov.landayto")</f>
        <v>https://www.facebook.com/gov.landayto</v>
      </c>
      <c r="B2234" s="1" t="str">
        <f ca="1">IFERROR(__xludf.DUMMYFUNCTION("""COMPUTED_VALUE"""),"Gov Landayto")</f>
        <v>Gov Landayto</v>
      </c>
      <c r="C2234" s="1" t="str">
        <f ca="1">IFERROR(__xludf.DUMMYFUNCTION("""COMPUTED_VALUE"""),"Gov")</f>
        <v>Gov</v>
      </c>
      <c r="D2234" s="1" t="str">
        <f ca="1">IFERROR(__xludf.DUMMYFUNCTION("""COMPUTED_VALUE"""),"Landayto")</f>
        <v>Landayto</v>
      </c>
      <c r="E2234" s="1" t="str">
        <f ca="1">IFERROR(__xludf.DUMMYFUNCTION("""COMPUTED_VALUE"""),"Rico Isaac Acido biglang lutang din c roxas, san cya gling kya?😂😂😂😂")</f>
        <v>Rico Isaac Acido biglang lutang din c roxas, san cya gling kya?😂😂😂😂</v>
      </c>
      <c r="F2234" s="1"/>
      <c r="G2234" s="1" t="str">
        <f ca="1">IFERROR(__xludf.DUMMYFUNCTION("""COMPUTED_VALUE"""),"3 mos")</f>
        <v>3 mos</v>
      </c>
      <c r="H2234" s="1" t="str">
        <f ca="1">IFERROR(__xludf.DUMMYFUNCTION("""COMPUTED_VALUE"""),"reply")</f>
        <v>reply</v>
      </c>
      <c r="I2234" s="2" t="str">
        <f ca="1">IFERROR(__xludf.DUMMYFUNCTION("""COMPUTED_VALUE"""),"https://www.facebook.com/rapplerdotcom/photos/a.317154781638645/5594954703858600/")</f>
        <v>https://www.facebook.com/rapplerdotcom/photos/a.317154781638645/5594954703858600/</v>
      </c>
      <c r="J2234" s="1" t="str">
        <f ca="1">IFERROR(__xludf.DUMMYFUNCTION("""COMPUTED_VALUE"""),"2022-07-04T15:48:35.885Z")</f>
        <v>2022-07-04T15:48:35.885Z</v>
      </c>
    </row>
    <row r="2235" spans="1:10" x14ac:dyDescent="0.2">
      <c r="A2235" s="2" t="str">
        <f ca="1">IFERROR(__xludf.DUMMYFUNCTION("""COMPUTED_VALUE"""),"https://www.facebook.com/raks.vppablo")</f>
        <v>https://www.facebook.com/raks.vppablo</v>
      </c>
      <c r="B2235" s="1" t="str">
        <f ca="1">IFERROR(__xludf.DUMMYFUNCTION("""COMPUTED_VALUE"""),"Raks VPpablo")</f>
        <v>Raks VPpablo</v>
      </c>
      <c r="C2235" s="1" t="str">
        <f ca="1">IFERROR(__xludf.DUMMYFUNCTION("""COMPUTED_VALUE"""),"Raks")</f>
        <v>Raks</v>
      </c>
      <c r="D2235" s="1" t="str">
        <f ca="1">IFERROR(__xludf.DUMMYFUNCTION("""COMPUTED_VALUE"""),"VPpablo")</f>
        <v>VPpablo</v>
      </c>
      <c r="E2235" s="1" t="str">
        <f ca="1">IFERROR(__xludf.DUMMYFUNCTION("""COMPUTED_VALUE"""),"Gov Landayto natural galing sa bahay nya na di galing sa nakaw..")</f>
        <v>Gov Landayto natural galing sa bahay nya na di galing sa nakaw..</v>
      </c>
      <c r="F2235" s="1"/>
      <c r="G2235" s="1" t="str">
        <f ca="1">IFERROR(__xludf.DUMMYFUNCTION("""COMPUTED_VALUE"""),"3 mos")</f>
        <v>3 mos</v>
      </c>
      <c r="H2235" s="1" t="str">
        <f ca="1">IFERROR(__xludf.DUMMYFUNCTION("""COMPUTED_VALUE"""),"reply")</f>
        <v>reply</v>
      </c>
      <c r="I2235" s="2" t="str">
        <f ca="1">IFERROR(__xludf.DUMMYFUNCTION("""COMPUTED_VALUE"""),"https://www.facebook.com/rapplerdotcom/photos/a.317154781638645/5594954703858600/")</f>
        <v>https://www.facebook.com/rapplerdotcom/photos/a.317154781638645/5594954703858600/</v>
      </c>
      <c r="J2235" s="1" t="str">
        <f ca="1">IFERROR(__xludf.DUMMYFUNCTION("""COMPUTED_VALUE"""),"2022-07-04T15:48:35.885Z")</f>
        <v>2022-07-04T15:48:35.885Z</v>
      </c>
    </row>
    <row r="2236" spans="1:10" x14ac:dyDescent="0.2">
      <c r="A2236" s="2" t="str">
        <f ca="1">IFERROR(__xludf.DUMMYFUNCTION("""COMPUTED_VALUE"""),"https://www.facebook.com/profile.php?id=100076601927157")</f>
        <v>https://www.facebook.com/profile.php?id=100076601927157</v>
      </c>
      <c r="B2236" s="1" t="str">
        <f ca="1">IFERROR(__xludf.DUMMYFUNCTION("""COMPUTED_VALUE"""),"Federico Alde")</f>
        <v>Federico Alde</v>
      </c>
      <c r="C2236" s="1" t="str">
        <f ca="1">IFERROR(__xludf.DUMMYFUNCTION("""COMPUTED_VALUE"""),"Federico")</f>
        <v>Federico</v>
      </c>
      <c r="D2236" s="1" t="str">
        <f ca="1">IFERROR(__xludf.DUMMYFUNCTION("""COMPUTED_VALUE"""),"Alde")</f>
        <v>Alde</v>
      </c>
      <c r="E2236" s="1" t="str">
        <f ca="1">IFERROR(__xludf.DUMMYFUNCTION("""COMPUTED_VALUE"""),"DAPAT lang .DAPAT TOTOO 💟💟💟💟💟")</f>
        <v>DAPAT lang .DAPAT TOTOO 💟💟💟💟💟</v>
      </c>
      <c r="F2236" s="1"/>
      <c r="G2236" s="1" t="str">
        <f ca="1">IFERROR(__xludf.DUMMYFUNCTION("""COMPUTED_VALUE"""),"3 mos")</f>
        <v>3 mos</v>
      </c>
      <c r="H2236" s="1" t="str">
        <f ca="1">IFERROR(__xludf.DUMMYFUNCTION("""COMPUTED_VALUE"""),"comment")</f>
        <v>comment</v>
      </c>
      <c r="I2236" s="2" t="str">
        <f ca="1">IFERROR(__xludf.DUMMYFUNCTION("""COMPUTED_VALUE"""),"https://www.facebook.com/rapplerdotcom/photos/a.317154781638645/5594954703858600/")</f>
        <v>https://www.facebook.com/rapplerdotcom/photos/a.317154781638645/5594954703858600/</v>
      </c>
      <c r="J2236" s="1" t="str">
        <f ca="1">IFERROR(__xludf.DUMMYFUNCTION("""COMPUTED_VALUE"""),"2022-07-04T15:48:35.885Z")</f>
        <v>2022-07-04T15:48:35.885Z</v>
      </c>
    </row>
    <row r="2237" spans="1:10" x14ac:dyDescent="0.2">
      <c r="A2237" s="2" t="str">
        <f ca="1">IFERROR(__xludf.DUMMYFUNCTION("""COMPUTED_VALUE"""),"https://www.facebook.com/profile.php?id=100003301642045")</f>
        <v>https://www.facebook.com/profile.php?id=100003301642045</v>
      </c>
      <c r="B2237" s="1" t="str">
        <f ca="1">IFERROR(__xludf.DUMMYFUNCTION("""COMPUTED_VALUE"""),"Chad Santos")</f>
        <v>Chad Santos</v>
      </c>
      <c r="C2237" s="1" t="str">
        <f ca="1">IFERROR(__xludf.DUMMYFUNCTION("""COMPUTED_VALUE"""),"Chad")</f>
        <v>Chad</v>
      </c>
      <c r="D2237" s="1" t="str">
        <f ca="1">IFERROR(__xludf.DUMMYFUNCTION("""COMPUTED_VALUE"""),"Santos")</f>
        <v>Santos</v>
      </c>
      <c r="E2237" s="1" t="str">
        <f ca="1">IFERROR(__xludf.DUMMYFUNCTION("""COMPUTED_VALUE"""),"Dumagdag pa tong isang to....")</f>
        <v>Dumagdag pa tong isang to....</v>
      </c>
      <c r="F2237" s="1">
        <f ca="1">IFERROR(__xludf.DUMMYFUNCTION("""COMPUTED_VALUE"""),5)</f>
        <v>5</v>
      </c>
      <c r="G2237" s="1" t="str">
        <f ca="1">IFERROR(__xludf.DUMMYFUNCTION("""COMPUTED_VALUE"""),"3 mos")</f>
        <v>3 mos</v>
      </c>
      <c r="H2237" s="1" t="str">
        <f ca="1">IFERROR(__xludf.DUMMYFUNCTION("""COMPUTED_VALUE"""),"comment")</f>
        <v>comment</v>
      </c>
      <c r="I2237" s="2" t="str">
        <f ca="1">IFERROR(__xludf.DUMMYFUNCTION("""COMPUTED_VALUE"""),"https://www.facebook.com/rapplerdotcom/photos/a.317154781638645/5594954703858600/")</f>
        <v>https://www.facebook.com/rapplerdotcom/photos/a.317154781638645/5594954703858600/</v>
      </c>
      <c r="J2237" s="1" t="str">
        <f ca="1">IFERROR(__xludf.DUMMYFUNCTION("""COMPUTED_VALUE"""),"2022-07-04T15:48:35.885Z")</f>
        <v>2022-07-04T15:48:35.885Z</v>
      </c>
    </row>
    <row r="2238" spans="1:10" x14ac:dyDescent="0.2">
      <c r="A2238" s="2" t="str">
        <f ca="1">IFERROR(__xludf.DUMMYFUNCTION("""COMPUTED_VALUE"""),"https://www.facebook.com/tony.delacruz.948011")</f>
        <v>https://www.facebook.com/tony.delacruz.948011</v>
      </c>
      <c r="B2238" s="1" t="str">
        <f ca="1">IFERROR(__xludf.DUMMYFUNCTION("""COMPUTED_VALUE"""),"Tony Dela Cruz")</f>
        <v>Tony Dela Cruz</v>
      </c>
      <c r="C2238" s="1" t="str">
        <f ca="1">IFERROR(__xludf.DUMMYFUNCTION("""COMPUTED_VALUE"""),"Tony")</f>
        <v>Tony</v>
      </c>
      <c r="D2238" s="1" t="str">
        <f ca="1">IFERROR(__xludf.DUMMYFUNCTION("""COMPUTED_VALUE"""),"Dela Cruz")</f>
        <v>Dela Cruz</v>
      </c>
      <c r="E2238" s="1" t="str">
        <f ca="1">IFERROR(__xludf.DUMMYFUNCTION("""COMPUTED_VALUE"""),"Roxas Roxas Roxas Roxas Roxas Roxas Roxas Roxas Roxas")</f>
        <v>Roxas Roxas Roxas Roxas Roxas Roxas Roxas Roxas Roxas</v>
      </c>
      <c r="F2238" s="1">
        <f ca="1">IFERROR(__xludf.DUMMYFUNCTION("""COMPUTED_VALUE"""),2)</f>
        <v>2</v>
      </c>
      <c r="G2238" s="1" t="str">
        <f ca="1">IFERROR(__xludf.DUMMYFUNCTION("""COMPUTED_VALUE"""),"3 mos")</f>
        <v>3 mos</v>
      </c>
      <c r="H2238" s="1" t="str">
        <f ca="1">IFERROR(__xludf.DUMMYFUNCTION("""COMPUTED_VALUE"""),"comment")</f>
        <v>comment</v>
      </c>
      <c r="I2238" s="2" t="str">
        <f ca="1">IFERROR(__xludf.DUMMYFUNCTION("""COMPUTED_VALUE"""),"https://www.facebook.com/rapplerdotcom/photos/a.317154781638645/5594954703858600/")</f>
        <v>https://www.facebook.com/rapplerdotcom/photos/a.317154781638645/5594954703858600/</v>
      </c>
      <c r="J2238" s="1" t="str">
        <f ca="1">IFERROR(__xludf.DUMMYFUNCTION("""COMPUTED_VALUE"""),"2022-07-04T15:48:35.885Z")</f>
        <v>2022-07-04T15:48:35.885Z</v>
      </c>
    </row>
    <row r="2239" spans="1:10" x14ac:dyDescent="0.2">
      <c r="A2239" s="2" t="str">
        <f ca="1">IFERROR(__xludf.DUMMYFUNCTION("""COMPUTED_VALUE"""),"https://www.facebook.com/marvin.andasan.5")</f>
        <v>https://www.facebook.com/marvin.andasan.5</v>
      </c>
      <c r="B2239" s="1" t="str">
        <f ca="1">IFERROR(__xludf.DUMMYFUNCTION("""COMPUTED_VALUE"""),"Vinram Andasan")</f>
        <v>Vinram Andasan</v>
      </c>
      <c r="C2239" s="1" t="str">
        <f ca="1">IFERROR(__xludf.DUMMYFUNCTION("""COMPUTED_VALUE"""),"Vinram")</f>
        <v>Vinram</v>
      </c>
      <c r="D2239" s="1" t="str">
        <f ca="1">IFERROR(__xludf.DUMMYFUNCTION("""COMPUTED_VALUE"""),"Andasan")</f>
        <v>Andasan</v>
      </c>
      <c r="E2239" s="1" t="str">
        <f ca="1">IFERROR(__xludf.DUMMYFUNCTION("""COMPUTED_VALUE"""),"Anak itabi mo ako na")</f>
        <v>Anak itabi mo ako na</v>
      </c>
      <c r="F2239" s="1"/>
      <c r="G2239" s="1" t="str">
        <f ca="1">IFERROR(__xludf.DUMMYFUNCTION("""COMPUTED_VALUE"""),"3 mos")</f>
        <v>3 mos</v>
      </c>
      <c r="H2239" s="1" t="str">
        <f ca="1">IFERROR(__xludf.DUMMYFUNCTION("""COMPUTED_VALUE"""),"comment")</f>
        <v>comment</v>
      </c>
      <c r="I2239" s="2" t="str">
        <f ca="1">IFERROR(__xludf.DUMMYFUNCTION("""COMPUTED_VALUE"""),"https://www.facebook.com/rapplerdotcom/photos/a.317154781638645/5594954703858600/")</f>
        <v>https://www.facebook.com/rapplerdotcom/photos/a.317154781638645/5594954703858600/</v>
      </c>
      <c r="J2239" s="1" t="str">
        <f ca="1">IFERROR(__xludf.DUMMYFUNCTION("""COMPUTED_VALUE"""),"2022-07-04T15:48:35.885Z")</f>
        <v>2022-07-04T15:48:35.885Z</v>
      </c>
    </row>
    <row r="2240" spans="1:10" x14ac:dyDescent="0.2">
      <c r="A2240" s="2" t="str">
        <f ca="1">IFERROR(__xludf.DUMMYFUNCTION("""COMPUTED_VALUE"""),"https://www.facebook.com/milajf")</f>
        <v>https://www.facebook.com/milajf</v>
      </c>
      <c r="B2240" s="1" t="str">
        <f ca="1">IFERROR(__xludf.DUMMYFUNCTION("""COMPUTED_VALUE"""),"Mila Jardinel")</f>
        <v>Mila Jardinel</v>
      </c>
      <c r="C2240" s="1" t="str">
        <f ca="1">IFERROR(__xludf.DUMMYFUNCTION("""COMPUTED_VALUE"""),"Mila")</f>
        <v>Mila</v>
      </c>
      <c r="D2240" s="1" t="str">
        <f ca="1">IFERROR(__xludf.DUMMYFUNCTION("""COMPUTED_VALUE"""),"Jardinel")</f>
        <v>Jardinel</v>
      </c>
      <c r="E2240" s="1" t="str">
        <f ca="1">IFERROR(__xludf.DUMMYFUNCTION("""COMPUTED_VALUE"""),"Cris A. at Roxas  lumabas. Pampatalo")</f>
        <v>Cris A. at Roxas  lumabas. Pampatalo</v>
      </c>
      <c r="F2240" s="1"/>
      <c r="G2240" s="1" t="str">
        <f ca="1">IFERROR(__xludf.DUMMYFUNCTION("""COMPUTED_VALUE"""),"3 mos")</f>
        <v>3 mos</v>
      </c>
      <c r="H2240" s="1" t="str">
        <f ca="1">IFERROR(__xludf.DUMMYFUNCTION("""COMPUTED_VALUE"""),"comment")</f>
        <v>comment</v>
      </c>
      <c r="I2240" s="2" t="str">
        <f ca="1">IFERROR(__xludf.DUMMYFUNCTION("""COMPUTED_VALUE"""),"https://www.facebook.com/rapplerdotcom/photos/a.317154781638645/5594954703858600/")</f>
        <v>https://www.facebook.com/rapplerdotcom/photos/a.317154781638645/5594954703858600/</v>
      </c>
      <c r="J2240" s="1" t="str">
        <f ca="1">IFERROR(__xludf.DUMMYFUNCTION("""COMPUTED_VALUE"""),"2022-07-04T15:48:35.885Z")</f>
        <v>2022-07-04T15:48:35.885Z</v>
      </c>
    </row>
    <row r="2241" spans="1:10" x14ac:dyDescent="0.2">
      <c r="A2241" s="2" t="str">
        <f ca="1">IFERROR(__xludf.DUMMYFUNCTION("""COMPUTED_VALUE"""),"https://www.facebook.com/mariateresa.camaddo")</f>
        <v>https://www.facebook.com/mariateresa.camaddo</v>
      </c>
      <c r="B2241" s="1" t="str">
        <f ca="1">IFERROR(__xludf.DUMMYFUNCTION("""COMPUTED_VALUE"""),"Matet Camaddo")</f>
        <v>Matet Camaddo</v>
      </c>
      <c r="C2241" s="1" t="str">
        <f ca="1">IFERROR(__xludf.DUMMYFUNCTION("""COMPUTED_VALUE"""),"Matet")</f>
        <v>Matet</v>
      </c>
      <c r="D2241" s="1" t="str">
        <f ca="1">IFERROR(__xludf.DUMMYFUNCTION("""COMPUTED_VALUE"""),"Camaddo")</f>
        <v>Camaddo</v>
      </c>
      <c r="E2241" s="1" t="str">
        <f ca="1">IFERROR(__xludf.DUMMYFUNCTION("""COMPUTED_VALUE"""),"hala dapat hindi kana lumabas bka lalong matalo ang manok mo.")</f>
        <v>hala dapat hindi kana lumabas bka lalong matalo ang manok mo.</v>
      </c>
      <c r="F2241" s="1">
        <f ca="1">IFERROR(__xludf.DUMMYFUNCTION("""COMPUTED_VALUE"""),2)</f>
        <v>2</v>
      </c>
      <c r="G2241" s="1" t="str">
        <f ca="1">IFERROR(__xludf.DUMMYFUNCTION("""COMPUTED_VALUE"""),"3 mos")</f>
        <v>3 mos</v>
      </c>
      <c r="H2241" s="1" t="str">
        <f ca="1">IFERROR(__xludf.DUMMYFUNCTION("""COMPUTED_VALUE"""),"comment")</f>
        <v>comment</v>
      </c>
      <c r="I2241" s="2" t="str">
        <f ca="1">IFERROR(__xludf.DUMMYFUNCTION("""COMPUTED_VALUE"""),"https://www.facebook.com/rapplerdotcom/photos/a.317154781638645/5594954703858600/")</f>
        <v>https://www.facebook.com/rapplerdotcom/photos/a.317154781638645/5594954703858600/</v>
      </c>
      <c r="J2241" s="1" t="str">
        <f ca="1">IFERROR(__xludf.DUMMYFUNCTION("""COMPUTED_VALUE"""),"2022-07-04T15:48:35.885Z")</f>
        <v>2022-07-04T15:48:35.885Z</v>
      </c>
    </row>
    <row r="2242" spans="1:10" x14ac:dyDescent="0.2">
      <c r="A2242" s="2" t="str">
        <f ca="1">IFERROR(__xludf.DUMMYFUNCTION("""COMPUTED_VALUE"""),"https://www.facebook.com/genevieve.uy.9")</f>
        <v>https://www.facebook.com/genevieve.uy.9</v>
      </c>
      <c r="B2242" s="1" t="str">
        <f ca="1">IFERROR(__xludf.DUMMYFUNCTION("""COMPUTED_VALUE"""),"Genevieve Uy")</f>
        <v>Genevieve Uy</v>
      </c>
      <c r="C2242" s="1" t="str">
        <f ca="1">IFERROR(__xludf.DUMMYFUNCTION("""COMPUTED_VALUE"""),"Genevieve")</f>
        <v>Genevieve</v>
      </c>
      <c r="D2242" s="1" t="str">
        <f ca="1">IFERROR(__xludf.DUMMYFUNCTION("""COMPUTED_VALUE"""),"Uy")</f>
        <v>Uy</v>
      </c>
      <c r="E2242" s="1" t="str">
        <f ca="1">IFERROR(__xludf.DUMMYFUNCTION("""COMPUTED_VALUE"""),"Kung sayo rin lang galing, hindi na uy 😂")</f>
        <v>Kung sayo rin lang galing, hindi na uy 😂</v>
      </c>
      <c r="F2242" s="1"/>
      <c r="G2242" s="1" t="str">
        <f ca="1">IFERROR(__xludf.DUMMYFUNCTION("""COMPUTED_VALUE"""),"3 mos")</f>
        <v>3 mos</v>
      </c>
      <c r="H2242" s="1" t="str">
        <f ca="1">IFERROR(__xludf.DUMMYFUNCTION("""COMPUTED_VALUE"""),"comment")</f>
        <v>comment</v>
      </c>
      <c r="I2242" s="2" t="str">
        <f ca="1">IFERROR(__xludf.DUMMYFUNCTION("""COMPUTED_VALUE"""),"https://www.facebook.com/rapplerdotcom/photos/a.317154781638645/5594954703858600/")</f>
        <v>https://www.facebook.com/rapplerdotcom/photos/a.317154781638645/5594954703858600/</v>
      </c>
      <c r="J2242" s="1" t="str">
        <f ca="1">IFERROR(__xludf.DUMMYFUNCTION("""COMPUTED_VALUE"""),"2022-07-04T15:48:35.886Z")</f>
        <v>2022-07-04T15:48:35.886Z</v>
      </c>
    </row>
    <row r="2243" spans="1:10" x14ac:dyDescent="0.2">
      <c r="A2243" s="2" t="str">
        <f ca="1">IFERROR(__xludf.DUMMYFUNCTION("""COMPUTED_VALUE"""),"https://www.facebook.com/profile.php?id=100069483934379")</f>
        <v>https://www.facebook.com/profile.php?id=100069483934379</v>
      </c>
      <c r="B2243" s="1" t="str">
        <f ca="1">IFERROR(__xludf.DUMMYFUNCTION("""COMPUTED_VALUE"""),"Roberto Mallari")</f>
        <v>Roberto Mallari</v>
      </c>
      <c r="C2243" s="1" t="str">
        <f ca="1">IFERROR(__xludf.DUMMYFUNCTION("""COMPUTED_VALUE"""),"Roberto")</f>
        <v>Roberto</v>
      </c>
      <c r="D2243" s="1" t="str">
        <f ca="1">IFERROR(__xludf.DUMMYFUNCTION("""COMPUTED_VALUE"""),"Mallari")</f>
        <v>Mallari</v>
      </c>
      <c r="E2243" s="1" t="str">
        <f ca="1">IFERROR(__xludf.DUMMYFUNCTION("""COMPUTED_VALUE"""),"Kailangan Ng mmda.sir apply ka")</f>
        <v>Kailangan Ng mmda.sir apply ka</v>
      </c>
      <c r="F2243" s="1"/>
      <c r="G2243" s="1" t="str">
        <f ca="1">IFERROR(__xludf.DUMMYFUNCTION("""COMPUTED_VALUE"""),"3 mos")</f>
        <v>3 mos</v>
      </c>
      <c r="H2243" s="1" t="str">
        <f ca="1">IFERROR(__xludf.DUMMYFUNCTION("""COMPUTED_VALUE"""),"comment")</f>
        <v>comment</v>
      </c>
      <c r="I2243" s="2" t="str">
        <f ca="1">IFERROR(__xludf.DUMMYFUNCTION("""COMPUTED_VALUE"""),"https://www.facebook.com/rapplerdotcom/photos/a.317154781638645/5594954703858600/")</f>
        <v>https://www.facebook.com/rapplerdotcom/photos/a.317154781638645/5594954703858600/</v>
      </c>
      <c r="J2243" s="1" t="str">
        <f ca="1">IFERROR(__xludf.DUMMYFUNCTION("""COMPUTED_VALUE"""),"2022-07-04T15:48:35.886Z")</f>
        <v>2022-07-04T15:48:35.886Z</v>
      </c>
    </row>
    <row r="2244" spans="1:10" x14ac:dyDescent="0.2">
      <c r="A2244" s="2" t="str">
        <f ca="1">IFERROR(__xludf.DUMMYFUNCTION("""COMPUTED_VALUE"""),"https://www.facebook.com/ditoy.macatangay")</f>
        <v>https://www.facebook.com/ditoy.macatangay</v>
      </c>
      <c r="B2244" s="1" t="str">
        <f ca="1">IFERROR(__xludf.DUMMYFUNCTION("""COMPUTED_VALUE"""),"Bernard Macatangay")</f>
        <v>Bernard Macatangay</v>
      </c>
      <c r="C2244" s="1" t="str">
        <f ca="1">IFERROR(__xludf.DUMMYFUNCTION("""COMPUTED_VALUE"""),"Bernard")</f>
        <v>Bernard</v>
      </c>
      <c r="D2244" s="1" t="str">
        <f ca="1">IFERROR(__xludf.DUMMYFUNCTION("""COMPUTED_VALUE"""),"Macatangay")</f>
        <v>Macatangay</v>
      </c>
      <c r="E2244" s="1" t="str">
        <f ca="1">IFERROR(__xludf.DUMMYFUNCTION("""COMPUTED_VALUE"""),"deretso plus na ulit yan hahaha")</f>
        <v>deretso plus na ulit yan hahaha</v>
      </c>
      <c r="F2244" s="1"/>
      <c r="G2244" s="1" t="str">
        <f ca="1">IFERROR(__xludf.DUMMYFUNCTION("""COMPUTED_VALUE"""),"3 mos")</f>
        <v>3 mos</v>
      </c>
      <c r="H2244" s="1" t="str">
        <f ca="1">IFERROR(__xludf.DUMMYFUNCTION("""COMPUTED_VALUE"""),"comment")</f>
        <v>comment</v>
      </c>
      <c r="I2244" s="2" t="str">
        <f ca="1">IFERROR(__xludf.DUMMYFUNCTION("""COMPUTED_VALUE"""),"https://www.facebook.com/rapplerdotcom/photos/a.317154781638645/5594954703858600/")</f>
        <v>https://www.facebook.com/rapplerdotcom/photos/a.317154781638645/5594954703858600/</v>
      </c>
      <c r="J2244" s="1" t="str">
        <f ca="1">IFERROR(__xludf.DUMMYFUNCTION("""COMPUTED_VALUE"""),"2022-07-04T15:48:35.886Z")</f>
        <v>2022-07-04T15:48:35.886Z</v>
      </c>
    </row>
    <row r="2245" spans="1:10" x14ac:dyDescent="0.2">
      <c r="A2245" s="2" t="str">
        <f ca="1">IFERROR(__xludf.DUMMYFUNCTION("""COMPUTED_VALUE"""),"https://www.facebook.com/may.atr.5623")</f>
        <v>https://www.facebook.com/may.atr.5623</v>
      </c>
      <c r="B2245" s="1" t="str">
        <f ca="1">IFERROR(__xludf.DUMMYFUNCTION("""COMPUTED_VALUE"""),"May Atr")</f>
        <v>May Atr</v>
      </c>
      <c r="C2245" s="1" t="str">
        <f ca="1">IFERROR(__xludf.DUMMYFUNCTION("""COMPUTED_VALUE"""),"May")</f>
        <v>May</v>
      </c>
      <c r="D2245" s="1" t="str">
        <f ca="1">IFERROR(__xludf.DUMMYFUNCTION("""COMPUTED_VALUE"""),"Atr")</f>
        <v>Atr</v>
      </c>
      <c r="E2245" s="1" t="str">
        <f ca="1">IFERROR(__xludf.DUMMYFUNCTION("""COMPUTED_VALUE"""),"yolanda funds po?")</f>
        <v>yolanda funds po?</v>
      </c>
      <c r="F2245" s="1"/>
      <c r="G2245" s="1" t="str">
        <f ca="1">IFERROR(__xludf.DUMMYFUNCTION("""COMPUTED_VALUE"""),"3 mos")</f>
        <v>3 mos</v>
      </c>
      <c r="H2245" s="1" t="str">
        <f ca="1">IFERROR(__xludf.DUMMYFUNCTION("""COMPUTED_VALUE"""),"comment")</f>
        <v>comment</v>
      </c>
      <c r="I2245" s="2" t="str">
        <f ca="1">IFERROR(__xludf.DUMMYFUNCTION("""COMPUTED_VALUE"""),"https://www.facebook.com/rapplerdotcom/photos/a.317154781638645/5594954703858600/")</f>
        <v>https://www.facebook.com/rapplerdotcom/photos/a.317154781638645/5594954703858600/</v>
      </c>
      <c r="J2245" s="1" t="str">
        <f ca="1">IFERROR(__xludf.DUMMYFUNCTION("""COMPUTED_VALUE"""),"2022-07-04T15:48:35.886Z")</f>
        <v>2022-07-04T15:48:35.886Z</v>
      </c>
    </row>
    <row r="2246" spans="1:10" x14ac:dyDescent="0.2">
      <c r="A2246" s="2" t="str">
        <f ca="1">IFERROR(__xludf.DUMMYFUNCTION("""COMPUTED_VALUE"""),"https://www.facebook.com/alfred.paradero.9")</f>
        <v>https://www.facebook.com/alfred.paradero.9</v>
      </c>
      <c r="B2246" s="1" t="str">
        <f ca="1">IFERROR(__xludf.DUMMYFUNCTION("""COMPUTED_VALUE"""),"Alfred Cañete Paradero")</f>
        <v>Alfred Cañete Paradero</v>
      </c>
      <c r="C2246" s="1" t="str">
        <f ca="1">IFERROR(__xludf.DUMMYFUNCTION("""COMPUTED_VALUE"""),"Alfred")</f>
        <v>Alfred</v>
      </c>
      <c r="D2246" s="1" t="str">
        <f ca="1">IFERROR(__xludf.DUMMYFUNCTION("""COMPUTED_VALUE"""),"Cañete Paradero")</f>
        <v>Cañete Paradero</v>
      </c>
      <c r="E2246" s="1" t="str">
        <f ca="1">IFERROR(__xludf.DUMMYFUNCTION("""COMPUTED_VALUE"""),"The same brain(kung meron man) and the same mindset talagang magkakaintindiha yan")</f>
        <v>The same brain(kung meron man) and the same mindset talagang magkakaintindiha yan</v>
      </c>
      <c r="F2246" s="1">
        <f ca="1">IFERROR(__xludf.DUMMYFUNCTION("""COMPUTED_VALUE"""),1)</f>
        <v>1</v>
      </c>
      <c r="G2246" s="1" t="str">
        <f ca="1">IFERROR(__xludf.DUMMYFUNCTION("""COMPUTED_VALUE"""),"3 mos")</f>
        <v>3 mos</v>
      </c>
      <c r="H2246" s="1" t="str">
        <f ca="1">IFERROR(__xludf.DUMMYFUNCTION("""COMPUTED_VALUE"""),"comment")</f>
        <v>comment</v>
      </c>
      <c r="I2246" s="2" t="str">
        <f ca="1">IFERROR(__xludf.DUMMYFUNCTION("""COMPUTED_VALUE"""),"https://www.facebook.com/rapplerdotcom/photos/a.317154781638645/5594954703858600/")</f>
        <v>https://www.facebook.com/rapplerdotcom/photos/a.317154781638645/5594954703858600/</v>
      </c>
      <c r="J2246" s="1" t="str">
        <f ca="1">IFERROR(__xludf.DUMMYFUNCTION("""COMPUTED_VALUE"""),"2022-07-04T15:48:35.886Z")</f>
        <v>2022-07-04T15:48:35.886Z</v>
      </c>
    </row>
    <row r="2247" spans="1:10" x14ac:dyDescent="0.2">
      <c r="A2247" s="2" t="str">
        <f ca="1">IFERROR(__xludf.DUMMYFUNCTION("""COMPUTED_VALUE"""),"https://www.facebook.com/pau.gaitan.33")</f>
        <v>https://www.facebook.com/pau.gaitan.33</v>
      </c>
      <c r="B2247" s="1" t="str">
        <f ca="1">IFERROR(__xludf.DUMMYFUNCTION("""COMPUTED_VALUE"""),"Pau Gaitan Varron")</f>
        <v>Pau Gaitan Varron</v>
      </c>
      <c r="C2247" s="1" t="str">
        <f ca="1">IFERROR(__xludf.DUMMYFUNCTION("""COMPUTED_VALUE"""),"Pau")</f>
        <v>Pau</v>
      </c>
      <c r="D2247" s="1" t="str">
        <f ca="1">IFERROR(__xludf.DUMMYFUNCTION("""COMPUTED_VALUE"""),"Gaitan Varron")</f>
        <v>Gaitan Varron</v>
      </c>
      <c r="E2247" s="1" t="str">
        <f ca="1">IFERROR(__xludf.DUMMYFUNCTION("""COMPUTED_VALUE"""),"Alfred Cañete Paradero Nahiya ang utak ng 2 economics grads sa utak nyo. 😅")</f>
        <v>Alfred Cañete Paradero Nahiya ang utak ng 2 economics grads sa utak nyo. 😅</v>
      </c>
      <c r="F2247" s="1">
        <f ca="1">IFERROR(__xludf.DUMMYFUNCTION("""COMPUTED_VALUE"""),5)</f>
        <v>5</v>
      </c>
      <c r="G2247" s="1" t="str">
        <f ca="1">IFERROR(__xludf.DUMMYFUNCTION("""COMPUTED_VALUE"""),"3 mos")</f>
        <v>3 mos</v>
      </c>
      <c r="H2247" s="1" t="str">
        <f ca="1">IFERROR(__xludf.DUMMYFUNCTION("""COMPUTED_VALUE"""),"reply")</f>
        <v>reply</v>
      </c>
      <c r="I2247" s="2" t="str">
        <f ca="1">IFERROR(__xludf.DUMMYFUNCTION("""COMPUTED_VALUE"""),"https://www.facebook.com/rapplerdotcom/photos/a.317154781638645/5594954703858600/")</f>
        <v>https://www.facebook.com/rapplerdotcom/photos/a.317154781638645/5594954703858600/</v>
      </c>
      <c r="J2247" s="1" t="str">
        <f ca="1">IFERROR(__xludf.DUMMYFUNCTION("""COMPUTED_VALUE"""),"2022-07-04T15:48:35.886Z")</f>
        <v>2022-07-04T15:48:35.886Z</v>
      </c>
    </row>
    <row r="2248" spans="1:10" x14ac:dyDescent="0.2">
      <c r="A2248" s="2" t="str">
        <f ca="1">IFERROR(__xludf.DUMMYFUNCTION("""COMPUTED_VALUE"""),"https://www.facebook.com/alfred.paradero.9")</f>
        <v>https://www.facebook.com/alfred.paradero.9</v>
      </c>
      <c r="B2248" s="1" t="str">
        <f ca="1">IFERROR(__xludf.DUMMYFUNCTION("""COMPUTED_VALUE"""),"Alfred Cañete Paradero")</f>
        <v>Alfred Cañete Paradero</v>
      </c>
      <c r="C2248" s="1" t="str">
        <f ca="1">IFERROR(__xludf.DUMMYFUNCTION("""COMPUTED_VALUE"""),"Alfred")</f>
        <v>Alfred</v>
      </c>
      <c r="D2248" s="1" t="str">
        <f ca="1">IFERROR(__xludf.DUMMYFUNCTION("""COMPUTED_VALUE"""),"Cañete Paradero")</f>
        <v>Cañete Paradero</v>
      </c>
      <c r="E2248" s="1" t="str">
        <f ca="1">IFERROR(__xludf.DUMMYFUNCTION("""COMPUTED_VALUE"""),"Pau Gaitan Varron ha?")</f>
        <v>Pau Gaitan Varron ha?</v>
      </c>
      <c r="F2248" s="1"/>
      <c r="G2248" s="1" t="str">
        <f ca="1">IFERROR(__xludf.DUMMYFUNCTION("""COMPUTED_VALUE"""),"3 mos")</f>
        <v>3 mos</v>
      </c>
      <c r="H2248" s="1" t="str">
        <f ca="1">IFERROR(__xludf.DUMMYFUNCTION("""COMPUTED_VALUE"""),"reply")</f>
        <v>reply</v>
      </c>
      <c r="I2248" s="2" t="str">
        <f ca="1">IFERROR(__xludf.DUMMYFUNCTION("""COMPUTED_VALUE"""),"https://www.facebook.com/rapplerdotcom/photos/a.317154781638645/5594954703858600/")</f>
        <v>https://www.facebook.com/rapplerdotcom/photos/a.317154781638645/5594954703858600/</v>
      </c>
      <c r="J2248" s="1" t="str">
        <f ca="1">IFERROR(__xludf.DUMMYFUNCTION("""COMPUTED_VALUE"""),"2022-07-04T15:48:35.886Z")</f>
        <v>2022-07-04T15:48:35.886Z</v>
      </c>
    </row>
    <row r="2249" spans="1:10" x14ac:dyDescent="0.2">
      <c r="A2249" s="2" t="str">
        <f ca="1">IFERROR(__xludf.DUMMYFUNCTION("""COMPUTED_VALUE"""),"https://www.facebook.com/tata.abet.3")</f>
        <v>https://www.facebook.com/tata.abet.3</v>
      </c>
      <c r="B2249" s="1" t="str">
        <f ca="1">IFERROR(__xludf.DUMMYFUNCTION("""COMPUTED_VALUE"""),"Tata Abet")</f>
        <v>Tata Abet</v>
      </c>
      <c r="C2249" s="1" t="str">
        <f ca="1">IFERROR(__xludf.DUMMYFUNCTION("""COMPUTED_VALUE"""),"Tata")</f>
        <v>Tata</v>
      </c>
      <c r="D2249" s="1" t="str">
        <f ca="1">IFERROR(__xludf.DUMMYFUNCTION("""COMPUTED_VALUE"""),"Abet")</f>
        <v>Abet</v>
      </c>
      <c r="E2249" s="1" t="str">
        <f ca="1">IFERROR(__xludf.DUMMYFUNCTION("""COMPUTED_VALUE"""),"Malaking tulong isa kapa sa pag lagapak sa talo mga dilawang wala nagawang butiii")</f>
        <v>Malaking tulong isa kapa sa pag lagapak sa talo mga dilawang wala nagawang butiii</v>
      </c>
      <c r="F2249" s="1"/>
      <c r="G2249" s="1" t="str">
        <f ca="1">IFERROR(__xludf.DUMMYFUNCTION("""COMPUTED_VALUE"""),"3 mos")</f>
        <v>3 mos</v>
      </c>
      <c r="H2249" s="1" t="str">
        <f ca="1">IFERROR(__xludf.DUMMYFUNCTION("""COMPUTED_VALUE"""),"comment")</f>
        <v>comment</v>
      </c>
      <c r="I2249" s="2" t="str">
        <f ca="1">IFERROR(__xludf.DUMMYFUNCTION("""COMPUTED_VALUE"""),"https://www.facebook.com/rapplerdotcom/photos/a.317154781638645/5594954703858600/")</f>
        <v>https://www.facebook.com/rapplerdotcom/photos/a.317154781638645/5594954703858600/</v>
      </c>
      <c r="J2249" s="1" t="str">
        <f ca="1">IFERROR(__xludf.DUMMYFUNCTION("""COMPUTED_VALUE"""),"2022-07-04T15:48:35.886Z")</f>
        <v>2022-07-04T15:48:35.886Z</v>
      </c>
    </row>
    <row r="2250" spans="1:10" x14ac:dyDescent="0.2">
      <c r="A2250" s="2" t="str">
        <f ca="1">IFERROR(__xludf.DUMMYFUNCTION("""COMPUTED_VALUE"""),"https://www.facebook.com/profile.php?id=100013497646924")</f>
        <v>https://www.facebook.com/profile.php?id=100013497646924</v>
      </c>
      <c r="B2250" s="1" t="str">
        <f ca="1">IFERROR(__xludf.DUMMYFUNCTION("""COMPUTED_VALUE"""),"John Canalan")</f>
        <v>John Canalan</v>
      </c>
      <c r="C2250" s="1" t="str">
        <f ca="1">IFERROR(__xludf.DUMMYFUNCTION("""COMPUTED_VALUE"""),"John")</f>
        <v>John</v>
      </c>
      <c r="D2250" s="1" t="str">
        <f ca="1">IFERROR(__xludf.DUMMYFUNCTION("""COMPUTED_VALUE"""),"Canalan")</f>
        <v>Canalan</v>
      </c>
      <c r="E2250" s="1" t="str">
        <f ca="1">IFERROR(__xludf.DUMMYFUNCTION("""COMPUTED_VALUE"""),"wala na daw kasi siyang pag-asang manalo 😅")</f>
        <v>wala na daw kasi siyang pag-asang manalo 😅</v>
      </c>
      <c r="F2250" s="1"/>
      <c r="G2250" s="1" t="str">
        <f ca="1">IFERROR(__xludf.DUMMYFUNCTION("""COMPUTED_VALUE"""),"3 mos")</f>
        <v>3 mos</v>
      </c>
      <c r="H2250" s="1" t="str">
        <f ca="1">IFERROR(__xludf.DUMMYFUNCTION("""COMPUTED_VALUE"""),"comment")</f>
        <v>comment</v>
      </c>
      <c r="I2250" s="2" t="str">
        <f ca="1">IFERROR(__xludf.DUMMYFUNCTION("""COMPUTED_VALUE"""),"https://www.facebook.com/rapplerdotcom/photos/a.317154781638645/5594954703858600/")</f>
        <v>https://www.facebook.com/rapplerdotcom/photos/a.317154781638645/5594954703858600/</v>
      </c>
      <c r="J2250" s="1" t="str">
        <f ca="1">IFERROR(__xludf.DUMMYFUNCTION("""COMPUTED_VALUE"""),"2022-07-04T15:48:35.886Z")</f>
        <v>2022-07-04T15:48:35.886Z</v>
      </c>
    </row>
    <row r="2251" spans="1:10" x14ac:dyDescent="0.2">
      <c r="A2251" s="2" t="str">
        <f ca="1">IFERROR(__xludf.DUMMYFUNCTION("""COMPUTED_VALUE"""),"https://www.facebook.com/jetskipogi019")</f>
        <v>https://www.facebook.com/jetskipogi019</v>
      </c>
      <c r="B2251" s="1" t="str">
        <f ca="1">IFERROR(__xludf.DUMMYFUNCTION("""COMPUTED_VALUE"""),"Jetro P. Labrador")</f>
        <v>Jetro P. Labrador</v>
      </c>
      <c r="C2251" s="1" t="str">
        <f ca="1">IFERROR(__xludf.DUMMYFUNCTION("""COMPUTED_VALUE"""),"Jetro")</f>
        <v>Jetro</v>
      </c>
      <c r="D2251" s="1" t="str">
        <f ca="1">IFERROR(__xludf.DUMMYFUNCTION("""COMPUTED_VALUE"""),"P. Labrador")</f>
        <v>P. Labrador</v>
      </c>
      <c r="E2251" s="1" t="str">
        <f ca="1">IFERROR(__xludf.DUMMYFUNCTION("""COMPUTED_VALUE"""),"Pre Rome Salar  yung idol mo nagpakita ule 😂")</f>
        <v>Pre Rome Salar  yung idol mo nagpakita ule 😂</v>
      </c>
      <c r="F2251" s="1"/>
      <c r="G2251" s="1" t="str">
        <f ca="1">IFERROR(__xludf.DUMMYFUNCTION("""COMPUTED_VALUE"""),"3 mos")</f>
        <v>3 mos</v>
      </c>
      <c r="H2251" s="1" t="str">
        <f ca="1">IFERROR(__xludf.DUMMYFUNCTION("""COMPUTED_VALUE"""),"comment")</f>
        <v>comment</v>
      </c>
      <c r="I2251" s="2" t="str">
        <f ca="1">IFERROR(__xludf.DUMMYFUNCTION("""COMPUTED_VALUE"""),"https://www.facebook.com/rapplerdotcom/photos/a.317154781638645/5594954703858600/")</f>
        <v>https://www.facebook.com/rapplerdotcom/photos/a.317154781638645/5594954703858600/</v>
      </c>
      <c r="J2251" s="1" t="str">
        <f ca="1">IFERROR(__xludf.DUMMYFUNCTION("""COMPUTED_VALUE"""),"2022-07-04T15:48:35.886Z")</f>
        <v>2022-07-04T15:48:35.886Z</v>
      </c>
    </row>
    <row r="2252" spans="1:10" x14ac:dyDescent="0.2">
      <c r="A2252" s="2" t="str">
        <f ca="1">IFERROR(__xludf.DUMMYFUNCTION("""COMPUTED_VALUE"""),"https://www.facebook.com/profile.php?id=100074949353472")</f>
        <v>https://www.facebook.com/profile.php?id=100074949353472</v>
      </c>
      <c r="B2252" s="1" t="str">
        <f ca="1">IFERROR(__xludf.DUMMYFUNCTION("""COMPUTED_VALUE"""),"Kram Ynothna")</f>
        <v>Kram Ynothna</v>
      </c>
      <c r="C2252" s="1" t="str">
        <f ca="1">IFERROR(__xludf.DUMMYFUNCTION("""COMPUTED_VALUE"""),"Kram")</f>
        <v>Kram</v>
      </c>
      <c r="D2252" s="1" t="str">
        <f ca="1">IFERROR(__xludf.DUMMYFUNCTION("""COMPUTED_VALUE"""),"Ynothna")</f>
        <v>Ynothna</v>
      </c>
      <c r="E2252" s="1" t="str">
        <f ca="1">IFERROR(__xludf.DUMMYFUNCTION("""COMPUTED_VALUE"""),"ANg Pilipinas ay pAra sa mga Pilipino kaya't Mahalin Natin ito💚♥️... #bayanbangonmuli #bbmsarauniteam2022 #BBMPARASAPAGBABAGO #indaysaraforvicepresident2022 #BBMPresident2022")</f>
        <v>ANg Pilipinas ay pAra sa mga Pilipino kaya't Mahalin Natin ito💚♥️... #bayanbangonmuli #bbmsarauniteam2022 #BBMPARASAPAGBABAGO #indaysaraforvicepresident2022 #BBMPresident2022</v>
      </c>
      <c r="F2252" s="1"/>
      <c r="G2252" s="1" t="str">
        <f ca="1">IFERROR(__xludf.DUMMYFUNCTION("""COMPUTED_VALUE"""),"3 mos")</f>
        <v>3 mos</v>
      </c>
      <c r="H2252" s="1" t="str">
        <f ca="1">IFERROR(__xludf.DUMMYFUNCTION("""COMPUTED_VALUE"""),"comment")</f>
        <v>comment</v>
      </c>
      <c r="I2252" s="2" t="str">
        <f ca="1">IFERROR(__xludf.DUMMYFUNCTION("""COMPUTED_VALUE"""),"https://www.facebook.com/rapplerdotcom/photos/a.317154781638645/5594954703858600/")</f>
        <v>https://www.facebook.com/rapplerdotcom/photos/a.317154781638645/5594954703858600/</v>
      </c>
      <c r="J2252" s="1" t="str">
        <f ca="1">IFERROR(__xludf.DUMMYFUNCTION("""COMPUTED_VALUE"""),"2022-07-04T15:48:35.886Z")</f>
        <v>2022-07-04T15:48:35.886Z</v>
      </c>
    </row>
    <row r="2253" spans="1:10" x14ac:dyDescent="0.2">
      <c r="A2253" s="2" t="str">
        <f ca="1">IFERROR(__xludf.DUMMYFUNCTION("""COMPUTED_VALUE"""),"https://www.facebook.com/profile.php?id=100075965177809")</f>
        <v>https://www.facebook.com/profile.php?id=100075965177809</v>
      </c>
      <c r="B2253" s="1" t="str">
        <f ca="1">IFERROR(__xludf.DUMMYFUNCTION("""COMPUTED_VALUE"""),"Victor Escobar")</f>
        <v>Victor Escobar</v>
      </c>
      <c r="C2253" s="1" t="str">
        <f ca="1">IFERROR(__xludf.DUMMYFUNCTION("""COMPUTED_VALUE"""),"Victor")</f>
        <v>Victor</v>
      </c>
      <c r="D2253" s="1" t="str">
        <f ca="1">IFERROR(__xludf.DUMMYFUNCTION("""COMPUTED_VALUE"""),"Escobar")</f>
        <v>Escobar</v>
      </c>
      <c r="E2253" s="1" t="str">
        <f ca="1">IFERROR(__xludf.DUMMYFUNCTION("""COMPUTED_VALUE"""),"Isa to si Roxas sa nagpahirap sa bansang pilipinas eh")</f>
        <v>Isa to si Roxas sa nagpahirap sa bansang pilipinas eh</v>
      </c>
      <c r="F2253" s="1"/>
      <c r="G2253" s="1" t="str">
        <f ca="1">IFERROR(__xludf.DUMMYFUNCTION("""COMPUTED_VALUE"""),"3 mos")</f>
        <v>3 mos</v>
      </c>
      <c r="H2253" s="1" t="str">
        <f ca="1">IFERROR(__xludf.DUMMYFUNCTION("""COMPUTED_VALUE"""),"comment")</f>
        <v>comment</v>
      </c>
      <c r="I2253" s="2" t="str">
        <f ca="1">IFERROR(__xludf.DUMMYFUNCTION("""COMPUTED_VALUE"""),"https://www.facebook.com/rapplerdotcom/photos/a.317154781638645/5594954703858600/")</f>
        <v>https://www.facebook.com/rapplerdotcom/photos/a.317154781638645/5594954703858600/</v>
      </c>
      <c r="J2253" s="1" t="str">
        <f ca="1">IFERROR(__xludf.DUMMYFUNCTION("""COMPUTED_VALUE"""),"2022-07-04T15:48:35.886Z")</f>
        <v>2022-07-04T15:48:35.886Z</v>
      </c>
    </row>
    <row r="2254" spans="1:10" x14ac:dyDescent="0.2">
      <c r="A2254" s="2" t="str">
        <f ca="1">IFERROR(__xludf.DUMMYFUNCTION("""COMPUTED_VALUE"""),"https://www.facebook.com/letecia.gonzales.31")</f>
        <v>https://www.facebook.com/letecia.gonzales.31</v>
      </c>
      <c r="B2254" s="1" t="str">
        <f ca="1">IFERROR(__xludf.DUMMYFUNCTION("""COMPUTED_VALUE"""),"Letezia Pineda Gonzales")</f>
        <v>Letezia Pineda Gonzales</v>
      </c>
      <c r="C2254" s="1" t="str">
        <f ca="1">IFERROR(__xludf.DUMMYFUNCTION("""COMPUTED_VALUE"""),"Letezia")</f>
        <v>Letezia</v>
      </c>
      <c r="D2254" s="1" t="str">
        <f ca="1">IFERROR(__xludf.DUMMYFUNCTION("""COMPUTED_VALUE"""),"Pineda Gonzales")</f>
        <v>Pineda Gonzales</v>
      </c>
      <c r="E2254" s="1" t="str">
        <f ca="1">IFERROR(__xludf.DUMMYFUNCTION("""COMPUTED_VALUE"""),"Nasa bulsa🤣🤣ang daming mga  ayuda na na cra lang..binaon nila samantalang ang daming nagutom noon..grabe..")</f>
        <v>Nasa bulsa🤣🤣ang daming mga  ayuda na na cra lang..binaon nila samantalang ang daming nagutom noon..grabe..</v>
      </c>
      <c r="F2254" s="1"/>
      <c r="G2254" s="1" t="str">
        <f ca="1">IFERROR(__xludf.DUMMYFUNCTION("""COMPUTED_VALUE"""),"3 mos")</f>
        <v>3 mos</v>
      </c>
      <c r="H2254" s="1" t="str">
        <f ca="1">IFERROR(__xludf.DUMMYFUNCTION("""COMPUTED_VALUE"""),"comment")</f>
        <v>comment</v>
      </c>
      <c r="I2254" s="2" t="str">
        <f ca="1">IFERROR(__xludf.DUMMYFUNCTION("""COMPUTED_VALUE"""),"https://www.facebook.com/rapplerdotcom/photos/a.317154781638645/5594954703858600/")</f>
        <v>https://www.facebook.com/rapplerdotcom/photos/a.317154781638645/5594954703858600/</v>
      </c>
      <c r="J2254" s="1" t="str">
        <f ca="1">IFERROR(__xludf.DUMMYFUNCTION("""COMPUTED_VALUE"""),"2022-07-04T15:48:35.886Z")</f>
        <v>2022-07-04T15:48:35.886Z</v>
      </c>
    </row>
    <row r="2255" spans="1:10" x14ac:dyDescent="0.2">
      <c r="A2255" s="2" t="str">
        <f ca="1">IFERROR(__xludf.DUMMYFUNCTION("""COMPUTED_VALUE"""),"https://www.facebook.com/rhenz.jauod")</f>
        <v>https://www.facebook.com/rhenz.jauod</v>
      </c>
      <c r="B2255" s="1" t="str">
        <f ca="1">IFERROR(__xludf.DUMMYFUNCTION("""COMPUTED_VALUE"""),"Rhenz Jauod")</f>
        <v>Rhenz Jauod</v>
      </c>
      <c r="C2255" s="1" t="str">
        <f ca="1">IFERROR(__xludf.DUMMYFUNCTION("""COMPUTED_VALUE"""),"Rhenz")</f>
        <v>Rhenz</v>
      </c>
      <c r="D2255" s="1" t="str">
        <f ca="1">IFERROR(__xludf.DUMMYFUNCTION("""COMPUTED_VALUE"""),"Jauod")</f>
        <v>Jauod</v>
      </c>
      <c r="E2255" s="1" t="str">
        <f ca="1">IFERROR(__xludf.DUMMYFUNCTION("""COMPUTED_VALUE"""),"Who cares?talunan man sya😊")</f>
        <v>Who cares?talunan man sya😊</v>
      </c>
      <c r="F2255" s="1"/>
      <c r="G2255" s="1" t="str">
        <f ca="1">IFERROR(__xludf.DUMMYFUNCTION("""COMPUTED_VALUE"""),"3 mos")</f>
        <v>3 mos</v>
      </c>
      <c r="H2255" s="1" t="str">
        <f ca="1">IFERROR(__xludf.DUMMYFUNCTION("""COMPUTED_VALUE"""),"comment")</f>
        <v>comment</v>
      </c>
      <c r="I2255" s="2" t="str">
        <f ca="1">IFERROR(__xludf.DUMMYFUNCTION("""COMPUTED_VALUE"""),"https://www.facebook.com/rapplerdotcom/photos/a.317154781638645/5594954703858600/")</f>
        <v>https://www.facebook.com/rapplerdotcom/photos/a.317154781638645/5594954703858600/</v>
      </c>
      <c r="J2255" s="1" t="str">
        <f ca="1">IFERROR(__xludf.DUMMYFUNCTION("""COMPUTED_VALUE"""),"2022-07-04T15:48:35.886Z")</f>
        <v>2022-07-04T15:48:35.886Z</v>
      </c>
    </row>
    <row r="2256" spans="1:10" x14ac:dyDescent="0.2">
      <c r="A2256" s="2" t="str">
        <f ca="1">IFERROR(__xludf.DUMMYFUNCTION("""COMPUTED_VALUE"""),"https://www.facebook.com/rhonda.couris.7")</f>
        <v>https://www.facebook.com/rhonda.couris.7</v>
      </c>
      <c r="B2256" s="1" t="str">
        <f ca="1">IFERROR(__xludf.DUMMYFUNCTION("""COMPUTED_VALUE"""),"Rhonda Couris")</f>
        <v>Rhonda Couris</v>
      </c>
      <c r="C2256" s="1" t="str">
        <f ca="1">IFERROR(__xludf.DUMMYFUNCTION("""COMPUTED_VALUE"""),"Rhonda")</f>
        <v>Rhonda</v>
      </c>
      <c r="D2256" s="1" t="str">
        <f ca="1">IFERROR(__xludf.DUMMYFUNCTION("""COMPUTED_VALUE"""),"Couris")</f>
        <v>Couris</v>
      </c>
      <c r="E2256" s="1" t="str">
        <f ca="1">IFERROR(__xludf.DUMMYFUNCTION("""COMPUTED_VALUE"""),"Desperate moment for desperate people 🤭")</f>
        <v>Desperate moment for desperate people 🤭</v>
      </c>
      <c r="F2256" s="1">
        <f ca="1">IFERROR(__xludf.DUMMYFUNCTION("""COMPUTED_VALUE"""),1)</f>
        <v>1</v>
      </c>
      <c r="G2256" s="1" t="str">
        <f ca="1">IFERROR(__xludf.DUMMYFUNCTION("""COMPUTED_VALUE"""),"3 mos")</f>
        <v>3 mos</v>
      </c>
      <c r="H2256" s="1" t="str">
        <f ca="1">IFERROR(__xludf.DUMMYFUNCTION("""COMPUTED_VALUE"""),"comment")</f>
        <v>comment</v>
      </c>
      <c r="I2256" s="2" t="str">
        <f ca="1">IFERROR(__xludf.DUMMYFUNCTION("""COMPUTED_VALUE"""),"https://www.facebook.com/rapplerdotcom/photos/a.317154781638645/5594954703858600/")</f>
        <v>https://www.facebook.com/rapplerdotcom/photos/a.317154781638645/5594954703858600/</v>
      </c>
      <c r="J2256" s="1" t="str">
        <f ca="1">IFERROR(__xludf.DUMMYFUNCTION("""COMPUTED_VALUE"""),"2022-07-04T15:48:35.886Z")</f>
        <v>2022-07-04T15:48:35.886Z</v>
      </c>
    </row>
    <row r="2257" spans="1:10" x14ac:dyDescent="0.2">
      <c r="A2257" s="2" t="str">
        <f ca="1">IFERROR(__xludf.DUMMYFUNCTION("""COMPUTED_VALUE"""),"https://www.facebook.com/epal.aco.56")</f>
        <v>https://www.facebook.com/epal.aco.56</v>
      </c>
      <c r="B2257" s="1" t="str">
        <f ca="1">IFERROR(__xludf.DUMMYFUNCTION("""COMPUTED_VALUE"""),"Epal Aco")</f>
        <v>Epal Aco</v>
      </c>
      <c r="C2257" s="1" t="str">
        <f ca="1">IFERROR(__xludf.DUMMYFUNCTION("""COMPUTED_VALUE"""),"Epal")</f>
        <v>Epal</v>
      </c>
      <c r="D2257" s="1" t="str">
        <f ca="1">IFERROR(__xludf.DUMMYFUNCTION("""COMPUTED_VALUE"""),"Aco")</f>
        <v>Aco</v>
      </c>
      <c r="E2257" s="1" t="str">
        <f ca="1">IFERROR(__xludf.DUMMYFUNCTION("""COMPUTED_VALUE"""),"Ang pagbabalik ni yolanda hahahhaah")</f>
        <v>Ang pagbabalik ni yolanda hahahhaah</v>
      </c>
      <c r="F2257" s="1"/>
      <c r="G2257" s="1" t="str">
        <f ca="1">IFERROR(__xludf.DUMMYFUNCTION("""COMPUTED_VALUE"""),"3 mos")</f>
        <v>3 mos</v>
      </c>
      <c r="H2257" s="1" t="str">
        <f ca="1">IFERROR(__xludf.DUMMYFUNCTION("""COMPUTED_VALUE"""),"comment")</f>
        <v>comment</v>
      </c>
      <c r="I2257" s="2" t="str">
        <f ca="1">IFERROR(__xludf.DUMMYFUNCTION("""COMPUTED_VALUE"""),"https://www.facebook.com/rapplerdotcom/photos/a.317154781638645/5594954703858600/")</f>
        <v>https://www.facebook.com/rapplerdotcom/photos/a.317154781638645/5594954703858600/</v>
      </c>
      <c r="J2257" s="1" t="str">
        <f ca="1">IFERROR(__xludf.DUMMYFUNCTION("""COMPUTED_VALUE"""),"2022-07-04T15:48:35.886Z")</f>
        <v>2022-07-04T15:48:35.886Z</v>
      </c>
    </row>
    <row r="2258" spans="1:10" x14ac:dyDescent="0.2">
      <c r="A2258" s="2" t="str">
        <f ca="1">IFERROR(__xludf.DUMMYFUNCTION("""COMPUTED_VALUE"""),"https://www.facebook.com/buenaventura.romy")</f>
        <v>https://www.facebook.com/buenaventura.romy</v>
      </c>
      <c r="B2258" s="1" t="str">
        <f ca="1">IFERROR(__xludf.DUMMYFUNCTION("""COMPUTED_VALUE"""),"Romy Buenaventura")</f>
        <v>Romy Buenaventura</v>
      </c>
      <c r="C2258" s="1" t="str">
        <f ca="1">IFERROR(__xludf.DUMMYFUNCTION("""COMPUTED_VALUE"""),"Romy")</f>
        <v>Romy</v>
      </c>
      <c r="D2258" s="1" t="str">
        <f ca="1">IFERROR(__xludf.DUMMYFUNCTION("""COMPUTED_VALUE"""),"Buenaventura")</f>
        <v>Buenaventura</v>
      </c>
      <c r="E2258" s="1" t="str">
        <f ca="1">IFERROR(__xludf.DUMMYFUNCTION("""COMPUTED_VALUE"""),"I would like him to be the next DFA secretary!")</f>
        <v>I would like him to be the next DFA secretary!</v>
      </c>
      <c r="F2258" s="1">
        <f ca="1">IFERROR(__xludf.DUMMYFUNCTION("""COMPUTED_VALUE"""),11)</f>
        <v>11</v>
      </c>
      <c r="G2258" s="1" t="str">
        <f ca="1">IFERROR(__xludf.DUMMYFUNCTION("""COMPUTED_VALUE"""),"3 mos")</f>
        <v>3 mos</v>
      </c>
      <c r="H2258" s="1" t="str">
        <f ca="1">IFERROR(__xludf.DUMMYFUNCTION("""COMPUTED_VALUE"""),"comment")</f>
        <v>comment</v>
      </c>
      <c r="I2258" s="2" t="str">
        <f ca="1">IFERROR(__xludf.DUMMYFUNCTION("""COMPUTED_VALUE"""),"https://www.facebook.com/rapplerdotcom/photos/a.317154781638645/5594954703858600/")</f>
        <v>https://www.facebook.com/rapplerdotcom/photos/a.317154781638645/5594954703858600/</v>
      </c>
      <c r="J2258" s="1" t="str">
        <f ca="1">IFERROR(__xludf.DUMMYFUNCTION("""COMPUTED_VALUE"""),"2022-07-04T15:48:35.886Z")</f>
        <v>2022-07-04T15:48:35.886Z</v>
      </c>
    </row>
    <row r="2259" spans="1:10" x14ac:dyDescent="0.2">
      <c r="A2259" s="2" t="str">
        <f ca="1">IFERROR(__xludf.DUMMYFUNCTION("""COMPUTED_VALUE"""),"https://www.facebook.com/profile.php?id=100067648721233")</f>
        <v>https://www.facebook.com/profile.php?id=100067648721233</v>
      </c>
      <c r="B2259" s="1" t="str">
        <f ca="1">IFERROR(__xludf.DUMMYFUNCTION("""COMPUTED_VALUE"""),"Jessie Resurreccion")</f>
        <v>Jessie Resurreccion</v>
      </c>
      <c r="C2259" s="1" t="str">
        <f ca="1">IFERROR(__xludf.DUMMYFUNCTION("""COMPUTED_VALUE"""),"Jessie")</f>
        <v>Jessie</v>
      </c>
      <c r="D2259" s="1" t="str">
        <f ca="1">IFERROR(__xludf.DUMMYFUNCTION("""COMPUTED_VALUE"""),"Resurreccion")</f>
        <v>Resurreccion</v>
      </c>
      <c r="E2259" s="1" t="str">
        <f ca="1">IFERROR(__xludf.DUMMYFUNCTION("""COMPUTED_VALUE"""),"Romy Buenaventura dios ko day..hahaha!")</f>
        <v>Romy Buenaventura dios ko day..hahaha!</v>
      </c>
      <c r="F2259" s="1"/>
      <c r="G2259" s="1" t="str">
        <f ca="1">IFERROR(__xludf.DUMMYFUNCTION("""COMPUTED_VALUE"""),"3 mos")</f>
        <v>3 mos</v>
      </c>
      <c r="H2259" s="1" t="str">
        <f ca="1">IFERROR(__xludf.DUMMYFUNCTION("""COMPUTED_VALUE"""),"reply")</f>
        <v>reply</v>
      </c>
      <c r="I2259" s="2" t="str">
        <f ca="1">IFERROR(__xludf.DUMMYFUNCTION("""COMPUTED_VALUE"""),"https://www.facebook.com/rapplerdotcom/photos/a.317154781638645/5594954703858600/")</f>
        <v>https://www.facebook.com/rapplerdotcom/photos/a.317154781638645/5594954703858600/</v>
      </c>
      <c r="J2259" s="1" t="str">
        <f ca="1">IFERROR(__xludf.DUMMYFUNCTION("""COMPUTED_VALUE"""),"2022-07-04T15:48:35.886Z")</f>
        <v>2022-07-04T15:48:35.886Z</v>
      </c>
    </row>
    <row r="2260" spans="1:10" x14ac:dyDescent="0.2">
      <c r="A2260" s="2" t="str">
        <f ca="1">IFERROR(__xludf.DUMMYFUNCTION("""COMPUTED_VALUE"""),"https://www.facebook.com/cidj.jalandoni")</f>
        <v>https://www.facebook.com/cidj.jalandoni</v>
      </c>
      <c r="B2260" s="1" t="str">
        <f ca="1">IFERROR(__xludf.DUMMYFUNCTION("""COMPUTED_VALUE"""),"Cidj Jalandoni")</f>
        <v>Cidj Jalandoni</v>
      </c>
      <c r="C2260" s="1" t="str">
        <f ca="1">IFERROR(__xludf.DUMMYFUNCTION("""COMPUTED_VALUE"""),"Cidj")</f>
        <v>Cidj</v>
      </c>
      <c r="D2260" s="1" t="str">
        <f ca="1">IFERROR(__xludf.DUMMYFUNCTION("""COMPUTED_VALUE"""),"Jalandoni")</f>
        <v>Jalandoni</v>
      </c>
      <c r="E2260" s="1" t="str">
        <f ca="1">IFERROR(__xludf.DUMMYFUNCTION("""COMPUTED_VALUE"""),"sis Dino Gerardo Provido dapat kay BABY M sya... kase pareho sila ng kapalaran... Eliza Beth")</f>
        <v>sis Dino Gerardo Provido dapat kay BABY M sya... kase pareho sila ng kapalaran... Eliza Beth</v>
      </c>
      <c r="F2260" s="1">
        <f ca="1">IFERROR(__xludf.DUMMYFUNCTION("""COMPUTED_VALUE"""),1)</f>
        <v>1</v>
      </c>
      <c r="G2260" s="1" t="str">
        <f ca="1">IFERROR(__xludf.DUMMYFUNCTION("""COMPUTED_VALUE"""),"3 mos")</f>
        <v>3 mos</v>
      </c>
      <c r="H2260" s="1" t="str">
        <f ca="1">IFERROR(__xludf.DUMMYFUNCTION("""COMPUTED_VALUE"""),"comment")</f>
        <v>comment</v>
      </c>
      <c r="I2260" s="2" t="str">
        <f ca="1">IFERROR(__xludf.DUMMYFUNCTION("""COMPUTED_VALUE"""),"https://www.facebook.com/rapplerdotcom/photos/a.317154781638645/5594954703858600/")</f>
        <v>https://www.facebook.com/rapplerdotcom/photos/a.317154781638645/5594954703858600/</v>
      </c>
      <c r="J2260" s="1" t="str">
        <f ca="1">IFERROR(__xludf.DUMMYFUNCTION("""COMPUTED_VALUE"""),"2022-07-04T15:48:35.886Z")</f>
        <v>2022-07-04T15:48:35.886Z</v>
      </c>
    </row>
    <row r="2261" spans="1:10" x14ac:dyDescent="0.2">
      <c r="A2261" s="2" t="str">
        <f ca="1">IFERROR(__xludf.DUMMYFUNCTION("""COMPUTED_VALUE"""),"https://www.facebook.com/arlyn.roxas.94")</f>
        <v>https://www.facebook.com/arlyn.roxas.94</v>
      </c>
      <c r="B2261" s="1" t="str">
        <f ca="1">IFERROR(__xludf.DUMMYFUNCTION("""COMPUTED_VALUE"""),"Arlyn Roxas")</f>
        <v>Arlyn Roxas</v>
      </c>
      <c r="C2261" s="1" t="str">
        <f ca="1">IFERROR(__xludf.DUMMYFUNCTION("""COMPUTED_VALUE"""),"Arlyn")</f>
        <v>Arlyn</v>
      </c>
      <c r="D2261" s="1" t="str">
        <f ca="1">IFERROR(__xludf.DUMMYFUNCTION("""COMPUTED_VALUE"""),"Roxas")</f>
        <v>Roxas</v>
      </c>
      <c r="E2261" s="1" t="str">
        <f ca="1">IFERROR(__xludf.DUMMYFUNCTION("""COMPUTED_VALUE"""),"Samut")</f>
        <v>Samut</v>
      </c>
      <c r="F2261" s="1"/>
      <c r="G2261" s="1" t="str">
        <f ca="1">IFERROR(__xludf.DUMMYFUNCTION("""COMPUTED_VALUE"""),"3 mos")</f>
        <v>3 mos</v>
      </c>
      <c r="H2261" s="1" t="str">
        <f ca="1">IFERROR(__xludf.DUMMYFUNCTION("""COMPUTED_VALUE"""),"comment")</f>
        <v>comment</v>
      </c>
      <c r="I2261" s="2" t="str">
        <f ca="1">IFERROR(__xludf.DUMMYFUNCTION("""COMPUTED_VALUE"""),"https://www.facebook.com/rapplerdotcom/photos/a.317154781638645/5594954703858600/")</f>
        <v>https://www.facebook.com/rapplerdotcom/photos/a.317154781638645/5594954703858600/</v>
      </c>
      <c r="J2261" s="1" t="str">
        <f ca="1">IFERROR(__xludf.DUMMYFUNCTION("""COMPUTED_VALUE"""),"2022-07-04T15:48:35.886Z")</f>
        <v>2022-07-04T15:48:35.886Z</v>
      </c>
    </row>
    <row r="2262" spans="1:10" x14ac:dyDescent="0.2">
      <c r="A2262" s="2" t="str">
        <f ca="1">IFERROR(__xludf.DUMMYFUNCTION("""COMPUTED_VALUE"""),"https://www.facebook.com/jb.chua28")</f>
        <v>https://www.facebook.com/jb.chua28</v>
      </c>
      <c r="B2262" s="1" t="str">
        <f ca="1">IFERROR(__xludf.DUMMYFUNCTION("""COMPUTED_VALUE"""),"Chua Jb")</f>
        <v>Chua Jb</v>
      </c>
      <c r="C2262" s="1" t="str">
        <f ca="1">IFERROR(__xludf.DUMMYFUNCTION("""COMPUTED_VALUE"""),"Chua")</f>
        <v>Chua</v>
      </c>
      <c r="D2262" s="1" t="str">
        <f ca="1">IFERROR(__xludf.DUMMYFUNCTION("""COMPUTED_VALUE"""),"Jb")</f>
        <v>Jb</v>
      </c>
      <c r="E2262" s="1" t="str">
        <f ca="1">IFERROR(__xludf.DUMMYFUNCTION("""COMPUTED_VALUE"""),"pres duterte : you are a pretentious leader😅                       credit grabber 😅                        wala kang alam 😅")</f>
        <v>pres duterte : you are a pretentious leader😅                       credit grabber 😅                        wala kang alam 😅</v>
      </c>
      <c r="F2262" s="1"/>
      <c r="G2262" s="1" t="str">
        <f ca="1">IFERROR(__xludf.DUMMYFUNCTION("""COMPUTED_VALUE"""),"3 mos")</f>
        <v>3 mos</v>
      </c>
      <c r="H2262" s="1" t="str">
        <f ca="1">IFERROR(__xludf.DUMMYFUNCTION("""COMPUTED_VALUE"""),"comment")</f>
        <v>comment</v>
      </c>
      <c r="I2262" s="2" t="str">
        <f ca="1">IFERROR(__xludf.DUMMYFUNCTION("""COMPUTED_VALUE"""),"https://www.facebook.com/rapplerdotcom/photos/a.317154781638645/5594954703858600/")</f>
        <v>https://www.facebook.com/rapplerdotcom/photos/a.317154781638645/5594954703858600/</v>
      </c>
      <c r="J2262" s="1" t="str">
        <f ca="1">IFERROR(__xludf.DUMMYFUNCTION("""COMPUTED_VALUE"""),"2022-07-04T15:48:35.886Z")</f>
        <v>2022-07-04T15:48:35.886Z</v>
      </c>
    </row>
    <row r="2263" spans="1:10" x14ac:dyDescent="0.2">
      <c r="A2263" s="2" t="str">
        <f ca="1">IFERROR(__xludf.DUMMYFUNCTION("""COMPUTED_VALUE"""),"https://www.facebook.com/allen.aguilar.58")</f>
        <v>https://www.facebook.com/allen.aguilar.58</v>
      </c>
      <c r="B2263" s="1" t="str">
        <f ca="1">IFERROR(__xludf.DUMMYFUNCTION("""COMPUTED_VALUE"""),"Allen Aguilar")</f>
        <v>Allen Aguilar</v>
      </c>
      <c r="C2263" s="1" t="str">
        <f ca="1">IFERROR(__xludf.DUMMYFUNCTION("""COMPUTED_VALUE"""),"Allen")</f>
        <v>Allen</v>
      </c>
      <c r="D2263" s="1" t="str">
        <f ca="1">IFERROR(__xludf.DUMMYFUNCTION("""COMPUTED_VALUE"""),"Aguilar")</f>
        <v>Aguilar</v>
      </c>
      <c r="E2263" s="1" t="str">
        <f ca="1">IFERROR(__xludf.DUMMYFUNCTION("""COMPUTED_VALUE"""),"Bawas boto")</f>
        <v>Bawas boto</v>
      </c>
      <c r="F2263" s="1"/>
      <c r="G2263" s="1" t="str">
        <f ca="1">IFERROR(__xludf.DUMMYFUNCTION("""COMPUTED_VALUE"""),"3 mos")</f>
        <v>3 mos</v>
      </c>
      <c r="H2263" s="1" t="str">
        <f ca="1">IFERROR(__xludf.DUMMYFUNCTION("""COMPUTED_VALUE"""),"comment")</f>
        <v>comment</v>
      </c>
      <c r="I2263" s="2" t="str">
        <f ca="1">IFERROR(__xludf.DUMMYFUNCTION("""COMPUTED_VALUE"""),"https://www.facebook.com/rapplerdotcom/photos/a.317154781638645/5594954703858600/")</f>
        <v>https://www.facebook.com/rapplerdotcom/photos/a.317154781638645/5594954703858600/</v>
      </c>
      <c r="J2263" s="1" t="str">
        <f ca="1">IFERROR(__xludf.DUMMYFUNCTION("""COMPUTED_VALUE"""),"2022-07-04T15:48:35.886Z")</f>
        <v>2022-07-04T15:48:35.886Z</v>
      </c>
    </row>
    <row r="2264" spans="1:10" x14ac:dyDescent="0.2">
      <c r="A2264" s="2" t="str">
        <f ca="1">IFERROR(__xludf.DUMMYFUNCTION("""COMPUTED_VALUE"""),"https://www.facebook.com/carlito.almonte.779")</f>
        <v>https://www.facebook.com/carlito.almonte.779</v>
      </c>
      <c r="B2264" s="1" t="str">
        <f ca="1">IFERROR(__xludf.DUMMYFUNCTION("""COMPUTED_VALUE"""),"Carlito Almonte")</f>
        <v>Carlito Almonte</v>
      </c>
      <c r="C2264" s="1" t="str">
        <f ca="1">IFERROR(__xludf.DUMMYFUNCTION("""COMPUTED_VALUE"""),"Carlito")</f>
        <v>Carlito</v>
      </c>
      <c r="D2264" s="1" t="str">
        <f ca="1">IFERROR(__xludf.DUMMYFUNCTION("""COMPUTED_VALUE"""),"Almonte")</f>
        <v>Almonte</v>
      </c>
      <c r="E2264" s="1" t="str">
        <f ca="1">IFERROR(__xludf.DUMMYFUNCTION("""COMPUTED_VALUE"""),"Wow..nagsama na Ang mga Aquinotards..")</f>
        <v>Wow..nagsama na Ang mga Aquinotards..</v>
      </c>
      <c r="F2264" s="1"/>
      <c r="G2264" s="1" t="str">
        <f ca="1">IFERROR(__xludf.DUMMYFUNCTION("""COMPUTED_VALUE"""),"3 mos")</f>
        <v>3 mos</v>
      </c>
      <c r="H2264" s="1" t="str">
        <f ca="1">IFERROR(__xludf.DUMMYFUNCTION("""COMPUTED_VALUE"""),"comment")</f>
        <v>comment</v>
      </c>
      <c r="I2264" s="2" t="str">
        <f ca="1">IFERROR(__xludf.DUMMYFUNCTION("""COMPUTED_VALUE"""),"https://www.facebook.com/rapplerdotcom/photos/a.317154781638645/5594954703858600/")</f>
        <v>https://www.facebook.com/rapplerdotcom/photos/a.317154781638645/5594954703858600/</v>
      </c>
      <c r="J2264" s="1" t="str">
        <f ca="1">IFERROR(__xludf.DUMMYFUNCTION("""COMPUTED_VALUE"""),"2022-07-04T15:48:35.886Z")</f>
        <v>2022-07-04T15:48:35.886Z</v>
      </c>
    </row>
    <row r="2265" spans="1:10" x14ac:dyDescent="0.2">
      <c r="A2265" s="2" t="str">
        <f ca="1">IFERROR(__xludf.DUMMYFUNCTION("""COMPUTED_VALUE"""),"https://www.facebook.com/junplaz")</f>
        <v>https://www.facebook.com/junplaz</v>
      </c>
      <c r="B2265" s="1" t="str">
        <f ca="1">IFERROR(__xludf.DUMMYFUNCTION("""COMPUTED_VALUE"""),"Jun Plaza")</f>
        <v>Jun Plaza</v>
      </c>
      <c r="C2265" s="1" t="str">
        <f ca="1">IFERROR(__xludf.DUMMYFUNCTION("""COMPUTED_VALUE"""),"Jun")</f>
        <v>Jun</v>
      </c>
      <c r="D2265" s="1" t="str">
        <f ca="1">IFERROR(__xludf.DUMMYFUNCTION("""COMPUTED_VALUE"""),"Plaza")</f>
        <v>Plaza</v>
      </c>
      <c r="E2265" s="1" t="str">
        <f ca="1">IFERROR(__xludf.DUMMYFUNCTION("""COMPUTED_VALUE"""),"Lalong masisira si robredo dahil sa ginawa ni mar sa yolanda at kilalang kurap yan si mar")</f>
        <v>Lalong masisira si robredo dahil sa ginawa ni mar sa yolanda at kilalang kurap yan si mar</v>
      </c>
      <c r="F2265" s="1">
        <f ca="1">IFERROR(__xludf.DUMMYFUNCTION("""COMPUTED_VALUE"""),1)</f>
        <v>1</v>
      </c>
      <c r="G2265" s="1" t="str">
        <f ca="1">IFERROR(__xludf.DUMMYFUNCTION("""COMPUTED_VALUE"""),"3 mos")</f>
        <v>3 mos</v>
      </c>
      <c r="H2265" s="1" t="str">
        <f ca="1">IFERROR(__xludf.DUMMYFUNCTION("""COMPUTED_VALUE"""),"comment")</f>
        <v>comment</v>
      </c>
      <c r="I2265" s="2" t="str">
        <f ca="1">IFERROR(__xludf.DUMMYFUNCTION("""COMPUTED_VALUE"""),"https://www.facebook.com/rapplerdotcom/photos/a.317154781638645/5594954703858600/")</f>
        <v>https://www.facebook.com/rapplerdotcom/photos/a.317154781638645/5594954703858600/</v>
      </c>
      <c r="J2265" s="1" t="str">
        <f ca="1">IFERROR(__xludf.DUMMYFUNCTION("""COMPUTED_VALUE"""),"2022-07-04T15:48:35.886Z")</f>
        <v>2022-07-04T15:48:35.886Z</v>
      </c>
    </row>
    <row r="2266" spans="1:10" x14ac:dyDescent="0.2">
      <c r="A2266" s="2" t="str">
        <f ca="1">IFERROR(__xludf.DUMMYFUNCTION("""COMPUTED_VALUE"""),"https://www.facebook.com/profile.php?id=100079181871183")</f>
        <v>https://www.facebook.com/profile.php?id=100079181871183</v>
      </c>
      <c r="B2266" s="1" t="str">
        <f ca="1">IFERROR(__xludf.DUMMYFUNCTION("""COMPUTED_VALUE"""),"Jon Delano")</f>
        <v>Jon Delano</v>
      </c>
      <c r="C2266" s="1" t="str">
        <f ca="1">IFERROR(__xludf.DUMMYFUNCTION("""COMPUTED_VALUE"""),"Jon")</f>
        <v>Jon</v>
      </c>
      <c r="D2266" s="1" t="str">
        <f ca="1">IFERROR(__xludf.DUMMYFUNCTION("""COMPUTED_VALUE"""),"Delano")</f>
        <v>Delano</v>
      </c>
      <c r="E2266" s="1" t="str">
        <f ca="1">IFERROR(__xludf.DUMMYFUNCTION("""COMPUTED_VALUE"""),"This is the end for kakampon. Lumabas na si Mang Maru. 🤣🤣🤣")</f>
        <v>This is the end for kakampon. Lumabas na si Mang Maru. 🤣🤣🤣</v>
      </c>
      <c r="F2266" s="1">
        <f ca="1">IFERROR(__xludf.DUMMYFUNCTION("""COMPUTED_VALUE"""),8)</f>
        <v>8</v>
      </c>
      <c r="G2266" s="1" t="str">
        <f ca="1">IFERROR(__xludf.DUMMYFUNCTION("""COMPUTED_VALUE"""),"3 mos")</f>
        <v>3 mos</v>
      </c>
      <c r="H2266" s="1" t="str">
        <f ca="1">IFERROR(__xludf.DUMMYFUNCTION("""COMPUTED_VALUE"""),"comment")</f>
        <v>comment</v>
      </c>
      <c r="I2266" s="2" t="str">
        <f ca="1">IFERROR(__xludf.DUMMYFUNCTION("""COMPUTED_VALUE"""),"https://www.facebook.com/rapplerdotcom/photos/a.317154781638645/5594954703858600/")</f>
        <v>https://www.facebook.com/rapplerdotcom/photos/a.317154781638645/5594954703858600/</v>
      </c>
      <c r="J2266" s="1" t="str">
        <f ca="1">IFERROR(__xludf.DUMMYFUNCTION("""COMPUTED_VALUE"""),"2022-07-04T15:48:35.886Z")</f>
        <v>2022-07-04T15:48:35.886Z</v>
      </c>
    </row>
    <row r="2267" spans="1:10" x14ac:dyDescent="0.2">
      <c r="A2267" s="2" t="str">
        <f ca="1">IFERROR(__xludf.DUMMYFUNCTION("""COMPUTED_VALUE"""),"https://www.facebook.com/profile.php?id=100077494915560")</f>
        <v>https://www.facebook.com/profile.php?id=100077494915560</v>
      </c>
      <c r="B2267" s="1" t="str">
        <f ca="1">IFERROR(__xludf.DUMMYFUNCTION("""COMPUTED_VALUE"""),"Manuel Perez")</f>
        <v>Manuel Perez</v>
      </c>
      <c r="C2267" s="1" t="str">
        <f ca="1">IFERROR(__xludf.DUMMYFUNCTION("""COMPUTED_VALUE"""),"Manuel")</f>
        <v>Manuel</v>
      </c>
      <c r="D2267" s="1" t="str">
        <f ca="1">IFERROR(__xludf.DUMMYFUNCTION("""COMPUTED_VALUE"""),"Perez")</f>
        <v>Perez</v>
      </c>
      <c r="E2267" s="1" t="str">
        <f ca="1">IFERROR(__xludf.DUMMYFUNCTION("""COMPUTED_VALUE"""),"paanu nyu nasabi ?")</f>
        <v>paanu nyu nasabi ?</v>
      </c>
      <c r="F2267" s="1"/>
      <c r="G2267" s="1" t="str">
        <f ca="1">IFERROR(__xludf.DUMMYFUNCTION("""COMPUTED_VALUE"""),"3 mos")</f>
        <v>3 mos</v>
      </c>
      <c r="H2267" s="1" t="str">
        <f ca="1">IFERROR(__xludf.DUMMYFUNCTION("""COMPUTED_VALUE"""),"reply")</f>
        <v>reply</v>
      </c>
      <c r="I2267" s="2" t="str">
        <f ca="1">IFERROR(__xludf.DUMMYFUNCTION("""COMPUTED_VALUE"""),"https://www.facebook.com/rapplerdotcom/photos/a.317154781638645/5594954703858600/")</f>
        <v>https://www.facebook.com/rapplerdotcom/photos/a.317154781638645/5594954703858600/</v>
      </c>
      <c r="J2267" s="1" t="str">
        <f ca="1">IFERROR(__xludf.DUMMYFUNCTION("""COMPUTED_VALUE"""),"2022-07-04T15:48:35.886Z")</f>
        <v>2022-07-04T15:48:35.886Z</v>
      </c>
    </row>
    <row r="2268" spans="1:10" x14ac:dyDescent="0.2">
      <c r="A2268" s="2" t="str">
        <f ca="1">IFERROR(__xludf.DUMMYFUNCTION("""COMPUTED_VALUE"""),"https://www.facebook.com/AMSIQTPI")</f>
        <v>https://www.facebook.com/AMSIQTPI</v>
      </c>
      <c r="B2268" s="1" t="str">
        <f ca="1">IFERROR(__xludf.DUMMYFUNCTION("""COMPUTED_VALUE"""),"Anne Mylene")</f>
        <v>Anne Mylene</v>
      </c>
      <c r="C2268" s="1" t="str">
        <f ca="1">IFERROR(__xludf.DUMMYFUNCTION("""COMPUTED_VALUE"""),"Anne")</f>
        <v>Anne</v>
      </c>
      <c r="D2268" s="1" t="str">
        <f ca="1">IFERROR(__xludf.DUMMYFUNCTION("""COMPUTED_VALUE"""),"Mylene")</f>
        <v>Mylene</v>
      </c>
      <c r="E2268" s="1" t="str">
        <f ca="1">IFERROR(__xludf.DUMMYFUNCTION("""COMPUTED_VALUE"""),"Tumatakbo Siya?")</f>
        <v>Tumatakbo Siya?</v>
      </c>
      <c r="F2268" s="1"/>
      <c r="G2268" s="1" t="str">
        <f ca="1">IFERROR(__xludf.DUMMYFUNCTION("""COMPUTED_VALUE"""),"3 mos")</f>
        <v>3 mos</v>
      </c>
      <c r="H2268" s="1" t="str">
        <f ca="1">IFERROR(__xludf.DUMMYFUNCTION("""COMPUTED_VALUE"""),"comment")</f>
        <v>comment</v>
      </c>
      <c r="I2268" s="2" t="str">
        <f ca="1">IFERROR(__xludf.DUMMYFUNCTION("""COMPUTED_VALUE"""),"https://www.facebook.com/rapplerdotcom/photos/a.317154781638645/5594954703858600/")</f>
        <v>https://www.facebook.com/rapplerdotcom/photos/a.317154781638645/5594954703858600/</v>
      </c>
      <c r="J2268" s="1" t="str">
        <f ca="1">IFERROR(__xludf.DUMMYFUNCTION("""COMPUTED_VALUE"""),"2022-07-04T15:48:35.886Z")</f>
        <v>2022-07-04T15:48:35.886Z</v>
      </c>
    </row>
    <row r="2269" spans="1:10" x14ac:dyDescent="0.2">
      <c r="A2269" s="2" t="str">
        <f ca="1">IFERROR(__xludf.DUMMYFUNCTION("""COMPUTED_VALUE"""),"https://www.facebook.com/kyric.sirving01")</f>
        <v>https://www.facebook.com/kyric.sirving01</v>
      </c>
      <c r="B2269" s="1" t="str">
        <f ca="1">IFERROR(__xludf.DUMMYFUNCTION("""COMPUTED_VALUE"""),"Enrico Folsra")</f>
        <v>Enrico Folsra</v>
      </c>
      <c r="C2269" s="1" t="str">
        <f ca="1">IFERROR(__xludf.DUMMYFUNCTION("""COMPUTED_VALUE"""),"Enrico")</f>
        <v>Enrico</v>
      </c>
      <c r="D2269" s="1" t="str">
        <f ca="1">IFERROR(__xludf.DUMMYFUNCTION("""COMPUTED_VALUE"""),"Folsra")</f>
        <v>Folsra</v>
      </c>
      <c r="E2269" s="1" t="str">
        <f ca="1">IFERROR(__xludf.DUMMYFUNCTION("""COMPUTED_VALUE"""),"Put@ngina ano ba to?!!!")</f>
        <v>Put@ngina ano ba to?!!!</v>
      </c>
      <c r="F2269" s="1"/>
      <c r="G2269" s="1" t="str">
        <f ca="1">IFERROR(__xludf.DUMMYFUNCTION("""COMPUTED_VALUE"""),"3 mos")</f>
        <v>3 mos</v>
      </c>
      <c r="H2269" s="1" t="str">
        <f ca="1">IFERROR(__xludf.DUMMYFUNCTION("""COMPUTED_VALUE"""),"comment")</f>
        <v>comment</v>
      </c>
      <c r="I2269" s="2" t="str">
        <f ca="1">IFERROR(__xludf.DUMMYFUNCTION("""COMPUTED_VALUE"""),"https://www.facebook.com/rapplerdotcom/photos/a.317154781638645/5594954703858600/")</f>
        <v>https://www.facebook.com/rapplerdotcom/photos/a.317154781638645/5594954703858600/</v>
      </c>
      <c r="J2269" s="1" t="str">
        <f ca="1">IFERROR(__xludf.DUMMYFUNCTION("""COMPUTED_VALUE"""),"2022-07-04T15:48:35.886Z")</f>
        <v>2022-07-04T15:48:35.886Z</v>
      </c>
    </row>
    <row r="2270" spans="1:10" x14ac:dyDescent="0.2">
      <c r="A2270" s="2" t="str">
        <f ca="1">IFERROR(__xludf.DUMMYFUNCTION("""COMPUTED_VALUE"""),"https://www.facebook.com/profile.php?id=100070149226427")</f>
        <v>https://www.facebook.com/profile.php?id=100070149226427</v>
      </c>
      <c r="B2270" s="1" t="str">
        <f ca="1">IFERROR(__xludf.DUMMYFUNCTION("""COMPUTED_VALUE"""),"Mhar Naning")</f>
        <v>Mhar Naning</v>
      </c>
      <c r="C2270" s="1" t="str">
        <f ca="1">IFERROR(__xludf.DUMMYFUNCTION("""COMPUTED_VALUE"""),"Mhar")</f>
        <v>Mhar</v>
      </c>
      <c r="D2270" s="1" t="str">
        <f ca="1">IFERROR(__xludf.DUMMYFUNCTION("""COMPUTED_VALUE"""),"Naning")</f>
        <v>Naning</v>
      </c>
      <c r="E2270" s="1" t="str">
        <f ca="1">IFERROR(__xludf.DUMMYFUNCTION("""COMPUTED_VALUE"""),"Magaling mamangka si mar roxas. Hes good on both sides.")</f>
        <v>Magaling mamangka si mar roxas. Hes good on both sides.</v>
      </c>
      <c r="F2270" s="1"/>
      <c r="G2270" s="1" t="str">
        <f ca="1">IFERROR(__xludf.DUMMYFUNCTION("""COMPUTED_VALUE"""),"3 mos")</f>
        <v>3 mos</v>
      </c>
      <c r="H2270" s="1" t="str">
        <f ca="1">IFERROR(__xludf.DUMMYFUNCTION("""COMPUTED_VALUE"""),"comment")</f>
        <v>comment</v>
      </c>
      <c r="I2270" s="2" t="str">
        <f ca="1">IFERROR(__xludf.DUMMYFUNCTION("""COMPUTED_VALUE"""),"https://www.facebook.com/rapplerdotcom/photos/a.317154781638645/5594954703858600/")</f>
        <v>https://www.facebook.com/rapplerdotcom/photos/a.317154781638645/5594954703858600/</v>
      </c>
      <c r="J2270" s="1" t="str">
        <f ca="1">IFERROR(__xludf.DUMMYFUNCTION("""COMPUTED_VALUE"""),"2022-07-04T15:48:35.886Z")</f>
        <v>2022-07-04T15:48:35.886Z</v>
      </c>
    </row>
    <row r="2271" spans="1:10" x14ac:dyDescent="0.2">
      <c r="A2271" s="2" t="str">
        <f ca="1">IFERROR(__xludf.DUMMYFUNCTION("""COMPUTED_VALUE"""),"https://www.facebook.com/denise.v.gatuslao")</f>
        <v>https://www.facebook.com/denise.v.gatuslao</v>
      </c>
      <c r="B2271" s="1" t="str">
        <f ca="1">IFERROR(__xludf.DUMMYFUNCTION("""COMPUTED_VALUE"""),"Denise Varela Gatuslao")</f>
        <v>Denise Varela Gatuslao</v>
      </c>
      <c r="C2271" s="1" t="str">
        <f ca="1">IFERROR(__xludf.DUMMYFUNCTION("""COMPUTED_VALUE"""),"Denise")</f>
        <v>Denise</v>
      </c>
      <c r="D2271" s="1" t="str">
        <f ca="1">IFERROR(__xludf.DUMMYFUNCTION("""COMPUTED_VALUE"""),"Varela Gatuslao")</f>
        <v>Varela Gatuslao</v>
      </c>
      <c r="E2271" s="1" t="str">
        <f ca="1">IFERROR(__xludf.DUMMYFUNCTION("""COMPUTED_VALUE"""),"#LeniKiko2022 #LeniKikoAllTheWay #GobyernongTapatAngatBuhayLahat")</f>
        <v>#LeniKiko2022 #LeniKikoAllTheWay #GobyernongTapatAngatBuhayLahat</v>
      </c>
      <c r="F2271" s="1">
        <f ca="1">IFERROR(__xludf.DUMMYFUNCTION("""COMPUTED_VALUE"""),10)</f>
        <v>10</v>
      </c>
      <c r="G2271" s="1" t="str">
        <f ca="1">IFERROR(__xludf.DUMMYFUNCTION("""COMPUTED_VALUE"""),"3 mos")</f>
        <v>3 mos</v>
      </c>
      <c r="H2271" s="1" t="str">
        <f ca="1">IFERROR(__xludf.DUMMYFUNCTION("""COMPUTED_VALUE"""),"comment")</f>
        <v>comment</v>
      </c>
      <c r="I2271" s="2" t="str">
        <f ca="1">IFERROR(__xludf.DUMMYFUNCTION("""COMPUTED_VALUE"""),"https://www.facebook.com/rapplerdotcom/photos/a.317154781638645/5594954703858600/")</f>
        <v>https://www.facebook.com/rapplerdotcom/photos/a.317154781638645/5594954703858600/</v>
      </c>
      <c r="J2271" s="1" t="str">
        <f ca="1">IFERROR(__xludf.DUMMYFUNCTION("""COMPUTED_VALUE"""),"2022-07-04T15:48:35.886Z")</f>
        <v>2022-07-04T15:48:35.886Z</v>
      </c>
    </row>
    <row r="2272" spans="1:10" x14ac:dyDescent="0.2">
      <c r="A2272" s="2" t="str">
        <f ca="1">IFERROR(__xludf.DUMMYFUNCTION("""COMPUTED_VALUE"""),"https://www.facebook.com/joshybanez")</f>
        <v>https://www.facebook.com/joshybanez</v>
      </c>
      <c r="B2272" s="1" t="str">
        <f ca="1">IFERROR(__xludf.DUMMYFUNCTION("""COMPUTED_VALUE"""),"Josh Ybañez")</f>
        <v>Josh Ybañez</v>
      </c>
      <c r="C2272" s="1" t="str">
        <f ca="1">IFERROR(__xludf.DUMMYFUNCTION("""COMPUTED_VALUE"""),"Josh")</f>
        <v>Josh</v>
      </c>
      <c r="D2272" s="1" t="str">
        <f ca="1">IFERROR(__xludf.DUMMYFUNCTION("""COMPUTED_VALUE"""),"Ybañez")</f>
        <v>Ybañez</v>
      </c>
      <c r="E2272" s="1" t="str">
        <f ca="1">IFERROR(__xludf.DUMMYFUNCTION("""COMPUTED_VALUE"""),"#LeniKiko2022")</f>
        <v>#LeniKiko2022</v>
      </c>
      <c r="F2272" s="1"/>
      <c r="G2272" s="1" t="str">
        <f ca="1">IFERROR(__xludf.DUMMYFUNCTION("""COMPUTED_VALUE"""),"3 mos")</f>
        <v>3 mos</v>
      </c>
      <c r="H2272" s="1" t="str">
        <f ca="1">IFERROR(__xludf.DUMMYFUNCTION("""COMPUTED_VALUE"""),"comment")</f>
        <v>comment</v>
      </c>
      <c r="I2272" s="2" t="str">
        <f ca="1">IFERROR(__xludf.DUMMYFUNCTION("""COMPUTED_VALUE"""),"https://www.facebook.com/rapplerdotcom/photos/a.317154781638645/5594954703858600/")</f>
        <v>https://www.facebook.com/rapplerdotcom/photos/a.317154781638645/5594954703858600/</v>
      </c>
      <c r="J2272" s="1" t="str">
        <f ca="1">IFERROR(__xludf.DUMMYFUNCTION("""COMPUTED_VALUE"""),"2022-07-04T15:48:35.886Z")</f>
        <v>2022-07-04T15:48:35.886Z</v>
      </c>
    </row>
    <row r="2273" spans="1:10" x14ac:dyDescent="0.2">
      <c r="A2273" s="2" t="str">
        <f ca="1">IFERROR(__xludf.DUMMYFUNCTION("""COMPUTED_VALUE"""),"https://www.facebook.com/dr.julius.uy")</f>
        <v>https://www.facebook.com/dr.julius.uy</v>
      </c>
      <c r="B2273" s="1" t="str">
        <f ca="1">IFERROR(__xludf.DUMMYFUNCTION("""COMPUTED_VALUE"""),"Julius Uy")</f>
        <v>Julius Uy</v>
      </c>
      <c r="C2273" s="1" t="str">
        <f ca="1">IFERROR(__xludf.DUMMYFUNCTION("""COMPUTED_VALUE"""),"Julius")</f>
        <v>Julius</v>
      </c>
      <c r="D2273" s="1" t="str">
        <f ca="1">IFERROR(__xludf.DUMMYFUNCTION("""COMPUTED_VALUE"""),"Uy")</f>
        <v>Uy</v>
      </c>
      <c r="E2273" s="1" t="str">
        <f ca="1">IFERROR(__xludf.DUMMYFUNCTION("""COMPUTED_VALUE"""),"#RosasAngKulayNgBukas #GobyernongTapatAngatBuhayLahat #KayLeniKikoPanaloAngPilipino #HusayAtTibay #BangonPilipinas #TaraIpanalNaNa10To")</f>
        <v>#RosasAngKulayNgBukas #GobyernongTapatAngatBuhayLahat #KayLeniKikoPanaloAngPilipino #HusayAtTibay #BangonPilipinas #TaraIpanalNaNa10To</v>
      </c>
      <c r="F2273" s="1">
        <f ca="1">IFERROR(__xludf.DUMMYFUNCTION("""COMPUTED_VALUE"""),2)</f>
        <v>2</v>
      </c>
      <c r="G2273" s="1" t="str">
        <f ca="1">IFERROR(__xludf.DUMMYFUNCTION("""COMPUTED_VALUE"""),"3 mos")</f>
        <v>3 mos</v>
      </c>
      <c r="H2273" s="1" t="str">
        <f ca="1">IFERROR(__xludf.DUMMYFUNCTION("""COMPUTED_VALUE"""),"comment")</f>
        <v>comment</v>
      </c>
      <c r="I2273" s="2" t="str">
        <f ca="1">IFERROR(__xludf.DUMMYFUNCTION("""COMPUTED_VALUE"""),"https://www.facebook.com/rapplerdotcom/photos/a.317154781638645/5594954703858600/")</f>
        <v>https://www.facebook.com/rapplerdotcom/photos/a.317154781638645/5594954703858600/</v>
      </c>
      <c r="J2273" s="1" t="str">
        <f ca="1">IFERROR(__xludf.DUMMYFUNCTION("""COMPUTED_VALUE"""),"2022-07-04T15:48:35.886Z")</f>
        <v>2022-07-04T15:48:35.886Z</v>
      </c>
    </row>
    <row r="2274" spans="1:10" x14ac:dyDescent="0.2">
      <c r="A2274" s="2" t="str">
        <f ca="1">IFERROR(__xludf.DUMMYFUNCTION("""COMPUTED_VALUE"""),"https://www.facebook.com/pepe.ledesma.7140")</f>
        <v>https://www.facebook.com/pepe.ledesma.7140</v>
      </c>
      <c r="B2274" s="1" t="str">
        <f ca="1">IFERROR(__xludf.DUMMYFUNCTION("""COMPUTED_VALUE"""),"Pepe Ledesma")</f>
        <v>Pepe Ledesma</v>
      </c>
      <c r="C2274" s="1" t="str">
        <f ca="1">IFERROR(__xludf.DUMMYFUNCTION("""COMPUTED_VALUE"""),"Pepe")</f>
        <v>Pepe</v>
      </c>
      <c r="D2274" s="1" t="str">
        <f ca="1">IFERROR(__xludf.DUMMYFUNCTION("""COMPUTED_VALUE"""),"Ledesma")</f>
        <v>Ledesma</v>
      </c>
      <c r="E2274" s="1" t="str">
        <f ca="1">IFERROR(__xludf.DUMMYFUNCTION("""COMPUTED_VALUE"""),"#GobyernongTapatAngatBuhayLahat #RosasAngKulayNgBukas #KayLeniKikoPanaloAngPilipino #BangonPilipinas #TaraIpanaloNaNa10To")</f>
        <v>#GobyernongTapatAngatBuhayLahat #RosasAngKulayNgBukas #KayLeniKikoPanaloAngPilipino #BangonPilipinas #TaraIpanaloNaNa10To</v>
      </c>
      <c r="F2274" s="1">
        <f ca="1">IFERROR(__xludf.DUMMYFUNCTION("""COMPUTED_VALUE"""),2)</f>
        <v>2</v>
      </c>
      <c r="G2274" s="1" t="str">
        <f ca="1">IFERROR(__xludf.DUMMYFUNCTION("""COMPUTED_VALUE"""),"3 mos")</f>
        <v>3 mos</v>
      </c>
      <c r="H2274" s="1" t="str">
        <f ca="1">IFERROR(__xludf.DUMMYFUNCTION("""COMPUTED_VALUE"""),"comment")</f>
        <v>comment</v>
      </c>
      <c r="I2274" s="2" t="str">
        <f ca="1">IFERROR(__xludf.DUMMYFUNCTION("""COMPUTED_VALUE"""),"https://www.facebook.com/rapplerdotcom/photos/a.317154781638645/5594954703858600/")</f>
        <v>https://www.facebook.com/rapplerdotcom/photos/a.317154781638645/5594954703858600/</v>
      </c>
      <c r="J2274" s="1" t="str">
        <f ca="1">IFERROR(__xludf.DUMMYFUNCTION("""COMPUTED_VALUE"""),"2022-07-04T15:48:35.886Z")</f>
        <v>2022-07-04T15:48:35.886Z</v>
      </c>
    </row>
    <row r="2275" spans="1:10" x14ac:dyDescent="0.2">
      <c r="A2275" s="2" t="str">
        <f ca="1">IFERROR(__xludf.DUMMYFUNCTION("""COMPUTED_VALUE"""),"https://www.facebook.com/acsaudi")</f>
        <v>https://www.facebook.com/acsaudi</v>
      </c>
      <c r="B2275" s="1" t="str">
        <f ca="1">IFERROR(__xludf.DUMMYFUNCTION("""COMPUTED_VALUE"""),"Arlene Saudi")</f>
        <v>Arlene Saudi</v>
      </c>
      <c r="C2275" s="1" t="str">
        <f ca="1">IFERROR(__xludf.DUMMYFUNCTION("""COMPUTED_VALUE"""),"Arlene")</f>
        <v>Arlene</v>
      </c>
      <c r="D2275" s="1" t="str">
        <f ca="1">IFERROR(__xludf.DUMMYFUNCTION("""COMPUTED_VALUE"""),"Saudi")</f>
        <v>Saudi</v>
      </c>
      <c r="E2275" s="1" t="str">
        <f ca="1">IFERROR(__xludf.DUMMYFUNCTION("""COMPUTED_VALUE"""),"#LeniKiko2022  #LeniKikoTeam2022  #KulayRosasAngBukas  #AngatBuhayLahatKayLeniKiko")</f>
        <v>#LeniKiko2022  #LeniKikoTeam2022  #KulayRosasAngBukas  #AngatBuhayLahatKayLeniKiko</v>
      </c>
      <c r="F2275" s="1">
        <f ca="1">IFERROR(__xludf.DUMMYFUNCTION("""COMPUTED_VALUE"""),6)</f>
        <v>6</v>
      </c>
      <c r="G2275" s="1" t="str">
        <f ca="1">IFERROR(__xludf.DUMMYFUNCTION("""COMPUTED_VALUE"""),"3 mos")</f>
        <v>3 mos</v>
      </c>
      <c r="H2275" s="1" t="str">
        <f ca="1">IFERROR(__xludf.DUMMYFUNCTION("""COMPUTED_VALUE"""),"comment")</f>
        <v>comment</v>
      </c>
      <c r="I2275" s="2" t="str">
        <f ca="1">IFERROR(__xludf.DUMMYFUNCTION("""COMPUTED_VALUE"""),"https://www.facebook.com/rapplerdotcom/photos/a.317154781638645/5594954703858600/")</f>
        <v>https://www.facebook.com/rapplerdotcom/photos/a.317154781638645/5594954703858600/</v>
      </c>
      <c r="J2275" s="1" t="str">
        <f ca="1">IFERROR(__xludf.DUMMYFUNCTION("""COMPUTED_VALUE"""),"2022-07-04T15:48:35.886Z")</f>
        <v>2022-07-04T15:48:35.886Z</v>
      </c>
    </row>
    <row r="2276" spans="1:10" x14ac:dyDescent="0.2">
      <c r="A2276" s="2" t="str">
        <f ca="1">IFERROR(__xludf.DUMMYFUNCTION("""COMPUTED_VALUE"""),"https://www.facebook.com/camilabayenyap")</f>
        <v>https://www.facebook.com/camilabayenyap</v>
      </c>
      <c r="B2276" s="1" t="str">
        <f ca="1">IFERROR(__xludf.DUMMYFUNCTION("""COMPUTED_VALUE"""),"Camille Labayen-Yap")</f>
        <v>Camille Labayen-Yap</v>
      </c>
      <c r="C2276" s="1" t="str">
        <f ca="1">IFERROR(__xludf.DUMMYFUNCTION("""COMPUTED_VALUE"""),"Camille")</f>
        <v>Camille</v>
      </c>
      <c r="D2276" s="1" t="str">
        <f ca="1">IFERROR(__xludf.DUMMYFUNCTION("""COMPUTED_VALUE"""),"Labayen-Yap")</f>
        <v>Labayen-Yap</v>
      </c>
      <c r="E2276" s="1" t="str">
        <f ca="1">IFERROR(__xludf.DUMMYFUNCTION("""COMPUTED_VALUE"""),"#LeniKiko2022  #LeniKikoTeam2022  #KulayRosasAngBukas  #AngatBuhayLahatKayLeniKiko")</f>
        <v>#LeniKiko2022  #LeniKikoTeam2022  #KulayRosasAngBukas  #AngatBuhayLahatKayLeniKiko</v>
      </c>
      <c r="F2276" s="1">
        <f ca="1">IFERROR(__xludf.DUMMYFUNCTION("""COMPUTED_VALUE"""),4)</f>
        <v>4</v>
      </c>
      <c r="G2276" s="1" t="str">
        <f ca="1">IFERROR(__xludf.DUMMYFUNCTION("""COMPUTED_VALUE"""),"3 mos")</f>
        <v>3 mos</v>
      </c>
      <c r="H2276" s="1" t="str">
        <f ca="1">IFERROR(__xludf.DUMMYFUNCTION("""COMPUTED_VALUE"""),"comment")</f>
        <v>comment</v>
      </c>
      <c r="I2276" s="2" t="str">
        <f ca="1">IFERROR(__xludf.DUMMYFUNCTION("""COMPUTED_VALUE"""),"https://www.facebook.com/rapplerdotcom/photos/a.317154781638645/5594954703858600/")</f>
        <v>https://www.facebook.com/rapplerdotcom/photos/a.317154781638645/5594954703858600/</v>
      </c>
      <c r="J2276" s="1" t="str">
        <f ca="1">IFERROR(__xludf.DUMMYFUNCTION("""COMPUTED_VALUE"""),"2022-07-04T15:48:35.886Z")</f>
        <v>2022-07-04T15:48:35.886Z</v>
      </c>
    </row>
    <row r="2277" spans="1:10" x14ac:dyDescent="0.2">
      <c r="A2277" s="2" t="str">
        <f ca="1">IFERROR(__xludf.DUMMYFUNCTION("""COMPUTED_VALUE"""),"https://www.facebook.com/johndiazcortez")</f>
        <v>https://www.facebook.com/johndiazcortez</v>
      </c>
      <c r="B2277" s="1" t="str">
        <f ca="1">IFERROR(__xludf.DUMMYFUNCTION("""COMPUTED_VALUE"""),"John Diaz Cortez")</f>
        <v>John Diaz Cortez</v>
      </c>
      <c r="C2277" s="1" t="str">
        <f ca="1">IFERROR(__xludf.DUMMYFUNCTION("""COMPUTED_VALUE"""),"John")</f>
        <v>John</v>
      </c>
      <c r="D2277" s="1" t="str">
        <f ca="1">IFERROR(__xludf.DUMMYFUNCTION("""COMPUTED_VALUE"""),"Diaz Cortez")</f>
        <v>Diaz Cortez</v>
      </c>
      <c r="E2277" s="1" t="str">
        <f ca="1">IFERROR(__xludf.DUMMYFUNCTION("""COMPUTED_VALUE"""),"#PinkRevolution  #KakamPINK #LetLeniLead #LeniKiko2022 #AngatBuhayLahat #KulayRosasAngBukas")</f>
        <v>#PinkRevolution  #KakamPINK #LetLeniLead #LeniKiko2022 #AngatBuhayLahat #KulayRosasAngBukas</v>
      </c>
      <c r="F2277" s="1">
        <f ca="1">IFERROR(__xludf.DUMMYFUNCTION("""COMPUTED_VALUE"""),17)</f>
        <v>17</v>
      </c>
      <c r="G2277" s="1" t="str">
        <f ca="1">IFERROR(__xludf.DUMMYFUNCTION("""COMPUTED_VALUE"""),"3 mos")</f>
        <v>3 mos</v>
      </c>
      <c r="H2277" s="1" t="str">
        <f ca="1">IFERROR(__xludf.DUMMYFUNCTION("""COMPUTED_VALUE"""),"comment")</f>
        <v>comment</v>
      </c>
      <c r="I2277" s="2" t="str">
        <f ca="1">IFERROR(__xludf.DUMMYFUNCTION("""COMPUTED_VALUE"""),"https://www.facebook.com/rapplerdotcom/photos/a.317154781638645/5594954703858600/")</f>
        <v>https://www.facebook.com/rapplerdotcom/photos/a.317154781638645/5594954703858600/</v>
      </c>
      <c r="J2277" s="1" t="str">
        <f ca="1">IFERROR(__xludf.DUMMYFUNCTION("""COMPUTED_VALUE"""),"2022-07-04T15:48:35.886Z")</f>
        <v>2022-07-04T15:48:35.886Z</v>
      </c>
    </row>
    <row r="2278" spans="1:10" x14ac:dyDescent="0.2">
      <c r="A2278" s="2" t="str">
        <f ca="1">IFERROR(__xludf.DUMMYFUNCTION("""COMPUTED_VALUE"""),"https://www.facebook.com/emmanuel.villarba")</f>
        <v>https://www.facebook.com/emmanuel.villarba</v>
      </c>
      <c r="B2278" s="1" t="str">
        <f ca="1">IFERROR(__xludf.DUMMYFUNCTION("""COMPUTED_VALUE"""),"Emmanuel Villarba")</f>
        <v>Emmanuel Villarba</v>
      </c>
      <c r="C2278" s="1" t="str">
        <f ca="1">IFERROR(__xludf.DUMMYFUNCTION("""COMPUTED_VALUE"""),"Emmanuel")</f>
        <v>Emmanuel</v>
      </c>
      <c r="D2278" s="1" t="str">
        <f ca="1">IFERROR(__xludf.DUMMYFUNCTION("""COMPUTED_VALUE"""),"Villarba")</f>
        <v>Villarba</v>
      </c>
      <c r="E2278" s="1" t="str">
        <f ca="1">IFERROR(__xludf.DUMMYFUNCTION("""COMPUTED_VALUE"""),"Isko, a certified Manchurian candidate na iniwan sa ere ang Manileños, better evaporate. You ca never fool all the people all the time.")</f>
        <v>Isko, a certified Manchurian candidate na iniwan sa ere ang Manileños, better evaporate. You ca never fool all the people all the time.</v>
      </c>
      <c r="F2278" s="1">
        <f ca="1">IFERROR(__xludf.DUMMYFUNCTION("""COMPUTED_VALUE"""),33)</f>
        <v>33</v>
      </c>
      <c r="G2278" s="1" t="str">
        <f ca="1">IFERROR(__xludf.DUMMYFUNCTION("""COMPUTED_VALUE"""),"3 mos")</f>
        <v>3 mos</v>
      </c>
      <c r="H2278" s="1" t="str">
        <f ca="1">IFERROR(__xludf.DUMMYFUNCTION("""COMPUTED_VALUE"""),"comment")</f>
        <v>comment</v>
      </c>
      <c r="I2278" s="2" t="str">
        <f ca="1">IFERROR(__xludf.DUMMYFUNCTION("""COMPUTED_VALUE"""),"https://www.facebook.com/watch/live/?ref=watch_permalink&amp;v=923735834984653")</f>
        <v>https://www.facebook.com/watch/live/?ref=watch_permalink&amp;v=923735834984653</v>
      </c>
      <c r="J2278" s="1" t="str">
        <f ca="1">IFERROR(__xludf.DUMMYFUNCTION("""COMPUTED_VALUE"""),"2022-07-04T15:49:26.533Z")</f>
        <v>2022-07-04T15:49:26.533Z</v>
      </c>
    </row>
    <row r="2279" spans="1:10" x14ac:dyDescent="0.2">
      <c r="A2279" s="2" t="str">
        <f ca="1">IFERROR(__xludf.DUMMYFUNCTION("""COMPUTED_VALUE"""),"https://www.facebook.com/nosgnoilaluap")</f>
        <v>https://www.facebook.com/nosgnoilaluap</v>
      </c>
      <c r="B2279" s="1" t="str">
        <f ca="1">IFERROR(__xludf.DUMMYFUNCTION("""COMPUTED_VALUE"""),"Paula Liongson")</f>
        <v>Paula Liongson</v>
      </c>
      <c r="C2279" s="1" t="str">
        <f ca="1">IFERROR(__xludf.DUMMYFUNCTION("""COMPUTED_VALUE"""),"Paula")</f>
        <v>Paula</v>
      </c>
      <c r="D2279" s="1" t="str">
        <f ca="1">IFERROR(__xludf.DUMMYFUNCTION("""COMPUTED_VALUE"""),"Liongson")</f>
        <v>Liongson</v>
      </c>
      <c r="E2279" s="1" t="str">
        <f ca="1">IFERROR(__xludf.DUMMYFUNCTION("""COMPUTED_VALUE"""),"Manchurian candidate nino? So you'd rather vote for the mastermind? Aren't they all a representative of a certain sector?")</f>
        <v>Manchurian candidate nino? So you'd rather vote for the mastermind? Aren't they all a representative of a certain sector?</v>
      </c>
      <c r="F2279" s="1">
        <f ca="1">IFERROR(__xludf.DUMMYFUNCTION("""COMPUTED_VALUE"""),1)</f>
        <v>1</v>
      </c>
      <c r="G2279" s="1" t="str">
        <f ca="1">IFERROR(__xludf.DUMMYFUNCTION("""COMPUTED_VALUE"""),"3 mos")</f>
        <v>3 mos</v>
      </c>
      <c r="H2279" s="1" t="str">
        <f ca="1">IFERROR(__xludf.DUMMYFUNCTION("""COMPUTED_VALUE"""),"reply")</f>
        <v>reply</v>
      </c>
      <c r="I2279" s="2" t="str">
        <f ca="1">IFERROR(__xludf.DUMMYFUNCTION("""COMPUTED_VALUE"""),"https://www.facebook.com/watch/live/?ref=watch_permalink&amp;v=923735834984653")</f>
        <v>https://www.facebook.com/watch/live/?ref=watch_permalink&amp;v=923735834984653</v>
      </c>
      <c r="J2279" s="1" t="str">
        <f ca="1">IFERROR(__xludf.DUMMYFUNCTION("""COMPUTED_VALUE"""),"2022-07-04T15:49:26.533Z")</f>
        <v>2022-07-04T15:49:26.533Z</v>
      </c>
    </row>
    <row r="2280" spans="1:10" x14ac:dyDescent="0.2">
      <c r="A2280" s="2" t="str">
        <f ca="1">IFERROR(__xludf.DUMMYFUNCTION("""COMPUTED_VALUE"""),"https://www.facebook.com/olive63")</f>
        <v>https://www.facebook.com/olive63</v>
      </c>
      <c r="B2280" s="1" t="str">
        <f ca="1">IFERROR(__xludf.DUMMYFUNCTION("""COMPUTED_VALUE"""),"Olivia P. Carlos")</f>
        <v>Olivia P. Carlos</v>
      </c>
      <c r="C2280" s="1" t="str">
        <f ca="1">IFERROR(__xludf.DUMMYFUNCTION("""COMPUTED_VALUE"""),"Olivia")</f>
        <v>Olivia</v>
      </c>
      <c r="D2280" s="1" t="str">
        <f ca="1">IFERROR(__xludf.DUMMYFUNCTION("""COMPUTED_VALUE"""),"P. Carlos")</f>
        <v>P. Carlos</v>
      </c>
      <c r="E2280" s="1" t="str">
        <f ca="1">IFERROR(__xludf.DUMMYFUNCTION("""COMPUTED_VALUE"""),"Emmanuel Villarba whatever u said di kami malabo ang paningin dun ka s manok mo dito kami. Bk gusto mo switch to isko ur welcome.💙💙💙☝️☝️☝️")</f>
        <v>Emmanuel Villarba whatever u said di kami malabo ang paningin dun ka s manok mo dito kami. Bk gusto mo switch to isko ur welcome.💙💙💙☝️☝️☝️</v>
      </c>
      <c r="F2280" s="1">
        <f ca="1">IFERROR(__xludf.DUMMYFUNCTION("""COMPUTED_VALUE"""),1)</f>
        <v>1</v>
      </c>
      <c r="G2280" s="1" t="str">
        <f ca="1">IFERROR(__xludf.DUMMYFUNCTION("""COMPUTED_VALUE"""),"3 mos")</f>
        <v>3 mos</v>
      </c>
      <c r="H2280" s="1" t="str">
        <f ca="1">IFERROR(__xludf.DUMMYFUNCTION("""COMPUTED_VALUE"""),"reply")</f>
        <v>reply</v>
      </c>
      <c r="I2280" s="2" t="str">
        <f ca="1">IFERROR(__xludf.DUMMYFUNCTION("""COMPUTED_VALUE"""),"https://www.facebook.com/watch/live/?ref=watch_permalink&amp;v=923735834984653")</f>
        <v>https://www.facebook.com/watch/live/?ref=watch_permalink&amp;v=923735834984653</v>
      </c>
      <c r="J2280" s="1" t="str">
        <f ca="1">IFERROR(__xludf.DUMMYFUNCTION("""COMPUTED_VALUE"""),"2022-07-04T15:49:26.533Z")</f>
        <v>2022-07-04T15:49:26.533Z</v>
      </c>
    </row>
    <row r="2281" spans="1:10" x14ac:dyDescent="0.2">
      <c r="A2281" s="2" t="str">
        <f ca="1">IFERROR(__xludf.DUMMYFUNCTION("""COMPUTED_VALUE"""),"https://www.facebook.com/julia.evangelista.18488")</f>
        <v>https://www.facebook.com/julia.evangelista.18488</v>
      </c>
      <c r="B2281" s="1" t="str">
        <f ca="1">IFERROR(__xludf.DUMMYFUNCTION("""COMPUTED_VALUE"""),"Julia Evangelista")</f>
        <v>Julia Evangelista</v>
      </c>
      <c r="C2281" s="1" t="str">
        <f ca="1">IFERROR(__xludf.DUMMYFUNCTION("""COMPUTED_VALUE"""),"Julia")</f>
        <v>Julia</v>
      </c>
      <c r="D2281" s="1" t="str">
        <f ca="1">IFERROR(__xludf.DUMMYFUNCTION("""COMPUTED_VALUE"""),"Evangelista")</f>
        <v>Evangelista</v>
      </c>
      <c r="E2281" s="1" t="str">
        <f ca="1">IFERROR(__xludf.DUMMYFUNCTION("""COMPUTED_VALUE"""),"Emmanuel Villarba Sorry but win or lose  we will support mayor Isko Moreno for president po. Godbless 💙")</f>
        <v>Emmanuel Villarba Sorry but win or lose  we will support mayor Isko Moreno for president po. Godbless 💙</v>
      </c>
      <c r="F2281" s="1">
        <f ca="1">IFERROR(__xludf.DUMMYFUNCTION("""COMPUTED_VALUE"""),8)</f>
        <v>8</v>
      </c>
      <c r="G2281" s="1" t="str">
        <f ca="1">IFERROR(__xludf.DUMMYFUNCTION("""COMPUTED_VALUE"""),"3 mos")</f>
        <v>3 mos</v>
      </c>
      <c r="H2281" s="1" t="str">
        <f ca="1">IFERROR(__xludf.DUMMYFUNCTION("""COMPUTED_VALUE"""),"reply")</f>
        <v>reply</v>
      </c>
      <c r="I2281" s="2" t="str">
        <f ca="1">IFERROR(__xludf.DUMMYFUNCTION("""COMPUTED_VALUE"""),"https://www.facebook.com/watch/live/?ref=watch_permalink&amp;v=923735834984653")</f>
        <v>https://www.facebook.com/watch/live/?ref=watch_permalink&amp;v=923735834984653</v>
      </c>
      <c r="J2281" s="1" t="str">
        <f ca="1">IFERROR(__xludf.DUMMYFUNCTION("""COMPUTED_VALUE"""),"2022-07-04T15:49:26.533Z")</f>
        <v>2022-07-04T15:49:26.533Z</v>
      </c>
    </row>
    <row r="2282" spans="1:10" x14ac:dyDescent="0.2">
      <c r="A2282" s="2" t="str">
        <f ca="1">IFERROR(__xludf.DUMMYFUNCTION("""COMPUTED_VALUE"""),"https://www.facebook.com/wahpakels.baguinang")</f>
        <v>https://www.facebook.com/wahpakels.baguinang</v>
      </c>
      <c r="B2282" s="1" t="str">
        <f ca="1">IFERROR(__xludf.DUMMYFUNCTION("""COMPUTED_VALUE"""),"Wahpakels Baguinang")</f>
        <v>Wahpakels Baguinang</v>
      </c>
      <c r="C2282" s="1" t="str">
        <f ca="1">IFERROR(__xludf.DUMMYFUNCTION("""COMPUTED_VALUE"""),"Wahpakels")</f>
        <v>Wahpakels</v>
      </c>
      <c r="D2282" s="1" t="str">
        <f ca="1">IFERROR(__xludf.DUMMYFUNCTION("""COMPUTED_VALUE"""),"Baguinang")</f>
        <v>Baguinang</v>
      </c>
      <c r="E2282" s="1" t="str">
        <f ca="1">IFERROR(__xludf.DUMMYFUNCTION("""COMPUTED_VALUE"""),"Emmanuel Villarba nd ka nmin kaylangan dto dhil wl kang ambag.")</f>
        <v>Emmanuel Villarba nd ka nmin kaylangan dto dhil wl kang ambag.</v>
      </c>
      <c r="F2282" s="1"/>
      <c r="G2282" s="1" t="str">
        <f ca="1">IFERROR(__xludf.DUMMYFUNCTION("""COMPUTED_VALUE"""),"3 mos")</f>
        <v>3 mos</v>
      </c>
      <c r="H2282" s="1" t="str">
        <f ca="1">IFERROR(__xludf.DUMMYFUNCTION("""COMPUTED_VALUE"""),"reply")</f>
        <v>reply</v>
      </c>
      <c r="I2282" s="2" t="str">
        <f ca="1">IFERROR(__xludf.DUMMYFUNCTION("""COMPUTED_VALUE"""),"https://www.facebook.com/watch/live/?ref=watch_permalink&amp;v=923735834984653")</f>
        <v>https://www.facebook.com/watch/live/?ref=watch_permalink&amp;v=923735834984653</v>
      </c>
      <c r="J2282" s="1" t="str">
        <f ca="1">IFERROR(__xludf.DUMMYFUNCTION("""COMPUTED_VALUE"""),"2022-07-04T15:49:26.533Z")</f>
        <v>2022-07-04T15:49:26.533Z</v>
      </c>
    </row>
    <row r="2283" spans="1:10" x14ac:dyDescent="0.2">
      <c r="A2283" s="2" t="str">
        <f ca="1">IFERROR(__xludf.DUMMYFUNCTION("""COMPUTED_VALUE"""),"https://www.facebook.com/nabinagnap.seyer")</f>
        <v>https://www.facebook.com/nabinagnap.seyer</v>
      </c>
      <c r="B2283" s="1" t="str">
        <f ca="1">IFERROR(__xludf.DUMMYFUNCTION("""COMPUTED_VALUE"""),"Lam Henrick")</f>
        <v>Lam Henrick</v>
      </c>
      <c r="C2283" s="1" t="str">
        <f ca="1">IFERROR(__xludf.DUMMYFUNCTION("""COMPUTED_VALUE"""),"Lam")</f>
        <v>Lam</v>
      </c>
      <c r="D2283" s="1" t="str">
        <f ca="1">IFERROR(__xludf.DUMMYFUNCTION("""COMPUTED_VALUE"""),"Henrick")</f>
        <v>Henrick</v>
      </c>
      <c r="E2283" s="1" t="str">
        <f ca="1">IFERROR(__xludf.DUMMYFUNCTION("""COMPUTED_VALUE"""),"Lita Soriano ka yorme binenta ang divisoria. sabi ng mga kawawang tindera sa divisoria magkakaso kami, sabi ni yorme good luck sa inyo. magaling bgyan ng jacket yan.")</f>
        <v>Lita Soriano ka yorme binenta ang divisoria. sabi ng mga kawawang tindera sa divisoria magkakaso kami, sabi ni yorme good luck sa inyo. magaling bgyan ng jacket yan.</v>
      </c>
      <c r="F2283" s="1"/>
      <c r="G2283" s="1" t="str">
        <f ca="1">IFERROR(__xludf.DUMMYFUNCTION("""COMPUTED_VALUE"""),"3 mos")</f>
        <v>3 mos</v>
      </c>
      <c r="H2283" s="1" t="str">
        <f ca="1">IFERROR(__xludf.DUMMYFUNCTION("""COMPUTED_VALUE"""),"reply")</f>
        <v>reply</v>
      </c>
      <c r="I2283" s="2" t="str">
        <f ca="1">IFERROR(__xludf.DUMMYFUNCTION("""COMPUTED_VALUE"""),"https://www.facebook.com/watch/live/?ref=watch_permalink&amp;v=923735834984653")</f>
        <v>https://www.facebook.com/watch/live/?ref=watch_permalink&amp;v=923735834984653</v>
      </c>
      <c r="J2283" s="1" t="str">
        <f ca="1">IFERROR(__xludf.DUMMYFUNCTION("""COMPUTED_VALUE"""),"2022-07-04T15:49:26.533Z")</f>
        <v>2022-07-04T15:49:26.533Z</v>
      </c>
    </row>
    <row r="2284" spans="1:10" x14ac:dyDescent="0.2">
      <c r="A2284" s="2" t="str">
        <f ca="1">IFERROR(__xludf.DUMMYFUNCTION("""COMPUTED_VALUE"""),"https://www.facebook.com/daphne.baula")</f>
        <v>https://www.facebook.com/daphne.baula</v>
      </c>
      <c r="B2284" s="1" t="str">
        <f ca="1">IFERROR(__xludf.DUMMYFUNCTION("""COMPUTED_VALUE"""),"Daphne Baula")</f>
        <v>Daphne Baula</v>
      </c>
      <c r="C2284" s="1" t="str">
        <f ca="1">IFERROR(__xludf.DUMMYFUNCTION("""COMPUTED_VALUE"""),"Daphne")</f>
        <v>Daphne</v>
      </c>
      <c r="D2284" s="1" t="str">
        <f ca="1">IFERROR(__xludf.DUMMYFUNCTION("""COMPUTED_VALUE"""),"Baula")</f>
        <v>Baula</v>
      </c>
      <c r="E2284" s="1" t="str">
        <f ca="1">IFERROR(__xludf.DUMMYFUNCTION("""COMPUTED_VALUE"""),"Emmanuel Villarba  basher  d na papatulan untog na ulo 😂😂😂😂😂")</f>
        <v>Emmanuel Villarba  basher  d na papatulan untog na ulo 😂😂😂😂😂</v>
      </c>
      <c r="F2284" s="1">
        <f ca="1">IFERROR(__xludf.DUMMYFUNCTION("""COMPUTED_VALUE"""),1)</f>
        <v>1</v>
      </c>
      <c r="G2284" s="1" t="str">
        <f ca="1">IFERROR(__xludf.DUMMYFUNCTION("""COMPUTED_VALUE"""),"3 mos")</f>
        <v>3 mos</v>
      </c>
      <c r="H2284" s="1" t="str">
        <f ca="1">IFERROR(__xludf.DUMMYFUNCTION("""COMPUTED_VALUE"""),"reply")</f>
        <v>reply</v>
      </c>
      <c r="I2284" s="2" t="str">
        <f ca="1">IFERROR(__xludf.DUMMYFUNCTION("""COMPUTED_VALUE"""),"https://www.facebook.com/watch/live/?ref=watch_permalink&amp;v=923735834984653")</f>
        <v>https://www.facebook.com/watch/live/?ref=watch_permalink&amp;v=923735834984653</v>
      </c>
      <c r="J2284" s="1" t="str">
        <f ca="1">IFERROR(__xludf.DUMMYFUNCTION("""COMPUTED_VALUE"""),"2022-07-04T15:49:26.533Z")</f>
        <v>2022-07-04T15:49:26.533Z</v>
      </c>
    </row>
    <row r="2285" spans="1:10" x14ac:dyDescent="0.2">
      <c r="A2285" s="2" t="str">
        <f ca="1">IFERROR(__xludf.DUMMYFUNCTION("""COMPUTED_VALUE"""),"https://www.facebook.com/tess.reyes.58958")</f>
        <v>https://www.facebook.com/tess.reyes.58958</v>
      </c>
      <c r="B2285" s="1" t="str">
        <f ca="1">IFERROR(__xludf.DUMMYFUNCTION("""COMPUTED_VALUE"""),"Tess Reyes")</f>
        <v>Tess Reyes</v>
      </c>
      <c r="C2285" s="1" t="str">
        <f ca="1">IFERROR(__xludf.DUMMYFUNCTION("""COMPUTED_VALUE"""),"Tess")</f>
        <v>Tess</v>
      </c>
      <c r="D2285" s="1" t="str">
        <f ca="1">IFERROR(__xludf.DUMMYFUNCTION("""COMPUTED_VALUE"""),"Reyes")</f>
        <v>Reyes</v>
      </c>
      <c r="E2285" s="1" t="str">
        <f ca="1">IFERROR(__xludf.DUMMYFUNCTION("""COMPUTED_VALUE"""),"Emmanuel Villarba Opinyon ng mkitid ang utak, qung ayw mo s knya maupo kn lng at d yong marami kp  cnsabi. The way to talk alm n qung cno ang gusto.mo at nirerespeto nmin yon. Sna alm mo ang slitang RESPETO.")</f>
        <v>Emmanuel Villarba Opinyon ng mkitid ang utak, qung ayw mo s knya maupo kn lng at d yong marami kp  cnsabi. The way to talk alm n qung cno ang gusto.mo at nirerespeto nmin yon. Sna alm mo ang slitang RESPETO.</v>
      </c>
      <c r="F2285" s="1">
        <f ca="1">IFERROR(__xludf.DUMMYFUNCTION("""COMPUTED_VALUE"""),3)</f>
        <v>3</v>
      </c>
      <c r="G2285" s="1" t="str">
        <f ca="1">IFERROR(__xludf.DUMMYFUNCTION("""COMPUTED_VALUE"""),"3 mos")</f>
        <v>3 mos</v>
      </c>
      <c r="H2285" s="1" t="str">
        <f ca="1">IFERROR(__xludf.DUMMYFUNCTION("""COMPUTED_VALUE"""),"reply")</f>
        <v>reply</v>
      </c>
      <c r="I2285" s="2" t="str">
        <f ca="1">IFERROR(__xludf.DUMMYFUNCTION("""COMPUTED_VALUE"""),"https://www.facebook.com/watch/live/?ref=watch_permalink&amp;v=923735834984653")</f>
        <v>https://www.facebook.com/watch/live/?ref=watch_permalink&amp;v=923735834984653</v>
      </c>
      <c r="J2285" s="1" t="str">
        <f ca="1">IFERROR(__xludf.DUMMYFUNCTION("""COMPUTED_VALUE"""),"2022-07-04T15:49:26.533Z")</f>
        <v>2022-07-04T15:49:26.533Z</v>
      </c>
    </row>
    <row r="2286" spans="1:10" x14ac:dyDescent="0.2">
      <c r="A2286" s="2" t="str">
        <f ca="1">IFERROR(__xludf.DUMMYFUNCTION("""COMPUTED_VALUE"""),"https://www.facebook.com/menchie.delrosario")</f>
        <v>https://www.facebook.com/menchie.delrosario</v>
      </c>
      <c r="B2286" s="1" t="str">
        <f ca="1">IFERROR(__xludf.DUMMYFUNCTION("""COMPUTED_VALUE"""),"Cuttie Chinny")</f>
        <v>Cuttie Chinny</v>
      </c>
      <c r="C2286" s="1" t="str">
        <f ca="1">IFERROR(__xludf.DUMMYFUNCTION("""COMPUTED_VALUE"""),"Cuttie")</f>
        <v>Cuttie</v>
      </c>
      <c r="D2286" s="1" t="str">
        <f ca="1">IFERROR(__xludf.DUMMYFUNCTION("""COMPUTED_VALUE"""),"Chinny")</f>
        <v>Chinny</v>
      </c>
      <c r="E2286" s="1" t="str">
        <f ca="1">IFERROR(__xludf.DUMMYFUNCTION("""COMPUTED_VALUE"""),"Lita Soriano d nila naiisip yan kasi wla sila nun..kung may mga isip yan hindi sila boboto ng unithieves...realtalk lng...")</f>
        <v>Lita Soriano d nila naiisip yan kasi wla sila nun..kung may mga isip yan hindi sila boboto ng unithieves...realtalk lng...</v>
      </c>
      <c r="F2286" s="1">
        <f ca="1">IFERROR(__xludf.DUMMYFUNCTION("""COMPUTED_VALUE"""),2)</f>
        <v>2</v>
      </c>
      <c r="G2286" s="1" t="str">
        <f ca="1">IFERROR(__xludf.DUMMYFUNCTION("""COMPUTED_VALUE"""),"3 mos")</f>
        <v>3 mos</v>
      </c>
      <c r="H2286" s="1" t="str">
        <f ca="1">IFERROR(__xludf.DUMMYFUNCTION("""COMPUTED_VALUE"""),"reply")</f>
        <v>reply</v>
      </c>
      <c r="I2286" s="2" t="str">
        <f ca="1">IFERROR(__xludf.DUMMYFUNCTION("""COMPUTED_VALUE"""),"https://www.facebook.com/watch/live/?ref=watch_permalink&amp;v=923735834984653")</f>
        <v>https://www.facebook.com/watch/live/?ref=watch_permalink&amp;v=923735834984653</v>
      </c>
      <c r="J2286" s="1" t="str">
        <f ca="1">IFERROR(__xludf.DUMMYFUNCTION("""COMPUTED_VALUE"""),"2022-07-04T15:49:26.533Z")</f>
        <v>2022-07-04T15:49:26.533Z</v>
      </c>
    </row>
    <row r="2287" spans="1:10" x14ac:dyDescent="0.2">
      <c r="A2287" s="2" t="str">
        <f ca="1">IFERROR(__xludf.DUMMYFUNCTION("""COMPUTED_VALUE"""),"https://www.facebook.com/menchie.delrosario")</f>
        <v>https://www.facebook.com/menchie.delrosario</v>
      </c>
      <c r="B2287" s="1" t="str">
        <f ca="1">IFERROR(__xludf.DUMMYFUNCTION("""COMPUTED_VALUE"""),"Cuttie Chinny")</f>
        <v>Cuttie Chinny</v>
      </c>
      <c r="C2287" s="1" t="str">
        <f ca="1">IFERROR(__xludf.DUMMYFUNCTION("""COMPUTED_VALUE"""),"Cuttie")</f>
        <v>Cuttie</v>
      </c>
      <c r="D2287" s="1" t="str">
        <f ca="1">IFERROR(__xludf.DUMMYFUNCTION("""COMPUTED_VALUE"""),"Chinny")</f>
        <v>Chinny</v>
      </c>
      <c r="E2287" s="1" t="str">
        <f ca="1">IFERROR(__xludf.DUMMYFUNCTION("""COMPUTED_VALUE"""),"Lam Henrick ililipat po ung mga vendors s maayos na pwesto..ayaw nyong malinis ang divi? Isa pa daanan ng tao un mga motorista mga gumagamit ng vehicles...ung divisoria mall nmn irerenovate palalakihin private po un mas maraming vendors makakakuha ng pwes"&amp;"to dun nasa maayos na lugar p sila diba...kumita pa maynila mas maraming manilenyo makikinabangan hindi lng ng iilan..sana naiintndhan nyo..hndi lng dahil inudyukan k ng kalaban...")</f>
        <v>Lam Henrick ililipat po ung mga vendors s maayos na pwesto..ayaw nyong malinis ang divi? Isa pa daanan ng tao un mga motorista mga gumagamit ng vehicles...ung divisoria mall nmn irerenovate palalakihin private po un mas maraming vendors makakakuha ng pwesto dun nasa maayos na lugar p sila diba...kumita pa maynila mas maraming manilenyo makikinabangan hindi lng ng iilan..sana naiintndhan nyo..hndi lng dahil inudyukan k ng kalaban...</v>
      </c>
      <c r="F2287" s="1">
        <f ca="1">IFERROR(__xludf.DUMMYFUNCTION("""COMPUTED_VALUE"""),11)</f>
        <v>11</v>
      </c>
      <c r="G2287" s="1" t="str">
        <f ca="1">IFERROR(__xludf.DUMMYFUNCTION("""COMPUTED_VALUE"""),"3 mos")</f>
        <v>3 mos</v>
      </c>
      <c r="H2287" s="1" t="str">
        <f ca="1">IFERROR(__xludf.DUMMYFUNCTION("""COMPUTED_VALUE"""),"reply")</f>
        <v>reply</v>
      </c>
      <c r="I2287" s="2" t="str">
        <f ca="1">IFERROR(__xludf.DUMMYFUNCTION("""COMPUTED_VALUE"""),"https://www.facebook.com/watch/live/?ref=watch_permalink&amp;v=923735834984653")</f>
        <v>https://www.facebook.com/watch/live/?ref=watch_permalink&amp;v=923735834984653</v>
      </c>
      <c r="J2287" s="1" t="str">
        <f ca="1">IFERROR(__xludf.DUMMYFUNCTION("""COMPUTED_VALUE"""),"2022-07-04T15:49:26.533Z")</f>
        <v>2022-07-04T15:49:26.533Z</v>
      </c>
    </row>
    <row r="2288" spans="1:10" x14ac:dyDescent="0.2">
      <c r="A2288" s="2" t="str">
        <f ca="1">IFERROR(__xludf.DUMMYFUNCTION("""COMPUTED_VALUE"""),"https://www.facebook.com/menchie.delrosario")</f>
        <v>https://www.facebook.com/menchie.delrosario</v>
      </c>
      <c r="B2288" s="1" t="str">
        <f ca="1">IFERROR(__xludf.DUMMYFUNCTION("""COMPUTED_VALUE"""),"Cuttie Chinny")</f>
        <v>Cuttie Chinny</v>
      </c>
      <c r="C2288" s="1" t="str">
        <f ca="1">IFERROR(__xludf.DUMMYFUNCTION("""COMPUTED_VALUE"""),"Cuttie")</f>
        <v>Cuttie</v>
      </c>
      <c r="D2288" s="1" t="str">
        <f ca="1">IFERROR(__xludf.DUMMYFUNCTION("""COMPUTED_VALUE"""),"Chinny")</f>
        <v>Chinny</v>
      </c>
      <c r="E2288" s="1" t="str">
        <f ca="1">IFERROR(__xludf.DUMMYFUNCTION("""COMPUTED_VALUE"""),"Julia Evangelista yes...we support all the way...d kawalan ni yorme pag natalo siya kung hindi kawalan nating mga mahihirap...dahil s knya sana giginhawa buhay natin, ung pag nagkasakit ka iisipin mo pampagamot..kay yorme libre na, ung iisipin ng mga nagp"&amp;"apakahirap kumita may maiuwi lng n malaking pera para s pamilya, kay yorme matutulungan tayo mas mababang krudo mas malaki maiuuwi s pamilya...more jobs, livelihood and health...")</f>
        <v>Julia Evangelista yes...we support all the way...d kawalan ni yorme pag natalo siya kung hindi kawalan nating mga mahihirap...dahil s knya sana giginhawa buhay natin, ung pag nagkasakit ka iisipin mo pampagamot..kay yorme libre na, ung iisipin ng mga nagpapakahirap kumita may maiuwi lng n malaking pera para s pamilya, kay yorme matutulungan tayo mas mababang krudo mas malaki maiuuwi s pamilya...more jobs, livelihood and health...</v>
      </c>
      <c r="F2288" s="1">
        <f ca="1">IFERROR(__xludf.DUMMYFUNCTION("""COMPUTED_VALUE"""),8)</f>
        <v>8</v>
      </c>
      <c r="G2288" s="1" t="str">
        <f ca="1">IFERROR(__xludf.DUMMYFUNCTION("""COMPUTED_VALUE"""),"3 mos")</f>
        <v>3 mos</v>
      </c>
      <c r="H2288" s="1" t="str">
        <f ca="1">IFERROR(__xludf.DUMMYFUNCTION("""COMPUTED_VALUE"""),"reply")</f>
        <v>reply</v>
      </c>
      <c r="I2288" s="2" t="str">
        <f ca="1">IFERROR(__xludf.DUMMYFUNCTION("""COMPUTED_VALUE"""),"https://www.facebook.com/watch/live/?ref=watch_permalink&amp;v=923735834984653")</f>
        <v>https://www.facebook.com/watch/live/?ref=watch_permalink&amp;v=923735834984653</v>
      </c>
      <c r="J2288" s="1" t="str">
        <f ca="1">IFERROR(__xludf.DUMMYFUNCTION("""COMPUTED_VALUE"""),"2022-07-04T15:49:26.533Z")</f>
        <v>2022-07-04T15:49:26.533Z</v>
      </c>
    </row>
    <row r="2289" spans="1:10" x14ac:dyDescent="0.2">
      <c r="A2289" s="2" t="str">
        <f ca="1">IFERROR(__xludf.DUMMYFUNCTION("""COMPUTED_VALUE"""),"https://www.facebook.com/marie.diot1")</f>
        <v>https://www.facebook.com/marie.diot1</v>
      </c>
      <c r="B2289" s="1" t="str">
        <f ca="1">IFERROR(__xludf.DUMMYFUNCTION("""COMPUTED_VALUE"""),"Marie Sischo")</f>
        <v>Marie Sischo</v>
      </c>
      <c r="C2289" s="1" t="str">
        <f ca="1">IFERROR(__xludf.DUMMYFUNCTION("""COMPUTED_VALUE"""),"Marie")</f>
        <v>Marie</v>
      </c>
      <c r="D2289" s="1" t="str">
        <f ca="1">IFERROR(__xludf.DUMMYFUNCTION("""COMPUTED_VALUE"""),"Sischo")</f>
        <v>Sischo</v>
      </c>
      <c r="E2289" s="1" t="str">
        <f ca="1">IFERROR(__xludf.DUMMYFUNCTION("""COMPUTED_VALUE"""),"Jocelyn Retuerma uu nga haist...😢")</f>
        <v>Jocelyn Retuerma uu nga haist...😢</v>
      </c>
      <c r="F2289" s="1">
        <f ca="1">IFERROR(__xludf.DUMMYFUNCTION("""COMPUTED_VALUE"""),1)</f>
        <v>1</v>
      </c>
      <c r="G2289" s="1" t="str">
        <f ca="1">IFERROR(__xludf.DUMMYFUNCTION("""COMPUTED_VALUE"""),"3 mos")</f>
        <v>3 mos</v>
      </c>
      <c r="H2289" s="1" t="str">
        <f ca="1">IFERROR(__xludf.DUMMYFUNCTION("""COMPUTED_VALUE"""),"reply")</f>
        <v>reply</v>
      </c>
      <c r="I2289" s="2" t="str">
        <f ca="1">IFERROR(__xludf.DUMMYFUNCTION("""COMPUTED_VALUE"""),"https://www.facebook.com/watch/live/?ref=watch_permalink&amp;v=923735834984653")</f>
        <v>https://www.facebook.com/watch/live/?ref=watch_permalink&amp;v=923735834984653</v>
      </c>
      <c r="J2289" s="1" t="str">
        <f ca="1">IFERROR(__xludf.DUMMYFUNCTION("""COMPUTED_VALUE"""),"2022-07-04T15:49:26.533Z")</f>
        <v>2022-07-04T15:49:26.533Z</v>
      </c>
    </row>
    <row r="2290" spans="1:10" x14ac:dyDescent="0.2">
      <c r="A2290" s="2" t="str">
        <f ca="1">IFERROR(__xludf.DUMMYFUNCTION("""COMPUTED_VALUE"""),"https://www.facebook.com/profile.php?id=100015856993797")</f>
        <v>https://www.facebook.com/profile.php?id=100015856993797</v>
      </c>
      <c r="B2290" s="1" t="str">
        <f ca="1">IFERROR(__xludf.DUMMYFUNCTION("""COMPUTED_VALUE"""),"Dominador C Dumaraos Jr.")</f>
        <v>Dominador C Dumaraos Jr.</v>
      </c>
      <c r="C2290" s="1" t="str">
        <f ca="1">IFERROR(__xludf.DUMMYFUNCTION("""COMPUTED_VALUE"""),"Dominador")</f>
        <v>Dominador</v>
      </c>
      <c r="D2290" s="1" t="str">
        <f ca="1">IFERROR(__xludf.DUMMYFUNCTION("""COMPUTED_VALUE"""),"C Dumaraos Jr.")</f>
        <v>C Dumaraos Jr.</v>
      </c>
      <c r="E2290" s="1" t="str">
        <f ca="1">IFERROR(__xludf.DUMMYFUNCTION("""COMPUTED_VALUE"""),"Emmanuel Villarba  ILLOGICAL PO. di ba po pag nanalo siya,,, pres po siya ng Pilipinas????? kASAMA ang maynila???? Mukhang di mo po napagisipan mabuti bro. Good luck po")</f>
        <v>Emmanuel Villarba  ILLOGICAL PO. di ba po pag nanalo siya,,, pres po siya ng Pilipinas????? kASAMA ang maynila???? Mukhang di mo po napagisipan mabuti bro. Good luck po</v>
      </c>
      <c r="F2290" s="1">
        <f ca="1">IFERROR(__xludf.DUMMYFUNCTION("""COMPUTED_VALUE"""),3)</f>
        <v>3</v>
      </c>
      <c r="G2290" s="1" t="str">
        <f ca="1">IFERROR(__xludf.DUMMYFUNCTION("""COMPUTED_VALUE"""),"3 mos")</f>
        <v>3 mos</v>
      </c>
      <c r="H2290" s="1" t="str">
        <f ca="1">IFERROR(__xludf.DUMMYFUNCTION("""COMPUTED_VALUE"""),"reply")</f>
        <v>reply</v>
      </c>
      <c r="I2290" s="2" t="str">
        <f ca="1">IFERROR(__xludf.DUMMYFUNCTION("""COMPUTED_VALUE"""),"https://www.facebook.com/watch/live/?ref=watch_permalink&amp;v=923735834984653")</f>
        <v>https://www.facebook.com/watch/live/?ref=watch_permalink&amp;v=923735834984653</v>
      </c>
      <c r="J2290" s="1" t="str">
        <f ca="1">IFERROR(__xludf.DUMMYFUNCTION("""COMPUTED_VALUE"""),"2022-07-04T15:49:26.534Z")</f>
        <v>2022-07-04T15:49:26.534Z</v>
      </c>
    </row>
    <row r="2291" spans="1:10" x14ac:dyDescent="0.2">
      <c r="A2291" s="2" t="str">
        <f ca="1">IFERROR(__xludf.DUMMYFUNCTION("""COMPUTED_VALUE"""),"https://www.facebook.com/tisay.quevedo")</f>
        <v>https://www.facebook.com/tisay.quevedo</v>
      </c>
      <c r="B2291" s="1" t="str">
        <f ca="1">IFERROR(__xludf.DUMMYFUNCTION("""COMPUTED_VALUE"""),"Imee R. Quevedo")</f>
        <v>Imee R. Quevedo</v>
      </c>
      <c r="C2291" s="1" t="str">
        <f ca="1">IFERROR(__xludf.DUMMYFUNCTION("""COMPUTED_VALUE"""),"Imee")</f>
        <v>Imee</v>
      </c>
      <c r="D2291" s="1" t="str">
        <f ca="1">IFERROR(__xludf.DUMMYFUNCTION("""COMPUTED_VALUE"""),"R. Quevedo")</f>
        <v>R. Quevedo</v>
      </c>
      <c r="E2291" s="1" t="str">
        <f ca="1">IFERROR(__xludf.DUMMYFUNCTION("""COMPUTED_VALUE"""),"what?")</f>
        <v>what?</v>
      </c>
      <c r="F2291" s="1"/>
      <c r="G2291" s="1" t="str">
        <f ca="1">IFERROR(__xludf.DUMMYFUNCTION("""COMPUTED_VALUE"""),"3 mos")</f>
        <v>3 mos</v>
      </c>
      <c r="H2291" s="1" t="str">
        <f ca="1">IFERROR(__xludf.DUMMYFUNCTION("""COMPUTED_VALUE"""),"reply")</f>
        <v>reply</v>
      </c>
      <c r="I2291" s="2" t="str">
        <f ca="1">IFERROR(__xludf.DUMMYFUNCTION("""COMPUTED_VALUE"""),"https://www.facebook.com/watch/live/?ref=watch_permalink&amp;v=923735834984653")</f>
        <v>https://www.facebook.com/watch/live/?ref=watch_permalink&amp;v=923735834984653</v>
      </c>
      <c r="J2291" s="1" t="str">
        <f ca="1">IFERROR(__xludf.DUMMYFUNCTION("""COMPUTED_VALUE"""),"2022-07-04T15:49:26.534Z")</f>
        <v>2022-07-04T15:49:26.534Z</v>
      </c>
    </row>
    <row r="2292" spans="1:10" x14ac:dyDescent="0.2">
      <c r="A2292" s="2" t="str">
        <f ca="1">IFERROR(__xludf.DUMMYFUNCTION("""COMPUTED_VALUE"""),"https://www.facebook.com/gloria.adams.948")</f>
        <v>https://www.facebook.com/gloria.adams.948</v>
      </c>
      <c r="B2292" s="1" t="str">
        <f ca="1">IFERROR(__xludf.DUMMYFUNCTION("""COMPUTED_VALUE"""),"Gloria Adams")</f>
        <v>Gloria Adams</v>
      </c>
      <c r="C2292" s="1" t="str">
        <f ca="1">IFERROR(__xludf.DUMMYFUNCTION("""COMPUTED_VALUE"""),"Gloria")</f>
        <v>Gloria</v>
      </c>
      <c r="D2292" s="1" t="str">
        <f ca="1">IFERROR(__xludf.DUMMYFUNCTION("""COMPUTED_VALUE"""),"Adams")</f>
        <v>Adams</v>
      </c>
      <c r="E2292" s="1" t="str">
        <f ca="1">IFERROR(__xludf.DUMMYFUNCTION("""COMPUTED_VALUE"""),"Emmanuel Villarba  WOW KUYA KAILAN KA PA IPINANGANAK? KAHIT KAILAN HINDI INIWAN NI ISKO ANG MANILA. SA KATUNAYAN YAN TATAWID LANG SYA AT ANG MALACANANG AY NASA LOOB DIN NG MANILA.. YUNG MGA PANGAKO NYA SA MANILENYO NG 10 YEARS PROJECTS  NAGAWA NYA PO  SA "&amp;"LOOB LANG NG HALOS 3 YEARS. ACCOMPLISHED AT MAY MGA BONUS PA...MAY RESIBO PO YAN AT HINDI MAIPAG KAKAILA SA MADLANG PEOPLE...REAL TALK LANG PO TAYO....#BILISKILOS  #GODFIRST #ISKOMORENODOMAGOSO")</f>
        <v>Emmanuel Villarba  WOW KUYA KAILAN KA PA IPINANGANAK? KAHIT KAILAN HINDI INIWAN NI ISKO ANG MANILA. SA KATUNAYAN YAN TATAWID LANG SYA AT ANG MALACANANG AY NASA LOOB DIN NG MANILA.. YUNG MGA PANGAKO NYA SA MANILENYO NG 10 YEARS PROJECTS  NAGAWA NYA PO  SA LOOB LANG NG HALOS 3 YEARS. ACCOMPLISHED AT MAY MGA BONUS PA...MAY RESIBO PO YAN AT HINDI MAIPAG KAKAILA SA MADLANG PEOPLE...REAL TALK LANG PO TAYO....#BILISKILOS  #GODFIRST #ISKOMORENODOMAGOSO</v>
      </c>
      <c r="F2292" s="1">
        <f ca="1">IFERROR(__xludf.DUMMYFUNCTION("""COMPUTED_VALUE"""),6)</f>
        <v>6</v>
      </c>
      <c r="G2292" s="1" t="str">
        <f ca="1">IFERROR(__xludf.DUMMYFUNCTION("""COMPUTED_VALUE"""),"3 mos")</f>
        <v>3 mos</v>
      </c>
      <c r="H2292" s="1" t="str">
        <f ca="1">IFERROR(__xludf.DUMMYFUNCTION("""COMPUTED_VALUE"""),"reply")</f>
        <v>reply</v>
      </c>
      <c r="I2292" s="2" t="str">
        <f ca="1">IFERROR(__xludf.DUMMYFUNCTION("""COMPUTED_VALUE"""),"https://www.facebook.com/watch/live/?ref=watch_permalink&amp;v=923735834984653")</f>
        <v>https://www.facebook.com/watch/live/?ref=watch_permalink&amp;v=923735834984653</v>
      </c>
      <c r="J2292" s="1" t="str">
        <f ca="1">IFERROR(__xludf.DUMMYFUNCTION("""COMPUTED_VALUE"""),"2022-07-04T15:49:26.534Z")</f>
        <v>2022-07-04T15:49:26.534Z</v>
      </c>
    </row>
    <row r="2293" spans="1:10" x14ac:dyDescent="0.2">
      <c r="A2293" s="2" t="str">
        <f ca="1">IFERROR(__xludf.DUMMYFUNCTION("""COMPUTED_VALUE"""),"https://www.facebook.com/ariane.alejado.5")</f>
        <v>https://www.facebook.com/ariane.alejado.5</v>
      </c>
      <c r="B2293" s="1" t="str">
        <f ca="1">IFERROR(__xludf.DUMMYFUNCTION("""COMPUTED_VALUE"""),"Mari Tes")</f>
        <v>Mari Tes</v>
      </c>
      <c r="C2293" s="1" t="str">
        <f ca="1">IFERROR(__xludf.DUMMYFUNCTION("""COMPUTED_VALUE"""),"Mari")</f>
        <v>Mari</v>
      </c>
      <c r="D2293" s="1" t="str">
        <f ca="1">IFERROR(__xludf.DUMMYFUNCTION("""COMPUTED_VALUE"""),"Tes")</f>
        <v>Tes</v>
      </c>
      <c r="E2293" s="1" t="str">
        <f ca="1">IFERROR(__xludf.DUMMYFUNCTION("""COMPUTED_VALUE"""),"Emmanuel Villarba haha sorry kuya solid IskoDock po kmi☝️💙")</f>
        <v>Emmanuel Villarba haha sorry kuya solid IskoDock po kmi☝️💙</v>
      </c>
      <c r="F2293" s="1">
        <f ca="1">IFERROR(__xludf.DUMMYFUNCTION("""COMPUTED_VALUE"""),1)</f>
        <v>1</v>
      </c>
      <c r="G2293" s="1" t="str">
        <f ca="1">IFERROR(__xludf.DUMMYFUNCTION("""COMPUTED_VALUE"""),"3 mos")</f>
        <v>3 mos</v>
      </c>
      <c r="H2293" s="1" t="str">
        <f ca="1">IFERROR(__xludf.DUMMYFUNCTION("""COMPUTED_VALUE"""),"reply")</f>
        <v>reply</v>
      </c>
      <c r="I2293" s="2" t="str">
        <f ca="1">IFERROR(__xludf.DUMMYFUNCTION("""COMPUTED_VALUE"""),"https://www.facebook.com/watch/live/?ref=watch_permalink&amp;v=923735834984653")</f>
        <v>https://www.facebook.com/watch/live/?ref=watch_permalink&amp;v=923735834984653</v>
      </c>
      <c r="J2293" s="1" t="str">
        <f ca="1">IFERROR(__xludf.DUMMYFUNCTION("""COMPUTED_VALUE"""),"2022-07-04T15:49:26.534Z")</f>
        <v>2022-07-04T15:49:26.534Z</v>
      </c>
    </row>
    <row r="2294" spans="1:10" x14ac:dyDescent="0.2">
      <c r="A2294" s="2" t="str">
        <f ca="1">IFERROR(__xludf.DUMMYFUNCTION("""COMPUTED_VALUE"""),"https://www.facebook.com/crispina.pin.35")</f>
        <v>https://www.facebook.com/crispina.pin.35</v>
      </c>
      <c r="B2294" s="1" t="str">
        <f ca="1">IFERROR(__xludf.DUMMYFUNCTION("""COMPUTED_VALUE"""),"Pin G. Baniqued")</f>
        <v>Pin G. Baniqued</v>
      </c>
      <c r="C2294" s="1" t="str">
        <f ca="1">IFERROR(__xludf.DUMMYFUNCTION("""COMPUTED_VALUE"""),"Pin")</f>
        <v>Pin</v>
      </c>
      <c r="D2294" s="1" t="str">
        <f ca="1">IFERROR(__xludf.DUMMYFUNCTION("""COMPUTED_VALUE"""),"G. Baniqued")</f>
        <v>G. Baniqued</v>
      </c>
      <c r="E2294" s="1" t="str">
        <f ca="1">IFERROR(__xludf.DUMMYFUNCTION("""COMPUTED_VALUE"""),"Lam Henrick san ang kaso? Nakita nyo na ba divisoria ngayon? Masama loob nong mga nawAlan ng kotong.")</f>
        <v>Lam Henrick san ang kaso? Nakita nyo na ba divisoria ngayon? Masama loob nong mga nawAlan ng kotong.</v>
      </c>
      <c r="F2294" s="1">
        <f ca="1">IFERROR(__xludf.DUMMYFUNCTION("""COMPUTED_VALUE"""),1)</f>
        <v>1</v>
      </c>
      <c r="G2294" s="1" t="str">
        <f ca="1">IFERROR(__xludf.DUMMYFUNCTION("""COMPUTED_VALUE"""),"3 mos")</f>
        <v>3 mos</v>
      </c>
      <c r="H2294" s="1" t="str">
        <f ca="1">IFERROR(__xludf.DUMMYFUNCTION("""COMPUTED_VALUE"""),"reply")</f>
        <v>reply</v>
      </c>
      <c r="I2294" s="2" t="str">
        <f ca="1">IFERROR(__xludf.DUMMYFUNCTION("""COMPUTED_VALUE"""),"https://www.facebook.com/watch/live/?ref=watch_permalink&amp;v=923735834984653")</f>
        <v>https://www.facebook.com/watch/live/?ref=watch_permalink&amp;v=923735834984653</v>
      </c>
      <c r="J2294" s="1" t="str">
        <f ca="1">IFERROR(__xludf.DUMMYFUNCTION("""COMPUTED_VALUE"""),"2022-07-04T15:49:26.534Z")</f>
        <v>2022-07-04T15:49:26.534Z</v>
      </c>
    </row>
    <row r="2295" spans="1:10" x14ac:dyDescent="0.2">
      <c r="A2295" s="2" t="str">
        <f ca="1">IFERROR(__xludf.DUMMYFUNCTION("""COMPUTED_VALUE"""),"https://www.facebook.com/crispina.pin.35")</f>
        <v>https://www.facebook.com/crispina.pin.35</v>
      </c>
      <c r="B2295" s="1" t="str">
        <f ca="1">IFERROR(__xludf.DUMMYFUNCTION("""COMPUTED_VALUE"""),"Pin G. Baniqued")</f>
        <v>Pin G. Baniqued</v>
      </c>
      <c r="C2295" s="1" t="str">
        <f ca="1">IFERROR(__xludf.DUMMYFUNCTION("""COMPUTED_VALUE"""),"Pin")</f>
        <v>Pin</v>
      </c>
      <c r="D2295" s="1" t="str">
        <f ca="1">IFERROR(__xludf.DUMMYFUNCTION("""COMPUTED_VALUE"""),"G. Baniqued")</f>
        <v>G. Baniqued</v>
      </c>
      <c r="E2295" s="1" t="str">
        <f ca="1">IFERROR(__xludf.DUMMYFUNCTION("""COMPUTED_VALUE"""),"Emmanuel Villarba paano mong sinabi na iniwan sa ere? Jusco makapang husga lng.... Wagas... Hindi nagutom ang Manilenyo habang pandemic.. May allowance mga estudyante... Mabilis na ngbakuna... Ilang libong pabahay napagawa... Sariling pera nya binigay sa "&amp;"nangangailangan...")</f>
        <v>Emmanuel Villarba paano mong sinabi na iniwan sa ere? Jusco makapang husga lng.... Wagas... Hindi nagutom ang Manilenyo habang pandemic.. May allowance mga estudyante... Mabilis na ngbakuna... Ilang libong pabahay napagawa... Sariling pera nya binigay sa nangangailangan...</v>
      </c>
      <c r="F2295" s="1">
        <f ca="1">IFERROR(__xludf.DUMMYFUNCTION("""COMPUTED_VALUE"""),4)</f>
        <v>4</v>
      </c>
      <c r="G2295" s="1" t="str">
        <f ca="1">IFERROR(__xludf.DUMMYFUNCTION("""COMPUTED_VALUE"""),"3 mos")</f>
        <v>3 mos</v>
      </c>
      <c r="H2295" s="1" t="str">
        <f ca="1">IFERROR(__xludf.DUMMYFUNCTION("""COMPUTED_VALUE"""),"reply")</f>
        <v>reply</v>
      </c>
      <c r="I2295" s="2" t="str">
        <f ca="1">IFERROR(__xludf.DUMMYFUNCTION("""COMPUTED_VALUE"""),"https://www.facebook.com/watch/live/?ref=watch_permalink&amp;v=923735834984653")</f>
        <v>https://www.facebook.com/watch/live/?ref=watch_permalink&amp;v=923735834984653</v>
      </c>
      <c r="J2295" s="1" t="str">
        <f ca="1">IFERROR(__xludf.DUMMYFUNCTION("""COMPUTED_VALUE"""),"2022-07-04T15:49:26.534Z")</f>
        <v>2022-07-04T15:49:26.534Z</v>
      </c>
    </row>
    <row r="2296" spans="1:10" x14ac:dyDescent="0.2">
      <c r="A2296" s="2" t="str">
        <f ca="1">IFERROR(__xludf.DUMMYFUNCTION("""COMPUTED_VALUE"""),"https://www.facebook.com/ram.bagsic")</f>
        <v>https://www.facebook.com/ram.bagsic</v>
      </c>
      <c r="B2296" s="1" t="str">
        <f ca="1">IFERROR(__xludf.DUMMYFUNCTION("""COMPUTED_VALUE"""),"Ram Bagsic")</f>
        <v>Ram Bagsic</v>
      </c>
      <c r="C2296" s="1" t="str">
        <f ca="1">IFERROR(__xludf.DUMMYFUNCTION("""COMPUTED_VALUE"""),"Ram")</f>
        <v>Ram</v>
      </c>
      <c r="D2296" s="1" t="str">
        <f ca="1">IFERROR(__xludf.DUMMYFUNCTION("""COMPUTED_VALUE"""),"Bagsic")</f>
        <v>Bagsic</v>
      </c>
      <c r="E2296" s="1" t="str">
        <f ca="1">IFERROR(__xludf.DUMMYFUNCTION("""COMPUTED_VALUE"""),"Julia Evangelista totoo kaya nga yun balita sa divisoria .. nkakapagdalawang isip na kung iboboto pa")</f>
        <v>Julia Evangelista totoo kaya nga yun balita sa divisoria .. nkakapagdalawang isip na kung iboboto pa</v>
      </c>
      <c r="F2296" s="1"/>
      <c r="G2296" s="1" t="str">
        <f ca="1">IFERROR(__xludf.DUMMYFUNCTION("""COMPUTED_VALUE"""),"3 mos")</f>
        <v>3 mos</v>
      </c>
      <c r="H2296" s="1" t="str">
        <f ca="1">IFERROR(__xludf.DUMMYFUNCTION("""COMPUTED_VALUE"""),"reply")</f>
        <v>reply</v>
      </c>
      <c r="I2296" s="2" t="str">
        <f ca="1">IFERROR(__xludf.DUMMYFUNCTION("""COMPUTED_VALUE"""),"https://www.facebook.com/watch/live/?ref=watch_permalink&amp;v=923735834984653")</f>
        <v>https://www.facebook.com/watch/live/?ref=watch_permalink&amp;v=923735834984653</v>
      </c>
      <c r="J2296" s="1" t="str">
        <f ca="1">IFERROR(__xludf.DUMMYFUNCTION("""COMPUTED_VALUE"""),"2022-07-04T15:49:26.534Z")</f>
        <v>2022-07-04T15:49:26.534Z</v>
      </c>
    </row>
    <row r="2297" spans="1:10" x14ac:dyDescent="0.2">
      <c r="A2297" s="2" t="str">
        <f ca="1">IFERROR(__xludf.DUMMYFUNCTION("""COMPUTED_VALUE"""),"https://www.facebook.com/megzkristofer.roblo")</f>
        <v>https://www.facebook.com/megzkristofer.roblo</v>
      </c>
      <c r="B2297" s="1" t="str">
        <f ca="1">IFERROR(__xludf.DUMMYFUNCTION("""COMPUTED_VALUE"""),"Meg'z Kristofer Roblo")</f>
        <v>Meg'z Kristofer Roblo</v>
      </c>
      <c r="C2297" s="1" t="str">
        <f ca="1">IFERROR(__xludf.DUMMYFUNCTION("""COMPUTED_VALUE"""),"Meg'z")</f>
        <v>Meg'z</v>
      </c>
      <c r="D2297" s="1" t="str">
        <f ca="1">IFERROR(__xludf.DUMMYFUNCTION("""COMPUTED_VALUE"""),"Kristofer Roblo")</f>
        <v>Kristofer Roblo</v>
      </c>
      <c r="E2297" s="1" t="str">
        <f ca="1">IFERROR(__xludf.DUMMYFUNCTION("""COMPUTED_VALUE"""),"Emmanuel Villarba manood ka Ng proclamation rally nila may, sa manila Kung talagang iniwan sya,.")</f>
        <v>Emmanuel Villarba manood ka Ng proclamation rally nila may, sa manila Kung talagang iniwan sya,.</v>
      </c>
      <c r="F2297" s="1">
        <f ca="1">IFERROR(__xludf.DUMMYFUNCTION("""COMPUTED_VALUE"""),2)</f>
        <v>2</v>
      </c>
      <c r="G2297" s="1" t="str">
        <f ca="1">IFERROR(__xludf.DUMMYFUNCTION("""COMPUTED_VALUE"""),"3 mos")</f>
        <v>3 mos</v>
      </c>
      <c r="H2297" s="1" t="str">
        <f ca="1">IFERROR(__xludf.DUMMYFUNCTION("""COMPUTED_VALUE"""),"reply")</f>
        <v>reply</v>
      </c>
      <c r="I2297" s="2" t="str">
        <f ca="1">IFERROR(__xludf.DUMMYFUNCTION("""COMPUTED_VALUE"""),"https://www.facebook.com/watch/live/?ref=watch_permalink&amp;v=923735834984653")</f>
        <v>https://www.facebook.com/watch/live/?ref=watch_permalink&amp;v=923735834984653</v>
      </c>
      <c r="J2297" s="1" t="str">
        <f ca="1">IFERROR(__xludf.DUMMYFUNCTION("""COMPUTED_VALUE"""),"2022-07-04T15:49:26.534Z")</f>
        <v>2022-07-04T15:49:26.534Z</v>
      </c>
    </row>
    <row r="2298" spans="1:10" x14ac:dyDescent="0.2">
      <c r="A2298" s="2" t="str">
        <f ca="1">IFERROR(__xludf.DUMMYFUNCTION("""COMPUTED_VALUE"""),"https://www.facebook.com/lariza.francisco")</f>
        <v>https://www.facebook.com/lariza.francisco</v>
      </c>
      <c r="B2298" s="1" t="str">
        <f ca="1">IFERROR(__xludf.DUMMYFUNCTION("""COMPUTED_VALUE"""),"Lariza Francisco")</f>
        <v>Lariza Francisco</v>
      </c>
      <c r="C2298" s="1" t="str">
        <f ca="1">IFERROR(__xludf.DUMMYFUNCTION("""COMPUTED_VALUE"""),"Lariza")</f>
        <v>Lariza</v>
      </c>
      <c r="D2298" s="1" t="str">
        <f ca="1">IFERROR(__xludf.DUMMYFUNCTION("""COMPUTED_VALUE"""),"Francisco")</f>
        <v>Francisco</v>
      </c>
      <c r="E2298" s="1" t="str">
        <f ca="1">IFERROR(__xludf.DUMMYFUNCTION("""COMPUTED_VALUE"""),"Cuttie Chinny tama sa lahat ng mayor na umupo jan sa maynila si yorme lang Nakapag alis Ng nangongotong sa mga vendor grabe Nung Kay Lim at erap babayaran mo sa pwesto para sa city hall sa pulis sa kapitan Ultimo tanod naniningil pati nga mag wawalis eh h"&amp;"ay grabe kawawa mga vendor noon Ngayon nalang naging maayos at malinis dhl sa magandang pamamalakad ni yorme")</f>
        <v>Cuttie Chinny tama sa lahat ng mayor na umupo jan sa maynila si yorme lang Nakapag alis Ng nangongotong sa mga vendor grabe Nung Kay Lim at erap babayaran mo sa pwesto para sa city hall sa pulis sa kapitan Ultimo tanod naniningil pati nga mag wawalis eh hay grabe kawawa mga vendor noon Ngayon nalang naging maayos at malinis dhl sa magandang pamamalakad ni yorme</v>
      </c>
      <c r="F2298" s="1">
        <f ca="1">IFERROR(__xludf.DUMMYFUNCTION("""COMPUTED_VALUE"""),3)</f>
        <v>3</v>
      </c>
      <c r="G2298" s="1" t="str">
        <f ca="1">IFERROR(__xludf.DUMMYFUNCTION("""COMPUTED_VALUE"""),"3 mos")</f>
        <v>3 mos</v>
      </c>
      <c r="H2298" s="1" t="str">
        <f ca="1">IFERROR(__xludf.DUMMYFUNCTION("""COMPUTED_VALUE"""),"reply")</f>
        <v>reply</v>
      </c>
      <c r="I2298" s="2" t="str">
        <f ca="1">IFERROR(__xludf.DUMMYFUNCTION("""COMPUTED_VALUE"""),"https://www.facebook.com/watch/live/?ref=watch_permalink&amp;v=923735834984653")</f>
        <v>https://www.facebook.com/watch/live/?ref=watch_permalink&amp;v=923735834984653</v>
      </c>
      <c r="J2298" s="1" t="str">
        <f ca="1">IFERROR(__xludf.DUMMYFUNCTION("""COMPUTED_VALUE"""),"2022-07-04T15:49:26.534Z")</f>
        <v>2022-07-04T15:49:26.534Z</v>
      </c>
    </row>
    <row r="2299" spans="1:10" x14ac:dyDescent="0.2">
      <c r="A2299" s="2" t="str">
        <f ca="1">IFERROR(__xludf.DUMMYFUNCTION("""COMPUTED_VALUE"""),"https://www.facebook.com/lariza.francisco")</f>
        <v>https://www.facebook.com/lariza.francisco</v>
      </c>
      <c r="B2299" s="1" t="str">
        <f ca="1">IFERROR(__xludf.DUMMYFUNCTION("""COMPUTED_VALUE"""),"Lariza Francisco")</f>
        <v>Lariza Francisco</v>
      </c>
      <c r="C2299" s="1" t="str">
        <f ca="1">IFERROR(__xludf.DUMMYFUNCTION("""COMPUTED_VALUE"""),"Lariza")</f>
        <v>Lariza</v>
      </c>
      <c r="D2299" s="1" t="str">
        <f ca="1">IFERROR(__xludf.DUMMYFUNCTION("""COMPUTED_VALUE"""),"Francisco")</f>
        <v>Francisco</v>
      </c>
      <c r="E2299" s="1" t="str">
        <f ca="1">IFERROR(__xludf.DUMMYFUNCTION("""COMPUTED_VALUE"""),"Cuttie Chinny Yes Kay yorme kht nd ka taga maynila makaka hingi ka Ng tulong at suporta sa gamot subok na subok na namin yan kht konsehal pang sya nun at talagang door to door Ang pag hahatid Ng tulong bukod tangi sya lang nakagawa nun kaya solid isko ako"&amp;" ikaw Ang nais ko #3")</f>
        <v>Cuttie Chinny Yes Kay yorme kht nd ka taga maynila makaka hingi ka Ng tulong at suporta sa gamot subok na subok na namin yan kht konsehal pang sya nun at talagang door to door Ang pag hahatid Ng tulong bukod tangi sya lang nakagawa nun kaya solid isko ako ikaw Ang nais ko #3</v>
      </c>
      <c r="F2299" s="1">
        <f ca="1">IFERROR(__xludf.DUMMYFUNCTION("""COMPUTED_VALUE"""),1)</f>
        <v>1</v>
      </c>
      <c r="G2299" s="1" t="str">
        <f ca="1">IFERROR(__xludf.DUMMYFUNCTION("""COMPUTED_VALUE"""),"3 mos")</f>
        <v>3 mos</v>
      </c>
      <c r="H2299" s="1" t="str">
        <f ca="1">IFERROR(__xludf.DUMMYFUNCTION("""COMPUTED_VALUE"""),"reply")</f>
        <v>reply</v>
      </c>
      <c r="I2299" s="2" t="str">
        <f ca="1">IFERROR(__xludf.DUMMYFUNCTION("""COMPUTED_VALUE"""),"https://www.facebook.com/watch/live/?ref=watch_permalink&amp;v=923735834984653")</f>
        <v>https://www.facebook.com/watch/live/?ref=watch_permalink&amp;v=923735834984653</v>
      </c>
      <c r="J2299" s="1" t="str">
        <f ca="1">IFERROR(__xludf.DUMMYFUNCTION("""COMPUTED_VALUE"""),"2022-07-04T15:49:26.534Z")</f>
        <v>2022-07-04T15:49:26.534Z</v>
      </c>
    </row>
    <row r="2300" spans="1:10" x14ac:dyDescent="0.2">
      <c r="A2300" s="2" t="str">
        <f ca="1">IFERROR(__xludf.DUMMYFUNCTION("""COMPUTED_VALUE"""),"https://www.facebook.com/julia.evangelista.18488")</f>
        <v>https://www.facebook.com/julia.evangelista.18488</v>
      </c>
      <c r="B2300" s="1" t="str">
        <f ca="1">IFERROR(__xludf.DUMMYFUNCTION("""COMPUTED_VALUE"""),"Julia Evangelista")</f>
        <v>Julia Evangelista</v>
      </c>
      <c r="C2300" s="1" t="str">
        <f ca="1">IFERROR(__xludf.DUMMYFUNCTION("""COMPUTED_VALUE"""),"Julia")</f>
        <v>Julia</v>
      </c>
      <c r="D2300" s="1" t="str">
        <f ca="1">IFERROR(__xludf.DUMMYFUNCTION("""COMPUTED_VALUE"""),"Evangelista")</f>
        <v>Evangelista</v>
      </c>
      <c r="E2300" s="1" t="str">
        <f ca="1">IFERROR(__xludf.DUMMYFUNCTION("""COMPUTED_VALUE"""),"Ram Bagsic  ha ? punta ka divisoria, tpos tanong mo sa manila city hall , tpos tanongin mo narin pl kay lopez , ganon pala oo , …. tpos tanungin mo yung bantay nmin sa pilipinas kase bska na ibenta na rin ni isko.  oo gnon ang proseso, bago k pla magtanon"&amp;"g inum ka tubig mlamig . kase baka na ibenta kanarin… o , cge .. goodlunck nalang !!!God first solid ☝🏻💙")</f>
        <v>Ram Bagsic  ha ? punta ka divisoria, tpos tanong mo sa manila city hall , tpos tanongin mo narin pl kay lopez , ganon pala oo , …. tpos tanungin mo yung bantay nmin sa pilipinas kase bska na ibenta na rin ni isko.  oo gnon ang proseso, bago k pla magtanong inum ka tubig mlamig . kase baka na ibenta kanarin… o , cge .. goodlunck nalang !!!God first solid ☝🏻💙</v>
      </c>
      <c r="F2300" s="1">
        <f ca="1">IFERROR(__xludf.DUMMYFUNCTION("""COMPUTED_VALUE"""),1)</f>
        <v>1</v>
      </c>
      <c r="G2300" s="1" t="str">
        <f ca="1">IFERROR(__xludf.DUMMYFUNCTION("""COMPUTED_VALUE"""),"3 mos")</f>
        <v>3 mos</v>
      </c>
      <c r="H2300" s="1" t="str">
        <f ca="1">IFERROR(__xludf.DUMMYFUNCTION("""COMPUTED_VALUE"""),"reply")</f>
        <v>reply</v>
      </c>
      <c r="I2300" s="2" t="str">
        <f ca="1">IFERROR(__xludf.DUMMYFUNCTION("""COMPUTED_VALUE"""),"https://www.facebook.com/watch/live/?ref=watch_permalink&amp;v=923735834984653")</f>
        <v>https://www.facebook.com/watch/live/?ref=watch_permalink&amp;v=923735834984653</v>
      </c>
      <c r="J2300" s="1" t="str">
        <f ca="1">IFERROR(__xludf.DUMMYFUNCTION("""COMPUTED_VALUE"""),"2022-07-04T15:49:26.534Z")</f>
        <v>2022-07-04T15:49:26.534Z</v>
      </c>
    </row>
    <row r="2301" spans="1:10" x14ac:dyDescent="0.2">
      <c r="A2301" s="2" t="str">
        <f ca="1">IFERROR(__xludf.DUMMYFUNCTION("""COMPUTED_VALUE"""),"https://www.facebook.com/sharelle.mamerto.5")</f>
        <v>https://www.facebook.com/sharelle.mamerto.5</v>
      </c>
      <c r="B2301" s="1" t="str">
        <f ca="1">IFERROR(__xludf.DUMMYFUNCTION("""COMPUTED_VALUE"""),"Eushee Reyn")</f>
        <v>Eushee Reyn</v>
      </c>
      <c r="C2301" s="1" t="str">
        <f ca="1">IFERROR(__xludf.DUMMYFUNCTION("""COMPUTED_VALUE"""),"Eushee")</f>
        <v>Eushee</v>
      </c>
      <c r="D2301" s="1" t="str">
        <f ca="1">IFERROR(__xludf.DUMMYFUNCTION("""COMPUTED_VALUE"""),"Reyn")</f>
        <v>Reyn</v>
      </c>
      <c r="E2301" s="1" t="str">
        <f ca="1">IFERROR(__xludf.DUMMYFUNCTION("""COMPUTED_VALUE"""),"Emmanuel Villarba kows!!!!yorme lng dpat mnalo🙏🙏mlakas sya  kwa2 ang pinas pg iba nanalo")</f>
        <v>Emmanuel Villarba kows!!!!yorme lng dpat mnalo🙏🙏mlakas sya  kwa2 ang pinas pg iba nanalo</v>
      </c>
      <c r="F2301" s="1"/>
      <c r="G2301" s="1" t="str">
        <f ca="1">IFERROR(__xludf.DUMMYFUNCTION("""COMPUTED_VALUE"""),"3 mos")</f>
        <v>3 mos</v>
      </c>
      <c r="H2301" s="1" t="str">
        <f ca="1">IFERROR(__xludf.DUMMYFUNCTION("""COMPUTED_VALUE"""),"reply")</f>
        <v>reply</v>
      </c>
      <c r="I2301" s="2" t="str">
        <f ca="1">IFERROR(__xludf.DUMMYFUNCTION("""COMPUTED_VALUE"""),"https://www.facebook.com/watch/live/?ref=watch_permalink&amp;v=923735834984653")</f>
        <v>https://www.facebook.com/watch/live/?ref=watch_permalink&amp;v=923735834984653</v>
      </c>
      <c r="J2301" s="1" t="str">
        <f ca="1">IFERROR(__xludf.DUMMYFUNCTION("""COMPUTED_VALUE"""),"2022-07-04T15:49:26.534Z")</f>
        <v>2022-07-04T15:49:26.534Z</v>
      </c>
    </row>
    <row r="2302" spans="1:10" x14ac:dyDescent="0.2">
      <c r="A2302" s="2" t="str">
        <f ca="1">IFERROR(__xludf.DUMMYFUNCTION("""COMPUTED_VALUE"""),"https://www.facebook.com/rsvillarama")</f>
        <v>https://www.facebook.com/rsvillarama</v>
      </c>
      <c r="B2302" s="1" t="str">
        <f ca="1">IFERROR(__xludf.DUMMYFUNCTION("""COMPUTED_VALUE"""),"Rosa Villa")</f>
        <v>Rosa Villa</v>
      </c>
      <c r="C2302" s="1" t="str">
        <f ca="1">IFERROR(__xludf.DUMMYFUNCTION("""COMPUTED_VALUE"""),"Rosa")</f>
        <v>Rosa</v>
      </c>
      <c r="D2302" s="1" t="str">
        <f ca="1">IFERROR(__xludf.DUMMYFUNCTION("""COMPUTED_VALUE"""),"Villa")</f>
        <v>Villa</v>
      </c>
      <c r="E2302" s="1" t="str">
        <f ca="1">IFERROR(__xludf.DUMMYFUNCTION("""COMPUTED_VALUE"""),"Emmanuel Villarba ano gusto mo magpa baby sit kay Yorme? Kailangan sya ng buong Pilipinas !")</f>
        <v>Emmanuel Villarba ano gusto mo magpa baby sit kay Yorme? Kailangan sya ng buong Pilipinas !</v>
      </c>
      <c r="F2302" s="1">
        <f ca="1">IFERROR(__xludf.DUMMYFUNCTION("""COMPUTED_VALUE"""),2)</f>
        <v>2</v>
      </c>
      <c r="G2302" s="1" t="str">
        <f ca="1">IFERROR(__xludf.DUMMYFUNCTION("""COMPUTED_VALUE"""),"3 mos")</f>
        <v>3 mos</v>
      </c>
      <c r="H2302" s="1" t="str">
        <f ca="1">IFERROR(__xludf.DUMMYFUNCTION("""COMPUTED_VALUE"""),"reply")</f>
        <v>reply</v>
      </c>
      <c r="I2302" s="2" t="str">
        <f ca="1">IFERROR(__xludf.DUMMYFUNCTION("""COMPUTED_VALUE"""),"https://www.facebook.com/watch/live/?ref=watch_permalink&amp;v=923735834984653")</f>
        <v>https://www.facebook.com/watch/live/?ref=watch_permalink&amp;v=923735834984653</v>
      </c>
      <c r="J2302" s="1" t="str">
        <f ca="1">IFERROR(__xludf.DUMMYFUNCTION("""COMPUTED_VALUE"""),"2022-07-04T15:49:26.534Z")</f>
        <v>2022-07-04T15:49:26.534Z</v>
      </c>
    </row>
    <row r="2303" spans="1:10" x14ac:dyDescent="0.2">
      <c r="A2303" s="2" t="str">
        <f ca="1">IFERROR(__xludf.DUMMYFUNCTION("""COMPUTED_VALUE"""),"https://www.facebook.com/totie.balce")</f>
        <v>https://www.facebook.com/totie.balce</v>
      </c>
      <c r="B2303" s="1" t="str">
        <f ca="1">IFERROR(__xludf.DUMMYFUNCTION("""COMPUTED_VALUE"""),"Totie Balce")</f>
        <v>Totie Balce</v>
      </c>
      <c r="C2303" s="1" t="str">
        <f ca="1">IFERROR(__xludf.DUMMYFUNCTION("""COMPUTED_VALUE"""),"Totie")</f>
        <v>Totie</v>
      </c>
      <c r="D2303" s="1" t="str">
        <f ca="1">IFERROR(__xludf.DUMMYFUNCTION("""COMPUTED_VALUE"""),"Balce")</f>
        <v>Balce</v>
      </c>
      <c r="E2303" s="1" t="str">
        <f ca="1">IFERROR(__xludf.DUMMYFUNCTION("""COMPUTED_VALUE"""),"Ano yun nababalita na ipinagbili ni Yorme ang DIVISORIA MARKET?")</f>
        <v>Ano yun nababalita na ipinagbili ni Yorme ang DIVISORIA MARKET?</v>
      </c>
      <c r="F2303" s="1"/>
      <c r="G2303" s="1" t="str">
        <f ca="1">IFERROR(__xludf.DUMMYFUNCTION("""COMPUTED_VALUE"""),"3 mos")</f>
        <v>3 mos</v>
      </c>
      <c r="H2303" s="1" t="str">
        <f ca="1">IFERROR(__xludf.DUMMYFUNCTION("""COMPUTED_VALUE"""),"reply")</f>
        <v>reply</v>
      </c>
      <c r="I2303" s="2" t="str">
        <f ca="1">IFERROR(__xludf.DUMMYFUNCTION("""COMPUTED_VALUE"""),"https://www.facebook.com/watch/live/?ref=watch_permalink&amp;v=923735834984653")</f>
        <v>https://www.facebook.com/watch/live/?ref=watch_permalink&amp;v=923735834984653</v>
      </c>
      <c r="J2303" s="1" t="str">
        <f ca="1">IFERROR(__xludf.DUMMYFUNCTION("""COMPUTED_VALUE"""),"2022-07-04T15:49:26.534Z")</f>
        <v>2022-07-04T15:49:26.534Z</v>
      </c>
    </row>
    <row r="2304" spans="1:10" x14ac:dyDescent="0.2">
      <c r="A2304" s="2" t="str">
        <f ca="1">IFERROR(__xludf.DUMMYFUNCTION("""COMPUTED_VALUE"""),"https://www.facebook.com/reesecolmenares")</f>
        <v>https://www.facebook.com/reesecolmenares</v>
      </c>
      <c r="B2304" s="1" t="str">
        <f ca="1">IFERROR(__xludf.DUMMYFUNCTION("""COMPUTED_VALUE"""),"Reese Colmenares")</f>
        <v>Reese Colmenares</v>
      </c>
      <c r="C2304" s="1" t="str">
        <f ca="1">IFERROR(__xludf.DUMMYFUNCTION("""COMPUTED_VALUE"""),"Reese")</f>
        <v>Reese</v>
      </c>
      <c r="D2304" s="1" t="str">
        <f ca="1">IFERROR(__xludf.DUMMYFUNCTION("""COMPUTED_VALUE"""),"Colmenares")</f>
        <v>Colmenares</v>
      </c>
      <c r="E2304" s="1" t="str">
        <f ca="1">IFERROR(__xludf.DUMMYFUNCTION("""COMPUTED_VALUE"""),"Whattt? 65people but  i can only hear maybe 10???  Pangako na impossible naman. Be real- thats the secret.")</f>
        <v>Whattt? 65people but  i can only hear maybe 10???  Pangako na impossible naman. Be real- thats the secret.</v>
      </c>
      <c r="F2304" s="1">
        <f ca="1">IFERROR(__xludf.DUMMYFUNCTION("""COMPUTED_VALUE"""),15)</f>
        <v>15</v>
      </c>
      <c r="G2304" s="1" t="str">
        <f ca="1">IFERROR(__xludf.DUMMYFUNCTION("""COMPUTED_VALUE"""),"3 mos")</f>
        <v>3 mos</v>
      </c>
      <c r="H2304" s="1" t="str">
        <f ca="1">IFERROR(__xludf.DUMMYFUNCTION("""COMPUTED_VALUE"""),"comment")</f>
        <v>comment</v>
      </c>
      <c r="I2304" s="2" t="str">
        <f ca="1">IFERROR(__xludf.DUMMYFUNCTION("""COMPUTED_VALUE"""),"https://www.facebook.com/watch/live/?ref=watch_permalink&amp;v=923735834984653")</f>
        <v>https://www.facebook.com/watch/live/?ref=watch_permalink&amp;v=923735834984653</v>
      </c>
      <c r="J2304" s="1" t="str">
        <f ca="1">IFERROR(__xludf.DUMMYFUNCTION("""COMPUTED_VALUE"""),"2022-07-04T15:49:26.534Z")</f>
        <v>2022-07-04T15:49:26.534Z</v>
      </c>
    </row>
    <row r="2305" spans="1:10" x14ac:dyDescent="0.2">
      <c r="A2305" s="2" t="str">
        <f ca="1">IFERROR(__xludf.DUMMYFUNCTION("""COMPUTED_VALUE"""),"https://www.facebook.com/profile.php?id=100068675928336")</f>
        <v>https://www.facebook.com/profile.php?id=100068675928336</v>
      </c>
      <c r="B2305" s="1" t="str">
        <f ca="1">IFERROR(__xludf.DUMMYFUNCTION("""COMPUTED_VALUE"""),"Isko Tayo")</f>
        <v>Isko Tayo</v>
      </c>
      <c r="C2305" s="1" t="str">
        <f ca="1">IFERROR(__xludf.DUMMYFUNCTION("""COMPUTED_VALUE"""),"Isko")</f>
        <v>Isko</v>
      </c>
      <c r="D2305" s="1" t="str">
        <f ca="1">IFERROR(__xludf.DUMMYFUNCTION("""COMPUTED_VALUE"""),"Tayo")</f>
        <v>Tayo</v>
      </c>
      <c r="E2305" s="1" t="str">
        <f ca="1">IFERROR(__xludf.DUMMYFUNCTION("""COMPUTED_VALUE"""),"Reese Colmenares expand your knowledge lol")</f>
        <v>Reese Colmenares expand your knowledge lol</v>
      </c>
      <c r="F2305" s="1">
        <f ca="1">IFERROR(__xludf.DUMMYFUNCTION("""COMPUTED_VALUE"""),2)</f>
        <v>2</v>
      </c>
      <c r="G2305" s="1" t="str">
        <f ca="1">IFERROR(__xludf.DUMMYFUNCTION("""COMPUTED_VALUE"""),"3 mos")</f>
        <v>3 mos</v>
      </c>
      <c r="H2305" s="1" t="str">
        <f ca="1">IFERROR(__xludf.DUMMYFUNCTION("""COMPUTED_VALUE"""),"reply")</f>
        <v>reply</v>
      </c>
      <c r="I2305" s="2" t="str">
        <f ca="1">IFERROR(__xludf.DUMMYFUNCTION("""COMPUTED_VALUE"""),"https://www.facebook.com/watch/live/?ref=watch_permalink&amp;v=923735834984653")</f>
        <v>https://www.facebook.com/watch/live/?ref=watch_permalink&amp;v=923735834984653</v>
      </c>
      <c r="J2305" s="1" t="str">
        <f ca="1">IFERROR(__xludf.DUMMYFUNCTION("""COMPUTED_VALUE"""),"2022-07-04T15:49:26.534Z")</f>
        <v>2022-07-04T15:49:26.534Z</v>
      </c>
    </row>
    <row r="2306" spans="1:10" x14ac:dyDescent="0.2">
      <c r="A2306" s="2" t="str">
        <f ca="1">IFERROR(__xludf.DUMMYFUNCTION("""COMPUTED_VALUE"""),"https://www.facebook.com/carlos.lavidez")</f>
        <v>https://www.facebook.com/carlos.lavidez</v>
      </c>
      <c r="B2306" s="1" t="str">
        <f ca="1">IFERROR(__xludf.DUMMYFUNCTION("""COMPUTED_VALUE"""),"Carlos Lavidez")</f>
        <v>Carlos Lavidez</v>
      </c>
      <c r="C2306" s="1" t="str">
        <f ca="1">IFERROR(__xludf.DUMMYFUNCTION("""COMPUTED_VALUE"""),"Carlos")</f>
        <v>Carlos</v>
      </c>
      <c r="D2306" s="1" t="str">
        <f ca="1">IFERROR(__xludf.DUMMYFUNCTION("""COMPUTED_VALUE"""),"Lavidez")</f>
        <v>Lavidez</v>
      </c>
      <c r="E2306" s="1" t="str">
        <f ca="1">IFERROR(__xludf.DUMMYFUNCTION("""COMPUTED_VALUE"""),"Reese Colmenares bulag ka at binge")</f>
        <v>Reese Colmenares bulag ka at binge</v>
      </c>
      <c r="F2306" s="1">
        <f ca="1">IFERROR(__xludf.DUMMYFUNCTION("""COMPUTED_VALUE"""),2)</f>
        <v>2</v>
      </c>
      <c r="G2306" s="1" t="str">
        <f ca="1">IFERROR(__xludf.DUMMYFUNCTION("""COMPUTED_VALUE"""),"3 mos")</f>
        <v>3 mos</v>
      </c>
      <c r="H2306" s="1" t="str">
        <f ca="1">IFERROR(__xludf.DUMMYFUNCTION("""COMPUTED_VALUE"""),"reply")</f>
        <v>reply</v>
      </c>
      <c r="I2306" s="2" t="str">
        <f ca="1">IFERROR(__xludf.DUMMYFUNCTION("""COMPUTED_VALUE"""),"https://www.facebook.com/watch/live/?ref=watch_permalink&amp;v=923735834984653")</f>
        <v>https://www.facebook.com/watch/live/?ref=watch_permalink&amp;v=923735834984653</v>
      </c>
      <c r="J2306" s="1" t="str">
        <f ca="1">IFERROR(__xludf.DUMMYFUNCTION("""COMPUTED_VALUE"""),"2022-07-04T15:49:26.534Z")</f>
        <v>2022-07-04T15:49:26.534Z</v>
      </c>
    </row>
    <row r="2307" spans="1:10" x14ac:dyDescent="0.2">
      <c r="A2307" s="2" t="str">
        <f ca="1">IFERROR(__xludf.DUMMYFUNCTION("""COMPUTED_VALUE"""),"https://www.facebook.com/nosgnoilaluap")</f>
        <v>https://www.facebook.com/nosgnoilaluap</v>
      </c>
      <c r="B2307" s="1" t="str">
        <f ca="1">IFERROR(__xludf.DUMMYFUNCTION("""COMPUTED_VALUE"""),"Paula Liongson")</f>
        <v>Paula Liongson</v>
      </c>
      <c r="C2307" s="1" t="str">
        <f ca="1">IFERROR(__xludf.DUMMYFUNCTION("""COMPUTED_VALUE"""),"Paula")</f>
        <v>Paula</v>
      </c>
      <c r="D2307" s="1" t="str">
        <f ca="1">IFERROR(__xludf.DUMMYFUNCTION("""COMPUTED_VALUE"""),"Liongson")</f>
        <v>Liongson</v>
      </c>
      <c r="E2307" s="1" t="str">
        <f ca="1">IFERROR(__xludf.DUMMYFUNCTION("""COMPUTED_VALUE"""),"Isn't there such thing as noise cancellation?")</f>
        <v>Isn't there such thing as noise cancellation?</v>
      </c>
      <c r="F2307" s="1"/>
      <c r="G2307" s="1" t="str">
        <f ca="1">IFERROR(__xludf.DUMMYFUNCTION("""COMPUTED_VALUE"""),"3 mos")</f>
        <v>3 mos</v>
      </c>
      <c r="H2307" s="1" t="str">
        <f ca="1">IFERROR(__xludf.DUMMYFUNCTION("""COMPUTED_VALUE"""),"reply")</f>
        <v>reply</v>
      </c>
      <c r="I2307" s="2" t="str">
        <f ca="1">IFERROR(__xludf.DUMMYFUNCTION("""COMPUTED_VALUE"""),"https://www.facebook.com/watch/live/?ref=watch_permalink&amp;v=923735834984653")</f>
        <v>https://www.facebook.com/watch/live/?ref=watch_permalink&amp;v=923735834984653</v>
      </c>
      <c r="J2307" s="1" t="str">
        <f ca="1">IFERROR(__xludf.DUMMYFUNCTION("""COMPUTED_VALUE"""),"2022-07-04T15:49:26.534Z")</f>
        <v>2022-07-04T15:49:26.534Z</v>
      </c>
    </row>
    <row r="2308" spans="1:10" x14ac:dyDescent="0.2">
      <c r="A2308" s="2" t="str">
        <f ca="1">IFERROR(__xludf.DUMMYFUNCTION("""COMPUTED_VALUE"""),"https://www.facebook.com/materesa.balean")</f>
        <v>https://www.facebook.com/materesa.balean</v>
      </c>
      <c r="B2308" s="1" t="str">
        <f ca="1">IFERROR(__xludf.DUMMYFUNCTION("""COMPUTED_VALUE"""),"Maria Balean - Exelby")</f>
        <v>Maria Balean - Exelby</v>
      </c>
      <c r="C2308" s="1" t="str">
        <f ca="1">IFERROR(__xludf.DUMMYFUNCTION("""COMPUTED_VALUE"""),"Maria")</f>
        <v>Maria</v>
      </c>
      <c r="D2308" s="1" t="str">
        <f ca="1">IFERROR(__xludf.DUMMYFUNCTION("""COMPUTED_VALUE"""),"Balean - Exelby")</f>
        <v>Balean - Exelby</v>
      </c>
      <c r="E2308" s="1" t="str">
        <f ca="1">IFERROR(__xludf.DUMMYFUNCTION("""COMPUTED_VALUE"""),"Paula Liongson manila is from dugyot to amazing place now 👍👍👍🥰 because of mayor Isko Moreno! !!!")</f>
        <v>Paula Liongson manila is from dugyot to amazing place now 👍👍👍🥰 because of mayor Isko Moreno! !!!</v>
      </c>
      <c r="F2308" s="1">
        <f ca="1">IFERROR(__xludf.DUMMYFUNCTION("""COMPUTED_VALUE"""),7)</f>
        <v>7</v>
      </c>
      <c r="G2308" s="1" t="str">
        <f ca="1">IFERROR(__xludf.DUMMYFUNCTION("""COMPUTED_VALUE"""),"3 mos")</f>
        <v>3 mos</v>
      </c>
      <c r="H2308" s="1" t="str">
        <f ca="1">IFERROR(__xludf.DUMMYFUNCTION("""COMPUTED_VALUE"""),"reply")</f>
        <v>reply</v>
      </c>
      <c r="I2308" s="2" t="str">
        <f ca="1">IFERROR(__xludf.DUMMYFUNCTION("""COMPUTED_VALUE"""),"https://www.facebook.com/watch/live/?ref=watch_permalink&amp;v=923735834984653")</f>
        <v>https://www.facebook.com/watch/live/?ref=watch_permalink&amp;v=923735834984653</v>
      </c>
      <c r="J2308" s="1" t="str">
        <f ca="1">IFERROR(__xludf.DUMMYFUNCTION("""COMPUTED_VALUE"""),"2022-07-04T15:49:26.534Z")</f>
        <v>2022-07-04T15:49:26.534Z</v>
      </c>
    </row>
    <row r="2309" spans="1:10" x14ac:dyDescent="0.2">
      <c r="A2309" s="2" t="str">
        <f ca="1">IFERROR(__xludf.DUMMYFUNCTION("""COMPUTED_VALUE"""),"https://www.facebook.com/daphne.baula")</f>
        <v>https://www.facebook.com/daphne.baula</v>
      </c>
      <c r="B2309" s="1" t="str">
        <f ca="1">IFERROR(__xludf.DUMMYFUNCTION("""COMPUTED_VALUE"""),"Daphne Baula")</f>
        <v>Daphne Baula</v>
      </c>
      <c r="C2309" s="1" t="str">
        <f ca="1">IFERROR(__xludf.DUMMYFUNCTION("""COMPUTED_VALUE"""),"Daphne")</f>
        <v>Daphne</v>
      </c>
      <c r="D2309" s="1" t="str">
        <f ca="1">IFERROR(__xludf.DUMMYFUNCTION("""COMPUTED_VALUE"""),"Baula")</f>
        <v>Baula</v>
      </c>
      <c r="E2309" s="1" t="str">
        <f ca="1">IFERROR(__xludf.DUMMYFUNCTION("""COMPUTED_VALUE"""),"Reese Colmenares   ang  dapat  proweba ka   😂😂😂😂 GOD FIRST")</f>
        <v>Reese Colmenares   ang  dapat  proweba ka   😂😂😂😂 GOD FIRST</v>
      </c>
      <c r="F2309" s="1">
        <f ca="1">IFERROR(__xludf.DUMMYFUNCTION("""COMPUTED_VALUE"""),1)</f>
        <v>1</v>
      </c>
      <c r="G2309" s="1" t="str">
        <f ca="1">IFERROR(__xludf.DUMMYFUNCTION("""COMPUTED_VALUE"""),"3 mos")</f>
        <v>3 mos</v>
      </c>
      <c r="H2309" s="1" t="str">
        <f ca="1">IFERROR(__xludf.DUMMYFUNCTION("""COMPUTED_VALUE"""),"reply")</f>
        <v>reply</v>
      </c>
      <c r="I2309" s="2" t="str">
        <f ca="1">IFERROR(__xludf.DUMMYFUNCTION("""COMPUTED_VALUE"""),"https://www.facebook.com/watch/live/?ref=watch_permalink&amp;v=923735834984653")</f>
        <v>https://www.facebook.com/watch/live/?ref=watch_permalink&amp;v=923735834984653</v>
      </c>
      <c r="J2309" s="1" t="str">
        <f ca="1">IFERROR(__xludf.DUMMYFUNCTION("""COMPUTED_VALUE"""),"2022-07-04T15:49:26.534Z")</f>
        <v>2022-07-04T15:49:26.534Z</v>
      </c>
    </row>
    <row r="2310" spans="1:10" x14ac:dyDescent="0.2">
      <c r="A2310" s="2" t="str">
        <f ca="1">IFERROR(__xludf.DUMMYFUNCTION("""COMPUTED_VALUE"""),"https://www.facebook.com/menchie.delrosario")</f>
        <v>https://www.facebook.com/menchie.delrosario</v>
      </c>
      <c r="B2310" s="1" t="str">
        <f ca="1">IFERROR(__xludf.DUMMYFUNCTION("""COMPUTED_VALUE"""),"Cuttie Chinny")</f>
        <v>Cuttie Chinny</v>
      </c>
      <c r="C2310" s="1" t="str">
        <f ca="1">IFERROR(__xludf.DUMMYFUNCTION("""COMPUTED_VALUE"""),"Cuttie")</f>
        <v>Cuttie</v>
      </c>
      <c r="D2310" s="1" t="str">
        <f ca="1">IFERROR(__xludf.DUMMYFUNCTION("""COMPUTED_VALUE"""),"Chinny")</f>
        <v>Chinny</v>
      </c>
      <c r="E2310" s="1" t="str">
        <f ca="1">IFERROR(__xludf.DUMMYFUNCTION("""COMPUTED_VALUE"""),"Daphne Baula may prweba na si yorme kaya lng mga bulag ung mga kababayan natin..gusto nla ung may ggwin plng na wala man lng kplano plano..ayaw s sigurado gusto pang maghintay...kung ung mga plano ni tanzo dpt nagawa n nya dati pa tgal nilang nasa pwesto "&amp;"eh..")</f>
        <v>Daphne Baula may prweba na si yorme kaya lng mga bulag ung mga kababayan natin..gusto nla ung may ggwin plng na wala man lng kplano plano..ayaw s sigurado gusto pang maghintay...kung ung mga plano ni tanzo dpt nagawa n nya dati pa tgal nilang nasa pwesto eh..</v>
      </c>
      <c r="F2310" s="1">
        <f ca="1">IFERROR(__xludf.DUMMYFUNCTION("""COMPUTED_VALUE"""),4)</f>
        <v>4</v>
      </c>
      <c r="G2310" s="1" t="str">
        <f ca="1">IFERROR(__xludf.DUMMYFUNCTION("""COMPUTED_VALUE"""),"3 mos")</f>
        <v>3 mos</v>
      </c>
      <c r="H2310" s="1" t="str">
        <f ca="1">IFERROR(__xludf.DUMMYFUNCTION("""COMPUTED_VALUE"""),"reply")</f>
        <v>reply</v>
      </c>
      <c r="I2310" s="2" t="str">
        <f ca="1">IFERROR(__xludf.DUMMYFUNCTION("""COMPUTED_VALUE"""),"https://www.facebook.com/watch/live/?ref=watch_permalink&amp;v=923735834984653")</f>
        <v>https://www.facebook.com/watch/live/?ref=watch_permalink&amp;v=923735834984653</v>
      </c>
      <c r="J2310" s="1" t="str">
        <f ca="1">IFERROR(__xludf.DUMMYFUNCTION("""COMPUTED_VALUE"""),"2022-07-04T15:49:26.534Z")</f>
        <v>2022-07-04T15:49:26.534Z</v>
      </c>
    </row>
    <row r="2311" spans="1:10" x14ac:dyDescent="0.2">
      <c r="A2311" s="2" t="str">
        <f ca="1">IFERROR(__xludf.DUMMYFUNCTION("""COMPUTED_VALUE"""),"https://www.facebook.com/profile.php?id=100070655991563")</f>
        <v>https://www.facebook.com/profile.php?id=100070655991563</v>
      </c>
      <c r="B2311" s="1" t="str">
        <f ca="1">IFERROR(__xludf.DUMMYFUNCTION("""COMPUTED_VALUE"""),"Amadeng Montefalcon")</f>
        <v>Amadeng Montefalcon</v>
      </c>
      <c r="C2311" s="1" t="str">
        <f ca="1">IFERROR(__xludf.DUMMYFUNCTION("""COMPUTED_VALUE"""),"Amadeng")</f>
        <v>Amadeng</v>
      </c>
      <c r="D2311" s="1" t="str">
        <f ca="1">IFERROR(__xludf.DUMMYFUNCTION("""COMPUTED_VALUE"""),"Montefalcon")</f>
        <v>Montefalcon</v>
      </c>
      <c r="E2311" s="1" t="str">
        <f ca="1">IFERROR(__xludf.DUMMYFUNCTION("""COMPUTED_VALUE"""),"Reese Colmenares hirap kasi sayo nasanay ka sa mga pangako ng mga manok mo kung sino man un at dahil nakasanayan mo na you get used to it na na wala Kang nakikita dun sa mga pangako na naririnig mo na mga natupad so ibahin mo so yorme nangangako din siya "&amp;"pero siguradong matutupad ngaun kung me pagpapahalaga ka sa kinabukasan ng mga anak mo aba panahon na at eto na Yung pagkakataon I adobo mo na ung mga manok mo ng mapakinabangan mo naman at subukan mo itong manok namin na si yorme tintiyak ko sayo manging"&amp;"itlog ng ginto to at Yun ang magbibigay sa mga anak natin ng malinaw na kinabukasan")</f>
        <v>Reese Colmenares hirap kasi sayo nasanay ka sa mga pangako ng mga manok mo kung sino man un at dahil nakasanayan mo na you get used to it na na wala Kang nakikita dun sa mga pangako na naririnig mo na mga natupad so ibahin mo so yorme nangangako din siya pero siguradong matutupad ngaun kung me pagpapahalaga ka sa kinabukasan ng mga anak mo aba panahon na at eto na Yung pagkakataon I adobo mo na ung mga manok mo ng mapakinabangan mo naman at subukan mo itong manok namin na si yorme tintiyak ko sayo mangingitlog ng ginto to at Yun ang magbibigay sa mga anak natin ng malinaw na kinabukasan</v>
      </c>
      <c r="F2311" s="1">
        <f ca="1">IFERROR(__xludf.DUMMYFUNCTION("""COMPUTED_VALUE"""),3)</f>
        <v>3</v>
      </c>
      <c r="G2311" s="1" t="str">
        <f ca="1">IFERROR(__xludf.DUMMYFUNCTION("""COMPUTED_VALUE"""),"3 mos")</f>
        <v>3 mos</v>
      </c>
      <c r="H2311" s="1" t="str">
        <f ca="1">IFERROR(__xludf.DUMMYFUNCTION("""COMPUTED_VALUE"""),"reply")</f>
        <v>reply</v>
      </c>
      <c r="I2311" s="2" t="str">
        <f ca="1">IFERROR(__xludf.DUMMYFUNCTION("""COMPUTED_VALUE"""),"https://www.facebook.com/watch/live/?ref=watch_permalink&amp;v=923735834984653")</f>
        <v>https://www.facebook.com/watch/live/?ref=watch_permalink&amp;v=923735834984653</v>
      </c>
      <c r="J2311" s="1" t="str">
        <f ca="1">IFERROR(__xludf.DUMMYFUNCTION("""COMPUTED_VALUE"""),"2022-07-04T15:49:26.534Z")</f>
        <v>2022-07-04T15:49:26.534Z</v>
      </c>
    </row>
    <row r="2312" spans="1:10" x14ac:dyDescent="0.2">
      <c r="A2312" s="2" t="str">
        <f ca="1">IFERROR(__xludf.DUMMYFUNCTION("""COMPUTED_VALUE"""),"https://www.facebook.com/profile.php?id=100074038491420")</f>
        <v>https://www.facebook.com/profile.php?id=100074038491420</v>
      </c>
      <c r="B2312" s="1" t="str">
        <f ca="1">IFERROR(__xludf.DUMMYFUNCTION("""COMPUTED_VALUE"""),"Jean Montibon")</f>
        <v>Jean Montibon</v>
      </c>
      <c r="C2312" s="1" t="str">
        <f ca="1">IFERROR(__xludf.DUMMYFUNCTION("""COMPUTED_VALUE"""),"Jean")</f>
        <v>Jean</v>
      </c>
      <c r="D2312" s="1" t="str">
        <f ca="1">IFERROR(__xludf.DUMMYFUNCTION("""COMPUTED_VALUE"""),"Montibon")</f>
        <v>Montibon</v>
      </c>
      <c r="E2312" s="1" t="str">
        <f ca="1">IFERROR(__xludf.DUMMYFUNCTION("""COMPUTED_VALUE"""),"Reese Colmenares kaya nga up to now lugmok Ang pilipinas s mga tulad nyo bupol mg icip,tanda na!!😠😠😠")</f>
        <v>Reese Colmenares kaya nga up to now lugmok Ang pilipinas s mga tulad nyo bupol mg icip,tanda na!!😠😠😠</v>
      </c>
      <c r="F2312" s="1"/>
      <c r="G2312" s="1" t="str">
        <f ca="1">IFERROR(__xludf.DUMMYFUNCTION("""COMPUTED_VALUE"""),"3 mos")</f>
        <v>3 mos</v>
      </c>
      <c r="H2312" s="1" t="str">
        <f ca="1">IFERROR(__xludf.DUMMYFUNCTION("""COMPUTED_VALUE"""),"reply")</f>
        <v>reply</v>
      </c>
      <c r="I2312" s="2" t="str">
        <f ca="1">IFERROR(__xludf.DUMMYFUNCTION("""COMPUTED_VALUE"""),"https://www.facebook.com/watch/live/?ref=watch_permalink&amp;v=923735834984653")</f>
        <v>https://www.facebook.com/watch/live/?ref=watch_permalink&amp;v=923735834984653</v>
      </c>
      <c r="J2312" s="1" t="str">
        <f ca="1">IFERROR(__xludf.DUMMYFUNCTION("""COMPUTED_VALUE"""),"2022-07-04T15:49:26.534Z")</f>
        <v>2022-07-04T15:49:26.534Z</v>
      </c>
    </row>
    <row r="2313" spans="1:10" x14ac:dyDescent="0.2">
      <c r="A2313" s="2" t="str">
        <f ca="1">IFERROR(__xludf.DUMMYFUNCTION("""COMPUTED_VALUE"""),"https://www.facebook.com/francisca.bundalian.3")</f>
        <v>https://www.facebook.com/francisca.bundalian.3</v>
      </c>
      <c r="B2313" s="1" t="str">
        <f ca="1">IFERROR(__xludf.DUMMYFUNCTION("""COMPUTED_VALUE"""),"Francisca Bundalian")</f>
        <v>Francisca Bundalian</v>
      </c>
      <c r="C2313" s="1" t="str">
        <f ca="1">IFERROR(__xludf.DUMMYFUNCTION("""COMPUTED_VALUE"""),"Francisca")</f>
        <v>Francisca</v>
      </c>
      <c r="D2313" s="1" t="str">
        <f ca="1">IFERROR(__xludf.DUMMYFUNCTION("""COMPUTED_VALUE"""),"Bundalian")</f>
        <v>Bundalian</v>
      </c>
      <c r="E2313" s="1" t="str">
        <f ca="1">IFERROR(__xludf.DUMMYFUNCTION("""COMPUTED_VALUE"""),"#TheFilipinoVotes  #TunayNaSolusyonMabilisUmaksyon  #IskoTayo  #IskoParasaBayan  #BilisKilos  #KayIskoPosible  #SwitchToIsko   YORME ISKO IS MY PRESIDENT GOD ☝️  FIRST")</f>
        <v>#TheFilipinoVotes  #TunayNaSolusyonMabilisUmaksyon  #IskoTayo  #IskoParasaBayan  #BilisKilos  #KayIskoPosible  #SwitchToIsko   YORME ISKO IS MY PRESIDENT GOD ☝️  FIRST</v>
      </c>
      <c r="F2313" s="1">
        <f ca="1">IFERROR(__xludf.DUMMYFUNCTION("""COMPUTED_VALUE"""),17)</f>
        <v>17</v>
      </c>
      <c r="G2313" s="1" t="str">
        <f ca="1">IFERROR(__xludf.DUMMYFUNCTION("""COMPUTED_VALUE"""),"3 mos")</f>
        <v>3 mos</v>
      </c>
      <c r="H2313" s="1" t="str">
        <f ca="1">IFERROR(__xludf.DUMMYFUNCTION("""COMPUTED_VALUE"""),"comment")</f>
        <v>comment</v>
      </c>
      <c r="I2313" s="2" t="str">
        <f ca="1">IFERROR(__xludf.DUMMYFUNCTION("""COMPUTED_VALUE"""),"https://www.facebook.com/watch/live/?ref=watch_permalink&amp;v=923735834984653")</f>
        <v>https://www.facebook.com/watch/live/?ref=watch_permalink&amp;v=923735834984653</v>
      </c>
      <c r="J2313" s="1" t="str">
        <f ca="1">IFERROR(__xludf.DUMMYFUNCTION("""COMPUTED_VALUE"""),"2022-07-04T15:49:26.534Z")</f>
        <v>2022-07-04T15:49:26.534Z</v>
      </c>
    </row>
    <row r="2314" spans="1:10" x14ac:dyDescent="0.2">
      <c r="A2314" s="2" t="str">
        <f ca="1">IFERROR(__xludf.DUMMYFUNCTION("""COMPUTED_VALUE"""),"https://www.facebook.com/profile.php?id=100078330409843")</f>
        <v>https://www.facebook.com/profile.php?id=100078330409843</v>
      </c>
      <c r="B2314" s="1" t="str">
        <f ca="1">IFERROR(__xludf.DUMMYFUNCTION("""COMPUTED_VALUE"""),"J Ar Daban")</f>
        <v>J Ar Daban</v>
      </c>
      <c r="C2314" s="1" t="str">
        <f ca="1">IFERROR(__xludf.DUMMYFUNCTION("""COMPUTED_VALUE"""),"J")</f>
        <v>J</v>
      </c>
      <c r="D2314" s="1" t="str">
        <f ca="1">IFERROR(__xludf.DUMMYFUNCTION("""COMPUTED_VALUE"""),"Ar Daban")</f>
        <v>Ar Daban</v>
      </c>
      <c r="E2314" s="1" t="str">
        <f ca="1">IFERROR(__xludf.DUMMYFUNCTION("""COMPUTED_VALUE"""),"Francisca Bundalian Kau n lng bka pati pilipinas ibenta nyan Ina mo!!isko🤣🤣")</f>
        <v>Francisca Bundalian Kau n lng bka pati pilipinas ibenta nyan Ina mo!!isko🤣🤣</v>
      </c>
      <c r="F2314" s="1"/>
      <c r="G2314" s="1" t="str">
        <f ca="1">IFERROR(__xludf.DUMMYFUNCTION("""COMPUTED_VALUE"""),"3 mos")</f>
        <v>3 mos</v>
      </c>
      <c r="H2314" s="1" t="str">
        <f ca="1">IFERROR(__xludf.DUMMYFUNCTION("""COMPUTED_VALUE"""),"reply")</f>
        <v>reply</v>
      </c>
      <c r="I2314" s="2" t="str">
        <f ca="1">IFERROR(__xludf.DUMMYFUNCTION("""COMPUTED_VALUE"""),"https://www.facebook.com/watch/live/?ref=watch_permalink&amp;v=923735834984653")</f>
        <v>https://www.facebook.com/watch/live/?ref=watch_permalink&amp;v=923735834984653</v>
      </c>
      <c r="J2314" s="1" t="str">
        <f ca="1">IFERROR(__xludf.DUMMYFUNCTION("""COMPUTED_VALUE"""),"2022-07-04T15:49:26.535Z")</f>
        <v>2022-07-04T15:49:26.535Z</v>
      </c>
    </row>
    <row r="2315" spans="1:10" x14ac:dyDescent="0.2">
      <c r="A2315" s="2" t="str">
        <f ca="1">IFERROR(__xludf.DUMMYFUNCTION("""COMPUTED_VALUE"""),"https://www.facebook.com/javier.inanoria")</f>
        <v>https://www.facebook.com/javier.inanoria</v>
      </c>
      <c r="B2315" s="1" t="str">
        <f ca="1">IFERROR(__xludf.DUMMYFUNCTION("""COMPUTED_VALUE"""),"Inanoria Javier")</f>
        <v>Inanoria Javier</v>
      </c>
      <c r="C2315" s="1" t="str">
        <f ca="1">IFERROR(__xludf.DUMMYFUNCTION("""COMPUTED_VALUE"""),"Inanoria")</f>
        <v>Inanoria</v>
      </c>
      <c r="D2315" s="1" t="str">
        <f ca="1">IFERROR(__xludf.DUMMYFUNCTION("""COMPUTED_VALUE"""),"Javier")</f>
        <v>Javier</v>
      </c>
      <c r="E2315" s="1" t="str">
        <f ca="1">IFERROR(__xludf.DUMMYFUNCTION("""COMPUTED_VALUE"""),"Francisca Bundalian Boy binta Divisoria market")</f>
        <v>Francisca Bundalian Boy binta Divisoria market</v>
      </c>
      <c r="F2315" s="1"/>
      <c r="G2315" s="1" t="str">
        <f ca="1">IFERROR(__xludf.DUMMYFUNCTION("""COMPUTED_VALUE"""),"3 mos")</f>
        <v>3 mos</v>
      </c>
      <c r="H2315" s="1" t="str">
        <f ca="1">IFERROR(__xludf.DUMMYFUNCTION("""COMPUTED_VALUE"""),"reply")</f>
        <v>reply</v>
      </c>
      <c r="I2315" s="2" t="str">
        <f ca="1">IFERROR(__xludf.DUMMYFUNCTION("""COMPUTED_VALUE"""),"https://www.facebook.com/watch/live/?ref=watch_permalink&amp;v=923735834984653")</f>
        <v>https://www.facebook.com/watch/live/?ref=watch_permalink&amp;v=923735834984653</v>
      </c>
      <c r="J2315" s="1" t="str">
        <f ca="1">IFERROR(__xludf.DUMMYFUNCTION("""COMPUTED_VALUE"""),"2022-07-04T15:49:26.535Z")</f>
        <v>2022-07-04T15:49:26.535Z</v>
      </c>
    </row>
    <row r="2316" spans="1:10" x14ac:dyDescent="0.2">
      <c r="A2316" s="2" t="str">
        <f ca="1">IFERROR(__xludf.DUMMYFUNCTION("""COMPUTED_VALUE"""),"https://www.facebook.com/millet.a.uy")</f>
        <v>https://www.facebook.com/millet.a.uy</v>
      </c>
      <c r="B2316" s="1" t="str">
        <f ca="1">IFERROR(__xludf.DUMMYFUNCTION("""COMPUTED_VALUE"""),"Millet Alip Uy")</f>
        <v>Millet Alip Uy</v>
      </c>
      <c r="C2316" s="1" t="str">
        <f ca="1">IFERROR(__xludf.DUMMYFUNCTION("""COMPUTED_VALUE"""),"Millet")</f>
        <v>Millet</v>
      </c>
      <c r="D2316" s="1" t="str">
        <f ca="1">IFERROR(__xludf.DUMMYFUNCTION("""COMPUTED_VALUE"""),"Alip Uy")</f>
        <v>Alip Uy</v>
      </c>
      <c r="E2316" s="1" t="str">
        <f ca="1">IFERROR(__xludf.DUMMYFUNCTION("""COMPUTED_VALUE"""),"Kung halimbawang binenta anong pinagpuputok ng butse mo. Manahimik ka. Kung gusto mo tumakbo ka din.")</f>
        <v>Kung halimbawang binenta anong pinagpuputok ng butse mo. Manahimik ka. Kung gusto mo tumakbo ka din.</v>
      </c>
      <c r="F2316" s="1">
        <f ca="1">IFERROR(__xludf.DUMMYFUNCTION("""COMPUTED_VALUE"""),9)</f>
        <v>9</v>
      </c>
      <c r="G2316" s="1" t="str">
        <f ca="1">IFERROR(__xludf.DUMMYFUNCTION("""COMPUTED_VALUE"""),"3 mos")</f>
        <v>3 mos</v>
      </c>
      <c r="H2316" s="1" t="str">
        <f ca="1">IFERROR(__xludf.DUMMYFUNCTION("""COMPUTED_VALUE"""),"comment")</f>
        <v>comment</v>
      </c>
      <c r="I2316" s="2" t="str">
        <f ca="1">IFERROR(__xludf.DUMMYFUNCTION("""COMPUTED_VALUE"""),"https://www.facebook.com/watch/live/?ref=watch_permalink&amp;v=923735834984653")</f>
        <v>https://www.facebook.com/watch/live/?ref=watch_permalink&amp;v=923735834984653</v>
      </c>
      <c r="J2316" s="1" t="str">
        <f ca="1">IFERROR(__xludf.DUMMYFUNCTION("""COMPUTED_VALUE"""),"2022-07-04T15:49:26.535Z")</f>
        <v>2022-07-04T15:49:26.535Z</v>
      </c>
    </row>
    <row r="2317" spans="1:10" x14ac:dyDescent="0.2">
      <c r="A2317" s="2" t="str">
        <f ca="1">IFERROR(__xludf.DUMMYFUNCTION("""COMPUTED_VALUE"""),"https://www.facebook.com/ester.rodrigo.75")</f>
        <v>https://www.facebook.com/ester.rodrigo.75</v>
      </c>
      <c r="B2317" s="1" t="str">
        <f ca="1">IFERROR(__xludf.DUMMYFUNCTION("""COMPUTED_VALUE"""),"Ester Macarse")</f>
        <v>Ester Macarse</v>
      </c>
      <c r="C2317" s="1" t="str">
        <f ca="1">IFERROR(__xludf.DUMMYFUNCTION("""COMPUTED_VALUE"""),"Ester")</f>
        <v>Ester</v>
      </c>
      <c r="D2317" s="1" t="str">
        <f ca="1">IFERROR(__xludf.DUMMYFUNCTION("""COMPUTED_VALUE"""),"Macarse")</f>
        <v>Macarse</v>
      </c>
      <c r="E2317" s="1" t="str">
        <f ca="1">IFERROR(__xludf.DUMMYFUNCTION("""COMPUTED_VALUE"""),"Korek ka madam")</f>
        <v>Korek ka madam</v>
      </c>
      <c r="F2317" s="1"/>
      <c r="G2317" s="1" t="str">
        <f ca="1">IFERROR(__xludf.DUMMYFUNCTION("""COMPUTED_VALUE"""),"3 mos")</f>
        <v>3 mos</v>
      </c>
      <c r="H2317" s="1" t="str">
        <f ca="1">IFERROR(__xludf.DUMMYFUNCTION("""COMPUTED_VALUE"""),"reply")</f>
        <v>reply</v>
      </c>
      <c r="I2317" s="2" t="str">
        <f ca="1">IFERROR(__xludf.DUMMYFUNCTION("""COMPUTED_VALUE"""),"https://www.facebook.com/watch/live/?ref=watch_permalink&amp;v=923735834984653")</f>
        <v>https://www.facebook.com/watch/live/?ref=watch_permalink&amp;v=923735834984653</v>
      </c>
      <c r="J2317" s="1" t="str">
        <f ca="1">IFERROR(__xludf.DUMMYFUNCTION("""COMPUTED_VALUE"""),"2022-07-04T15:49:26.535Z")</f>
        <v>2022-07-04T15:49:26.535Z</v>
      </c>
    </row>
    <row r="2318" spans="1:10" x14ac:dyDescent="0.2">
      <c r="A2318" s="2" t="str">
        <f ca="1">IFERROR(__xludf.DUMMYFUNCTION("""COMPUTED_VALUE"""),"https://www.facebook.com/marcelyn.arcellano")</f>
        <v>https://www.facebook.com/marcelyn.arcellano</v>
      </c>
      <c r="B2318" s="1" t="str">
        <f ca="1">IFERROR(__xludf.DUMMYFUNCTION("""COMPUTED_VALUE"""),"Marcelyn M. Arcellano")</f>
        <v>Marcelyn M. Arcellano</v>
      </c>
      <c r="C2318" s="1" t="str">
        <f ca="1">IFERROR(__xludf.DUMMYFUNCTION("""COMPUTED_VALUE"""),"Marcelyn")</f>
        <v>Marcelyn</v>
      </c>
      <c r="D2318" s="1" t="str">
        <f ca="1">IFERROR(__xludf.DUMMYFUNCTION("""COMPUTED_VALUE"""),"M. Arcellano")</f>
        <v>M. Arcellano</v>
      </c>
      <c r="E2318" s="1" t="str">
        <f ca="1">IFERROR(__xludf.DUMMYFUNCTION("""COMPUTED_VALUE"""),"Kapiranggot kasi ang pag unawa ng mga yan. ✌️☝️")</f>
        <v>Kapiranggot kasi ang pag unawa ng mga yan. ✌️☝️</v>
      </c>
      <c r="F2318" s="1">
        <f ca="1">IFERROR(__xludf.DUMMYFUNCTION("""COMPUTED_VALUE"""),1)</f>
        <v>1</v>
      </c>
      <c r="G2318" s="1" t="str">
        <f ca="1">IFERROR(__xludf.DUMMYFUNCTION("""COMPUTED_VALUE"""),"3 mos")</f>
        <v>3 mos</v>
      </c>
      <c r="H2318" s="1" t="str">
        <f ca="1">IFERROR(__xludf.DUMMYFUNCTION("""COMPUTED_VALUE"""),"reply")</f>
        <v>reply</v>
      </c>
      <c r="I2318" s="2" t="str">
        <f ca="1">IFERROR(__xludf.DUMMYFUNCTION("""COMPUTED_VALUE"""),"https://www.facebook.com/watch/live/?ref=watch_permalink&amp;v=923735834984653")</f>
        <v>https://www.facebook.com/watch/live/?ref=watch_permalink&amp;v=923735834984653</v>
      </c>
      <c r="J2318" s="1" t="str">
        <f ca="1">IFERROR(__xludf.DUMMYFUNCTION("""COMPUTED_VALUE"""),"2022-07-04T15:49:26.535Z")</f>
        <v>2022-07-04T15:49:26.535Z</v>
      </c>
    </row>
    <row r="2319" spans="1:10" x14ac:dyDescent="0.2">
      <c r="A2319" s="2" t="str">
        <f ca="1">IFERROR(__xludf.DUMMYFUNCTION("""COMPUTED_VALUE"""),"https://www.facebook.com/profile.php?id=100012611887000")</f>
        <v>https://www.facebook.com/profile.php?id=100012611887000</v>
      </c>
      <c r="B2319" s="1" t="str">
        <f ca="1">IFERROR(__xludf.DUMMYFUNCTION("""COMPUTED_VALUE"""),"Jocelyn Retuerma")</f>
        <v>Jocelyn Retuerma</v>
      </c>
      <c r="C2319" s="1" t="str">
        <f ca="1">IFERROR(__xludf.DUMMYFUNCTION("""COMPUTED_VALUE"""),"Jocelyn")</f>
        <v>Jocelyn</v>
      </c>
      <c r="D2319" s="1" t="str">
        <f ca="1">IFERROR(__xludf.DUMMYFUNCTION("""COMPUTED_VALUE"""),"Retuerma")</f>
        <v>Retuerma</v>
      </c>
      <c r="E2319" s="1" t="str">
        <f ca="1">IFERROR(__xludf.DUMMYFUNCTION("""COMPUTED_VALUE"""),"Makikitid ang utak. May narinig at nakita lang, totoo na agad sknila. Mga tanzo.")</f>
        <v>Makikitid ang utak. May narinig at nakita lang, totoo na agad sknila. Mga tanzo.</v>
      </c>
      <c r="F2319" s="1">
        <f ca="1">IFERROR(__xludf.DUMMYFUNCTION("""COMPUTED_VALUE"""),1)</f>
        <v>1</v>
      </c>
      <c r="G2319" s="1" t="str">
        <f ca="1">IFERROR(__xludf.DUMMYFUNCTION("""COMPUTED_VALUE"""),"3 mos")</f>
        <v>3 mos</v>
      </c>
      <c r="H2319" s="1" t="str">
        <f ca="1">IFERROR(__xludf.DUMMYFUNCTION("""COMPUTED_VALUE"""),"reply")</f>
        <v>reply</v>
      </c>
      <c r="I2319" s="2" t="str">
        <f ca="1">IFERROR(__xludf.DUMMYFUNCTION("""COMPUTED_VALUE"""),"https://www.facebook.com/watch/live/?ref=watch_permalink&amp;v=923735834984653")</f>
        <v>https://www.facebook.com/watch/live/?ref=watch_permalink&amp;v=923735834984653</v>
      </c>
      <c r="J2319" s="1" t="str">
        <f ca="1">IFERROR(__xludf.DUMMYFUNCTION("""COMPUTED_VALUE"""),"2022-07-04T15:49:26.535Z")</f>
        <v>2022-07-04T15:49:26.535Z</v>
      </c>
    </row>
    <row r="2320" spans="1:10" x14ac:dyDescent="0.2">
      <c r="A2320" s="2" t="str">
        <f ca="1">IFERROR(__xludf.DUMMYFUNCTION("""COMPUTED_VALUE"""),"https://www.facebook.com/ricardo.cadiang")</f>
        <v>https://www.facebook.com/ricardo.cadiang</v>
      </c>
      <c r="B2320" s="1" t="str">
        <f ca="1">IFERROR(__xludf.DUMMYFUNCTION("""COMPUTED_VALUE"""),"Ricardo Cadiang")</f>
        <v>Ricardo Cadiang</v>
      </c>
      <c r="C2320" s="1" t="str">
        <f ca="1">IFERROR(__xludf.DUMMYFUNCTION("""COMPUTED_VALUE"""),"Ricardo")</f>
        <v>Ricardo</v>
      </c>
      <c r="D2320" s="1" t="str">
        <f ca="1">IFERROR(__xludf.DUMMYFUNCTION("""COMPUTED_VALUE"""),"Cadiang")</f>
        <v>Cadiang</v>
      </c>
      <c r="E2320" s="1" t="str">
        <f ca="1">IFERROR(__xludf.DUMMYFUNCTION("""COMPUTED_VALUE"""),"Millet Alip Uy magkno po binigay sa inyo ganyan kau mgsalita hindi k kasi ngttinda kya d mo nauunwaan ang sitwasyon ng mga vendor d kba na aawa umiiyak sila bulag kba wla kba puso tulad ng amo mo. hindi n ito sa pulitika ito ay tungkol sa kabuhayan ng tao"&amp;" yang market n yan minana p nila sa ninuno nila sana maintindihan mo. halimbawa ikaw kinuha pinagkkuhanan mo ng pangkbuhayan pra sa anak mo apo mo at pgtanda mo at pgkain sa araw araw hindi kba maggalit.")</f>
        <v>Millet Alip Uy magkno po binigay sa inyo ganyan kau mgsalita hindi k kasi ngttinda kya d mo nauunwaan ang sitwasyon ng mga vendor d kba na aawa umiiyak sila bulag kba wla kba puso tulad ng amo mo. hindi n ito sa pulitika ito ay tungkol sa kabuhayan ng tao yang market n yan minana p nila sa ninuno nila sana maintindihan mo. halimbawa ikaw kinuha pinagkkuhanan mo ng pangkbuhayan pra sa anak mo apo mo at pgtanda mo at pgkain sa araw araw hindi kba maggalit.</v>
      </c>
      <c r="F2320" s="1">
        <f ca="1">IFERROR(__xludf.DUMMYFUNCTION("""COMPUTED_VALUE"""),5)</f>
        <v>5</v>
      </c>
      <c r="G2320" s="1" t="str">
        <f ca="1">IFERROR(__xludf.DUMMYFUNCTION("""COMPUTED_VALUE"""),"3 mos")</f>
        <v>3 mos</v>
      </c>
      <c r="H2320" s="1" t="str">
        <f ca="1">IFERROR(__xludf.DUMMYFUNCTION("""COMPUTED_VALUE"""),"reply")</f>
        <v>reply</v>
      </c>
      <c r="I2320" s="2" t="str">
        <f ca="1">IFERROR(__xludf.DUMMYFUNCTION("""COMPUTED_VALUE"""),"https://www.facebook.com/watch/live/?ref=watch_permalink&amp;v=923735834984653")</f>
        <v>https://www.facebook.com/watch/live/?ref=watch_permalink&amp;v=923735834984653</v>
      </c>
      <c r="J2320" s="1" t="str">
        <f ca="1">IFERROR(__xludf.DUMMYFUNCTION("""COMPUTED_VALUE"""),"2022-07-04T15:49:26.535Z")</f>
        <v>2022-07-04T15:49:26.535Z</v>
      </c>
    </row>
    <row r="2321" spans="1:10" x14ac:dyDescent="0.2">
      <c r="A2321" s="2" t="str">
        <f ca="1">IFERROR(__xludf.DUMMYFUNCTION("""COMPUTED_VALUE"""),"https://www.facebook.com/briggite.pineda.9")</f>
        <v>https://www.facebook.com/briggite.pineda.9</v>
      </c>
      <c r="B2321" s="1" t="str">
        <f ca="1">IFERROR(__xludf.DUMMYFUNCTION("""COMPUTED_VALUE"""),"Briggite Pineda")</f>
        <v>Briggite Pineda</v>
      </c>
      <c r="C2321" s="1" t="str">
        <f ca="1">IFERROR(__xludf.DUMMYFUNCTION("""COMPUTED_VALUE"""),"Briggite")</f>
        <v>Briggite</v>
      </c>
      <c r="D2321" s="1" t="str">
        <f ca="1">IFERROR(__xludf.DUMMYFUNCTION("""COMPUTED_VALUE"""),"Pineda")</f>
        <v>Pineda</v>
      </c>
      <c r="E2321" s="1" t="str">
        <f ca="1">IFERROR(__xludf.DUMMYFUNCTION("""COMPUTED_VALUE"""),"Ricardo Cadiang ndi lng kc kau marunong umintindi at umunawa ung 100 na tao na nag rereklamo kung katumbas nman Ng libolibong tao Ang matutulungan dhil Ng pandemia kunting ikot nman Ng utak at research muna kau bago putak Ng putak na parang manok")</f>
        <v>Ricardo Cadiang ndi lng kc kau marunong umintindi at umunawa ung 100 na tao na nag rereklamo kung katumbas nman Ng libolibong tao Ang matutulungan dhil Ng pandemia kunting ikot nman Ng utak at research muna kau bago putak Ng putak na parang manok</v>
      </c>
      <c r="F2321" s="1">
        <f ca="1">IFERROR(__xludf.DUMMYFUNCTION("""COMPUTED_VALUE"""),1)</f>
        <v>1</v>
      </c>
      <c r="G2321" s="1" t="str">
        <f ca="1">IFERROR(__xludf.DUMMYFUNCTION("""COMPUTED_VALUE"""),"3 mos")</f>
        <v>3 mos</v>
      </c>
      <c r="H2321" s="1" t="str">
        <f ca="1">IFERROR(__xludf.DUMMYFUNCTION("""COMPUTED_VALUE"""),"reply")</f>
        <v>reply</v>
      </c>
      <c r="I2321" s="2" t="str">
        <f ca="1">IFERROR(__xludf.DUMMYFUNCTION("""COMPUTED_VALUE"""),"https://www.facebook.com/watch/live/?ref=watch_permalink&amp;v=923735834984653")</f>
        <v>https://www.facebook.com/watch/live/?ref=watch_permalink&amp;v=923735834984653</v>
      </c>
      <c r="J2321" s="1" t="str">
        <f ca="1">IFERROR(__xludf.DUMMYFUNCTION("""COMPUTED_VALUE"""),"2022-07-04T15:49:26.535Z")</f>
        <v>2022-07-04T15:49:26.535Z</v>
      </c>
    </row>
    <row r="2322" spans="1:10" x14ac:dyDescent="0.2">
      <c r="A2322" s="2" t="str">
        <f ca="1">IFERROR(__xludf.DUMMYFUNCTION("""COMPUTED_VALUE"""),"https://www.facebook.com/menchie.delrosario")</f>
        <v>https://www.facebook.com/menchie.delrosario</v>
      </c>
      <c r="B2322" s="1" t="str">
        <f ca="1">IFERROR(__xludf.DUMMYFUNCTION("""COMPUTED_VALUE"""),"Cuttie Chinny")</f>
        <v>Cuttie Chinny</v>
      </c>
      <c r="C2322" s="1" t="str">
        <f ca="1">IFERROR(__xludf.DUMMYFUNCTION("""COMPUTED_VALUE"""),"Cuttie")</f>
        <v>Cuttie</v>
      </c>
      <c r="D2322" s="1" t="str">
        <f ca="1">IFERROR(__xludf.DUMMYFUNCTION("""COMPUTED_VALUE"""),"Chinny")</f>
        <v>Chinny</v>
      </c>
      <c r="E2322" s="1" t="str">
        <f ca="1">IFERROR(__xludf.DUMMYFUNCTION("""COMPUTED_VALUE"""),"Ricardo Cadiang ayaw nla ng maayos na pwesto...")</f>
        <v>Ricardo Cadiang ayaw nla ng maayos na pwesto...</v>
      </c>
      <c r="F2322" s="1"/>
      <c r="G2322" s="1" t="str">
        <f ca="1">IFERROR(__xludf.DUMMYFUNCTION("""COMPUTED_VALUE"""),"3 mos")</f>
        <v>3 mos</v>
      </c>
      <c r="H2322" s="1" t="str">
        <f ca="1">IFERROR(__xludf.DUMMYFUNCTION("""COMPUTED_VALUE"""),"reply")</f>
        <v>reply</v>
      </c>
      <c r="I2322" s="2" t="str">
        <f ca="1">IFERROR(__xludf.DUMMYFUNCTION("""COMPUTED_VALUE"""),"https://www.facebook.com/watch/live/?ref=watch_permalink&amp;v=923735834984653")</f>
        <v>https://www.facebook.com/watch/live/?ref=watch_permalink&amp;v=923735834984653</v>
      </c>
      <c r="J2322" s="1" t="str">
        <f ca="1">IFERROR(__xludf.DUMMYFUNCTION("""COMPUTED_VALUE"""),"2022-07-04T15:49:26.535Z")</f>
        <v>2022-07-04T15:49:26.535Z</v>
      </c>
    </row>
    <row r="2323" spans="1:10" x14ac:dyDescent="0.2">
      <c r="A2323" s="2" t="str">
        <f ca="1">IFERROR(__xludf.DUMMYFUNCTION("""COMPUTED_VALUE"""),"https://www.facebook.com/menchie.delrosario")</f>
        <v>https://www.facebook.com/menchie.delrosario</v>
      </c>
      <c r="B2323" s="1" t="str">
        <f ca="1">IFERROR(__xludf.DUMMYFUNCTION("""COMPUTED_VALUE"""),"Cuttie Chinny")</f>
        <v>Cuttie Chinny</v>
      </c>
      <c r="C2323" s="1" t="str">
        <f ca="1">IFERROR(__xludf.DUMMYFUNCTION("""COMPUTED_VALUE"""),"Cuttie")</f>
        <v>Cuttie</v>
      </c>
      <c r="D2323" s="1" t="str">
        <f ca="1">IFERROR(__xludf.DUMMYFUNCTION("""COMPUTED_VALUE"""),"Chinny")</f>
        <v>Chinny</v>
      </c>
      <c r="E2323" s="1" t="str">
        <f ca="1">IFERROR(__xludf.DUMMYFUNCTION("""COMPUTED_VALUE"""),"Briggite Pineda wla sila nyan..nagagamit lng ng ibang politiko..mga nagpapagamit naman...bobobo")</f>
        <v>Briggite Pineda wla sila nyan..nagagamit lng ng ibang politiko..mga nagpapagamit naman...bobobo</v>
      </c>
      <c r="F2323" s="1"/>
      <c r="G2323" s="1" t="str">
        <f ca="1">IFERROR(__xludf.DUMMYFUNCTION("""COMPUTED_VALUE"""),"3 mos")</f>
        <v>3 mos</v>
      </c>
      <c r="H2323" s="1" t="str">
        <f ca="1">IFERROR(__xludf.DUMMYFUNCTION("""COMPUTED_VALUE"""),"reply")</f>
        <v>reply</v>
      </c>
      <c r="I2323" s="2" t="str">
        <f ca="1">IFERROR(__xludf.DUMMYFUNCTION("""COMPUTED_VALUE"""),"https://www.facebook.com/watch/live/?ref=watch_permalink&amp;v=923735834984653")</f>
        <v>https://www.facebook.com/watch/live/?ref=watch_permalink&amp;v=923735834984653</v>
      </c>
      <c r="J2323" s="1" t="str">
        <f ca="1">IFERROR(__xludf.DUMMYFUNCTION("""COMPUTED_VALUE"""),"2022-07-04T15:49:26.535Z")</f>
        <v>2022-07-04T15:49:26.535Z</v>
      </c>
    </row>
    <row r="2324" spans="1:10" x14ac:dyDescent="0.2">
      <c r="A2324" s="2" t="str">
        <f ca="1">IFERROR(__xludf.DUMMYFUNCTION("""COMPUTED_VALUE"""),"https://www.facebook.com/michaeljhon.dulay.5")</f>
        <v>https://www.facebook.com/michaeljhon.dulay.5</v>
      </c>
      <c r="B2324" s="1" t="str">
        <f ca="1">IFERROR(__xludf.DUMMYFUNCTION("""COMPUTED_VALUE"""),"Jhoan Deguzman")</f>
        <v>Jhoan Deguzman</v>
      </c>
      <c r="C2324" s="1" t="str">
        <f ca="1">IFERROR(__xludf.DUMMYFUNCTION("""COMPUTED_VALUE"""),"Jhoan")</f>
        <v>Jhoan</v>
      </c>
      <c r="D2324" s="1" t="str">
        <f ca="1">IFERROR(__xludf.DUMMYFUNCTION("""COMPUTED_VALUE"""),"Deguzman")</f>
        <v>Deguzman</v>
      </c>
      <c r="E2324" s="1" t="str">
        <f ca="1">IFERROR(__xludf.DUMMYFUNCTION("""COMPUTED_VALUE"""),"Ricardo Cadiang ciguro pinanganak cxa n may gintong kutsara sa bunganga kaya hindi nya alam ang hirap ng buhay...sa aming mga vendor ang laki ng ginawa nyang pahirap ...maraming may ari ng mga pwesto ang nangamatay dahil sa hirap n ginawa nya tinanggalan "&amp;"nya ng kabuhayan ang mga tao. Yun pla simpleng kuraot din pla c yorme isko....swerte nlng kung mkalusot k bilang predidente🤣🤣🤣🤣🤣")</f>
        <v>Ricardo Cadiang ciguro pinanganak cxa n may gintong kutsara sa bunganga kaya hindi nya alam ang hirap ng buhay...sa aming mga vendor ang laki ng ginawa nyang pahirap ...maraming may ari ng mga pwesto ang nangamatay dahil sa hirap n ginawa nya tinanggalan nya ng kabuhayan ang mga tao. Yun pla simpleng kuraot din pla c yorme isko....swerte nlng kung mkalusot k bilang predidente🤣🤣🤣🤣🤣</v>
      </c>
      <c r="F2324" s="1">
        <f ca="1">IFERROR(__xludf.DUMMYFUNCTION("""COMPUTED_VALUE"""),1)</f>
        <v>1</v>
      </c>
      <c r="G2324" s="1" t="str">
        <f ca="1">IFERROR(__xludf.DUMMYFUNCTION("""COMPUTED_VALUE"""),"3 mos")</f>
        <v>3 mos</v>
      </c>
      <c r="H2324" s="1" t="str">
        <f ca="1">IFERROR(__xludf.DUMMYFUNCTION("""COMPUTED_VALUE"""),"reply")</f>
        <v>reply</v>
      </c>
      <c r="I2324" s="2" t="str">
        <f ca="1">IFERROR(__xludf.DUMMYFUNCTION("""COMPUTED_VALUE"""),"https://www.facebook.com/watch/live/?ref=watch_permalink&amp;v=923735834984653")</f>
        <v>https://www.facebook.com/watch/live/?ref=watch_permalink&amp;v=923735834984653</v>
      </c>
      <c r="J2324" s="1" t="str">
        <f ca="1">IFERROR(__xludf.DUMMYFUNCTION("""COMPUTED_VALUE"""),"2022-07-04T15:49:26.535Z")</f>
        <v>2022-07-04T15:49:26.535Z</v>
      </c>
    </row>
    <row r="2325" spans="1:10" x14ac:dyDescent="0.2">
      <c r="A2325" s="2" t="str">
        <f ca="1">IFERROR(__xludf.DUMMYFUNCTION("""COMPUTED_VALUE"""),"https://www.facebook.com/alhen.zafe")</f>
        <v>https://www.facebook.com/alhen.zafe</v>
      </c>
      <c r="B2325" s="1" t="str">
        <f ca="1">IFERROR(__xludf.DUMMYFUNCTION("""COMPUTED_VALUE"""),"Nehla Azef")</f>
        <v>Nehla Azef</v>
      </c>
      <c r="C2325" s="1" t="str">
        <f ca="1">IFERROR(__xludf.DUMMYFUNCTION("""COMPUTED_VALUE"""),"Nehla")</f>
        <v>Nehla</v>
      </c>
      <c r="D2325" s="1" t="str">
        <f ca="1">IFERROR(__xludf.DUMMYFUNCTION("""COMPUTED_VALUE"""),"Azef")</f>
        <v>Azef</v>
      </c>
      <c r="E2325" s="1" t="str">
        <f ca="1">IFERROR(__xludf.DUMMYFUNCTION("""COMPUTED_VALUE"""),"Jhoan Deguzman baka kayo yung mga vendor na kahit san nagtitinda? Kung kurakot si yorme di na sana inalis ang mga nagtitinda dyan sa kalye.5m daily ang bribe money na inaalok sa kanya. tinanggap ba nya, kasi kung tinanggap nya di sana walang pagbabago kat"&amp;"ulad dati. From Recto pa lang kahit daanan ng mga tao nakabalandra paninda. illlegal vendor ka yata e kaya ganyan na lang ang galit mo")</f>
        <v>Jhoan Deguzman baka kayo yung mga vendor na kahit san nagtitinda? Kung kurakot si yorme di na sana inalis ang mga nagtitinda dyan sa kalye.5m daily ang bribe money na inaalok sa kanya. tinanggap ba nya, kasi kung tinanggap nya di sana walang pagbabago katulad dati. From Recto pa lang kahit daanan ng mga tao nakabalandra paninda. illlegal vendor ka yata e kaya ganyan na lang ang galit mo</v>
      </c>
      <c r="F2325" s="1"/>
      <c r="G2325" s="1" t="str">
        <f ca="1">IFERROR(__xludf.DUMMYFUNCTION("""COMPUTED_VALUE"""),"3 mos")</f>
        <v>3 mos</v>
      </c>
      <c r="H2325" s="1" t="str">
        <f ca="1">IFERROR(__xludf.DUMMYFUNCTION("""COMPUTED_VALUE"""),"reply")</f>
        <v>reply</v>
      </c>
      <c r="I2325" s="2" t="str">
        <f ca="1">IFERROR(__xludf.DUMMYFUNCTION("""COMPUTED_VALUE"""),"https://www.facebook.com/watch/live/?ref=watch_permalink&amp;v=923735834984653")</f>
        <v>https://www.facebook.com/watch/live/?ref=watch_permalink&amp;v=923735834984653</v>
      </c>
      <c r="J2325" s="1" t="str">
        <f ca="1">IFERROR(__xludf.DUMMYFUNCTION("""COMPUTED_VALUE"""),"2022-07-04T15:49:26.535Z")</f>
        <v>2022-07-04T15:49:26.535Z</v>
      </c>
    </row>
    <row r="2326" spans="1:10" x14ac:dyDescent="0.2">
      <c r="A2326" s="2" t="str">
        <f ca="1">IFERROR(__xludf.DUMMYFUNCTION("""COMPUTED_VALUE"""),"https://www.facebook.com/ricardo.cadiang")</f>
        <v>https://www.facebook.com/ricardo.cadiang</v>
      </c>
      <c r="B2326" s="1" t="str">
        <f ca="1">IFERROR(__xludf.DUMMYFUNCTION("""COMPUTED_VALUE"""),"Ricardo Cadiang")</f>
        <v>Ricardo Cadiang</v>
      </c>
      <c r="C2326" s="1" t="str">
        <f ca="1">IFERROR(__xludf.DUMMYFUNCTION("""COMPUTED_VALUE"""),"Ricardo")</f>
        <v>Ricardo</v>
      </c>
      <c r="D2326" s="1" t="str">
        <f ca="1">IFERROR(__xludf.DUMMYFUNCTION("""COMPUTED_VALUE"""),"Cadiang")</f>
        <v>Cadiang</v>
      </c>
      <c r="E2326" s="1" t="str">
        <f ca="1">IFERROR(__xludf.DUMMYFUNCTION("""COMPUTED_VALUE"""),"Nehla Azef mam d po bangketa binenta public market po ung mga ngttinda sa loob pra din po supermarket un andun sa loob ngttinda ang lhat ung mga vendor sa lbas ng market d rin sila magging safe dhil sigurado ggawing parking un pure gold ata ang ggawin dun"&amp;". mallaman nlang po ntin yan sa ssunod n araw o taon d kc binabalita ng media grabe mga media ngaung prang kailangan ng lagay bago k ibalita.")</f>
        <v>Nehla Azef mam d po bangketa binenta public market po ung mga ngttinda sa loob pra din po supermarket un andun sa loob ngttinda ang lhat ung mga vendor sa lbas ng market d rin sila magging safe dhil sigurado ggawing parking un pure gold ata ang ggawin dun. mallaman nlang po ntin yan sa ssunod n araw o taon d kc binabalita ng media grabe mga media ngaung prang kailangan ng lagay bago k ibalita.</v>
      </c>
      <c r="F2326" s="1"/>
      <c r="G2326" s="1" t="str">
        <f ca="1">IFERROR(__xludf.DUMMYFUNCTION("""COMPUTED_VALUE"""),"3 mos")</f>
        <v>3 mos</v>
      </c>
      <c r="H2326" s="1" t="str">
        <f ca="1">IFERROR(__xludf.DUMMYFUNCTION("""COMPUTED_VALUE"""),"reply")</f>
        <v>reply</v>
      </c>
      <c r="I2326" s="2" t="str">
        <f ca="1">IFERROR(__xludf.DUMMYFUNCTION("""COMPUTED_VALUE"""),"https://www.facebook.com/watch/live/?ref=watch_permalink&amp;v=923735834984653")</f>
        <v>https://www.facebook.com/watch/live/?ref=watch_permalink&amp;v=923735834984653</v>
      </c>
      <c r="J2326" s="1" t="str">
        <f ca="1">IFERROR(__xludf.DUMMYFUNCTION("""COMPUTED_VALUE"""),"2022-07-04T15:49:26.535Z")</f>
        <v>2022-07-04T15:49:26.535Z</v>
      </c>
    </row>
    <row r="2327" spans="1:10" x14ac:dyDescent="0.2">
      <c r="A2327" s="2" t="str">
        <f ca="1">IFERROR(__xludf.DUMMYFUNCTION("""COMPUTED_VALUE"""),"https://www.facebook.com/purita.johnsen.14")</f>
        <v>https://www.facebook.com/purita.johnsen.14</v>
      </c>
      <c r="B2327" s="1" t="str">
        <f ca="1">IFERROR(__xludf.DUMMYFUNCTION("""COMPUTED_VALUE"""),"Purita Johnsen")</f>
        <v>Purita Johnsen</v>
      </c>
      <c r="C2327" s="1" t="str">
        <f ca="1">IFERROR(__xludf.DUMMYFUNCTION("""COMPUTED_VALUE"""),"Purita")</f>
        <v>Purita</v>
      </c>
      <c r="D2327" s="1" t="str">
        <f ca="1">IFERROR(__xludf.DUMMYFUNCTION("""COMPUTED_VALUE"""),"Johnsen")</f>
        <v>Johnsen</v>
      </c>
      <c r="E2327" s="1" t="str">
        <f ca="1">IFERROR(__xludf.DUMMYFUNCTION("""COMPUTED_VALUE"""),"The best words i hear on my ages of 72 ,walang president nag salita ng ganyan, sana mag katutuo.")</f>
        <v>The best words i hear on my ages of 72 ,walang president nag salita ng ganyan, sana mag katutuo.</v>
      </c>
      <c r="F2327" s="1">
        <f ca="1">IFERROR(__xludf.DUMMYFUNCTION("""COMPUTED_VALUE"""),13)</f>
        <v>13</v>
      </c>
      <c r="G2327" s="1" t="str">
        <f ca="1">IFERROR(__xludf.DUMMYFUNCTION("""COMPUTED_VALUE"""),"3 mos")</f>
        <v>3 mos</v>
      </c>
      <c r="H2327" s="1" t="str">
        <f ca="1">IFERROR(__xludf.DUMMYFUNCTION("""COMPUTED_VALUE"""),"comment")</f>
        <v>comment</v>
      </c>
      <c r="I2327" s="2" t="str">
        <f ca="1">IFERROR(__xludf.DUMMYFUNCTION("""COMPUTED_VALUE"""),"https://www.facebook.com/watch/live/?ref=watch_permalink&amp;v=923735834984653")</f>
        <v>https://www.facebook.com/watch/live/?ref=watch_permalink&amp;v=923735834984653</v>
      </c>
      <c r="J2327" s="1" t="str">
        <f ca="1">IFERROR(__xludf.DUMMYFUNCTION("""COMPUTED_VALUE"""),"2022-07-04T15:49:26.535Z")</f>
        <v>2022-07-04T15:49:26.535Z</v>
      </c>
    </row>
    <row r="2328" spans="1:10" x14ac:dyDescent="0.2">
      <c r="A2328" s="2" t="str">
        <f ca="1">IFERROR(__xludf.DUMMYFUNCTION("""COMPUTED_VALUE"""),"https://www.facebook.com/maryjean.solison.5")</f>
        <v>https://www.facebook.com/maryjean.solison.5</v>
      </c>
      <c r="B2328" s="1" t="str">
        <f ca="1">IFERROR(__xludf.DUMMYFUNCTION("""COMPUTED_VALUE"""),"Mary Jean Villanueva")</f>
        <v>Mary Jean Villanueva</v>
      </c>
      <c r="C2328" s="1" t="str">
        <f ca="1">IFERROR(__xludf.DUMMYFUNCTION("""COMPUTED_VALUE"""),"Mary")</f>
        <v>Mary</v>
      </c>
      <c r="D2328" s="1" t="str">
        <f ca="1">IFERROR(__xludf.DUMMYFUNCTION("""COMPUTED_VALUE"""),"Jean Villanueva")</f>
        <v>Jean Villanueva</v>
      </c>
      <c r="E2328" s="1" t="str">
        <f ca="1">IFERROR(__xludf.DUMMYFUNCTION("""COMPUTED_VALUE"""),"Totoong totoo po yan mam. Ako bilang residente ng QC madalas ako sa Manila. Nakita ko lahat nyang sinabi.")</f>
        <v>Totoong totoo po yan mam. Ako bilang residente ng QC madalas ako sa Manila. Nakita ko lahat nyang sinabi.</v>
      </c>
      <c r="F2328" s="1">
        <f ca="1">IFERROR(__xludf.DUMMYFUNCTION("""COMPUTED_VALUE"""),5)</f>
        <v>5</v>
      </c>
      <c r="G2328" s="1" t="str">
        <f ca="1">IFERROR(__xludf.DUMMYFUNCTION("""COMPUTED_VALUE"""),"3 mos")</f>
        <v>3 mos</v>
      </c>
      <c r="H2328" s="1" t="str">
        <f ca="1">IFERROR(__xludf.DUMMYFUNCTION("""COMPUTED_VALUE"""),"reply")</f>
        <v>reply</v>
      </c>
      <c r="I2328" s="2" t="str">
        <f ca="1">IFERROR(__xludf.DUMMYFUNCTION("""COMPUTED_VALUE"""),"https://www.facebook.com/watch/live/?ref=watch_permalink&amp;v=923735834984653")</f>
        <v>https://www.facebook.com/watch/live/?ref=watch_permalink&amp;v=923735834984653</v>
      </c>
      <c r="J2328" s="1" t="str">
        <f ca="1">IFERROR(__xludf.DUMMYFUNCTION("""COMPUTED_VALUE"""),"2022-07-04T15:49:26.535Z")</f>
        <v>2022-07-04T15:49:26.535Z</v>
      </c>
    </row>
    <row r="2329" spans="1:10" x14ac:dyDescent="0.2">
      <c r="A2329" s="2" t="str">
        <f ca="1">IFERROR(__xludf.DUMMYFUNCTION("""COMPUTED_VALUE"""),"https://www.facebook.com/oreng.lam.92")</f>
        <v>https://www.facebook.com/oreng.lam.92</v>
      </c>
      <c r="B2329" s="1" t="str">
        <f ca="1">IFERROR(__xludf.DUMMYFUNCTION("""COMPUTED_VALUE"""),"Liam Lee")</f>
        <v>Liam Lee</v>
      </c>
      <c r="C2329" s="1" t="str">
        <f ca="1">IFERROR(__xludf.DUMMYFUNCTION("""COMPUTED_VALUE"""),"Liam")</f>
        <v>Liam</v>
      </c>
      <c r="D2329" s="1" t="str">
        <f ca="1">IFERROR(__xludf.DUMMYFUNCTION("""COMPUTED_VALUE"""),"Lee")</f>
        <v>Lee</v>
      </c>
      <c r="E2329" s="1" t="str">
        <f ca="1">IFERROR(__xludf.DUMMYFUNCTION("""COMPUTED_VALUE"""),"Purita Johnsen ako po tiga Manila, sa tagal na po namin dyan kay Yorme umayos luminis at naging maganda ang pamamalakad sa Maynila.  Kahit umutang siya nilagay naman sa mabuti kalalagyan ang pera sa pabahay, eskwela, ospital at mga senior citizen. Yun iba"&amp;" dyan ang dali magclaim na may nagawa pero hanapan mo panay kwento, ito sa Maynila nakikita talaga. Yun iba maayos lang magsalita, desente pero pacute lang ang alam.  Sayang nga lang sana nagtagal pa si Isko sa Manila para maging mini Singapore.  BilisKil"&amp;"os talaga at may vision,  pumusta na tayo sa kanya.  #isko 💙☝️")</f>
        <v>Purita Johnsen ako po tiga Manila, sa tagal na po namin dyan kay Yorme umayos luminis at naging maganda ang pamamalakad sa Maynila.  Kahit umutang siya nilagay naman sa mabuti kalalagyan ang pera sa pabahay, eskwela, ospital at mga senior citizen. Yun iba dyan ang dali magclaim na may nagawa pero hanapan mo panay kwento, ito sa Maynila nakikita talaga. Yun iba maayos lang magsalita, desente pero pacute lang ang alam.  Sayang nga lang sana nagtagal pa si Isko sa Manila para maging mini Singapore.  BilisKilos talaga at may vision,  pumusta na tayo sa kanya.  #isko 💙☝️</v>
      </c>
      <c r="F2329" s="1">
        <f ca="1">IFERROR(__xludf.DUMMYFUNCTION("""COMPUTED_VALUE"""),1)</f>
        <v>1</v>
      </c>
      <c r="G2329" s="1" t="str">
        <f ca="1">IFERROR(__xludf.DUMMYFUNCTION("""COMPUTED_VALUE"""),"3 mos")</f>
        <v>3 mos</v>
      </c>
      <c r="H2329" s="1" t="str">
        <f ca="1">IFERROR(__xludf.DUMMYFUNCTION("""COMPUTED_VALUE"""),"reply")</f>
        <v>reply</v>
      </c>
      <c r="I2329" s="2" t="str">
        <f ca="1">IFERROR(__xludf.DUMMYFUNCTION("""COMPUTED_VALUE"""),"https://www.facebook.com/watch/live/?ref=watch_permalink&amp;v=923735834984653")</f>
        <v>https://www.facebook.com/watch/live/?ref=watch_permalink&amp;v=923735834984653</v>
      </c>
      <c r="J2329" s="1" t="str">
        <f ca="1">IFERROR(__xludf.DUMMYFUNCTION("""COMPUTED_VALUE"""),"2022-07-04T15:49:26.535Z")</f>
        <v>2022-07-04T15:49:26.535Z</v>
      </c>
    </row>
    <row r="2330" spans="1:10" x14ac:dyDescent="0.2">
      <c r="A2330" s="2" t="str">
        <f ca="1">IFERROR(__xludf.DUMMYFUNCTION("""COMPUTED_VALUE"""),"https://www.facebook.com/profile.php?id=100055630160451")</f>
        <v>https://www.facebook.com/profile.php?id=100055630160451</v>
      </c>
      <c r="B2330" s="1" t="str">
        <f ca="1">IFERROR(__xludf.DUMMYFUNCTION("""COMPUTED_VALUE"""),"Boboy Sadullo")</f>
        <v>Boboy Sadullo</v>
      </c>
      <c r="C2330" s="1" t="str">
        <f ca="1">IFERROR(__xludf.DUMMYFUNCTION("""COMPUTED_VALUE"""),"Boboy")</f>
        <v>Boboy</v>
      </c>
      <c r="D2330" s="1" t="str">
        <f ca="1">IFERROR(__xludf.DUMMYFUNCTION("""COMPUTED_VALUE"""),"Sadullo")</f>
        <v>Sadullo</v>
      </c>
      <c r="E2330" s="1" t="str">
        <f ca="1">IFERROR(__xludf.DUMMYFUNCTION("""COMPUTED_VALUE"""),"Boy benta Jr not worth to be a president. He is crocodile.")</f>
        <v>Boy benta Jr not worth to be a president. He is crocodile.</v>
      </c>
      <c r="F2330" s="1">
        <f ca="1">IFERROR(__xludf.DUMMYFUNCTION("""COMPUTED_VALUE"""),7)</f>
        <v>7</v>
      </c>
      <c r="G2330" s="1" t="str">
        <f ca="1">IFERROR(__xludf.DUMMYFUNCTION("""COMPUTED_VALUE"""),"3 mos")</f>
        <v>3 mos</v>
      </c>
      <c r="H2330" s="1" t="str">
        <f ca="1">IFERROR(__xludf.DUMMYFUNCTION("""COMPUTED_VALUE"""),"comment")</f>
        <v>comment</v>
      </c>
      <c r="I2330" s="2" t="str">
        <f ca="1">IFERROR(__xludf.DUMMYFUNCTION("""COMPUTED_VALUE"""),"https://www.facebook.com/watch/live/?ref=watch_permalink&amp;v=923735834984653")</f>
        <v>https://www.facebook.com/watch/live/?ref=watch_permalink&amp;v=923735834984653</v>
      </c>
      <c r="J2330" s="1" t="str">
        <f ca="1">IFERROR(__xludf.DUMMYFUNCTION("""COMPUTED_VALUE"""),"2022-07-04T15:49:26.535Z")</f>
        <v>2022-07-04T15:49:26.535Z</v>
      </c>
    </row>
    <row r="2331" spans="1:10" x14ac:dyDescent="0.2">
      <c r="A2331" s="2" t="str">
        <f ca="1">IFERROR(__xludf.DUMMYFUNCTION("""COMPUTED_VALUE"""),"https://www.facebook.com/profile.php?id=100008821067610")</f>
        <v>https://www.facebook.com/profile.php?id=100008821067610</v>
      </c>
      <c r="B2331" s="1" t="str">
        <f ca="1">IFERROR(__xludf.DUMMYFUNCTION("""COMPUTED_VALUE"""),"Regina C Dela Cruz")</f>
        <v>Regina C Dela Cruz</v>
      </c>
      <c r="C2331" s="1" t="str">
        <f ca="1">IFERROR(__xludf.DUMMYFUNCTION("""COMPUTED_VALUE"""),"Regina")</f>
        <v>Regina</v>
      </c>
      <c r="D2331" s="1" t="str">
        <f ca="1">IFERROR(__xludf.DUMMYFUNCTION("""COMPUTED_VALUE"""),"C Dela Cruz")</f>
        <v>C Dela Cruz</v>
      </c>
      <c r="E2331" s="1" t="str">
        <f ca="1">IFERROR(__xludf.DUMMYFUNCTION("""COMPUTED_VALUE"""),"Boboy Sadullo nagang ngakngak k wla k nmang kaalam alam...mga nagagalit kay yorme ung ayaw ng pagbabago...")</f>
        <v>Boboy Sadullo nagang ngakngak k wla k nmang kaalam alam...mga nagagalit kay yorme ung ayaw ng pagbabago...</v>
      </c>
      <c r="F2331" s="1">
        <f ca="1">IFERROR(__xludf.DUMMYFUNCTION("""COMPUTED_VALUE"""),1)</f>
        <v>1</v>
      </c>
      <c r="G2331" s="1" t="str">
        <f ca="1">IFERROR(__xludf.DUMMYFUNCTION("""COMPUTED_VALUE"""),"3 mos")</f>
        <v>3 mos</v>
      </c>
      <c r="H2331" s="1" t="str">
        <f ca="1">IFERROR(__xludf.DUMMYFUNCTION("""COMPUTED_VALUE"""),"reply")</f>
        <v>reply</v>
      </c>
      <c r="I2331" s="2" t="str">
        <f ca="1">IFERROR(__xludf.DUMMYFUNCTION("""COMPUTED_VALUE"""),"https://www.facebook.com/watch/live/?ref=watch_permalink&amp;v=923735834984653")</f>
        <v>https://www.facebook.com/watch/live/?ref=watch_permalink&amp;v=923735834984653</v>
      </c>
      <c r="J2331" s="1" t="str">
        <f ca="1">IFERROR(__xludf.DUMMYFUNCTION("""COMPUTED_VALUE"""),"2022-07-04T15:49:26.535Z")</f>
        <v>2022-07-04T15:49:26.535Z</v>
      </c>
    </row>
    <row r="2332" spans="1:10" x14ac:dyDescent="0.2">
      <c r="A2332" s="2" t="str">
        <f ca="1">IFERROR(__xludf.DUMMYFUNCTION("""COMPUTED_VALUE"""),"https://www.facebook.com/bhoyeth.domag.3")</f>
        <v>https://www.facebook.com/bhoyeth.domag.3</v>
      </c>
      <c r="B2332" s="1" t="str">
        <f ca="1">IFERROR(__xludf.DUMMYFUNCTION("""COMPUTED_VALUE"""),"Bhoyeth Domag")</f>
        <v>Bhoyeth Domag</v>
      </c>
      <c r="C2332" s="1" t="str">
        <f ca="1">IFERROR(__xludf.DUMMYFUNCTION("""COMPUTED_VALUE"""),"Bhoyeth")</f>
        <v>Bhoyeth</v>
      </c>
      <c r="D2332" s="1" t="str">
        <f ca="1">IFERROR(__xludf.DUMMYFUNCTION("""COMPUTED_VALUE"""),"Domag")</f>
        <v>Domag</v>
      </c>
      <c r="E2332" s="1" t="str">
        <f ca="1">IFERROR(__xludf.DUMMYFUNCTION("""COMPUTED_VALUE"""),"aral ka muna ng legalities.. wala kang alam sa batas")</f>
        <v>aral ka muna ng legalities.. wala kang alam sa batas</v>
      </c>
      <c r="F2332" s="1"/>
      <c r="G2332" s="1" t="str">
        <f ca="1">IFERROR(__xludf.DUMMYFUNCTION("""COMPUTED_VALUE"""),"3 mos")</f>
        <v>3 mos</v>
      </c>
      <c r="H2332" s="1" t="str">
        <f ca="1">IFERROR(__xludf.DUMMYFUNCTION("""COMPUTED_VALUE"""),"reply")</f>
        <v>reply</v>
      </c>
      <c r="I2332" s="2" t="str">
        <f ca="1">IFERROR(__xludf.DUMMYFUNCTION("""COMPUTED_VALUE"""),"https://www.facebook.com/watch/live/?ref=watch_permalink&amp;v=923735834984653")</f>
        <v>https://www.facebook.com/watch/live/?ref=watch_permalink&amp;v=923735834984653</v>
      </c>
      <c r="J2332" s="1" t="str">
        <f ca="1">IFERROR(__xludf.DUMMYFUNCTION("""COMPUTED_VALUE"""),"2022-07-04T15:49:26.535Z")</f>
        <v>2022-07-04T15:49:26.535Z</v>
      </c>
    </row>
    <row r="2333" spans="1:10" x14ac:dyDescent="0.2">
      <c r="A2333" s="2" t="str">
        <f ca="1">IFERROR(__xludf.DUMMYFUNCTION("""COMPUTED_VALUE"""),"https://www.facebook.com/jeric.irangan")</f>
        <v>https://www.facebook.com/jeric.irangan</v>
      </c>
      <c r="B2333" s="1" t="str">
        <f ca="1">IFERROR(__xludf.DUMMYFUNCTION("""COMPUTED_VALUE"""),"Jerrick Orenza")</f>
        <v>Jerrick Orenza</v>
      </c>
      <c r="C2333" s="1" t="str">
        <f ca="1">IFERROR(__xludf.DUMMYFUNCTION("""COMPUTED_VALUE"""),"Jerrick")</f>
        <v>Jerrick</v>
      </c>
      <c r="D2333" s="1" t="str">
        <f ca="1">IFERROR(__xludf.DUMMYFUNCTION("""COMPUTED_VALUE"""),"Orenza")</f>
        <v>Orenza</v>
      </c>
      <c r="E2333" s="1" t="str">
        <f ca="1">IFERROR(__xludf.DUMMYFUNCTION("""COMPUTED_VALUE"""),"Boboy Sadullo hindi mo naiintindihan si yorme, hindi ka kawalan")</f>
        <v>Boboy Sadullo hindi mo naiintindihan si yorme, hindi ka kawalan</v>
      </c>
      <c r="F2333" s="1"/>
      <c r="G2333" s="1" t="str">
        <f ca="1">IFERROR(__xludf.DUMMYFUNCTION("""COMPUTED_VALUE"""),"3 mos")</f>
        <v>3 mos</v>
      </c>
      <c r="H2333" s="1" t="str">
        <f ca="1">IFERROR(__xludf.DUMMYFUNCTION("""COMPUTED_VALUE"""),"reply")</f>
        <v>reply</v>
      </c>
      <c r="I2333" s="2" t="str">
        <f ca="1">IFERROR(__xludf.DUMMYFUNCTION("""COMPUTED_VALUE"""),"https://www.facebook.com/watch/live/?ref=watch_permalink&amp;v=923735834984653")</f>
        <v>https://www.facebook.com/watch/live/?ref=watch_permalink&amp;v=923735834984653</v>
      </c>
      <c r="J2333" s="1" t="str">
        <f ca="1">IFERROR(__xludf.DUMMYFUNCTION("""COMPUTED_VALUE"""),"2022-07-04T15:49:26.536Z")</f>
        <v>2022-07-04T15:49:26.536Z</v>
      </c>
    </row>
    <row r="2334" spans="1:10" x14ac:dyDescent="0.2">
      <c r="A2334" s="2" t="str">
        <f ca="1">IFERROR(__xludf.DUMMYFUNCTION("""COMPUTED_VALUE"""),"https://www.facebook.com/panny.valles")</f>
        <v>https://www.facebook.com/panny.valles</v>
      </c>
      <c r="B2334" s="1" t="str">
        <f ca="1">IFERROR(__xludf.DUMMYFUNCTION("""COMPUTED_VALUE"""),"Panny Valles")</f>
        <v>Panny Valles</v>
      </c>
      <c r="C2334" s="1" t="str">
        <f ca="1">IFERROR(__xludf.DUMMYFUNCTION("""COMPUTED_VALUE"""),"Panny")</f>
        <v>Panny</v>
      </c>
      <c r="D2334" s="1" t="str">
        <f ca="1">IFERROR(__xludf.DUMMYFUNCTION("""COMPUTED_VALUE"""),"Valles")</f>
        <v>Valles</v>
      </c>
      <c r="E2334" s="1" t="str">
        <f ca="1">IFERROR(__xludf.DUMMYFUNCTION("""COMPUTED_VALUE"""),"Boboy Sadullo look who’s talking? how about you? What r u doing? R u not a crocodile too? Bka mas masahol ka pa ke isko wag kang manghusga pra di ka rin husgahan.PEACE!!!")</f>
        <v>Boboy Sadullo look who’s talking? how about you? What r u doing? R u not a crocodile too? Bka mas masahol ka pa ke isko wag kang manghusga pra di ka rin husgahan.PEACE!!!</v>
      </c>
      <c r="F2334" s="1"/>
      <c r="G2334" s="1" t="str">
        <f ca="1">IFERROR(__xludf.DUMMYFUNCTION("""COMPUTED_VALUE"""),"3 mos")</f>
        <v>3 mos</v>
      </c>
      <c r="H2334" s="1" t="str">
        <f ca="1">IFERROR(__xludf.DUMMYFUNCTION("""COMPUTED_VALUE"""),"reply")</f>
        <v>reply</v>
      </c>
      <c r="I2334" s="2" t="str">
        <f ca="1">IFERROR(__xludf.DUMMYFUNCTION("""COMPUTED_VALUE"""),"https://www.facebook.com/watch/live/?ref=watch_permalink&amp;v=923735834984653")</f>
        <v>https://www.facebook.com/watch/live/?ref=watch_permalink&amp;v=923735834984653</v>
      </c>
      <c r="J2334" s="1" t="str">
        <f ca="1">IFERROR(__xludf.DUMMYFUNCTION("""COMPUTED_VALUE"""),"2022-07-04T15:49:26.536Z")</f>
        <v>2022-07-04T15:49:26.536Z</v>
      </c>
    </row>
    <row r="2335" spans="1:10" x14ac:dyDescent="0.2">
      <c r="A2335" s="2" t="str">
        <f ca="1">IFERROR(__xludf.DUMMYFUNCTION("""COMPUTED_VALUE"""),"https://www.facebook.com/sally.ladatenalaunan")</f>
        <v>https://www.facebook.com/sally.ladatenalaunan</v>
      </c>
      <c r="B2335" s="1" t="str">
        <f ca="1">IFERROR(__xludf.DUMMYFUNCTION("""COMPUTED_VALUE"""),"Ylla Datela")</f>
        <v>Ylla Datela</v>
      </c>
      <c r="C2335" s="1" t="str">
        <f ca="1">IFERROR(__xludf.DUMMYFUNCTION("""COMPUTED_VALUE"""),"Ylla")</f>
        <v>Ylla</v>
      </c>
      <c r="D2335" s="1" t="str">
        <f ca="1">IFERROR(__xludf.DUMMYFUNCTION("""COMPUTED_VALUE"""),"Datela")</f>
        <v>Datela</v>
      </c>
      <c r="E2335" s="1" t="str">
        <f ca="1">IFERROR(__xludf.DUMMYFUNCTION("""COMPUTED_VALUE"""),"Boboy Sadullo at Ikaw ano ka? Isang Ahas na kuda ng kuda")</f>
        <v>Boboy Sadullo at Ikaw ano ka? Isang Ahas na kuda ng kuda</v>
      </c>
      <c r="F2335" s="1"/>
      <c r="G2335" s="1" t="str">
        <f ca="1">IFERROR(__xludf.DUMMYFUNCTION("""COMPUTED_VALUE"""),"3 mos")</f>
        <v>3 mos</v>
      </c>
      <c r="H2335" s="1" t="str">
        <f ca="1">IFERROR(__xludf.DUMMYFUNCTION("""COMPUTED_VALUE"""),"reply")</f>
        <v>reply</v>
      </c>
      <c r="I2335" s="2" t="str">
        <f ca="1">IFERROR(__xludf.DUMMYFUNCTION("""COMPUTED_VALUE"""),"https://www.facebook.com/watch/live/?ref=watch_permalink&amp;v=923735834984653")</f>
        <v>https://www.facebook.com/watch/live/?ref=watch_permalink&amp;v=923735834984653</v>
      </c>
      <c r="J2335" s="1" t="str">
        <f ca="1">IFERROR(__xludf.DUMMYFUNCTION("""COMPUTED_VALUE"""),"2022-07-04T15:49:26.536Z")</f>
        <v>2022-07-04T15:49:26.536Z</v>
      </c>
    </row>
    <row r="2336" spans="1:10" x14ac:dyDescent="0.2">
      <c r="A2336" s="2" t="str">
        <f ca="1">IFERROR(__xludf.DUMMYFUNCTION("""COMPUTED_VALUE"""),"https://www.facebook.com/josephine.delavin.16")</f>
        <v>https://www.facebook.com/josephine.delavin.16</v>
      </c>
      <c r="B2336" s="1" t="str">
        <f ca="1">IFERROR(__xludf.DUMMYFUNCTION("""COMPUTED_VALUE"""),"Josephine Delavin")</f>
        <v>Josephine Delavin</v>
      </c>
      <c r="C2336" s="1" t="str">
        <f ca="1">IFERROR(__xludf.DUMMYFUNCTION("""COMPUTED_VALUE"""),"Josephine")</f>
        <v>Josephine</v>
      </c>
      <c r="D2336" s="1" t="str">
        <f ca="1">IFERROR(__xludf.DUMMYFUNCTION("""COMPUTED_VALUE"""),"Delavin")</f>
        <v>Delavin</v>
      </c>
      <c r="E2336" s="1" t="str">
        <f ca="1">IFERROR(__xludf.DUMMYFUNCTION("""COMPUTED_VALUE"""),"🙏🙏🙏🙏 The strongest weapon for Election 2022 A Servant and Leader 🔵❤❤❤❤☝️☝️☝️")</f>
        <v>🙏🙏🙏🙏 The strongest weapon for Election 2022 A Servant and Leader 🔵❤❤❤❤☝️☝️☝️</v>
      </c>
      <c r="F2336" s="1">
        <f ca="1">IFERROR(__xludf.DUMMYFUNCTION("""COMPUTED_VALUE"""),10)</f>
        <v>10</v>
      </c>
      <c r="G2336" s="1" t="str">
        <f ca="1">IFERROR(__xludf.DUMMYFUNCTION("""COMPUTED_VALUE"""),"3 mos")</f>
        <v>3 mos</v>
      </c>
      <c r="H2336" s="1" t="str">
        <f ca="1">IFERROR(__xludf.DUMMYFUNCTION("""COMPUTED_VALUE"""),"comment")</f>
        <v>comment</v>
      </c>
      <c r="I2336" s="2" t="str">
        <f ca="1">IFERROR(__xludf.DUMMYFUNCTION("""COMPUTED_VALUE"""),"https://www.facebook.com/watch/live/?ref=watch_permalink&amp;v=923735834984653")</f>
        <v>https://www.facebook.com/watch/live/?ref=watch_permalink&amp;v=923735834984653</v>
      </c>
      <c r="J2336" s="1" t="str">
        <f ca="1">IFERROR(__xludf.DUMMYFUNCTION("""COMPUTED_VALUE"""),"2022-07-04T15:49:26.536Z")</f>
        <v>2022-07-04T15:49:26.536Z</v>
      </c>
    </row>
    <row r="2337" spans="1:10" x14ac:dyDescent="0.2">
      <c r="A2337" s="2" t="str">
        <f ca="1">IFERROR(__xludf.DUMMYFUNCTION("""COMPUTED_VALUE"""),"https://www.facebook.com/grcvldmr")</f>
        <v>https://www.facebook.com/grcvldmr</v>
      </c>
      <c r="B2337" s="1" t="str">
        <f ca="1">IFERROR(__xludf.DUMMYFUNCTION("""COMPUTED_VALUE"""),"Grace Valdemoro")</f>
        <v>Grace Valdemoro</v>
      </c>
      <c r="C2337" s="1" t="str">
        <f ca="1">IFERROR(__xludf.DUMMYFUNCTION("""COMPUTED_VALUE"""),"Grace")</f>
        <v>Grace</v>
      </c>
      <c r="D2337" s="1" t="str">
        <f ca="1">IFERROR(__xludf.DUMMYFUNCTION("""COMPUTED_VALUE"""),"Valdemoro")</f>
        <v>Valdemoro</v>
      </c>
      <c r="E2337" s="1" t="str">
        <f ca="1">IFERROR(__xludf.DUMMYFUNCTION("""COMPUTED_VALUE"""),"GOD BLESS YOU YORME.ALWAYS KEEP A HUMBLE HEART..GOD IS WITH YOU..🙏🙏🙏❤❤❤")</f>
        <v>GOD BLESS YOU YORME.ALWAYS KEEP A HUMBLE HEART..GOD IS WITH YOU..🙏🙏🙏❤❤❤</v>
      </c>
      <c r="F2337" s="1">
        <f ca="1">IFERROR(__xludf.DUMMYFUNCTION("""COMPUTED_VALUE"""),12)</f>
        <v>12</v>
      </c>
      <c r="G2337" s="1" t="str">
        <f ca="1">IFERROR(__xludf.DUMMYFUNCTION("""COMPUTED_VALUE"""),"3 mos")</f>
        <v>3 mos</v>
      </c>
      <c r="H2337" s="1" t="str">
        <f ca="1">IFERROR(__xludf.DUMMYFUNCTION("""COMPUTED_VALUE"""),"comment")</f>
        <v>comment</v>
      </c>
      <c r="I2337" s="2" t="str">
        <f ca="1">IFERROR(__xludf.DUMMYFUNCTION("""COMPUTED_VALUE"""),"https://www.facebook.com/watch/live/?ref=watch_permalink&amp;v=923735834984653")</f>
        <v>https://www.facebook.com/watch/live/?ref=watch_permalink&amp;v=923735834984653</v>
      </c>
      <c r="J2337" s="1" t="str">
        <f ca="1">IFERROR(__xludf.DUMMYFUNCTION("""COMPUTED_VALUE"""),"2022-07-04T15:49:26.536Z")</f>
        <v>2022-07-04T15:49:26.536Z</v>
      </c>
    </row>
    <row r="2338" spans="1:10" x14ac:dyDescent="0.2">
      <c r="A2338" s="2" t="str">
        <f ca="1">IFERROR(__xludf.DUMMYFUNCTION("""COMPUTED_VALUE"""),"https://www.facebook.com/ferrer.eva")</f>
        <v>https://www.facebook.com/ferrer.eva</v>
      </c>
      <c r="B2338" s="1" t="str">
        <f ca="1">IFERROR(__xludf.DUMMYFUNCTION("""COMPUTED_VALUE"""),"Eva Sur Ferrer")</f>
        <v>Eva Sur Ferrer</v>
      </c>
      <c r="C2338" s="1" t="str">
        <f ca="1">IFERROR(__xludf.DUMMYFUNCTION("""COMPUTED_VALUE"""),"Eva")</f>
        <v>Eva</v>
      </c>
      <c r="D2338" s="1" t="str">
        <f ca="1">IFERROR(__xludf.DUMMYFUNCTION("""COMPUTED_VALUE"""),"Sur Ferrer")</f>
        <v>Sur Ferrer</v>
      </c>
      <c r="E2338" s="1" t="str">
        <f ca="1">IFERROR(__xludf.DUMMYFUNCTION("""COMPUTED_VALUE"""),"SWITCH TO ISKO! Bata, mabilis kumilos! May puso! May takot sa Dyos!!! May malasakit sa mahihirap at kapwa tao!!! Magiskooo na tayo!!!")</f>
        <v>SWITCH TO ISKO! Bata, mabilis kumilos! May puso! May takot sa Dyos!!! May malasakit sa mahihirap at kapwa tao!!! Magiskooo na tayo!!!</v>
      </c>
      <c r="F2338" s="1">
        <f ca="1">IFERROR(__xludf.DUMMYFUNCTION("""COMPUTED_VALUE"""),6)</f>
        <v>6</v>
      </c>
      <c r="G2338" s="1" t="str">
        <f ca="1">IFERROR(__xludf.DUMMYFUNCTION("""COMPUTED_VALUE"""),"3 mos")</f>
        <v>3 mos</v>
      </c>
      <c r="H2338" s="1" t="str">
        <f ca="1">IFERROR(__xludf.DUMMYFUNCTION("""COMPUTED_VALUE"""),"comment")</f>
        <v>comment</v>
      </c>
      <c r="I2338" s="2" t="str">
        <f ca="1">IFERROR(__xludf.DUMMYFUNCTION("""COMPUTED_VALUE"""),"https://www.facebook.com/watch/live/?ref=watch_permalink&amp;v=923735834984653")</f>
        <v>https://www.facebook.com/watch/live/?ref=watch_permalink&amp;v=923735834984653</v>
      </c>
      <c r="J2338" s="1" t="str">
        <f ca="1">IFERROR(__xludf.DUMMYFUNCTION("""COMPUTED_VALUE"""),"2022-07-04T15:49:26.536Z")</f>
        <v>2022-07-04T15:49:26.536Z</v>
      </c>
    </row>
    <row r="2339" spans="1:10" x14ac:dyDescent="0.2">
      <c r="A2339" s="2" t="str">
        <f ca="1">IFERROR(__xludf.DUMMYFUNCTION("""COMPUTED_VALUE"""),"https://www.facebook.com/profile.php?id=100055630160451")</f>
        <v>https://www.facebook.com/profile.php?id=100055630160451</v>
      </c>
      <c r="B2339" s="1" t="str">
        <f ca="1">IFERROR(__xludf.DUMMYFUNCTION("""COMPUTED_VALUE"""),"Boboy Sadullo")</f>
        <v>Boboy Sadullo</v>
      </c>
      <c r="C2339" s="1" t="str">
        <f ca="1">IFERROR(__xludf.DUMMYFUNCTION("""COMPUTED_VALUE"""),"Boboy")</f>
        <v>Boboy</v>
      </c>
      <c r="D2339" s="1" t="str">
        <f ca="1">IFERROR(__xludf.DUMMYFUNCTION("""COMPUTED_VALUE"""),"Sadullo")</f>
        <v>Sadullo</v>
      </c>
      <c r="E2339" s="1" t="str">
        <f ca="1">IFERROR(__xludf.DUMMYFUNCTION("""COMPUTED_VALUE"""),"Eva Sur Ferrer oo nga mabilis gumawa ng Pera😂😂😂")</f>
        <v>Eva Sur Ferrer oo nga mabilis gumawa ng Pera😂😂😂</v>
      </c>
      <c r="F2339" s="1"/>
      <c r="G2339" s="1" t="str">
        <f ca="1">IFERROR(__xludf.DUMMYFUNCTION("""COMPUTED_VALUE"""),"3 mos")</f>
        <v>3 mos</v>
      </c>
      <c r="H2339" s="1" t="str">
        <f ca="1">IFERROR(__xludf.DUMMYFUNCTION("""COMPUTED_VALUE"""),"reply")</f>
        <v>reply</v>
      </c>
      <c r="I2339" s="2" t="str">
        <f ca="1">IFERROR(__xludf.DUMMYFUNCTION("""COMPUTED_VALUE"""),"https://www.facebook.com/watch/live/?ref=watch_permalink&amp;v=923735834984653")</f>
        <v>https://www.facebook.com/watch/live/?ref=watch_permalink&amp;v=923735834984653</v>
      </c>
      <c r="J2339" s="1" t="str">
        <f ca="1">IFERROR(__xludf.DUMMYFUNCTION("""COMPUTED_VALUE"""),"2022-07-04T15:49:26.536Z")</f>
        <v>2022-07-04T15:49:26.536Z</v>
      </c>
    </row>
    <row r="2340" spans="1:10" x14ac:dyDescent="0.2">
      <c r="A2340" s="2" t="str">
        <f ca="1">IFERROR(__xludf.DUMMYFUNCTION("""COMPUTED_VALUE"""),"https://www.facebook.com/lodi.malupet.79")</f>
        <v>https://www.facebook.com/lodi.malupet.79</v>
      </c>
      <c r="B2340" s="1" t="str">
        <f ca="1">IFERROR(__xludf.DUMMYFUNCTION("""COMPUTED_VALUE"""),"Erick Soon")</f>
        <v>Erick Soon</v>
      </c>
      <c r="C2340" s="1" t="str">
        <f ca="1">IFERROR(__xludf.DUMMYFUNCTION("""COMPUTED_VALUE"""),"Erick")</f>
        <v>Erick</v>
      </c>
      <c r="D2340" s="1" t="str">
        <f ca="1">IFERROR(__xludf.DUMMYFUNCTION("""COMPUTED_VALUE"""),"Soon")</f>
        <v>Soon</v>
      </c>
      <c r="E2340" s="1" t="str">
        <f ca="1">IFERROR(__xludf.DUMMYFUNCTION("""COMPUTED_VALUE"""),"Marami Tlaga problems darating pag ikaw Ang President. Divisoria nga bininta mo, ikaw lng gumawa nian sa maynila, yan b utos sau ni joma sison😈😈")</f>
        <v>Marami Tlaga problems darating pag ikaw Ang President. Divisoria nga bininta mo, ikaw lng gumawa nian sa maynila, yan b utos sau ni joma sison😈😈</v>
      </c>
      <c r="F2340" s="1">
        <f ca="1">IFERROR(__xludf.DUMMYFUNCTION("""COMPUTED_VALUE"""),7)</f>
        <v>7</v>
      </c>
      <c r="G2340" s="1" t="str">
        <f ca="1">IFERROR(__xludf.DUMMYFUNCTION("""COMPUTED_VALUE"""),"3 mos")</f>
        <v>3 mos</v>
      </c>
      <c r="H2340" s="1" t="str">
        <f ca="1">IFERROR(__xludf.DUMMYFUNCTION("""COMPUTED_VALUE"""),"comment")</f>
        <v>comment</v>
      </c>
      <c r="I2340" s="2" t="str">
        <f ca="1">IFERROR(__xludf.DUMMYFUNCTION("""COMPUTED_VALUE"""),"https://www.facebook.com/watch/live/?ref=watch_permalink&amp;v=923735834984653")</f>
        <v>https://www.facebook.com/watch/live/?ref=watch_permalink&amp;v=923735834984653</v>
      </c>
      <c r="J2340" s="1" t="str">
        <f ca="1">IFERROR(__xludf.DUMMYFUNCTION("""COMPUTED_VALUE"""),"2022-07-04T15:49:26.536Z")</f>
        <v>2022-07-04T15:49:26.536Z</v>
      </c>
    </row>
    <row r="2341" spans="1:10" x14ac:dyDescent="0.2">
      <c r="A2341" s="2" t="str">
        <f ca="1">IFERROR(__xludf.DUMMYFUNCTION("""COMPUTED_VALUE"""),"https://www.facebook.com/choba.dunato")</f>
        <v>https://www.facebook.com/choba.dunato</v>
      </c>
      <c r="B2341" s="1" t="str">
        <f ca="1">IFERROR(__xludf.DUMMYFUNCTION("""COMPUTED_VALUE"""),"Apras N Estrella")</f>
        <v>Apras N Estrella</v>
      </c>
      <c r="C2341" s="1" t="str">
        <f ca="1">IFERROR(__xludf.DUMMYFUNCTION("""COMPUTED_VALUE"""),"Apras")</f>
        <v>Apras</v>
      </c>
      <c r="D2341" s="1" t="str">
        <f ca="1">IFERROR(__xludf.DUMMYFUNCTION("""COMPUTED_VALUE"""),"N Estrella")</f>
        <v>N Estrella</v>
      </c>
      <c r="E2341" s="1" t="str">
        <f ca="1">IFERROR(__xludf.DUMMYFUNCTION("""COMPUTED_VALUE"""),"Saan  ang patunay  mo")</f>
        <v>Saan  ang patunay  mo</v>
      </c>
      <c r="F2341" s="1">
        <f ca="1">IFERROR(__xludf.DUMMYFUNCTION("""COMPUTED_VALUE"""),3)</f>
        <v>3</v>
      </c>
      <c r="G2341" s="1" t="str">
        <f ca="1">IFERROR(__xludf.DUMMYFUNCTION("""COMPUTED_VALUE"""),"3 mos")</f>
        <v>3 mos</v>
      </c>
      <c r="H2341" s="1" t="str">
        <f ca="1">IFERROR(__xludf.DUMMYFUNCTION("""COMPUTED_VALUE"""),"reply")</f>
        <v>reply</v>
      </c>
      <c r="I2341" s="2" t="str">
        <f ca="1">IFERROR(__xludf.DUMMYFUNCTION("""COMPUTED_VALUE"""),"https://www.facebook.com/watch/live/?ref=watch_permalink&amp;v=923735834984653")</f>
        <v>https://www.facebook.com/watch/live/?ref=watch_permalink&amp;v=923735834984653</v>
      </c>
      <c r="J2341" s="1" t="str">
        <f ca="1">IFERROR(__xludf.DUMMYFUNCTION("""COMPUTED_VALUE"""),"2022-07-04T15:49:26.536Z")</f>
        <v>2022-07-04T15:49:26.536Z</v>
      </c>
    </row>
    <row r="2342" spans="1:10" x14ac:dyDescent="0.2">
      <c r="A2342" s="2" t="str">
        <f ca="1">IFERROR(__xludf.DUMMYFUNCTION("""COMPUTED_VALUE"""),"https://www.facebook.com/bambina.cruz.5")</f>
        <v>https://www.facebook.com/bambina.cruz.5</v>
      </c>
      <c r="B2342" s="1" t="str">
        <f ca="1">IFERROR(__xludf.DUMMYFUNCTION("""COMPUTED_VALUE"""),"Bambina Cruz")</f>
        <v>Bambina Cruz</v>
      </c>
      <c r="C2342" s="1" t="str">
        <f ca="1">IFERROR(__xludf.DUMMYFUNCTION("""COMPUTED_VALUE"""),"Bambina")</f>
        <v>Bambina</v>
      </c>
      <c r="D2342" s="1" t="str">
        <f ca="1">IFERROR(__xludf.DUMMYFUNCTION("""COMPUTED_VALUE"""),"Cruz")</f>
        <v>Cruz</v>
      </c>
      <c r="E2342" s="1" t="str">
        <f ca="1">IFERROR(__xludf.DUMMYFUNCTION("""COMPUTED_VALUE"""),"Erick Soon nafake news ka")</f>
        <v>Erick Soon nafake news ka</v>
      </c>
      <c r="F2342" s="1">
        <f ca="1">IFERROR(__xludf.DUMMYFUNCTION("""COMPUTED_VALUE"""),1)</f>
        <v>1</v>
      </c>
      <c r="G2342" s="1" t="str">
        <f ca="1">IFERROR(__xludf.DUMMYFUNCTION("""COMPUTED_VALUE"""),"3 mos")</f>
        <v>3 mos</v>
      </c>
      <c r="H2342" s="1" t="str">
        <f ca="1">IFERROR(__xludf.DUMMYFUNCTION("""COMPUTED_VALUE"""),"reply")</f>
        <v>reply</v>
      </c>
      <c r="I2342" s="2" t="str">
        <f ca="1">IFERROR(__xludf.DUMMYFUNCTION("""COMPUTED_VALUE"""),"https://www.facebook.com/watch/live/?ref=watch_permalink&amp;v=923735834984653")</f>
        <v>https://www.facebook.com/watch/live/?ref=watch_permalink&amp;v=923735834984653</v>
      </c>
      <c r="J2342" s="1" t="str">
        <f ca="1">IFERROR(__xludf.DUMMYFUNCTION("""COMPUTED_VALUE"""),"2022-07-04T15:49:26.536Z")</f>
        <v>2022-07-04T15:49:26.536Z</v>
      </c>
    </row>
    <row r="2343" spans="1:10" x14ac:dyDescent="0.2">
      <c r="A2343" s="2" t="str">
        <f ca="1">IFERROR(__xludf.DUMMYFUNCTION("""COMPUTED_VALUE"""),"https://www.facebook.com/ding.lunar.9")</f>
        <v>https://www.facebook.com/ding.lunar.9</v>
      </c>
      <c r="B2343" s="1" t="str">
        <f ca="1">IFERROR(__xludf.DUMMYFUNCTION("""COMPUTED_VALUE"""),"Ding Lunar")</f>
        <v>Ding Lunar</v>
      </c>
      <c r="C2343" s="1" t="str">
        <f ca="1">IFERROR(__xludf.DUMMYFUNCTION("""COMPUTED_VALUE"""),"Ding")</f>
        <v>Ding</v>
      </c>
      <c r="D2343" s="1" t="str">
        <f ca="1">IFERROR(__xludf.DUMMYFUNCTION("""COMPUTED_VALUE"""),"Lunar")</f>
        <v>Lunar</v>
      </c>
      <c r="E2343" s="1" t="str">
        <f ca="1">IFERROR(__xludf.DUMMYFUNCTION("""COMPUTED_VALUE"""),"Apple Ducoll punta ka dito manila")</f>
        <v>Apple Ducoll punta ka dito manila</v>
      </c>
      <c r="F2343" s="1">
        <f ca="1">IFERROR(__xludf.DUMMYFUNCTION("""COMPUTED_VALUE"""),1)</f>
        <v>1</v>
      </c>
      <c r="G2343" s="1" t="str">
        <f ca="1">IFERROR(__xludf.DUMMYFUNCTION("""COMPUTED_VALUE"""),"3 mos")</f>
        <v>3 mos</v>
      </c>
      <c r="H2343" s="1" t="str">
        <f ca="1">IFERROR(__xludf.DUMMYFUNCTION("""COMPUTED_VALUE"""),"reply")</f>
        <v>reply</v>
      </c>
      <c r="I2343" s="2" t="str">
        <f ca="1">IFERROR(__xludf.DUMMYFUNCTION("""COMPUTED_VALUE"""),"https://www.facebook.com/watch/live/?ref=watch_permalink&amp;v=923735834984653")</f>
        <v>https://www.facebook.com/watch/live/?ref=watch_permalink&amp;v=923735834984653</v>
      </c>
      <c r="J2343" s="1" t="str">
        <f ca="1">IFERROR(__xludf.DUMMYFUNCTION("""COMPUTED_VALUE"""),"2022-07-04T15:49:26.536Z")</f>
        <v>2022-07-04T15:49:26.536Z</v>
      </c>
    </row>
    <row r="2344" spans="1:10" x14ac:dyDescent="0.2">
      <c r="A2344" s="2" t="str">
        <f ca="1">IFERROR(__xludf.DUMMYFUNCTION("""COMPUTED_VALUE"""),"https://www.facebook.com/ding.lunar.9")</f>
        <v>https://www.facebook.com/ding.lunar.9</v>
      </c>
      <c r="B2344" s="1" t="str">
        <f ca="1">IFERROR(__xludf.DUMMYFUNCTION("""COMPUTED_VALUE"""),"Ding Lunar")</f>
        <v>Ding Lunar</v>
      </c>
      <c r="C2344" s="1" t="str">
        <f ca="1">IFERROR(__xludf.DUMMYFUNCTION("""COMPUTED_VALUE"""),"Ding")</f>
        <v>Ding</v>
      </c>
      <c r="D2344" s="1" t="str">
        <f ca="1">IFERROR(__xludf.DUMMYFUNCTION("""COMPUTED_VALUE"""),"Lunar")</f>
        <v>Lunar</v>
      </c>
      <c r="E2344" s="1" t="str">
        <f ca="1">IFERROR(__xludf.DUMMYFUNCTION("""COMPUTED_VALUE"""),"Apple Ducoll punta ka dito sa manila")</f>
        <v>Apple Ducoll punta ka dito sa manila</v>
      </c>
      <c r="F2344" s="1"/>
      <c r="G2344" s="1" t="str">
        <f ca="1">IFERROR(__xludf.DUMMYFUNCTION("""COMPUTED_VALUE"""),"3 mos")</f>
        <v>3 mos</v>
      </c>
      <c r="H2344" s="1" t="str">
        <f ca="1">IFERROR(__xludf.DUMMYFUNCTION("""COMPUTED_VALUE"""),"reply")</f>
        <v>reply</v>
      </c>
      <c r="I2344" s="2" t="str">
        <f ca="1">IFERROR(__xludf.DUMMYFUNCTION("""COMPUTED_VALUE"""),"https://www.facebook.com/watch/live/?ref=watch_permalink&amp;v=923735834984653")</f>
        <v>https://www.facebook.com/watch/live/?ref=watch_permalink&amp;v=923735834984653</v>
      </c>
      <c r="J2344" s="1" t="str">
        <f ca="1">IFERROR(__xludf.DUMMYFUNCTION("""COMPUTED_VALUE"""),"2022-07-04T15:49:26.536Z")</f>
        <v>2022-07-04T15:49:26.536Z</v>
      </c>
    </row>
    <row r="2345" spans="1:10" x14ac:dyDescent="0.2">
      <c r="A2345" s="2" t="str">
        <f ca="1">IFERROR(__xludf.DUMMYFUNCTION("""COMPUTED_VALUE"""),"https://www.facebook.com/diego.bakulaw")</f>
        <v>https://www.facebook.com/diego.bakulaw</v>
      </c>
      <c r="B2345" s="1" t="str">
        <f ca="1">IFERROR(__xludf.DUMMYFUNCTION("""COMPUTED_VALUE"""),"Nus Ydnas")</f>
        <v>Nus Ydnas</v>
      </c>
      <c r="C2345" s="1" t="str">
        <f ca="1">IFERROR(__xludf.DUMMYFUNCTION("""COMPUTED_VALUE"""),"Nus")</f>
        <v>Nus</v>
      </c>
      <c r="D2345" s="1" t="str">
        <f ca="1">IFERROR(__xludf.DUMMYFUNCTION("""COMPUTED_VALUE"""),"Ydnas")</f>
        <v>Ydnas</v>
      </c>
      <c r="E2345" s="1" t="str">
        <f ca="1">IFERROR(__xludf.DUMMYFUNCTION("""COMPUTED_VALUE"""),"Di pa ba patunay ang lahat ng vendor sa divesoria na nawalang ng pagkakitaan")</f>
        <v>Di pa ba patunay ang lahat ng vendor sa divesoria na nawalang ng pagkakitaan</v>
      </c>
      <c r="F2345" s="1"/>
      <c r="G2345" s="1" t="str">
        <f ca="1">IFERROR(__xludf.DUMMYFUNCTION("""COMPUTED_VALUE"""),"3 mos")</f>
        <v>3 mos</v>
      </c>
      <c r="H2345" s="1" t="str">
        <f ca="1">IFERROR(__xludf.DUMMYFUNCTION("""COMPUTED_VALUE"""),"reply")</f>
        <v>reply</v>
      </c>
      <c r="I2345" s="2" t="str">
        <f ca="1">IFERROR(__xludf.DUMMYFUNCTION("""COMPUTED_VALUE"""),"https://www.facebook.com/watch/live/?ref=watch_permalink&amp;v=923735834984653")</f>
        <v>https://www.facebook.com/watch/live/?ref=watch_permalink&amp;v=923735834984653</v>
      </c>
      <c r="J2345" s="1" t="str">
        <f ca="1">IFERROR(__xludf.DUMMYFUNCTION("""COMPUTED_VALUE"""),"2022-07-04T15:49:26.536Z")</f>
        <v>2022-07-04T15:49:26.536Z</v>
      </c>
    </row>
    <row r="2346" spans="1:10" x14ac:dyDescent="0.2">
      <c r="A2346" s="2" t="str">
        <f ca="1">IFERROR(__xludf.DUMMYFUNCTION("""COMPUTED_VALUE"""),"https://www.facebook.com/choba.dunato")</f>
        <v>https://www.facebook.com/choba.dunato</v>
      </c>
      <c r="B2346" s="1" t="str">
        <f ca="1">IFERROR(__xludf.DUMMYFUNCTION("""COMPUTED_VALUE"""),"Apras N Estrella")</f>
        <v>Apras N Estrella</v>
      </c>
      <c r="C2346" s="1" t="str">
        <f ca="1">IFERROR(__xludf.DUMMYFUNCTION("""COMPUTED_VALUE"""),"Apras")</f>
        <v>Apras</v>
      </c>
      <c r="D2346" s="1" t="str">
        <f ca="1">IFERROR(__xludf.DUMMYFUNCTION("""COMPUTED_VALUE"""),"N Estrella")</f>
        <v>N Estrella</v>
      </c>
      <c r="E2346" s="1" t="str">
        <f ca="1">IFERROR(__xludf.DUMMYFUNCTION("""COMPUTED_VALUE"""),"Ding Lunar bakit")</f>
        <v>Ding Lunar bakit</v>
      </c>
      <c r="F2346" s="1"/>
      <c r="G2346" s="1" t="str">
        <f ca="1">IFERROR(__xludf.DUMMYFUNCTION("""COMPUTED_VALUE"""),"3 mos")</f>
        <v>3 mos</v>
      </c>
      <c r="H2346" s="1" t="str">
        <f ca="1">IFERROR(__xludf.DUMMYFUNCTION("""COMPUTED_VALUE"""),"reply")</f>
        <v>reply</v>
      </c>
      <c r="I2346" s="2" t="str">
        <f ca="1">IFERROR(__xludf.DUMMYFUNCTION("""COMPUTED_VALUE"""),"https://www.facebook.com/watch/live/?ref=watch_permalink&amp;v=923735834984653")</f>
        <v>https://www.facebook.com/watch/live/?ref=watch_permalink&amp;v=923735834984653</v>
      </c>
      <c r="J2346" s="1" t="str">
        <f ca="1">IFERROR(__xludf.DUMMYFUNCTION("""COMPUTED_VALUE"""),"2022-07-04T15:49:26.536Z")</f>
        <v>2022-07-04T15:49:26.536Z</v>
      </c>
    </row>
    <row r="2347" spans="1:10" x14ac:dyDescent="0.2">
      <c r="A2347" s="2" t="str">
        <f ca="1">IFERROR(__xludf.DUMMYFUNCTION("""COMPUTED_VALUE"""),"https://www.facebook.com/barry.ciloy.1")</f>
        <v>https://www.facebook.com/barry.ciloy.1</v>
      </c>
      <c r="B2347" s="1" t="str">
        <f ca="1">IFERROR(__xludf.DUMMYFUNCTION("""COMPUTED_VALUE"""),"Barry Ciloy")</f>
        <v>Barry Ciloy</v>
      </c>
      <c r="C2347" s="1" t="str">
        <f ca="1">IFERROR(__xludf.DUMMYFUNCTION("""COMPUTED_VALUE"""),"Barry")</f>
        <v>Barry</v>
      </c>
      <c r="D2347" s="1" t="str">
        <f ca="1">IFERROR(__xludf.DUMMYFUNCTION("""COMPUTED_VALUE"""),"Ciloy")</f>
        <v>Ciloy</v>
      </c>
      <c r="E2347" s="1" t="str">
        <f ca="1">IFERROR(__xludf.DUMMYFUNCTION("""COMPUTED_VALUE"""),"@Golden Tucky:BRAVOOOOO 👌👌👌 YES YES YES SWITCH TO ISKO YOU ARE THE MOST QUALIFIED PRESIDENTIABLE GOD BLESS YOU YORME 🙏🙏🙏🙏🙏🙏🙏🙏🙏🙏🙏🙏🙏🙏🙏🙏🙏🙏🙏🙏🙏🙏")</f>
        <v>@Golden Tucky:BRAVOOOOO 👌👌👌 YES YES YES SWITCH TO ISKO YOU ARE THE MOST QUALIFIED PRESIDENTIABLE GOD BLESS YOU YORME 🙏🙏🙏🙏🙏🙏🙏🙏🙏🙏🙏🙏🙏🙏🙏🙏🙏🙏🙏🙏🙏🙏</v>
      </c>
      <c r="F2347" s="1">
        <f ca="1">IFERROR(__xludf.DUMMYFUNCTION("""COMPUTED_VALUE"""),1)</f>
        <v>1</v>
      </c>
      <c r="G2347" s="1" t="str">
        <f ca="1">IFERROR(__xludf.DUMMYFUNCTION("""COMPUTED_VALUE"""),"3 mos")</f>
        <v>3 mos</v>
      </c>
      <c r="H2347" s="1" t="str">
        <f ca="1">IFERROR(__xludf.DUMMYFUNCTION("""COMPUTED_VALUE"""),"comment")</f>
        <v>comment</v>
      </c>
      <c r="I2347" s="2" t="str">
        <f ca="1">IFERROR(__xludf.DUMMYFUNCTION("""COMPUTED_VALUE"""),"https://www.facebook.com/watch/live/?ref=watch_permalink&amp;v=923735834984653")</f>
        <v>https://www.facebook.com/watch/live/?ref=watch_permalink&amp;v=923735834984653</v>
      </c>
      <c r="J2347" s="1" t="str">
        <f ca="1">IFERROR(__xludf.DUMMYFUNCTION("""COMPUTED_VALUE"""),"2022-07-04T15:49:26.536Z")</f>
        <v>2022-07-04T15:49:26.536Z</v>
      </c>
    </row>
    <row r="2348" spans="1:10" x14ac:dyDescent="0.2">
      <c r="A2348" s="2" t="str">
        <f ca="1">IFERROR(__xludf.DUMMYFUNCTION("""COMPUTED_VALUE"""),"https://www.facebook.com/salvie.maris.5")</f>
        <v>https://www.facebook.com/salvie.maris.5</v>
      </c>
      <c r="B2348" s="1" t="str">
        <f ca="1">IFERROR(__xludf.DUMMYFUNCTION("""COMPUTED_VALUE"""),"Salvie M. Del Monte")</f>
        <v>Salvie M. Del Monte</v>
      </c>
      <c r="C2348" s="1" t="str">
        <f ca="1">IFERROR(__xludf.DUMMYFUNCTION("""COMPUTED_VALUE"""),"Salvie")</f>
        <v>Salvie</v>
      </c>
      <c r="D2348" s="1" t="str">
        <f ca="1">IFERROR(__xludf.DUMMYFUNCTION("""COMPUTED_VALUE"""),"M. Del Monte")</f>
        <v>M. Del Monte</v>
      </c>
      <c r="E2348" s="1" t="str">
        <f ca="1">IFERROR(__xludf.DUMMYFUNCTION("""COMPUTED_VALUE"""),"Solid mayor isko moreno domagoso god love bless u always 🙏 🙏 🙏")</f>
        <v>Solid mayor isko moreno domagoso god love bless u always 🙏 🙏 🙏</v>
      </c>
      <c r="F2348" s="1">
        <f ca="1">IFERROR(__xludf.DUMMYFUNCTION("""COMPUTED_VALUE"""),21)</f>
        <v>21</v>
      </c>
      <c r="G2348" s="1" t="str">
        <f ca="1">IFERROR(__xludf.DUMMYFUNCTION("""COMPUTED_VALUE"""),"3 mos")</f>
        <v>3 mos</v>
      </c>
      <c r="H2348" s="1" t="str">
        <f ca="1">IFERROR(__xludf.DUMMYFUNCTION("""COMPUTED_VALUE"""),"comment")</f>
        <v>comment</v>
      </c>
      <c r="I2348" s="2" t="str">
        <f ca="1">IFERROR(__xludf.DUMMYFUNCTION("""COMPUTED_VALUE"""),"https://www.facebook.com/watch/live/?ref=watch_permalink&amp;v=923735834984653")</f>
        <v>https://www.facebook.com/watch/live/?ref=watch_permalink&amp;v=923735834984653</v>
      </c>
      <c r="J2348" s="1" t="str">
        <f ca="1">IFERROR(__xludf.DUMMYFUNCTION("""COMPUTED_VALUE"""),"2022-07-04T15:49:26.536Z")</f>
        <v>2022-07-04T15:49:26.536Z</v>
      </c>
    </row>
    <row r="2349" spans="1:10" x14ac:dyDescent="0.2">
      <c r="A2349" s="2" t="str">
        <f ca="1">IFERROR(__xludf.DUMMYFUNCTION("""COMPUTED_VALUE"""),"https://www.facebook.com/ben.balois.1")</f>
        <v>https://www.facebook.com/ben.balois.1</v>
      </c>
      <c r="B2349" s="1" t="str">
        <f ca="1">IFERROR(__xludf.DUMMYFUNCTION("""COMPUTED_VALUE"""),"Ben Balois")</f>
        <v>Ben Balois</v>
      </c>
      <c r="C2349" s="1" t="str">
        <f ca="1">IFERROR(__xludf.DUMMYFUNCTION("""COMPUTED_VALUE"""),"Ben")</f>
        <v>Ben</v>
      </c>
      <c r="D2349" s="1" t="str">
        <f ca="1">IFERROR(__xludf.DUMMYFUNCTION("""COMPUTED_VALUE"""),"Balois")</f>
        <v>Balois</v>
      </c>
      <c r="E2349" s="1" t="str">
        <f ca="1">IFERROR(__xludf.DUMMYFUNCTION("""COMPUTED_VALUE"""),"An Isko vote is a wrong vote! Beware of Isko, he will destroy our Maharlika motherland!")</f>
        <v>An Isko vote is a wrong vote! Beware of Isko, he will destroy our Maharlika motherland!</v>
      </c>
      <c r="F2349" s="1">
        <f ca="1">IFERROR(__xludf.DUMMYFUNCTION("""COMPUTED_VALUE"""),4)</f>
        <v>4</v>
      </c>
      <c r="G2349" s="1" t="str">
        <f ca="1">IFERROR(__xludf.DUMMYFUNCTION("""COMPUTED_VALUE"""),"3 mos")</f>
        <v>3 mos</v>
      </c>
      <c r="H2349" s="1" t="str">
        <f ca="1">IFERROR(__xludf.DUMMYFUNCTION("""COMPUTED_VALUE"""),"comment")</f>
        <v>comment</v>
      </c>
      <c r="I2349" s="2" t="str">
        <f ca="1">IFERROR(__xludf.DUMMYFUNCTION("""COMPUTED_VALUE"""),"https://www.facebook.com/watch/live/?ref=watch_permalink&amp;v=923735834984653")</f>
        <v>https://www.facebook.com/watch/live/?ref=watch_permalink&amp;v=923735834984653</v>
      </c>
      <c r="J2349" s="1" t="str">
        <f ca="1">IFERROR(__xludf.DUMMYFUNCTION("""COMPUTED_VALUE"""),"2022-07-04T15:49:26.537Z")</f>
        <v>2022-07-04T15:49:26.537Z</v>
      </c>
    </row>
    <row r="2350" spans="1:10" x14ac:dyDescent="0.2">
      <c r="A2350" s="2" t="str">
        <f ca="1">IFERROR(__xludf.DUMMYFUNCTION("""COMPUTED_VALUE"""),"https://www.facebook.com/annabelle.ventus")</f>
        <v>https://www.facebook.com/annabelle.ventus</v>
      </c>
      <c r="B2350" s="1" t="str">
        <f ca="1">IFERROR(__xludf.DUMMYFUNCTION("""COMPUTED_VALUE"""),"Asjarie Celeste Castroverde")</f>
        <v>Asjarie Celeste Castroverde</v>
      </c>
      <c r="C2350" s="1" t="str">
        <f ca="1">IFERROR(__xludf.DUMMYFUNCTION("""COMPUTED_VALUE"""),"Asjarie")</f>
        <v>Asjarie</v>
      </c>
      <c r="D2350" s="1" t="str">
        <f ca="1">IFERROR(__xludf.DUMMYFUNCTION("""COMPUTED_VALUE"""),"Celeste Castroverde")</f>
        <v>Celeste Castroverde</v>
      </c>
      <c r="E2350" s="1" t="str">
        <f ca="1">IFERROR(__xludf.DUMMYFUNCTION("""COMPUTED_VALUE"""),"Lol")</f>
        <v>Lol</v>
      </c>
      <c r="F2350" s="1"/>
      <c r="G2350" s="1" t="str">
        <f ca="1">IFERROR(__xludf.DUMMYFUNCTION("""COMPUTED_VALUE"""),"3 mos")</f>
        <v>3 mos</v>
      </c>
      <c r="H2350" s="1" t="str">
        <f ca="1">IFERROR(__xludf.DUMMYFUNCTION("""COMPUTED_VALUE"""),"reply")</f>
        <v>reply</v>
      </c>
      <c r="I2350" s="2" t="str">
        <f ca="1">IFERROR(__xludf.DUMMYFUNCTION("""COMPUTED_VALUE"""),"https://www.facebook.com/watch/live/?ref=watch_permalink&amp;v=923735834984653")</f>
        <v>https://www.facebook.com/watch/live/?ref=watch_permalink&amp;v=923735834984653</v>
      </c>
      <c r="J2350" s="1" t="str">
        <f ca="1">IFERROR(__xludf.DUMMYFUNCTION("""COMPUTED_VALUE"""),"2022-07-04T15:49:26.537Z")</f>
        <v>2022-07-04T15:49:26.537Z</v>
      </c>
    </row>
    <row r="2351" spans="1:10" x14ac:dyDescent="0.2">
      <c r="A2351" s="2" t="str">
        <f ca="1">IFERROR(__xludf.DUMMYFUNCTION("""COMPUTED_VALUE"""),"https://www.facebook.com/lhord.symphatico")</f>
        <v>https://www.facebook.com/lhord.symphatico</v>
      </c>
      <c r="B2351" s="1" t="str">
        <f ca="1">IFERROR(__xludf.DUMMYFUNCTION("""COMPUTED_VALUE"""),"Rommel Espayos Espenida")</f>
        <v>Rommel Espayos Espenida</v>
      </c>
      <c r="C2351" s="1" t="str">
        <f ca="1">IFERROR(__xludf.DUMMYFUNCTION("""COMPUTED_VALUE"""),"Rommel")</f>
        <v>Rommel</v>
      </c>
      <c r="D2351" s="1" t="str">
        <f ca="1">IFERROR(__xludf.DUMMYFUNCTION("""COMPUTED_VALUE"""),"Espayos Espenida")</f>
        <v>Espayos Espenida</v>
      </c>
      <c r="E2351" s="1" t="str">
        <f ca="1">IFERROR(__xludf.DUMMYFUNCTION("""COMPUTED_VALUE"""),"Delekado yan pagnanalo , ngayon pa lang kilalanin nyo ng maigi wag nyo ilagay ang buhay ng mga anak sa walang kakayahan . Kailangan alam ang totoong pagkakilanlan ng mga Pilipino biblical times pa.")</f>
        <v>Delekado yan pagnanalo , ngayon pa lang kilalanin nyo ng maigi wag nyo ilagay ang buhay ng mga anak sa walang kakayahan . Kailangan alam ang totoong pagkakilanlan ng mga Pilipino biblical times pa.</v>
      </c>
      <c r="F2351" s="1">
        <f ca="1">IFERROR(__xludf.DUMMYFUNCTION("""COMPUTED_VALUE"""),8)</f>
        <v>8</v>
      </c>
      <c r="G2351" s="1" t="str">
        <f ca="1">IFERROR(__xludf.DUMMYFUNCTION("""COMPUTED_VALUE"""),"3 mos")</f>
        <v>3 mos</v>
      </c>
      <c r="H2351" s="1" t="str">
        <f ca="1">IFERROR(__xludf.DUMMYFUNCTION("""COMPUTED_VALUE"""),"comment")</f>
        <v>comment</v>
      </c>
      <c r="I2351" s="2" t="str">
        <f ca="1">IFERROR(__xludf.DUMMYFUNCTION("""COMPUTED_VALUE"""),"https://www.facebook.com/watch/live/?ref=watch_permalink&amp;v=923735834984653")</f>
        <v>https://www.facebook.com/watch/live/?ref=watch_permalink&amp;v=923735834984653</v>
      </c>
      <c r="J2351" s="1" t="str">
        <f ca="1">IFERROR(__xludf.DUMMYFUNCTION("""COMPUTED_VALUE"""),"2022-07-04T15:49:26.537Z")</f>
        <v>2022-07-04T15:49:26.537Z</v>
      </c>
    </row>
    <row r="2352" spans="1:10" x14ac:dyDescent="0.2">
      <c r="A2352" s="2" t="str">
        <f ca="1">IFERROR(__xludf.DUMMYFUNCTION("""COMPUTED_VALUE"""),"https://www.facebook.com/soliviocheryl")</f>
        <v>https://www.facebook.com/soliviocheryl</v>
      </c>
      <c r="B2352" s="1" t="str">
        <f ca="1">IFERROR(__xludf.DUMMYFUNCTION("""COMPUTED_VALUE"""),"Chelay Solivio")</f>
        <v>Chelay Solivio</v>
      </c>
      <c r="C2352" s="1" t="str">
        <f ca="1">IFERROR(__xludf.DUMMYFUNCTION("""COMPUTED_VALUE"""),"Chelay")</f>
        <v>Chelay</v>
      </c>
      <c r="D2352" s="1" t="str">
        <f ca="1">IFERROR(__xludf.DUMMYFUNCTION("""COMPUTED_VALUE"""),"Solivio")</f>
        <v>Solivio</v>
      </c>
      <c r="E2352" s="1" t="str">
        <f ca="1">IFERROR(__xludf.DUMMYFUNCTION("""COMPUTED_VALUE"""),"Mas delikado kong ikaw")</f>
        <v>Mas delikado kong ikaw</v>
      </c>
      <c r="F2352" s="1">
        <f ca="1">IFERROR(__xludf.DUMMYFUNCTION("""COMPUTED_VALUE"""),3)</f>
        <v>3</v>
      </c>
      <c r="G2352" s="1" t="str">
        <f ca="1">IFERROR(__xludf.DUMMYFUNCTION("""COMPUTED_VALUE"""),"3 mos")</f>
        <v>3 mos</v>
      </c>
      <c r="H2352" s="1" t="str">
        <f ca="1">IFERROR(__xludf.DUMMYFUNCTION("""COMPUTED_VALUE"""),"reply")</f>
        <v>reply</v>
      </c>
      <c r="I2352" s="2" t="str">
        <f ca="1">IFERROR(__xludf.DUMMYFUNCTION("""COMPUTED_VALUE"""),"https://www.facebook.com/watch/live/?ref=watch_permalink&amp;v=923735834984653")</f>
        <v>https://www.facebook.com/watch/live/?ref=watch_permalink&amp;v=923735834984653</v>
      </c>
      <c r="J2352" s="1" t="str">
        <f ca="1">IFERROR(__xludf.DUMMYFUNCTION("""COMPUTED_VALUE"""),"2022-07-04T15:49:26.537Z")</f>
        <v>2022-07-04T15:49:26.537Z</v>
      </c>
    </row>
    <row r="2353" spans="1:10" x14ac:dyDescent="0.2">
      <c r="A2353" s="2" t="str">
        <f ca="1">IFERROR(__xludf.DUMMYFUNCTION("""COMPUTED_VALUE"""),"https://www.facebook.com/ceruma.rich")</f>
        <v>https://www.facebook.com/ceruma.rich</v>
      </c>
      <c r="B2353" s="1" t="str">
        <f ca="1">IFERROR(__xludf.DUMMYFUNCTION("""COMPUTED_VALUE"""),"Amurec Hcir")</f>
        <v>Amurec Hcir</v>
      </c>
      <c r="C2353" s="1" t="str">
        <f ca="1">IFERROR(__xludf.DUMMYFUNCTION("""COMPUTED_VALUE"""),"Amurec")</f>
        <v>Amurec</v>
      </c>
      <c r="D2353" s="1" t="str">
        <f ca="1">IFERROR(__xludf.DUMMYFUNCTION("""COMPUTED_VALUE"""),"Hcir")</f>
        <v>Hcir</v>
      </c>
      <c r="E2353" s="1" t="str">
        <f ca="1">IFERROR(__xludf.DUMMYFUNCTION("""COMPUTED_VALUE"""),"mas delikado pag c junyur,, at c lenlen 😂🤣  lutang at ngiwi,, naloko na🤣😂")</f>
        <v>mas delikado pag c junyur,, at c lenlen 😂🤣  lutang at ngiwi,, naloko na🤣😂</v>
      </c>
      <c r="F2353" s="1">
        <f ca="1">IFERROR(__xludf.DUMMYFUNCTION("""COMPUTED_VALUE"""),9)</f>
        <v>9</v>
      </c>
      <c r="G2353" s="1" t="str">
        <f ca="1">IFERROR(__xludf.DUMMYFUNCTION("""COMPUTED_VALUE"""),"3 mos")</f>
        <v>3 mos</v>
      </c>
      <c r="H2353" s="1" t="str">
        <f ca="1">IFERROR(__xludf.DUMMYFUNCTION("""COMPUTED_VALUE"""),"reply")</f>
        <v>reply</v>
      </c>
      <c r="I2353" s="2" t="str">
        <f ca="1">IFERROR(__xludf.DUMMYFUNCTION("""COMPUTED_VALUE"""),"https://www.facebook.com/watch/live/?ref=watch_permalink&amp;v=923735834984653")</f>
        <v>https://www.facebook.com/watch/live/?ref=watch_permalink&amp;v=923735834984653</v>
      </c>
      <c r="J2353" s="1" t="str">
        <f ca="1">IFERROR(__xludf.DUMMYFUNCTION("""COMPUTED_VALUE"""),"2022-07-04T15:49:26.537Z")</f>
        <v>2022-07-04T15:49:26.537Z</v>
      </c>
    </row>
    <row r="2354" spans="1:10" x14ac:dyDescent="0.2">
      <c r="A2354" s="2" t="str">
        <f ca="1">IFERROR(__xludf.DUMMYFUNCTION("""COMPUTED_VALUE"""),"https://www.facebook.com/lhord.symphatico")</f>
        <v>https://www.facebook.com/lhord.symphatico</v>
      </c>
      <c r="B2354" s="1" t="str">
        <f ca="1">IFERROR(__xludf.DUMMYFUNCTION("""COMPUTED_VALUE"""),"Rommel Espayos Espenida")</f>
        <v>Rommel Espayos Espenida</v>
      </c>
      <c r="C2354" s="1" t="str">
        <f ca="1">IFERROR(__xludf.DUMMYFUNCTION("""COMPUTED_VALUE"""),"Rommel")</f>
        <v>Rommel</v>
      </c>
      <c r="D2354" s="1" t="str">
        <f ca="1">IFERROR(__xludf.DUMMYFUNCTION("""COMPUTED_VALUE"""),"Espayos Espenida")</f>
        <v>Espayos Espenida</v>
      </c>
      <c r="E2354" s="1" t="str">
        <f ca="1">IFERROR(__xludf.DUMMYFUNCTION("""COMPUTED_VALUE"""),"Taga Tondo din ako at hindi ako tumatakbo,")</f>
        <v>Taga Tondo din ako at hindi ako tumatakbo,</v>
      </c>
      <c r="F2354" s="1"/>
      <c r="G2354" s="1" t="str">
        <f ca="1">IFERROR(__xludf.DUMMYFUNCTION("""COMPUTED_VALUE"""),"3 mos")</f>
        <v>3 mos</v>
      </c>
      <c r="H2354" s="1" t="str">
        <f ca="1">IFERROR(__xludf.DUMMYFUNCTION("""COMPUTED_VALUE"""),"reply")</f>
        <v>reply</v>
      </c>
      <c r="I2354" s="2" t="str">
        <f ca="1">IFERROR(__xludf.DUMMYFUNCTION("""COMPUTED_VALUE"""),"https://www.facebook.com/watch/live/?ref=watch_permalink&amp;v=923735834984653")</f>
        <v>https://www.facebook.com/watch/live/?ref=watch_permalink&amp;v=923735834984653</v>
      </c>
      <c r="J2354" s="1" t="str">
        <f ca="1">IFERROR(__xludf.DUMMYFUNCTION("""COMPUTED_VALUE"""),"2022-07-04T15:49:26.537Z")</f>
        <v>2022-07-04T15:49:26.537Z</v>
      </c>
    </row>
    <row r="2355" spans="1:10" x14ac:dyDescent="0.2">
      <c r="A2355" s="2" t="str">
        <f ca="1">IFERROR(__xludf.DUMMYFUNCTION("""COMPUTED_VALUE"""),"https://www.facebook.com/raymund.pasman.754")</f>
        <v>https://www.facebook.com/raymund.pasman.754</v>
      </c>
      <c r="B2355" s="1" t="str">
        <f ca="1">IFERROR(__xludf.DUMMYFUNCTION("""COMPUTED_VALUE"""),"Raymund Pasman")</f>
        <v>Raymund Pasman</v>
      </c>
      <c r="C2355" s="1" t="str">
        <f ca="1">IFERROR(__xludf.DUMMYFUNCTION("""COMPUTED_VALUE"""),"Raymund")</f>
        <v>Raymund</v>
      </c>
      <c r="D2355" s="1" t="str">
        <f ca="1">IFERROR(__xludf.DUMMYFUNCTION("""COMPUTED_VALUE"""),"Pasman")</f>
        <v>Pasman</v>
      </c>
      <c r="E2355" s="1" t="str">
        <f ca="1">IFERROR(__xludf.DUMMYFUNCTION("""COMPUTED_VALUE"""),"mas delikado kau...kasi wala kaung nagawa maski sa sarili  o sa pamilya nio kaya ka ganyan...")</f>
        <v>mas delikado kau...kasi wala kaung nagawa maski sa sarili  o sa pamilya nio kaya ka ganyan...</v>
      </c>
      <c r="F2355" s="1">
        <f ca="1">IFERROR(__xludf.DUMMYFUNCTION("""COMPUTED_VALUE"""),5)</f>
        <v>5</v>
      </c>
      <c r="G2355" s="1" t="str">
        <f ca="1">IFERROR(__xludf.DUMMYFUNCTION("""COMPUTED_VALUE"""),"3 mos")</f>
        <v>3 mos</v>
      </c>
      <c r="H2355" s="1" t="str">
        <f ca="1">IFERROR(__xludf.DUMMYFUNCTION("""COMPUTED_VALUE"""),"reply")</f>
        <v>reply</v>
      </c>
      <c r="I2355" s="2" t="str">
        <f ca="1">IFERROR(__xludf.DUMMYFUNCTION("""COMPUTED_VALUE"""),"https://www.facebook.com/watch/live/?ref=watch_permalink&amp;v=923735834984653")</f>
        <v>https://www.facebook.com/watch/live/?ref=watch_permalink&amp;v=923735834984653</v>
      </c>
      <c r="J2355" s="1" t="str">
        <f ca="1">IFERROR(__xludf.DUMMYFUNCTION("""COMPUTED_VALUE"""),"2022-07-04T15:49:26.537Z")</f>
        <v>2022-07-04T15:49:26.537Z</v>
      </c>
    </row>
    <row r="2356" spans="1:10" x14ac:dyDescent="0.2">
      <c r="A2356" s="2" t="str">
        <f ca="1">IFERROR(__xludf.DUMMYFUNCTION("""COMPUTED_VALUE"""),"https://www.facebook.com/lhord.symphatico")</f>
        <v>https://www.facebook.com/lhord.symphatico</v>
      </c>
      <c r="B2356" s="1" t="str">
        <f ca="1">IFERROR(__xludf.DUMMYFUNCTION("""COMPUTED_VALUE"""),"Rommel Espayos Espenida")</f>
        <v>Rommel Espayos Espenida</v>
      </c>
      <c r="C2356" s="1" t="str">
        <f ca="1">IFERROR(__xludf.DUMMYFUNCTION("""COMPUTED_VALUE"""),"Rommel")</f>
        <v>Rommel</v>
      </c>
      <c r="D2356" s="1" t="str">
        <f ca="1">IFERROR(__xludf.DUMMYFUNCTION("""COMPUTED_VALUE"""),"Espayos Espenida")</f>
        <v>Espayos Espenida</v>
      </c>
      <c r="E2356" s="1" t="str">
        <f ca="1">IFERROR(__xludf.DUMMYFUNCTION("""COMPUTED_VALUE"""),"Alam nyo , ang alam nyo ay alam ko din pero ang alam ko hindi nyo alam. Basta importante ang maging Presidente ay may kakayahan mabawi at mabayaran ang mga utang ng ibang mga bansa . May alam sa ekonomiya at relasyon ng mga salinlahi ng mga Hebreo noon pa"&amp;" at maibalik ang totoong pagkakilanlan ng bansa ayon sa totoong pangalan bago dumating dito ang mga mananakop na nagdala ng pananampalatayang pumapatay sa ating mga ninuno. The more you look deeper from the past, the more you understand the future. "" ang"&amp;" kabataan ang pag asa ng bayan "" ayon kay Dr. Jose Rizal")</f>
        <v>Alam nyo , ang alam nyo ay alam ko din pero ang alam ko hindi nyo alam. Basta importante ang maging Presidente ay may kakayahan mabawi at mabayaran ang mga utang ng ibang mga bansa . May alam sa ekonomiya at relasyon ng mga salinlahi ng mga Hebreo noon pa at maibalik ang totoong pagkakilanlan ng bansa ayon sa totoong pangalan bago dumating dito ang mga mananakop na nagdala ng pananampalatayang pumapatay sa ating mga ninuno. The more you look deeper from the past, the more you understand the future. " ang kabataan ang pag asa ng bayan " ayon kay Dr. Jose Rizal</v>
      </c>
      <c r="F2356" s="1">
        <f ca="1">IFERROR(__xludf.DUMMYFUNCTION("""COMPUTED_VALUE"""),3)</f>
        <v>3</v>
      </c>
      <c r="G2356" s="1" t="str">
        <f ca="1">IFERROR(__xludf.DUMMYFUNCTION("""COMPUTED_VALUE"""),"3 mos")</f>
        <v>3 mos</v>
      </c>
      <c r="H2356" s="1" t="str">
        <f ca="1">IFERROR(__xludf.DUMMYFUNCTION("""COMPUTED_VALUE"""),"reply")</f>
        <v>reply</v>
      </c>
      <c r="I2356" s="2" t="str">
        <f ca="1">IFERROR(__xludf.DUMMYFUNCTION("""COMPUTED_VALUE"""),"https://www.facebook.com/watch/live/?ref=watch_permalink&amp;v=923735834984653")</f>
        <v>https://www.facebook.com/watch/live/?ref=watch_permalink&amp;v=923735834984653</v>
      </c>
      <c r="J2356" s="1" t="str">
        <f ca="1">IFERROR(__xludf.DUMMYFUNCTION("""COMPUTED_VALUE"""),"2022-07-04T15:49:26.537Z")</f>
        <v>2022-07-04T15:49:26.537Z</v>
      </c>
    </row>
    <row r="2357" spans="1:10" x14ac:dyDescent="0.2">
      <c r="A2357" s="2" t="str">
        <f ca="1">IFERROR(__xludf.DUMMYFUNCTION("""COMPUTED_VALUE"""),"https://www.facebook.com/maryjean.solison.5")</f>
        <v>https://www.facebook.com/maryjean.solison.5</v>
      </c>
      <c r="B2357" s="1" t="str">
        <f ca="1">IFERROR(__xludf.DUMMYFUNCTION("""COMPUTED_VALUE"""),"Mary Jean Villanueva")</f>
        <v>Mary Jean Villanueva</v>
      </c>
      <c r="C2357" s="1" t="str">
        <f ca="1">IFERROR(__xludf.DUMMYFUNCTION("""COMPUTED_VALUE"""),"Mary")</f>
        <v>Mary</v>
      </c>
      <c r="D2357" s="1" t="str">
        <f ca="1">IFERROR(__xludf.DUMMYFUNCTION("""COMPUTED_VALUE"""),"Jean Villanueva")</f>
        <v>Jean Villanueva</v>
      </c>
      <c r="E2357" s="1" t="str">
        <f ca="1">IFERROR(__xludf.DUMMYFUNCTION("""COMPUTED_VALUE"""),"Sino sa alm mo may kakayahan yung spolied brat at pekeng diploma o yung pa cute nga lutang nman nga hindi")</f>
        <v>Sino sa alm mo may kakayahan yung spolied brat at pekeng diploma o yung pa cute nga lutang nman nga hindi</v>
      </c>
      <c r="F2357" s="1"/>
      <c r="G2357" s="1" t="str">
        <f ca="1">IFERROR(__xludf.DUMMYFUNCTION("""COMPUTED_VALUE"""),"3 mos")</f>
        <v>3 mos</v>
      </c>
      <c r="H2357" s="1" t="str">
        <f ca="1">IFERROR(__xludf.DUMMYFUNCTION("""COMPUTED_VALUE"""),"reply")</f>
        <v>reply</v>
      </c>
      <c r="I2357" s="2" t="str">
        <f ca="1">IFERROR(__xludf.DUMMYFUNCTION("""COMPUTED_VALUE"""),"https://www.facebook.com/watch/live/?ref=watch_permalink&amp;v=923735834984653")</f>
        <v>https://www.facebook.com/watch/live/?ref=watch_permalink&amp;v=923735834984653</v>
      </c>
      <c r="J2357" s="1" t="str">
        <f ca="1">IFERROR(__xludf.DUMMYFUNCTION("""COMPUTED_VALUE"""),"2022-07-04T15:49:26.537Z")</f>
        <v>2022-07-04T15:49:26.537Z</v>
      </c>
    </row>
    <row r="2358" spans="1:10" x14ac:dyDescent="0.2">
      <c r="A2358" s="2" t="str">
        <f ca="1">IFERROR(__xludf.DUMMYFUNCTION("""COMPUTED_VALUE"""),"https://www.facebook.com/marie.diot1")</f>
        <v>https://www.facebook.com/marie.diot1</v>
      </c>
      <c r="B2358" s="1" t="str">
        <f ca="1">IFERROR(__xludf.DUMMYFUNCTION("""COMPUTED_VALUE"""),"Marie Sischo")</f>
        <v>Marie Sischo</v>
      </c>
      <c r="C2358" s="1" t="str">
        <f ca="1">IFERROR(__xludf.DUMMYFUNCTION("""COMPUTED_VALUE"""),"Marie")</f>
        <v>Marie</v>
      </c>
      <c r="D2358" s="1" t="str">
        <f ca="1">IFERROR(__xludf.DUMMYFUNCTION("""COMPUTED_VALUE"""),"Sischo")</f>
        <v>Sischo</v>
      </c>
      <c r="E2358" s="1" t="str">
        <f ca="1">IFERROR(__xludf.DUMMYFUNCTION("""COMPUTED_VALUE"""),"Chelay Arellano Solivio 😂😂😂")</f>
        <v>Chelay Arellano Solivio 😂😂😂</v>
      </c>
      <c r="F2358" s="1"/>
      <c r="G2358" s="1" t="str">
        <f ca="1">IFERROR(__xludf.DUMMYFUNCTION("""COMPUTED_VALUE"""),"3 mos")</f>
        <v>3 mos</v>
      </c>
      <c r="H2358" s="1" t="str">
        <f ca="1">IFERROR(__xludf.DUMMYFUNCTION("""COMPUTED_VALUE"""),"reply")</f>
        <v>reply</v>
      </c>
      <c r="I2358" s="2" t="str">
        <f ca="1">IFERROR(__xludf.DUMMYFUNCTION("""COMPUTED_VALUE"""),"https://www.facebook.com/watch/live/?ref=watch_permalink&amp;v=923735834984653")</f>
        <v>https://www.facebook.com/watch/live/?ref=watch_permalink&amp;v=923735834984653</v>
      </c>
      <c r="J2358" s="1" t="str">
        <f ca="1">IFERROR(__xludf.DUMMYFUNCTION("""COMPUTED_VALUE"""),"2022-07-04T15:49:26.537Z")</f>
        <v>2022-07-04T15:49:26.537Z</v>
      </c>
    </row>
    <row r="2359" spans="1:10" x14ac:dyDescent="0.2">
      <c r="A2359" s="2" t="str">
        <f ca="1">IFERROR(__xludf.DUMMYFUNCTION("""COMPUTED_VALUE"""),"https://www.facebook.com/vergie.bustamante.7")</f>
        <v>https://www.facebook.com/vergie.bustamante.7</v>
      </c>
      <c r="B2359" s="1" t="str">
        <f ca="1">IFERROR(__xludf.DUMMYFUNCTION("""COMPUTED_VALUE"""),"Vergie Bustamante")</f>
        <v>Vergie Bustamante</v>
      </c>
      <c r="C2359" s="1" t="str">
        <f ca="1">IFERROR(__xludf.DUMMYFUNCTION("""COMPUTED_VALUE"""),"Vergie")</f>
        <v>Vergie</v>
      </c>
      <c r="D2359" s="1" t="str">
        <f ca="1">IFERROR(__xludf.DUMMYFUNCTION("""COMPUTED_VALUE"""),"Bustamante")</f>
        <v>Bustamante</v>
      </c>
      <c r="E2359" s="1" t="str">
        <f ca="1">IFERROR(__xludf.DUMMYFUNCTION("""COMPUTED_VALUE"""),"Kawawa  kanman  mg hanap knlang ng bagong ininigisyo mo dhil bka dyn maubos ang perang pinag paguran mo. Iniwan mo ang mynila iiwan karin nila tga mynila tandaan mo .")</f>
        <v>Kawawa  kanman  mg hanap knlang ng bagong ininigisyo mo dhil bka dyn maubos ang perang pinag paguran mo. Iniwan mo ang mynila iiwan karin nila tga mynila tandaan mo .</v>
      </c>
      <c r="F2359" s="1">
        <f ca="1">IFERROR(__xludf.DUMMYFUNCTION("""COMPUTED_VALUE"""),3)</f>
        <v>3</v>
      </c>
      <c r="G2359" s="1" t="str">
        <f ca="1">IFERROR(__xludf.DUMMYFUNCTION("""COMPUTED_VALUE"""),"3 mos")</f>
        <v>3 mos</v>
      </c>
      <c r="H2359" s="1" t="str">
        <f ca="1">IFERROR(__xludf.DUMMYFUNCTION("""COMPUTED_VALUE"""),"comment")</f>
        <v>comment</v>
      </c>
      <c r="I2359" s="2" t="str">
        <f ca="1">IFERROR(__xludf.DUMMYFUNCTION("""COMPUTED_VALUE"""),"https://www.facebook.com/watch/live/?ref=watch_permalink&amp;v=923735834984653")</f>
        <v>https://www.facebook.com/watch/live/?ref=watch_permalink&amp;v=923735834984653</v>
      </c>
      <c r="J2359" s="1" t="str">
        <f ca="1">IFERROR(__xludf.DUMMYFUNCTION("""COMPUTED_VALUE"""),"2022-07-04T15:49:26.537Z")</f>
        <v>2022-07-04T15:49:26.537Z</v>
      </c>
    </row>
    <row r="2360" spans="1:10" x14ac:dyDescent="0.2">
      <c r="A2360" s="2" t="str">
        <f ca="1">IFERROR(__xludf.DUMMYFUNCTION("""COMPUTED_VALUE"""),"https://www.facebook.com/profile.php?id=100068675928336")</f>
        <v>https://www.facebook.com/profile.php?id=100068675928336</v>
      </c>
      <c r="B2360" s="1" t="str">
        <f ca="1">IFERROR(__xludf.DUMMYFUNCTION("""COMPUTED_VALUE"""),"Isko Tayo")</f>
        <v>Isko Tayo</v>
      </c>
      <c r="C2360" s="1" t="str">
        <f ca="1">IFERROR(__xludf.DUMMYFUNCTION("""COMPUTED_VALUE"""),"Isko")</f>
        <v>Isko</v>
      </c>
      <c r="D2360" s="1" t="str">
        <f ca="1">IFERROR(__xludf.DUMMYFUNCTION("""COMPUTED_VALUE"""),"Tayo")</f>
        <v>Tayo</v>
      </c>
      <c r="E2360" s="1" t="str">
        <f ca="1">IFERROR(__xludf.DUMMYFUNCTION("""COMPUTED_VALUE"""),"Vergie Bustamante kawawa ka naman haha")</f>
        <v>Vergie Bustamante kawawa ka naman haha</v>
      </c>
      <c r="F2360" s="1"/>
      <c r="G2360" s="1" t="str">
        <f ca="1">IFERROR(__xludf.DUMMYFUNCTION("""COMPUTED_VALUE"""),"3 mos")</f>
        <v>3 mos</v>
      </c>
      <c r="H2360" s="1" t="str">
        <f ca="1">IFERROR(__xludf.DUMMYFUNCTION("""COMPUTED_VALUE"""),"reply")</f>
        <v>reply</v>
      </c>
      <c r="I2360" s="2" t="str">
        <f ca="1">IFERROR(__xludf.DUMMYFUNCTION("""COMPUTED_VALUE"""),"https://www.facebook.com/watch/live/?ref=watch_permalink&amp;v=923735834984653")</f>
        <v>https://www.facebook.com/watch/live/?ref=watch_permalink&amp;v=923735834984653</v>
      </c>
      <c r="J2360" s="1" t="str">
        <f ca="1">IFERROR(__xludf.DUMMYFUNCTION("""COMPUTED_VALUE"""),"2022-07-04T15:49:26.537Z")</f>
        <v>2022-07-04T15:49:26.537Z</v>
      </c>
    </row>
    <row r="2361" spans="1:10" x14ac:dyDescent="0.2">
      <c r="A2361" s="2" t="str">
        <f ca="1">IFERROR(__xludf.DUMMYFUNCTION("""COMPUTED_VALUE"""),"https://www.facebook.com/julia.evangelista.18488")</f>
        <v>https://www.facebook.com/julia.evangelista.18488</v>
      </c>
      <c r="B2361" s="1" t="str">
        <f ca="1">IFERROR(__xludf.DUMMYFUNCTION("""COMPUTED_VALUE"""),"Julia Evangelista")</f>
        <v>Julia Evangelista</v>
      </c>
      <c r="C2361" s="1" t="str">
        <f ca="1">IFERROR(__xludf.DUMMYFUNCTION("""COMPUTED_VALUE"""),"Julia")</f>
        <v>Julia</v>
      </c>
      <c r="D2361" s="1" t="str">
        <f ca="1">IFERROR(__xludf.DUMMYFUNCTION("""COMPUTED_VALUE"""),"Evangelista")</f>
        <v>Evangelista</v>
      </c>
      <c r="E2361" s="1" t="str">
        <f ca="1">IFERROR(__xludf.DUMMYFUNCTION("""COMPUTED_VALUE"""),"Sakuragi Al Hadz Exactly ☝🏻💙")</f>
        <v>Sakuragi Al Hadz Exactly ☝🏻💙</v>
      </c>
      <c r="F2361" s="1"/>
      <c r="G2361" s="1" t="str">
        <f ca="1">IFERROR(__xludf.DUMMYFUNCTION("""COMPUTED_VALUE"""),"3 mos")</f>
        <v>3 mos</v>
      </c>
      <c r="H2361" s="1" t="str">
        <f ca="1">IFERROR(__xludf.DUMMYFUNCTION("""COMPUTED_VALUE"""),"reply")</f>
        <v>reply</v>
      </c>
      <c r="I2361" s="2" t="str">
        <f ca="1">IFERROR(__xludf.DUMMYFUNCTION("""COMPUTED_VALUE"""),"https://www.facebook.com/watch/live/?ref=watch_permalink&amp;v=923735834984653")</f>
        <v>https://www.facebook.com/watch/live/?ref=watch_permalink&amp;v=923735834984653</v>
      </c>
      <c r="J2361" s="1" t="str">
        <f ca="1">IFERROR(__xludf.DUMMYFUNCTION("""COMPUTED_VALUE"""),"2022-07-04T15:49:26.537Z")</f>
        <v>2022-07-04T15:49:26.537Z</v>
      </c>
    </row>
    <row r="2362" spans="1:10" x14ac:dyDescent="0.2">
      <c r="A2362" s="2" t="str">
        <f ca="1">IFERROR(__xludf.DUMMYFUNCTION("""COMPUTED_VALUE"""),"https://www.facebook.com/ester.lualhati19")</f>
        <v>https://www.facebook.com/ester.lualhati19</v>
      </c>
      <c r="B2362" s="1" t="str">
        <f ca="1">IFERROR(__xludf.DUMMYFUNCTION("""COMPUTED_VALUE"""),"Ester Lualhati")</f>
        <v>Ester Lualhati</v>
      </c>
      <c r="C2362" s="1" t="str">
        <f ca="1">IFERROR(__xludf.DUMMYFUNCTION("""COMPUTED_VALUE"""),"Ester")</f>
        <v>Ester</v>
      </c>
      <c r="D2362" s="1" t="str">
        <f ca="1">IFERROR(__xludf.DUMMYFUNCTION("""COMPUTED_VALUE"""),"Lualhati")</f>
        <v>Lualhati</v>
      </c>
      <c r="E2362" s="1" t="str">
        <f ca="1">IFERROR(__xludf.DUMMYFUNCTION("""COMPUTED_VALUE"""),"DUON TAYO SA MAY MAGAGAWA MAY GINAGAWA AT MAY GAGAWIN. PA..IKAW NA..ISKO SA GOBYERNO..MAKADYOS MAKATAO..MAY PUSO AT MAY PANININDIGAN..GOD BLESS ALL..")</f>
        <v>DUON TAYO SA MAY MAGAGAWA MAY GINAGAWA AT MAY GAGAWIN. PA..IKAW NA..ISKO SA GOBYERNO..MAKADYOS MAKATAO..MAY PUSO AT MAY PANININDIGAN..GOD BLESS ALL..</v>
      </c>
      <c r="F2362" s="1">
        <f ca="1">IFERROR(__xludf.DUMMYFUNCTION("""COMPUTED_VALUE"""),2)</f>
        <v>2</v>
      </c>
      <c r="G2362" s="1" t="str">
        <f ca="1">IFERROR(__xludf.DUMMYFUNCTION("""COMPUTED_VALUE"""),"3 mos")</f>
        <v>3 mos</v>
      </c>
      <c r="H2362" s="1" t="str">
        <f ca="1">IFERROR(__xludf.DUMMYFUNCTION("""COMPUTED_VALUE"""),"comment")</f>
        <v>comment</v>
      </c>
      <c r="I2362" s="2" t="str">
        <f ca="1">IFERROR(__xludf.DUMMYFUNCTION("""COMPUTED_VALUE"""),"https://www.facebook.com/watch/live/?ref=watch_permalink&amp;v=923735834984653")</f>
        <v>https://www.facebook.com/watch/live/?ref=watch_permalink&amp;v=923735834984653</v>
      </c>
      <c r="J2362" s="1" t="str">
        <f ca="1">IFERROR(__xludf.DUMMYFUNCTION("""COMPUTED_VALUE"""),"2022-07-04T15:49:26.537Z")</f>
        <v>2022-07-04T15:49:26.537Z</v>
      </c>
    </row>
    <row r="2363" spans="1:10" x14ac:dyDescent="0.2">
      <c r="A2363" s="2" t="str">
        <f ca="1">IFERROR(__xludf.DUMMYFUNCTION("""COMPUTED_VALUE"""),"https://www.facebook.com/jaime.gacusan.12")</f>
        <v>https://www.facebook.com/jaime.gacusan.12</v>
      </c>
      <c r="B2363" s="1" t="str">
        <f ca="1">IFERROR(__xludf.DUMMYFUNCTION("""COMPUTED_VALUE"""),"Jaime Bustamante Gacusan")</f>
        <v>Jaime Bustamante Gacusan</v>
      </c>
      <c r="C2363" s="1" t="str">
        <f ca="1">IFERROR(__xludf.DUMMYFUNCTION("""COMPUTED_VALUE"""),"Jaime")</f>
        <v>Jaime</v>
      </c>
      <c r="D2363" s="1" t="str">
        <f ca="1">IFERROR(__xludf.DUMMYFUNCTION("""COMPUTED_VALUE"""),"Bustamante Gacusan")</f>
        <v>Bustamante Gacusan</v>
      </c>
      <c r="E2363" s="1" t="str">
        <f ca="1">IFERROR(__xludf.DUMMYFUNCTION("""COMPUTED_VALUE"""),"Paligoy ligoy kpa tolongges. Siraan agad ang kalaban at buhatin agad ang bangko at magpakahero at mangbuladas agad🤣🤣🤣")</f>
        <v>Paligoy ligoy kpa tolongges. Siraan agad ang kalaban at buhatin agad ang bangko at magpakahero at mangbuladas agad🤣🤣🤣</v>
      </c>
      <c r="F2363" s="1">
        <f ca="1">IFERROR(__xludf.DUMMYFUNCTION("""COMPUTED_VALUE"""),1)</f>
        <v>1</v>
      </c>
      <c r="G2363" s="1" t="str">
        <f ca="1">IFERROR(__xludf.DUMMYFUNCTION("""COMPUTED_VALUE"""),"3 mos")</f>
        <v>3 mos</v>
      </c>
      <c r="H2363" s="1" t="str">
        <f ca="1">IFERROR(__xludf.DUMMYFUNCTION("""COMPUTED_VALUE"""),"comment")</f>
        <v>comment</v>
      </c>
      <c r="I2363" s="2" t="str">
        <f ca="1">IFERROR(__xludf.DUMMYFUNCTION("""COMPUTED_VALUE"""),"https://www.facebook.com/watch/live/?ref=watch_permalink&amp;v=923735834984653")</f>
        <v>https://www.facebook.com/watch/live/?ref=watch_permalink&amp;v=923735834984653</v>
      </c>
      <c r="J2363" s="1" t="str">
        <f ca="1">IFERROR(__xludf.DUMMYFUNCTION("""COMPUTED_VALUE"""),"2022-07-04T15:49:26.538Z")</f>
        <v>2022-07-04T15:49:26.538Z</v>
      </c>
    </row>
    <row r="2364" spans="1:10" x14ac:dyDescent="0.2">
      <c r="A2364" s="2" t="str">
        <f ca="1">IFERROR(__xludf.DUMMYFUNCTION("""COMPUTED_VALUE"""),"https://www.facebook.com/zenaida.pineda.75054")</f>
        <v>https://www.facebook.com/zenaida.pineda.75054</v>
      </c>
      <c r="B2364" s="1" t="str">
        <f ca="1">IFERROR(__xludf.DUMMYFUNCTION("""COMPUTED_VALUE"""),"Zenaida Sanchez")</f>
        <v>Zenaida Sanchez</v>
      </c>
      <c r="C2364" s="1" t="str">
        <f ca="1">IFERROR(__xludf.DUMMYFUNCTION("""COMPUTED_VALUE"""),"Zenaida")</f>
        <v>Zenaida</v>
      </c>
      <c r="D2364" s="1" t="str">
        <f ca="1">IFERROR(__xludf.DUMMYFUNCTION("""COMPUTED_VALUE"""),"Sanchez")</f>
        <v>Sanchez</v>
      </c>
      <c r="E2364" s="1" t="str">
        <f ca="1">IFERROR(__xludf.DUMMYFUNCTION("""COMPUTED_VALUE"""),"Jaime Bustamante Gacusan ang tao dw ayaw sa isang tao marami alam sbhn kung ayaw mo c isko tahi.mik knlng iboto mo ang gusto mo para dka mgkamali")</f>
        <v>Jaime Bustamante Gacusan ang tao dw ayaw sa isang tao marami alam sbhn kung ayaw mo c isko tahi.mik knlng iboto mo ang gusto mo para dka mgkamali</v>
      </c>
      <c r="F2364" s="1"/>
      <c r="G2364" s="1" t="str">
        <f ca="1">IFERROR(__xludf.DUMMYFUNCTION("""COMPUTED_VALUE"""),"3 mos")</f>
        <v>3 mos</v>
      </c>
      <c r="H2364" s="1" t="str">
        <f ca="1">IFERROR(__xludf.DUMMYFUNCTION("""COMPUTED_VALUE"""),"reply")</f>
        <v>reply</v>
      </c>
      <c r="I2364" s="2" t="str">
        <f ca="1">IFERROR(__xludf.DUMMYFUNCTION("""COMPUTED_VALUE"""),"https://www.facebook.com/watch/live/?ref=watch_permalink&amp;v=923735834984653")</f>
        <v>https://www.facebook.com/watch/live/?ref=watch_permalink&amp;v=923735834984653</v>
      </c>
      <c r="J2364" s="1" t="str">
        <f ca="1">IFERROR(__xludf.DUMMYFUNCTION("""COMPUTED_VALUE"""),"2022-07-04T15:49:26.538Z")</f>
        <v>2022-07-04T15:49:26.538Z</v>
      </c>
    </row>
    <row r="2365" spans="1:10" x14ac:dyDescent="0.2">
      <c r="A2365" s="2" t="str">
        <f ca="1">IFERROR(__xludf.DUMMYFUNCTION("""COMPUTED_VALUE"""),"https://www.facebook.com/jaime.gacusan.12")</f>
        <v>https://www.facebook.com/jaime.gacusan.12</v>
      </c>
      <c r="B2365" s="1" t="str">
        <f ca="1">IFERROR(__xludf.DUMMYFUNCTION("""COMPUTED_VALUE"""),"Jaime Bustamante Gacusan")</f>
        <v>Jaime Bustamante Gacusan</v>
      </c>
      <c r="C2365" s="1" t="str">
        <f ca="1">IFERROR(__xludf.DUMMYFUNCTION("""COMPUTED_VALUE"""),"Jaime")</f>
        <v>Jaime</v>
      </c>
      <c r="D2365" s="1" t="str">
        <f ca="1">IFERROR(__xludf.DUMMYFUNCTION("""COMPUTED_VALUE"""),"Bustamante Gacusan")</f>
        <v>Bustamante Gacusan</v>
      </c>
      <c r="E2365" s="1" t="str">
        <f ca="1">IFERROR(__xludf.DUMMYFUNCTION("""COMPUTED_VALUE"""),"Zenaida Sanchez realtalk po yun maam😉🙂")</f>
        <v>Zenaida Sanchez realtalk po yun maam😉🙂</v>
      </c>
      <c r="F2365" s="1"/>
      <c r="G2365" s="1" t="str">
        <f ca="1">IFERROR(__xludf.DUMMYFUNCTION("""COMPUTED_VALUE"""),"3 mos")</f>
        <v>3 mos</v>
      </c>
      <c r="H2365" s="1" t="str">
        <f ca="1">IFERROR(__xludf.DUMMYFUNCTION("""COMPUTED_VALUE"""),"reply")</f>
        <v>reply</v>
      </c>
      <c r="I2365" s="2" t="str">
        <f ca="1">IFERROR(__xludf.DUMMYFUNCTION("""COMPUTED_VALUE"""),"https://www.facebook.com/watch/live/?ref=watch_permalink&amp;v=923735834984653")</f>
        <v>https://www.facebook.com/watch/live/?ref=watch_permalink&amp;v=923735834984653</v>
      </c>
      <c r="J2365" s="1" t="str">
        <f ca="1">IFERROR(__xludf.DUMMYFUNCTION("""COMPUTED_VALUE"""),"2022-07-04T15:49:26.538Z")</f>
        <v>2022-07-04T15:49:26.538Z</v>
      </c>
    </row>
    <row r="2366" spans="1:10" x14ac:dyDescent="0.2">
      <c r="A2366" s="2" t="str">
        <f ca="1">IFERROR(__xludf.DUMMYFUNCTION("""COMPUTED_VALUE"""),"https://www.facebook.com/noemi.macabasco")</f>
        <v>https://www.facebook.com/noemi.macabasco</v>
      </c>
      <c r="B2366" s="1" t="str">
        <f ca="1">IFERROR(__xludf.DUMMYFUNCTION("""COMPUTED_VALUE"""),"Noemi U. Macabasco")</f>
        <v>Noemi U. Macabasco</v>
      </c>
      <c r="C2366" s="1" t="str">
        <f ca="1">IFERROR(__xludf.DUMMYFUNCTION("""COMPUTED_VALUE"""),"Noemi")</f>
        <v>Noemi</v>
      </c>
      <c r="D2366" s="1" t="str">
        <f ca="1">IFERROR(__xludf.DUMMYFUNCTION("""COMPUTED_VALUE"""),"U. Macabasco")</f>
        <v>U. Macabasco</v>
      </c>
      <c r="E2366" s="1" t="str">
        <f ca="1">IFERROR(__xludf.DUMMYFUNCTION("""COMPUTED_VALUE"""),"YORME &amp; TEAM…LABANNNNNNN!!! Wag susuko…Basta Ikaw ang aming presidente…manalo/matalo!!!…Iba ka sa lahat…GOD FIRST☝️💙☝️💙☝️💙☝️💙")</f>
        <v>YORME &amp; TEAM…LABANNNNNNN!!! Wag susuko…Basta Ikaw ang aming presidente…manalo/matalo!!!…Iba ka sa lahat…GOD FIRST☝️💙☝️💙☝️💙☝️💙</v>
      </c>
      <c r="F2366" s="1">
        <f ca="1">IFERROR(__xludf.DUMMYFUNCTION("""COMPUTED_VALUE"""),1)</f>
        <v>1</v>
      </c>
      <c r="G2366" s="1" t="str">
        <f ca="1">IFERROR(__xludf.DUMMYFUNCTION("""COMPUTED_VALUE"""),"3 mos")</f>
        <v>3 mos</v>
      </c>
      <c r="H2366" s="1" t="str">
        <f ca="1">IFERROR(__xludf.DUMMYFUNCTION("""COMPUTED_VALUE"""),"comment")</f>
        <v>comment</v>
      </c>
      <c r="I2366" s="2" t="str">
        <f ca="1">IFERROR(__xludf.DUMMYFUNCTION("""COMPUTED_VALUE"""),"https://www.facebook.com/watch/live/?ref=watch_permalink&amp;v=923735834984653")</f>
        <v>https://www.facebook.com/watch/live/?ref=watch_permalink&amp;v=923735834984653</v>
      </c>
      <c r="J2366" s="1" t="str">
        <f ca="1">IFERROR(__xludf.DUMMYFUNCTION("""COMPUTED_VALUE"""),"2022-07-04T15:49:26.538Z")</f>
        <v>2022-07-04T15:49:26.538Z</v>
      </c>
    </row>
    <row r="2367" spans="1:10" x14ac:dyDescent="0.2">
      <c r="A2367" s="2" t="str">
        <f ca="1">IFERROR(__xludf.DUMMYFUNCTION("""COMPUTED_VALUE"""),"https://www.facebook.com/profile.php?id=100074773967745")</f>
        <v>https://www.facebook.com/profile.php?id=100074773967745</v>
      </c>
      <c r="B2367" s="1" t="str">
        <f ca="1">IFERROR(__xludf.DUMMYFUNCTION("""COMPUTED_VALUE"""),"Ompong Bersaba")</f>
        <v>Ompong Bersaba</v>
      </c>
      <c r="C2367" s="1" t="str">
        <f ca="1">IFERROR(__xludf.DUMMYFUNCTION("""COMPUTED_VALUE"""),"Ompong")</f>
        <v>Ompong</v>
      </c>
      <c r="D2367" s="1" t="str">
        <f ca="1">IFERROR(__xludf.DUMMYFUNCTION("""COMPUTED_VALUE"""),"Bersaba")</f>
        <v>Bersaba</v>
      </c>
      <c r="E2367" s="1" t="str">
        <f ca="1">IFERROR(__xludf.DUMMYFUNCTION("""COMPUTED_VALUE"""),"Yes na yes for YORME ISKO The best and most qualified to be our next president.")</f>
        <v>Yes na yes for YORME ISKO The best and most qualified to be our next president.</v>
      </c>
      <c r="F2367" s="1">
        <f ca="1">IFERROR(__xludf.DUMMYFUNCTION("""COMPUTED_VALUE"""),2)</f>
        <v>2</v>
      </c>
      <c r="G2367" s="1" t="str">
        <f ca="1">IFERROR(__xludf.DUMMYFUNCTION("""COMPUTED_VALUE"""),"3 mos")</f>
        <v>3 mos</v>
      </c>
      <c r="H2367" s="1" t="str">
        <f ca="1">IFERROR(__xludf.DUMMYFUNCTION("""COMPUTED_VALUE"""),"comment")</f>
        <v>comment</v>
      </c>
      <c r="I2367" s="2" t="str">
        <f ca="1">IFERROR(__xludf.DUMMYFUNCTION("""COMPUTED_VALUE"""),"https://www.facebook.com/watch/live/?ref=watch_permalink&amp;v=923735834984653")</f>
        <v>https://www.facebook.com/watch/live/?ref=watch_permalink&amp;v=923735834984653</v>
      </c>
      <c r="J2367" s="1" t="str">
        <f ca="1">IFERROR(__xludf.DUMMYFUNCTION("""COMPUTED_VALUE"""),"2022-07-04T15:49:26.538Z")</f>
        <v>2022-07-04T15:49:26.538Z</v>
      </c>
    </row>
    <row r="2368" spans="1:10" x14ac:dyDescent="0.2">
      <c r="A2368" s="2" t="str">
        <f ca="1">IFERROR(__xludf.DUMMYFUNCTION("""COMPUTED_VALUE"""),"https://www.facebook.com/lucita.apellido")</f>
        <v>https://www.facebook.com/lucita.apellido</v>
      </c>
      <c r="B2368" s="1" t="str">
        <f ca="1">IFERROR(__xludf.DUMMYFUNCTION("""COMPUTED_VALUE"""),"Lucita Apellido")</f>
        <v>Lucita Apellido</v>
      </c>
      <c r="C2368" s="1" t="str">
        <f ca="1">IFERROR(__xludf.DUMMYFUNCTION("""COMPUTED_VALUE"""),"Lucita")</f>
        <v>Lucita</v>
      </c>
      <c r="D2368" s="1" t="str">
        <f ca="1">IFERROR(__xludf.DUMMYFUNCTION("""COMPUTED_VALUE"""),"Apellido")</f>
        <v>Apellido</v>
      </c>
      <c r="E2368" s="1" t="str">
        <f ca="1">IFERROR(__xludf.DUMMYFUNCTION("""COMPUTED_VALUE"""),"Good luck talaga SA MGA taga manila dahil unti unti Ng umounland ang manila  myroon clang hospital na pang world class at lebring serbisyo")</f>
        <v>Good luck talaga SA MGA taga manila dahil unti unti Ng umounland ang manila  myroon clang hospital na pang world class at lebring serbisyo</v>
      </c>
      <c r="F2368" s="1">
        <f ca="1">IFERROR(__xludf.DUMMYFUNCTION("""COMPUTED_VALUE"""),8)</f>
        <v>8</v>
      </c>
      <c r="G2368" s="1" t="str">
        <f ca="1">IFERROR(__xludf.DUMMYFUNCTION("""COMPUTED_VALUE"""),"3 mos")</f>
        <v>3 mos</v>
      </c>
      <c r="H2368" s="1" t="str">
        <f ca="1">IFERROR(__xludf.DUMMYFUNCTION("""COMPUTED_VALUE"""),"comment")</f>
        <v>comment</v>
      </c>
      <c r="I2368" s="2" t="str">
        <f ca="1">IFERROR(__xludf.DUMMYFUNCTION("""COMPUTED_VALUE"""),"https://www.facebook.com/watch/live/?ref=watch_permalink&amp;v=923735834984653")</f>
        <v>https://www.facebook.com/watch/live/?ref=watch_permalink&amp;v=923735834984653</v>
      </c>
      <c r="J2368" s="1" t="str">
        <f ca="1">IFERROR(__xludf.DUMMYFUNCTION("""COMPUTED_VALUE"""),"2022-07-04T15:49:26.538Z")</f>
        <v>2022-07-04T15:49:26.538Z</v>
      </c>
    </row>
    <row r="2369" spans="1:10" x14ac:dyDescent="0.2">
      <c r="A2369" s="2" t="str">
        <f ca="1">IFERROR(__xludf.DUMMYFUNCTION("""COMPUTED_VALUE"""),"https://www.facebook.com/victoria.pimentel.507027")</f>
        <v>https://www.facebook.com/victoria.pimentel.507027</v>
      </c>
      <c r="B2369" s="1" t="str">
        <f ca="1">IFERROR(__xludf.DUMMYFUNCTION("""COMPUTED_VALUE"""),"Victoria Pimentel")</f>
        <v>Victoria Pimentel</v>
      </c>
      <c r="C2369" s="1" t="str">
        <f ca="1">IFERROR(__xludf.DUMMYFUNCTION("""COMPUTED_VALUE"""),"Victoria")</f>
        <v>Victoria</v>
      </c>
      <c r="D2369" s="1" t="str">
        <f ca="1">IFERROR(__xludf.DUMMYFUNCTION("""COMPUTED_VALUE"""),"Pimentel")</f>
        <v>Pimentel</v>
      </c>
      <c r="E2369" s="1" t="str">
        <f ca="1">IFERROR(__xludf.DUMMYFUNCTION("""COMPUTED_VALUE"""),"You are our president may God bless you always")</f>
        <v>You are our president may God bless you always</v>
      </c>
      <c r="F2369" s="1">
        <f ca="1">IFERROR(__xludf.DUMMYFUNCTION("""COMPUTED_VALUE"""),10)</f>
        <v>10</v>
      </c>
      <c r="G2369" s="1" t="str">
        <f ca="1">IFERROR(__xludf.DUMMYFUNCTION("""COMPUTED_VALUE"""),"3 mos")</f>
        <v>3 mos</v>
      </c>
      <c r="H2369" s="1" t="str">
        <f ca="1">IFERROR(__xludf.DUMMYFUNCTION("""COMPUTED_VALUE"""),"comment")</f>
        <v>comment</v>
      </c>
      <c r="I2369" s="2" t="str">
        <f ca="1">IFERROR(__xludf.DUMMYFUNCTION("""COMPUTED_VALUE"""),"https://www.facebook.com/watch/live/?ref=watch_permalink&amp;v=923735834984653")</f>
        <v>https://www.facebook.com/watch/live/?ref=watch_permalink&amp;v=923735834984653</v>
      </c>
      <c r="J2369" s="1" t="str">
        <f ca="1">IFERROR(__xludf.DUMMYFUNCTION("""COMPUTED_VALUE"""),"2022-07-04T15:49:26.538Z")</f>
        <v>2022-07-04T15:49:26.538Z</v>
      </c>
    </row>
    <row r="2370" spans="1:10" x14ac:dyDescent="0.2">
      <c r="A2370" s="2" t="str">
        <f ca="1">IFERROR(__xludf.DUMMYFUNCTION("""COMPUTED_VALUE"""),"https://www.facebook.com/janarvy.parr")</f>
        <v>https://www.facebook.com/janarvy.parr</v>
      </c>
      <c r="B2370" s="1" t="str">
        <f ca="1">IFERROR(__xludf.DUMMYFUNCTION("""COMPUTED_VALUE"""),"Arvy Parr")</f>
        <v>Arvy Parr</v>
      </c>
      <c r="C2370" s="1" t="str">
        <f ca="1">IFERROR(__xludf.DUMMYFUNCTION("""COMPUTED_VALUE"""),"Arvy")</f>
        <v>Arvy</v>
      </c>
      <c r="D2370" s="1" t="str">
        <f ca="1">IFERROR(__xludf.DUMMYFUNCTION("""COMPUTED_VALUE"""),"Parr")</f>
        <v>Parr</v>
      </c>
      <c r="E2370" s="1" t="str">
        <f ca="1">IFERROR(__xludf.DUMMYFUNCTION("""COMPUTED_VALUE"""),"Saan naba mga followers ni isko,Hindi mn lang umaabot sa 1k Ang views,,galing tlga ni isko,,,,,,,sa speech")</f>
        <v>Saan naba mga followers ni isko,Hindi mn lang umaabot sa 1k Ang views,,galing tlga ni isko,,,,,,,sa speech</v>
      </c>
      <c r="F2370" s="1">
        <f ca="1">IFERROR(__xludf.DUMMYFUNCTION("""COMPUTED_VALUE"""),4)</f>
        <v>4</v>
      </c>
      <c r="G2370" s="1" t="str">
        <f ca="1">IFERROR(__xludf.DUMMYFUNCTION("""COMPUTED_VALUE"""),"3 mos")</f>
        <v>3 mos</v>
      </c>
      <c r="H2370" s="1" t="str">
        <f ca="1">IFERROR(__xludf.DUMMYFUNCTION("""COMPUTED_VALUE"""),"comment")</f>
        <v>comment</v>
      </c>
      <c r="I2370" s="2" t="str">
        <f ca="1">IFERROR(__xludf.DUMMYFUNCTION("""COMPUTED_VALUE"""),"https://www.facebook.com/watch/live/?ref=watch_permalink&amp;v=923735834984653")</f>
        <v>https://www.facebook.com/watch/live/?ref=watch_permalink&amp;v=923735834984653</v>
      </c>
      <c r="J2370" s="1" t="str">
        <f ca="1">IFERROR(__xludf.DUMMYFUNCTION("""COMPUTED_VALUE"""),"2022-07-04T15:49:26.538Z")</f>
        <v>2022-07-04T15:49:26.538Z</v>
      </c>
    </row>
    <row r="2371" spans="1:10" x14ac:dyDescent="0.2">
      <c r="A2371" s="2" t="str">
        <f ca="1">IFERROR(__xludf.DUMMYFUNCTION("""COMPUTED_VALUE"""),"https://www.facebook.com/normita.beato")</f>
        <v>https://www.facebook.com/normita.beato</v>
      </c>
      <c r="B2371" s="1" t="str">
        <f ca="1">IFERROR(__xludf.DUMMYFUNCTION("""COMPUTED_VALUE"""),"Normita Beato")</f>
        <v>Normita Beato</v>
      </c>
      <c r="C2371" s="1" t="str">
        <f ca="1">IFERROR(__xludf.DUMMYFUNCTION("""COMPUTED_VALUE"""),"Normita")</f>
        <v>Normita</v>
      </c>
      <c r="D2371" s="1" t="str">
        <f ca="1">IFERROR(__xludf.DUMMYFUNCTION("""COMPUTED_VALUE"""),"Beato")</f>
        <v>Beato</v>
      </c>
      <c r="E2371" s="1" t="str">
        <f ca="1">IFERROR(__xludf.DUMMYFUNCTION("""COMPUTED_VALUE"""),"Alam niya guy Ang the best mag research nalang Kayo bawat isa  sa kanila. Kung ano  Ang NGA nagawa nila  Ng sila. Ang NGA nakaupo,")</f>
        <v>Alam niya guy Ang the best mag research nalang Kayo bawat isa  sa kanila. Kung ano  Ang NGA nagawa nila  Ng sila. Ang NGA nakaupo,</v>
      </c>
      <c r="F2371" s="1">
        <f ca="1">IFERROR(__xludf.DUMMYFUNCTION("""COMPUTED_VALUE"""),5)</f>
        <v>5</v>
      </c>
      <c r="G2371" s="1" t="str">
        <f ca="1">IFERROR(__xludf.DUMMYFUNCTION("""COMPUTED_VALUE"""),"3 mos")</f>
        <v>3 mos</v>
      </c>
      <c r="H2371" s="1" t="str">
        <f ca="1">IFERROR(__xludf.DUMMYFUNCTION("""COMPUTED_VALUE"""),"comment")</f>
        <v>comment</v>
      </c>
      <c r="I2371" s="2" t="str">
        <f ca="1">IFERROR(__xludf.DUMMYFUNCTION("""COMPUTED_VALUE"""),"https://www.facebook.com/watch/live/?ref=watch_permalink&amp;v=923735834984653")</f>
        <v>https://www.facebook.com/watch/live/?ref=watch_permalink&amp;v=923735834984653</v>
      </c>
      <c r="J2371" s="1" t="str">
        <f ca="1">IFERROR(__xludf.DUMMYFUNCTION("""COMPUTED_VALUE"""),"2022-07-04T15:49:26.538Z")</f>
        <v>2022-07-04T15:49:26.538Z</v>
      </c>
    </row>
    <row r="2372" spans="1:10" x14ac:dyDescent="0.2">
      <c r="A2372" s="2" t="str">
        <f ca="1">IFERROR(__xludf.DUMMYFUNCTION("""COMPUTED_VALUE"""),"https://www.facebook.com/sally.ladatenalaunan")</f>
        <v>https://www.facebook.com/sally.ladatenalaunan</v>
      </c>
      <c r="B2372" s="1" t="str">
        <f ca="1">IFERROR(__xludf.DUMMYFUNCTION("""COMPUTED_VALUE"""),"Ylla Datela")</f>
        <v>Ylla Datela</v>
      </c>
      <c r="C2372" s="1" t="str">
        <f ca="1">IFERROR(__xludf.DUMMYFUNCTION("""COMPUTED_VALUE"""),"Ylla")</f>
        <v>Ylla</v>
      </c>
      <c r="D2372" s="1" t="str">
        <f ca="1">IFERROR(__xludf.DUMMYFUNCTION("""COMPUTED_VALUE"""),"Datela")</f>
        <v>Datela</v>
      </c>
      <c r="E2372" s="1" t="str">
        <f ca="1">IFERROR(__xludf.DUMMYFUNCTION("""COMPUTED_VALUE"""),"We love you Yorme Isko Praying for your victory 🙏☝🏻💙 PILIPINAS GOD FIRST 🙏☝🏻💙")</f>
        <v>We love you Yorme Isko Praying for your victory 🙏☝🏻💙 PILIPINAS GOD FIRST 🙏☝🏻💙</v>
      </c>
      <c r="F2372" s="1">
        <f ca="1">IFERROR(__xludf.DUMMYFUNCTION("""COMPUTED_VALUE"""),3)</f>
        <v>3</v>
      </c>
      <c r="G2372" s="1" t="str">
        <f ca="1">IFERROR(__xludf.DUMMYFUNCTION("""COMPUTED_VALUE"""),"3 mos")</f>
        <v>3 mos</v>
      </c>
      <c r="H2372" s="1" t="str">
        <f ca="1">IFERROR(__xludf.DUMMYFUNCTION("""COMPUTED_VALUE"""),"comment")</f>
        <v>comment</v>
      </c>
      <c r="I2372" s="2" t="str">
        <f ca="1">IFERROR(__xludf.DUMMYFUNCTION("""COMPUTED_VALUE"""),"https://www.facebook.com/watch/live/?ref=watch_permalink&amp;v=923735834984653")</f>
        <v>https://www.facebook.com/watch/live/?ref=watch_permalink&amp;v=923735834984653</v>
      </c>
      <c r="J2372" s="1" t="str">
        <f ca="1">IFERROR(__xludf.DUMMYFUNCTION("""COMPUTED_VALUE"""),"2022-07-04T15:49:26.538Z")</f>
        <v>2022-07-04T15:49:26.538Z</v>
      </c>
    </row>
    <row r="2373" spans="1:10" x14ac:dyDescent="0.2">
      <c r="A2373" s="2" t="str">
        <f ca="1">IFERROR(__xludf.DUMMYFUNCTION("""COMPUTED_VALUE"""),"https://www.facebook.com/profile.php?id=100009431943421")</f>
        <v>https://www.facebook.com/profile.php?id=100009431943421</v>
      </c>
      <c r="B2373" s="1" t="str">
        <f ca="1">IFERROR(__xludf.DUMMYFUNCTION("""COMPUTED_VALUE"""),"Concord Padullon")</f>
        <v>Concord Padullon</v>
      </c>
      <c r="C2373" s="1" t="str">
        <f ca="1">IFERROR(__xludf.DUMMYFUNCTION("""COMPUTED_VALUE"""),"Concord")</f>
        <v>Concord</v>
      </c>
      <c r="D2373" s="1" t="str">
        <f ca="1">IFERROR(__xludf.DUMMYFUNCTION("""COMPUTED_VALUE"""),"Padullon")</f>
        <v>Padullon</v>
      </c>
      <c r="E2373" s="1" t="str">
        <f ca="1">IFERROR(__xludf.DUMMYFUNCTION("""COMPUTED_VALUE"""),"Opo Tama po kyo Yormi Isko Moreno Domogoso is my president 2022 vice president Doc Willie Ong lang action democratico God 1First team po kmi watching here in Riyadh K S A po kmi")</f>
        <v>Opo Tama po kyo Yormi Isko Moreno Domogoso is my president 2022 vice president Doc Willie Ong lang action democratico God 1First team po kmi watching here in Riyadh K S A po kmi</v>
      </c>
      <c r="F2373" s="1">
        <f ca="1">IFERROR(__xludf.DUMMYFUNCTION("""COMPUTED_VALUE"""),9)</f>
        <v>9</v>
      </c>
      <c r="G2373" s="1" t="str">
        <f ca="1">IFERROR(__xludf.DUMMYFUNCTION("""COMPUTED_VALUE"""),"3 mos")</f>
        <v>3 mos</v>
      </c>
      <c r="H2373" s="1" t="str">
        <f ca="1">IFERROR(__xludf.DUMMYFUNCTION("""COMPUTED_VALUE"""),"comment")</f>
        <v>comment</v>
      </c>
      <c r="I2373" s="2" t="str">
        <f ca="1">IFERROR(__xludf.DUMMYFUNCTION("""COMPUTED_VALUE"""),"https://www.facebook.com/watch/live/?ref=watch_permalink&amp;v=923735834984653")</f>
        <v>https://www.facebook.com/watch/live/?ref=watch_permalink&amp;v=923735834984653</v>
      </c>
      <c r="J2373" s="1" t="str">
        <f ca="1">IFERROR(__xludf.DUMMYFUNCTION("""COMPUTED_VALUE"""),"2022-07-04T15:49:26.538Z")</f>
        <v>2022-07-04T15:49:26.538Z</v>
      </c>
    </row>
    <row r="2374" spans="1:10" x14ac:dyDescent="0.2">
      <c r="A2374" s="2" t="str">
        <f ca="1">IFERROR(__xludf.DUMMYFUNCTION("""COMPUTED_VALUE"""),"https://www.facebook.com/panny.valles")</f>
        <v>https://www.facebook.com/panny.valles</v>
      </c>
      <c r="B2374" s="1" t="str">
        <f ca="1">IFERROR(__xludf.DUMMYFUNCTION("""COMPUTED_VALUE"""),"Panny Valles")</f>
        <v>Panny Valles</v>
      </c>
      <c r="C2374" s="1" t="str">
        <f ca="1">IFERROR(__xludf.DUMMYFUNCTION("""COMPUTED_VALUE"""),"Panny")</f>
        <v>Panny</v>
      </c>
      <c r="D2374" s="1" t="str">
        <f ca="1">IFERROR(__xludf.DUMMYFUNCTION("""COMPUTED_VALUE"""),"Valles")</f>
        <v>Valles</v>
      </c>
      <c r="E2374" s="1" t="str">
        <f ca="1">IFERROR(__xludf.DUMMYFUNCTION("""COMPUTED_VALUE"""),"Concord Padullon kasama mo ako jan isko tayo")</f>
        <v>Concord Padullon kasama mo ako jan isko tayo</v>
      </c>
      <c r="F2374" s="1">
        <f ca="1">IFERROR(__xludf.DUMMYFUNCTION("""COMPUTED_VALUE"""),1)</f>
        <v>1</v>
      </c>
      <c r="G2374" s="1" t="str">
        <f ca="1">IFERROR(__xludf.DUMMYFUNCTION("""COMPUTED_VALUE"""),"3 mos")</f>
        <v>3 mos</v>
      </c>
      <c r="H2374" s="1" t="str">
        <f ca="1">IFERROR(__xludf.DUMMYFUNCTION("""COMPUTED_VALUE"""),"reply")</f>
        <v>reply</v>
      </c>
      <c r="I2374" s="2" t="str">
        <f ca="1">IFERROR(__xludf.DUMMYFUNCTION("""COMPUTED_VALUE"""),"https://www.facebook.com/watch/live/?ref=watch_permalink&amp;v=923735834984653")</f>
        <v>https://www.facebook.com/watch/live/?ref=watch_permalink&amp;v=923735834984653</v>
      </c>
      <c r="J2374" s="1" t="str">
        <f ca="1">IFERROR(__xludf.DUMMYFUNCTION("""COMPUTED_VALUE"""),"2022-07-04T15:49:26.538Z")</f>
        <v>2022-07-04T15:49:26.538Z</v>
      </c>
    </row>
    <row r="2375" spans="1:10" x14ac:dyDescent="0.2">
      <c r="A2375" s="2" t="str">
        <f ca="1">IFERROR(__xludf.DUMMYFUNCTION("""COMPUTED_VALUE"""),"https://www.facebook.com/profile.php?id=100077999847593")</f>
        <v>https://www.facebook.com/profile.php?id=100077999847593</v>
      </c>
      <c r="B2375" s="1" t="str">
        <f ca="1">IFERROR(__xludf.DUMMYFUNCTION("""COMPUTED_VALUE"""),"Zafra Abdullah")</f>
        <v>Zafra Abdullah</v>
      </c>
      <c r="C2375" s="1" t="str">
        <f ca="1">IFERROR(__xludf.DUMMYFUNCTION("""COMPUTED_VALUE"""),"Zafra")</f>
        <v>Zafra</v>
      </c>
      <c r="D2375" s="1" t="str">
        <f ca="1">IFERROR(__xludf.DUMMYFUNCTION("""COMPUTED_VALUE"""),"Abdullah")</f>
        <v>Abdullah</v>
      </c>
      <c r="E2375" s="1" t="str">
        <f ca="1">IFERROR(__xludf.DUMMYFUNCTION("""COMPUTED_VALUE"""),"MARAMING  NAG LIPAT KAY  ISKO  GOD PRESIDENT  ISKO  SOLID ☝☝☝☝☝☝💖💖💖")</f>
        <v>MARAMING  NAG LIPAT KAY  ISKO  GOD PRESIDENT  ISKO  SOLID ☝☝☝☝☝☝💖💖💖</v>
      </c>
      <c r="F2375" s="1"/>
      <c r="G2375" s="1" t="str">
        <f ca="1">IFERROR(__xludf.DUMMYFUNCTION("""COMPUTED_VALUE"""),"2 mos")</f>
        <v>2 mos</v>
      </c>
      <c r="H2375" s="1" t="str">
        <f ca="1">IFERROR(__xludf.DUMMYFUNCTION("""COMPUTED_VALUE"""),"reply")</f>
        <v>reply</v>
      </c>
      <c r="I2375" s="2" t="str">
        <f ca="1">IFERROR(__xludf.DUMMYFUNCTION("""COMPUTED_VALUE"""),"https://www.facebook.com/watch/live/?ref=watch_permalink&amp;v=923735834984653")</f>
        <v>https://www.facebook.com/watch/live/?ref=watch_permalink&amp;v=923735834984653</v>
      </c>
      <c r="J2375" s="1" t="str">
        <f ca="1">IFERROR(__xludf.DUMMYFUNCTION("""COMPUTED_VALUE"""),"2022-07-04T15:49:26.539Z")</f>
        <v>2022-07-04T15:49:26.539Z</v>
      </c>
    </row>
    <row r="2376" spans="1:10" x14ac:dyDescent="0.2">
      <c r="A2376" s="2" t="str">
        <f ca="1">IFERROR(__xludf.DUMMYFUNCTION("""COMPUTED_VALUE"""),"https://www.facebook.com/arnel.benitez.370")</f>
        <v>https://www.facebook.com/arnel.benitez.370</v>
      </c>
      <c r="B2376" s="1" t="str">
        <f ca="1">IFERROR(__xludf.DUMMYFUNCTION("""COMPUTED_VALUE"""),"Arnel Benitez")</f>
        <v>Arnel Benitez</v>
      </c>
      <c r="C2376" s="1" t="str">
        <f ca="1">IFERROR(__xludf.DUMMYFUNCTION("""COMPUTED_VALUE"""),"Arnel")</f>
        <v>Arnel</v>
      </c>
      <c r="D2376" s="1" t="str">
        <f ca="1">IFERROR(__xludf.DUMMYFUNCTION("""COMPUTED_VALUE"""),"Benitez")</f>
        <v>Benitez</v>
      </c>
      <c r="E2376" s="1" t="str">
        <f ca="1">IFERROR(__xludf.DUMMYFUNCTION("""COMPUTED_VALUE"""),"ISKO MORENO FOR PRESIDENT DOC WILLIE ONG FOR VICE PRESIDENT.  GOD FIRST!!!!!!")</f>
        <v>ISKO MORENO FOR PRESIDENT DOC WILLIE ONG FOR VICE PRESIDENT.  GOD FIRST!!!!!!</v>
      </c>
      <c r="F2376" s="1">
        <f ca="1">IFERROR(__xludf.DUMMYFUNCTION("""COMPUTED_VALUE"""),15)</f>
        <v>15</v>
      </c>
      <c r="G2376" s="1" t="str">
        <f ca="1">IFERROR(__xludf.DUMMYFUNCTION("""COMPUTED_VALUE"""),"3 mos")</f>
        <v>3 mos</v>
      </c>
      <c r="H2376" s="1" t="str">
        <f ca="1">IFERROR(__xludf.DUMMYFUNCTION("""COMPUTED_VALUE"""),"comment")</f>
        <v>comment</v>
      </c>
      <c r="I2376" s="2" t="str">
        <f ca="1">IFERROR(__xludf.DUMMYFUNCTION("""COMPUTED_VALUE"""),"https://www.facebook.com/watch/live/?ref=watch_permalink&amp;v=923735834984653")</f>
        <v>https://www.facebook.com/watch/live/?ref=watch_permalink&amp;v=923735834984653</v>
      </c>
      <c r="J2376" s="1" t="str">
        <f ca="1">IFERROR(__xludf.DUMMYFUNCTION("""COMPUTED_VALUE"""),"2022-07-04T15:49:26.539Z")</f>
        <v>2022-07-04T15:49:26.539Z</v>
      </c>
    </row>
    <row r="2377" spans="1:10" x14ac:dyDescent="0.2">
      <c r="A2377" s="2" t="str">
        <f ca="1">IFERROR(__xludf.DUMMYFUNCTION("""COMPUTED_VALUE"""),"https://www.facebook.com/ester.lualhati19")</f>
        <v>https://www.facebook.com/ester.lualhati19</v>
      </c>
      <c r="B2377" s="1" t="str">
        <f ca="1">IFERROR(__xludf.DUMMYFUNCTION("""COMPUTED_VALUE"""),"Ester Lualhati")</f>
        <v>Ester Lualhati</v>
      </c>
      <c r="C2377" s="1" t="str">
        <f ca="1">IFERROR(__xludf.DUMMYFUNCTION("""COMPUTED_VALUE"""),"Ester")</f>
        <v>Ester</v>
      </c>
      <c r="D2377" s="1" t="str">
        <f ca="1">IFERROR(__xludf.DUMMYFUNCTION("""COMPUTED_VALUE"""),"Lualhati")</f>
        <v>Lualhati</v>
      </c>
      <c r="E2377" s="1" t="str">
        <f ca="1">IFERROR(__xludf.DUMMYFUNCTION("""COMPUTED_VALUE"""),"IKAW ANG NA..ISKO..SA GOBYERNO..ISKO MORENO DOMAGOSO..MAY PUSO MAY TAKOT SA DYOS..MAKATAO..GOD BLESS ALL...")</f>
        <v>IKAW ANG NA..ISKO..SA GOBYERNO..ISKO MORENO DOMAGOSO..MAY PUSO MAY TAKOT SA DYOS..MAKATAO..GOD BLESS ALL...</v>
      </c>
      <c r="F2377" s="1">
        <f ca="1">IFERROR(__xludf.DUMMYFUNCTION("""COMPUTED_VALUE"""),2)</f>
        <v>2</v>
      </c>
      <c r="G2377" s="1" t="str">
        <f ca="1">IFERROR(__xludf.DUMMYFUNCTION("""COMPUTED_VALUE"""),"3 mos")</f>
        <v>3 mos</v>
      </c>
      <c r="H2377" s="1" t="str">
        <f ca="1">IFERROR(__xludf.DUMMYFUNCTION("""COMPUTED_VALUE"""),"comment")</f>
        <v>comment</v>
      </c>
      <c r="I2377" s="2" t="str">
        <f ca="1">IFERROR(__xludf.DUMMYFUNCTION("""COMPUTED_VALUE"""),"https://www.facebook.com/watch/live/?ref=watch_permalink&amp;v=923735834984653")</f>
        <v>https://www.facebook.com/watch/live/?ref=watch_permalink&amp;v=923735834984653</v>
      </c>
      <c r="J2377" s="1" t="str">
        <f ca="1">IFERROR(__xludf.DUMMYFUNCTION("""COMPUTED_VALUE"""),"2022-07-04T15:49:26.539Z")</f>
        <v>2022-07-04T15:49:26.539Z</v>
      </c>
    </row>
    <row r="2378" spans="1:10" x14ac:dyDescent="0.2">
      <c r="A2378" s="2" t="str">
        <f ca="1">IFERROR(__xludf.DUMMYFUNCTION("""COMPUTED_VALUE"""),"https://www.facebook.com/kyline.reyes.7")</f>
        <v>https://www.facebook.com/kyline.reyes.7</v>
      </c>
      <c r="B2378" s="1" t="str">
        <f ca="1">IFERROR(__xludf.DUMMYFUNCTION("""COMPUTED_VALUE"""),"Kyline Reyes")</f>
        <v>Kyline Reyes</v>
      </c>
      <c r="C2378" s="1" t="str">
        <f ca="1">IFERROR(__xludf.DUMMYFUNCTION("""COMPUTED_VALUE"""),"Kyline")</f>
        <v>Kyline</v>
      </c>
      <c r="D2378" s="1" t="str">
        <f ca="1">IFERROR(__xludf.DUMMYFUNCTION("""COMPUTED_VALUE"""),"Reyes")</f>
        <v>Reyes</v>
      </c>
      <c r="E2378" s="1" t="str">
        <f ca="1">IFERROR(__xludf.DUMMYFUNCTION("""COMPUTED_VALUE"""),"Isko is the best among Presidentiables👍🙏❤ We need a young,brave,energetic President in this trying time. #BilisKilos #IskoMorenoForPresident")</f>
        <v>Isko is the best among Presidentiables👍🙏❤ We need a young,brave,energetic President in this trying time. #BilisKilos #IskoMorenoForPresident</v>
      </c>
      <c r="F2378" s="1"/>
      <c r="G2378" s="1" t="str">
        <f ca="1">IFERROR(__xludf.DUMMYFUNCTION("""COMPUTED_VALUE"""),"3 mos")</f>
        <v>3 mos</v>
      </c>
      <c r="H2378" s="1" t="str">
        <f ca="1">IFERROR(__xludf.DUMMYFUNCTION("""COMPUTED_VALUE"""),"comment")</f>
        <v>comment</v>
      </c>
      <c r="I2378" s="2" t="str">
        <f ca="1">IFERROR(__xludf.DUMMYFUNCTION("""COMPUTED_VALUE"""),"https://www.facebook.com/watch/live/?ref=watch_permalink&amp;v=923735834984653")</f>
        <v>https://www.facebook.com/watch/live/?ref=watch_permalink&amp;v=923735834984653</v>
      </c>
      <c r="J2378" s="1" t="str">
        <f ca="1">IFERROR(__xludf.DUMMYFUNCTION("""COMPUTED_VALUE"""),"2022-07-04T15:49:26.539Z")</f>
        <v>2022-07-04T15:49:26.539Z</v>
      </c>
    </row>
    <row r="2379" spans="1:10" x14ac:dyDescent="0.2">
      <c r="A2379" s="2" t="str">
        <f ca="1">IFERROR(__xludf.DUMMYFUNCTION("""COMPUTED_VALUE"""),"https://www.facebook.com/profile.php?id=100008170805196")</f>
        <v>https://www.facebook.com/profile.php?id=100008170805196</v>
      </c>
      <c r="B2379" s="1" t="str">
        <f ca="1">IFERROR(__xludf.DUMMYFUNCTION("""COMPUTED_VALUE"""),"Erlinda Siscar")</f>
        <v>Erlinda Siscar</v>
      </c>
      <c r="C2379" s="1" t="str">
        <f ca="1">IFERROR(__xludf.DUMMYFUNCTION("""COMPUTED_VALUE"""),"Erlinda")</f>
        <v>Erlinda</v>
      </c>
      <c r="D2379" s="1" t="str">
        <f ca="1">IFERROR(__xludf.DUMMYFUNCTION("""COMPUTED_VALUE"""),"Siscar")</f>
        <v>Siscar</v>
      </c>
      <c r="E2379" s="1" t="str">
        <f ca="1">IFERROR(__xludf.DUMMYFUNCTION("""COMPUTED_VALUE"""),"Sayang sana pumunta ako sa Lipa sbi pinsan ko Tita Elvie ni Mayor Eric saya saya daw dami tao kc nowonly nkta msg na ngsasalita Pres. Isko.")</f>
        <v>Sayang sana pumunta ako sa Lipa sbi pinsan ko Tita Elvie ni Mayor Eric saya saya daw dami tao kc nowonly nkta msg na ngsasalita Pres. Isko.</v>
      </c>
      <c r="F2379" s="1"/>
      <c r="G2379" s="1" t="str">
        <f ca="1">IFERROR(__xludf.DUMMYFUNCTION("""COMPUTED_VALUE"""),"3 mos")</f>
        <v>3 mos</v>
      </c>
      <c r="H2379" s="1" t="str">
        <f ca="1">IFERROR(__xludf.DUMMYFUNCTION("""COMPUTED_VALUE"""),"comment")</f>
        <v>comment</v>
      </c>
      <c r="I2379" s="2" t="str">
        <f ca="1">IFERROR(__xludf.DUMMYFUNCTION("""COMPUTED_VALUE"""),"https://www.facebook.com/watch/live/?ref=watch_permalink&amp;v=923735834984653")</f>
        <v>https://www.facebook.com/watch/live/?ref=watch_permalink&amp;v=923735834984653</v>
      </c>
      <c r="J2379" s="1" t="str">
        <f ca="1">IFERROR(__xludf.DUMMYFUNCTION("""COMPUTED_VALUE"""),"2022-07-04T15:49:26.539Z")</f>
        <v>2022-07-04T15:49:26.539Z</v>
      </c>
    </row>
    <row r="2380" spans="1:10" x14ac:dyDescent="0.2">
      <c r="A2380" s="2" t="str">
        <f ca="1">IFERROR(__xludf.DUMMYFUNCTION("""COMPUTED_VALUE"""),"https://www.facebook.com/josefina.rubi")</f>
        <v>https://www.facebook.com/josefina.rubi</v>
      </c>
      <c r="B2380" s="1" t="str">
        <f ca="1">IFERROR(__xludf.DUMMYFUNCTION("""COMPUTED_VALUE"""),"Josefina Manansala Rubi")</f>
        <v>Josefina Manansala Rubi</v>
      </c>
      <c r="C2380" s="1" t="str">
        <f ca="1">IFERROR(__xludf.DUMMYFUNCTION("""COMPUTED_VALUE"""),"Josefina")</f>
        <v>Josefina</v>
      </c>
      <c r="D2380" s="1" t="str">
        <f ca="1">IFERROR(__xludf.DUMMYFUNCTION("""COMPUTED_VALUE"""),"Manansala Rubi")</f>
        <v>Manansala Rubi</v>
      </c>
      <c r="E2380" s="1" t="str">
        <f ca="1">IFERROR(__xludf.DUMMYFUNCTION("""COMPUTED_VALUE"""),"Let’s pray for the win of ISKO MORENO DOMAGOSO AND IT’S TEAM BILIS KILOS GOD FIRST 🙏🙏☝️☝️💙💙")</f>
        <v>Let’s pray for the win of ISKO MORENO DOMAGOSO AND IT’S TEAM BILIS KILOS GOD FIRST 🙏🙏☝️☝️💙💙</v>
      </c>
      <c r="F2380" s="1"/>
      <c r="G2380" s="1" t="str">
        <f ca="1">IFERROR(__xludf.DUMMYFUNCTION("""COMPUTED_VALUE"""),"3 mos")</f>
        <v>3 mos</v>
      </c>
      <c r="H2380" s="1" t="str">
        <f ca="1">IFERROR(__xludf.DUMMYFUNCTION("""COMPUTED_VALUE"""),"comment")</f>
        <v>comment</v>
      </c>
      <c r="I2380" s="2" t="str">
        <f ca="1">IFERROR(__xludf.DUMMYFUNCTION("""COMPUTED_VALUE"""),"https://www.facebook.com/watch/live/?ref=watch_permalink&amp;v=923735834984653")</f>
        <v>https://www.facebook.com/watch/live/?ref=watch_permalink&amp;v=923735834984653</v>
      </c>
      <c r="J2380" s="1" t="str">
        <f ca="1">IFERROR(__xludf.DUMMYFUNCTION("""COMPUTED_VALUE"""),"2022-07-04T15:49:26.539Z")</f>
        <v>2022-07-04T15:49:26.539Z</v>
      </c>
    </row>
    <row r="2381" spans="1:10" x14ac:dyDescent="0.2">
      <c r="A2381" s="2" t="str">
        <f ca="1">IFERROR(__xludf.DUMMYFUNCTION("""COMPUTED_VALUE"""),"https://www.facebook.com/shirley.n.patriarca")</f>
        <v>https://www.facebook.com/shirley.n.patriarca</v>
      </c>
      <c r="B2381" s="1" t="str">
        <f ca="1">IFERROR(__xludf.DUMMYFUNCTION("""COMPUTED_VALUE"""),"Patriarca Rocan Yelrihs")</f>
        <v>Patriarca Rocan Yelrihs</v>
      </c>
      <c r="C2381" s="1" t="str">
        <f ca="1">IFERROR(__xludf.DUMMYFUNCTION("""COMPUTED_VALUE"""),"Patriarca")</f>
        <v>Patriarca</v>
      </c>
      <c r="D2381" s="1" t="str">
        <f ca="1">IFERROR(__xludf.DUMMYFUNCTION("""COMPUTED_VALUE"""),"Rocan Yelrihs")</f>
        <v>Rocan Yelrihs</v>
      </c>
      <c r="E2381" s="1" t="str">
        <f ca="1">IFERROR(__xludf.DUMMYFUNCTION("""COMPUTED_VALUE"""),"Pilipinas God First")</f>
        <v>Pilipinas God First</v>
      </c>
      <c r="F2381" s="1"/>
      <c r="G2381" s="1" t="str">
        <f ca="1">IFERROR(__xludf.DUMMYFUNCTION("""COMPUTED_VALUE"""),"3 mos")</f>
        <v>3 mos</v>
      </c>
      <c r="H2381" s="1" t="str">
        <f ca="1">IFERROR(__xludf.DUMMYFUNCTION("""COMPUTED_VALUE"""),"comment")</f>
        <v>comment</v>
      </c>
      <c r="I2381" s="2" t="str">
        <f ca="1">IFERROR(__xludf.DUMMYFUNCTION("""COMPUTED_VALUE"""),"https://www.facebook.com/watch/live/?ref=watch_permalink&amp;v=923735834984653")</f>
        <v>https://www.facebook.com/watch/live/?ref=watch_permalink&amp;v=923735834984653</v>
      </c>
      <c r="J2381" s="1" t="str">
        <f ca="1">IFERROR(__xludf.DUMMYFUNCTION("""COMPUTED_VALUE"""),"2022-07-04T15:49:26.539Z")</f>
        <v>2022-07-04T15:49:26.539Z</v>
      </c>
    </row>
    <row r="2382" spans="1:10" x14ac:dyDescent="0.2">
      <c r="A2382" s="2" t="str">
        <f ca="1">IFERROR(__xludf.DUMMYFUNCTION("""COMPUTED_VALUE"""),"https://www.facebook.com/bimbo.quiambao")</f>
        <v>https://www.facebook.com/bimbo.quiambao</v>
      </c>
      <c r="B2382" s="1" t="str">
        <f ca="1">IFERROR(__xludf.DUMMYFUNCTION("""COMPUTED_VALUE"""),"Bimbo Quiambao")</f>
        <v>Bimbo Quiambao</v>
      </c>
      <c r="C2382" s="1" t="str">
        <f ca="1">IFERROR(__xludf.DUMMYFUNCTION("""COMPUTED_VALUE"""),"Bimbo")</f>
        <v>Bimbo</v>
      </c>
      <c r="D2382" s="1" t="str">
        <f ca="1">IFERROR(__xludf.DUMMYFUNCTION("""COMPUTED_VALUE"""),"Quiambao")</f>
        <v>Quiambao</v>
      </c>
      <c r="E2382" s="1" t="str">
        <f ca="1">IFERROR(__xludf.DUMMYFUNCTION("""COMPUTED_VALUE"""),"Boy benta Jr ng mynila")</f>
        <v>Boy benta Jr ng mynila</v>
      </c>
      <c r="F2382" s="1">
        <f ca="1">IFERROR(__xludf.DUMMYFUNCTION("""COMPUTED_VALUE"""),2)</f>
        <v>2</v>
      </c>
      <c r="G2382" s="1" t="str">
        <f ca="1">IFERROR(__xludf.DUMMYFUNCTION("""COMPUTED_VALUE"""),"3 mos")</f>
        <v>3 mos</v>
      </c>
      <c r="H2382" s="1" t="str">
        <f ca="1">IFERROR(__xludf.DUMMYFUNCTION("""COMPUTED_VALUE"""),"comment")</f>
        <v>comment</v>
      </c>
      <c r="I2382" s="2" t="str">
        <f ca="1">IFERROR(__xludf.DUMMYFUNCTION("""COMPUTED_VALUE"""),"https://www.facebook.com/watch/live/?ref=watch_permalink&amp;v=923735834984653")</f>
        <v>https://www.facebook.com/watch/live/?ref=watch_permalink&amp;v=923735834984653</v>
      </c>
      <c r="J2382" s="1" t="str">
        <f ca="1">IFERROR(__xludf.DUMMYFUNCTION("""COMPUTED_VALUE"""),"2022-07-04T15:49:26.539Z")</f>
        <v>2022-07-04T15:49:26.539Z</v>
      </c>
    </row>
    <row r="2383" spans="1:10" x14ac:dyDescent="0.2">
      <c r="A2383" s="2" t="str">
        <f ca="1">IFERROR(__xludf.DUMMYFUNCTION("""COMPUTED_VALUE"""),"https://www.facebook.com/profile.php?id=100014953603014")</f>
        <v>https://www.facebook.com/profile.php?id=100014953603014</v>
      </c>
      <c r="B2383" s="1" t="str">
        <f ca="1">IFERROR(__xludf.DUMMYFUNCTION("""COMPUTED_VALUE"""),"Marzdomz Busain Garnado")</f>
        <v>Marzdomz Busain Garnado</v>
      </c>
      <c r="C2383" s="1" t="str">
        <f ca="1">IFERROR(__xludf.DUMMYFUNCTION("""COMPUTED_VALUE"""),"Marzdomz")</f>
        <v>Marzdomz</v>
      </c>
      <c r="D2383" s="1" t="str">
        <f ca="1">IFERROR(__xludf.DUMMYFUNCTION("""COMPUTED_VALUE"""),"Busain Garnado")</f>
        <v>Busain Garnado</v>
      </c>
      <c r="E2383" s="1" t="str">
        <f ca="1">IFERROR(__xludf.DUMMYFUNCTION("""COMPUTED_VALUE"""),"C erap ngbenta non hindi c yorme tingnan nyo ang katotohanan di yong magpatnzo kayo ni lopez at mike abe")</f>
        <v>C erap ngbenta non hindi c yorme tingnan nyo ang katotohanan di yong magpatnzo kayo ni lopez at mike abe</v>
      </c>
      <c r="F2383" s="1">
        <f ca="1">IFERROR(__xludf.DUMMYFUNCTION("""COMPUTED_VALUE"""),2)</f>
        <v>2</v>
      </c>
      <c r="G2383" s="1" t="str">
        <f ca="1">IFERROR(__xludf.DUMMYFUNCTION("""COMPUTED_VALUE"""),"3 mos")</f>
        <v>3 mos</v>
      </c>
      <c r="H2383" s="1" t="str">
        <f ca="1">IFERROR(__xludf.DUMMYFUNCTION("""COMPUTED_VALUE"""),"reply")</f>
        <v>reply</v>
      </c>
      <c r="I2383" s="2" t="str">
        <f ca="1">IFERROR(__xludf.DUMMYFUNCTION("""COMPUTED_VALUE"""),"https://www.facebook.com/watch/live/?ref=watch_permalink&amp;v=923735834984653")</f>
        <v>https://www.facebook.com/watch/live/?ref=watch_permalink&amp;v=923735834984653</v>
      </c>
      <c r="J2383" s="1" t="str">
        <f ca="1">IFERROR(__xludf.DUMMYFUNCTION("""COMPUTED_VALUE"""),"2022-07-04T15:49:26.539Z")</f>
        <v>2022-07-04T15:49:26.539Z</v>
      </c>
    </row>
    <row r="2384" spans="1:10" x14ac:dyDescent="0.2">
      <c r="A2384" s="2" t="str">
        <f ca="1">IFERROR(__xludf.DUMMYFUNCTION("""COMPUTED_VALUE"""),"https://www.facebook.com/profile.php?id=100070807127692")</f>
        <v>https://www.facebook.com/profile.php?id=100070807127692</v>
      </c>
      <c r="B2384" s="1" t="str">
        <f ca="1">IFERROR(__xludf.DUMMYFUNCTION("""COMPUTED_VALUE"""),"Edwin Hernandez")</f>
        <v>Edwin Hernandez</v>
      </c>
      <c r="C2384" s="1" t="str">
        <f ca="1">IFERROR(__xludf.DUMMYFUNCTION("""COMPUTED_VALUE"""),"Edwin")</f>
        <v>Edwin</v>
      </c>
      <c r="D2384" s="1" t="str">
        <f ca="1">IFERROR(__xludf.DUMMYFUNCTION("""COMPUTED_VALUE"""),"Hernandez")</f>
        <v>Hernandez</v>
      </c>
      <c r="E2384" s="1" t="str">
        <f ca="1">IFERROR(__xludf.DUMMYFUNCTION("""COMPUTED_VALUE"""),"Boy benta")</f>
        <v>Boy benta</v>
      </c>
      <c r="F2384" s="1"/>
      <c r="G2384" s="1" t="str">
        <f ca="1">IFERROR(__xludf.DUMMYFUNCTION("""COMPUTED_VALUE"""),"3 mos")</f>
        <v>3 mos</v>
      </c>
      <c r="H2384" s="1" t="str">
        <f ca="1">IFERROR(__xludf.DUMMYFUNCTION("""COMPUTED_VALUE"""),"comment")</f>
        <v>comment</v>
      </c>
      <c r="I2384" s="2" t="str">
        <f ca="1">IFERROR(__xludf.DUMMYFUNCTION("""COMPUTED_VALUE"""),"https://www.facebook.com/watch/live/?ref=watch_permalink&amp;v=923735834984653")</f>
        <v>https://www.facebook.com/watch/live/?ref=watch_permalink&amp;v=923735834984653</v>
      </c>
      <c r="J2384" s="1" t="str">
        <f ca="1">IFERROR(__xludf.DUMMYFUNCTION("""COMPUTED_VALUE"""),"2022-07-04T15:49:26.539Z")</f>
        <v>2022-07-04T15:49:26.539Z</v>
      </c>
    </row>
    <row r="2385" spans="1:10" x14ac:dyDescent="0.2">
      <c r="A2385" s="2" t="str">
        <f ca="1">IFERROR(__xludf.DUMMYFUNCTION("""COMPUTED_VALUE"""),"https://www.facebook.com/bert.naynes")</f>
        <v>https://www.facebook.com/bert.naynes</v>
      </c>
      <c r="B2385" s="1" t="str">
        <f ca="1">IFERROR(__xludf.DUMMYFUNCTION("""COMPUTED_VALUE"""),"Bert Naynes")</f>
        <v>Bert Naynes</v>
      </c>
      <c r="C2385" s="1" t="str">
        <f ca="1">IFERROR(__xludf.DUMMYFUNCTION("""COMPUTED_VALUE"""),"Bert")</f>
        <v>Bert</v>
      </c>
      <c r="D2385" s="1" t="str">
        <f ca="1">IFERROR(__xludf.DUMMYFUNCTION("""COMPUTED_VALUE"""),"Naynes")</f>
        <v>Naynes</v>
      </c>
      <c r="E2385" s="1" t="str">
        <f ca="1">IFERROR(__xludf.DUMMYFUNCTION("""COMPUTED_VALUE"""),"Bilis kilos/bilis benta")</f>
        <v>Bilis kilos/bilis benta</v>
      </c>
      <c r="F2385" s="1"/>
      <c r="G2385" s="1" t="str">
        <f ca="1">IFERROR(__xludf.DUMMYFUNCTION("""COMPUTED_VALUE"""),"3 mos")</f>
        <v>3 mos</v>
      </c>
      <c r="H2385" s="1" t="str">
        <f ca="1">IFERROR(__xludf.DUMMYFUNCTION("""COMPUTED_VALUE"""),"comment")</f>
        <v>comment</v>
      </c>
      <c r="I2385" s="2" t="str">
        <f ca="1">IFERROR(__xludf.DUMMYFUNCTION("""COMPUTED_VALUE"""),"https://www.facebook.com/watch/live/?ref=watch_permalink&amp;v=923735834984653")</f>
        <v>https://www.facebook.com/watch/live/?ref=watch_permalink&amp;v=923735834984653</v>
      </c>
      <c r="J2385" s="1" t="str">
        <f ca="1">IFERROR(__xludf.DUMMYFUNCTION("""COMPUTED_VALUE"""),"2022-07-04T15:49:26.539Z")</f>
        <v>2022-07-04T15:49:26.539Z</v>
      </c>
    </row>
    <row r="2386" spans="1:10" x14ac:dyDescent="0.2">
      <c r="A2386" s="2" t="str">
        <f ca="1">IFERROR(__xludf.DUMMYFUNCTION("""COMPUTED_VALUE"""),"https://www.facebook.com/glenda.calvario.129")</f>
        <v>https://www.facebook.com/glenda.calvario.129</v>
      </c>
      <c r="B2386" s="1" t="str">
        <f ca="1">IFERROR(__xludf.DUMMYFUNCTION("""COMPUTED_VALUE"""),"Calvario Glenda")</f>
        <v>Calvario Glenda</v>
      </c>
      <c r="C2386" s="1" t="str">
        <f ca="1">IFERROR(__xludf.DUMMYFUNCTION("""COMPUTED_VALUE"""),"Calvario")</f>
        <v>Calvario</v>
      </c>
      <c r="D2386" s="1" t="str">
        <f ca="1">IFERROR(__xludf.DUMMYFUNCTION("""COMPUTED_VALUE"""),"Glenda")</f>
        <v>Glenda</v>
      </c>
      <c r="E2386" s="1" t="str">
        <f ca="1">IFERROR(__xludf.DUMMYFUNCTION("""COMPUTED_VALUE"""),"Isko kapala te")</f>
        <v>Isko kapala te</v>
      </c>
      <c r="F2386" s="1"/>
      <c r="G2386" s="1" t="str">
        <f ca="1">IFERROR(__xludf.DUMMYFUNCTION("""COMPUTED_VALUE"""),"3 mos")</f>
        <v>3 mos</v>
      </c>
      <c r="H2386" s="1" t="str">
        <f ca="1">IFERROR(__xludf.DUMMYFUNCTION("""COMPUTED_VALUE"""),"comment")</f>
        <v>comment</v>
      </c>
      <c r="I2386" s="2" t="str">
        <f ca="1">IFERROR(__xludf.DUMMYFUNCTION("""COMPUTED_VALUE"""),"https://www.facebook.com/watch/live/?ref=watch_permalink&amp;v=923735834984653")</f>
        <v>https://www.facebook.com/watch/live/?ref=watch_permalink&amp;v=923735834984653</v>
      </c>
      <c r="J2386" s="1" t="str">
        <f ca="1">IFERROR(__xludf.DUMMYFUNCTION("""COMPUTED_VALUE"""),"2022-07-04T15:49:26.539Z")</f>
        <v>2022-07-04T15:49:26.539Z</v>
      </c>
    </row>
    <row r="2387" spans="1:10" x14ac:dyDescent="0.2">
      <c r="A2387" s="2" t="str">
        <f ca="1">IFERROR(__xludf.DUMMYFUNCTION("""COMPUTED_VALUE"""),"https://www.facebook.com/alfredojun.castro")</f>
        <v>https://www.facebook.com/alfredojun.castro</v>
      </c>
      <c r="B2387" s="1" t="str">
        <f ca="1">IFERROR(__xludf.DUMMYFUNCTION("""COMPUTED_VALUE"""),"Alfredo Jun Castro")</f>
        <v>Alfredo Jun Castro</v>
      </c>
      <c r="C2387" s="1" t="str">
        <f ca="1">IFERROR(__xludf.DUMMYFUNCTION("""COMPUTED_VALUE"""),"Alfredo")</f>
        <v>Alfredo</v>
      </c>
      <c r="D2387" s="1" t="str">
        <f ca="1">IFERROR(__xludf.DUMMYFUNCTION("""COMPUTED_VALUE"""),"Jun Castro")</f>
        <v>Jun Castro</v>
      </c>
      <c r="E2387" s="1" t="str">
        <f ca="1">IFERROR(__xludf.DUMMYFUNCTION("""COMPUTED_VALUE"""),"Boy benta")</f>
        <v>Boy benta</v>
      </c>
      <c r="F2387" s="1"/>
      <c r="G2387" s="1" t="str">
        <f ca="1">IFERROR(__xludf.DUMMYFUNCTION("""COMPUTED_VALUE"""),"3 mos")</f>
        <v>3 mos</v>
      </c>
      <c r="H2387" s="1" t="str">
        <f ca="1">IFERROR(__xludf.DUMMYFUNCTION("""COMPUTED_VALUE"""),"comment")</f>
        <v>comment</v>
      </c>
      <c r="I2387" s="2" t="str">
        <f ca="1">IFERROR(__xludf.DUMMYFUNCTION("""COMPUTED_VALUE"""),"https://www.facebook.com/watch/live/?ref=watch_permalink&amp;v=923735834984653")</f>
        <v>https://www.facebook.com/watch/live/?ref=watch_permalink&amp;v=923735834984653</v>
      </c>
      <c r="J2387" s="1" t="str">
        <f ca="1">IFERROR(__xludf.DUMMYFUNCTION("""COMPUTED_VALUE"""),"2022-07-04T15:49:26.539Z")</f>
        <v>2022-07-04T15:49:26.539Z</v>
      </c>
    </row>
    <row r="2388" spans="1:10" x14ac:dyDescent="0.2">
      <c r="A2388" s="2" t="str">
        <f ca="1">IFERROR(__xludf.DUMMYFUNCTION("""COMPUTED_VALUE"""),"https://www.facebook.com/micoleizon")</f>
        <v>https://www.facebook.com/micoleizon</v>
      </c>
      <c r="B2388" s="1" t="str">
        <f ca="1">IFERROR(__xludf.DUMMYFUNCTION("""COMPUTED_VALUE"""),"Giane Delos Santos Ilagan")</f>
        <v>Giane Delos Santos Ilagan</v>
      </c>
      <c r="C2388" s="1" t="str">
        <f ca="1">IFERROR(__xludf.DUMMYFUNCTION("""COMPUTED_VALUE"""),"Giane")</f>
        <v>Giane</v>
      </c>
      <c r="D2388" s="1" t="str">
        <f ca="1">IFERROR(__xludf.DUMMYFUNCTION("""COMPUTED_VALUE"""),"Delos Santos Ilagan")</f>
        <v>Delos Santos Ilagan</v>
      </c>
      <c r="E2388" s="1" t="str">
        <f ca="1">IFERROR(__xludf.DUMMYFUNCTION("""COMPUTED_VALUE"""),"Giane Delos Santos Ilagan")</f>
        <v>Giane Delos Santos Ilagan</v>
      </c>
      <c r="F2388" s="1">
        <f ca="1">IFERROR(__xludf.DUMMYFUNCTION("""COMPUTED_VALUE"""),1)</f>
        <v>1</v>
      </c>
      <c r="G2388" s="1" t="str">
        <f ca="1">IFERROR(__xludf.DUMMYFUNCTION("""COMPUTED_VALUE"""),"3 mos")</f>
        <v>3 mos</v>
      </c>
      <c r="H2388" s="1" t="str">
        <f ca="1">IFERROR(__xludf.DUMMYFUNCTION("""COMPUTED_VALUE"""),"comment")</f>
        <v>comment</v>
      </c>
      <c r="I2388" s="2" t="str">
        <f ca="1">IFERROR(__xludf.DUMMYFUNCTION("""COMPUTED_VALUE"""),"https://www.facebook.com/watch/live/?ref=watch_permalink&amp;v=923735834984653")</f>
        <v>https://www.facebook.com/watch/live/?ref=watch_permalink&amp;v=923735834984653</v>
      </c>
      <c r="J2388" s="1" t="str">
        <f ca="1">IFERROR(__xludf.DUMMYFUNCTION("""COMPUTED_VALUE"""),"2022-07-04T15:49:26.539Z")</f>
        <v>2022-07-04T15:49:26.539Z</v>
      </c>
    </row>
    <row r="2389" spans="1:10" x14ac:dyDescent="0.2">
      <c r="A2389" s="2" t="str">
        <f ca="1">IFERROR(__xludf.DUMMYFUNCTION("""COMPUTED_VALUE"""),"https://www.facebook.com/gen.eslao")</f>
        <v>https://www.facebook.com/gen.eslao</v>
      </c>
      <c r="B2389" s="1" t="str">
        <f ca="1">IFERROR(__xludf.DUMMYFUNCTION("""COMPUTED_VALUE"""),"Gen Eslao Ramiscal")</f>
        <v>Gen Eslao Ramiscal</v>
      </c>
      <c r="C2389" s="1" t="str">
        <f ca="1">IFERROR(__xludf.DUMMYFUNCTION("""COMPUTED_VALUE"""),"Gen")</f>
        <v>Gen</v>
      </c>
      <c r="D2389" s="1" t="str">
        <f ca="1">IFERROR(__xludf.DUMMYFUNCTION("""COMPUTED_VALUE"""),"Eslao Ramiscal")</f>
        <v>Eslao Ramiscal</v>
      </c>
      <c r="E2389" s="1" t="str">
        <f ca="1">IFERROR(__xludf.DUMMYFUNCTION("""COMPUTED_VALUE"""),"Talunan,talunan,talunan ka iskomunista jomagoso boy benta")</f>
        <v>Talunan,talunan,talunan ka iskomunista jomagoso boy benta</v>
      </c>
      <c r="F2389" s="1"/>
      <c r="G2389" s="1" t="str">
        <f ca="1">IFERROR(__xludf.DUMMYFUNCTION("""COMPUTED_VALUE"""),"3 mos")</f>
        <v>3 mos</v>
      </c>
      <c r="H2389" s="1" t="str">
        <f ca="1">IFERROR(__xludf.DUMMYFUNCTION("""COMPUTED_VALUE"""),"comment")</f>
        <v>comment</v>
      </c>
      <c r="I2389" s="2" t="str">
        <f ca="1">IFERROR(__xludf.DUMMYFUNCTION("""COMPUTED_VALUE"""),"https://www.facebook.com/watch/live/?ref=watch_permalink&amp;v=923735834984653")</f>
        <v>https://www.facebook.com/watch/live/?ref=watch_permalink&amp;v=923735834984653</v>
      </c>
      <c r="J2389" s="1" t="str">
        <f ca="1">IFERROR(__xludf.DUMMYFUNCTION("""COMPUTED_VALUE"""),"2022-07-04T15:49:26.539Z")</f>
        <v>2022-07-04T15:49:26.539Z</v>
      </c>
    </row>
    <row r="2390" spans="1:10" x14ac:dyDescent="0.2">
      <c r="A2390" s="2" t="str">
        <f ca="1">IFERROR(__xludf.DUMMYFUNCTION("""COMPUTED_VALUE"""),"https://www.facebook.com/micoleizon")</f>
        <v>https://www.facebook.com/micoleizon</v>
      </c>
      <c r="B2390" s="1" t="str">
        <f ca="1">IFERROR(__xludf.DUMMYFUNCTION("""COMPUTED_VALUE"""),"Giane Delos Santos Ilagan")</f>
        <v>Giane Delos Santos Ilagan</v>
      </c>
      <c r="C2390" s="1" t="str">
        <f ca="1">IFERROR(__xludf.DUMMYFUNCTION("""COMPUTED_VALUE"""),"Giane")</f>
        <v>Giane</v>
      </c>
      <c r="D2390" s="1" t="str">
        <f ca="1">IFERROR(__xludf.DUMMYFUNCTION("""COMPUTED_VALUE"""),"Delos Santos Ilagan")</f>
        <v>Delos Santos Ilagan</v>
      </c>
      <c r="E2390" s="1" t="str">
        <f ca="1">IFERROR(__xludf.DUMMYFUNCTION("""COMPUTED_VALUE"""),"Giane Delos Santos Ilagan")</f>
        <v>Giane Delos Santos Ilagan</v>
      </c>
      <c r="F2390" s="1">
        <f ca="1">IFERROR(__xludf.DUMMYFUNCTION("""COMPUTED_VALUE"""),1)</f>
        <v>1</v>
      </c>
      <c r="G2390" s="1" t="str">
        <f ca="1">IFERROR(__xludf.DUMMYFUNCTION("""COMPUTED_VALUE"""),"3 mos")</f>
        <v>3 mos</v>
      </c>
      <c r="H2390" s="1" t="str">
        <f ca="1">IFERROR(__xludf.DUMMYFUNCTION("""COMPUTED_VALUE"""),"comment")</f>
        <v>comment</v>
      </c>
      <c r="I2390" s="2" t="str">
        <f ca="1">IFERROR(__xludf.DUMMYFUNCTION("""COMPUTED_VALUE"""),"https://www.facebook.com/watch/live/?ref=watch_permalink&amp;v=923735834984653")</f>
        <v>https://www.facebook.com/watch/live/?ref=watch_permalink&amp;v=923735834984653</v>
      </c>
      <c r="J2390" s="1" t="str">
        <f ca="1">IFERROR(__xludf.DUMMYFUNCTION("""COMPUTED_VALUE"""),"2022-07-04T15:49:26.539Z")</f>
        <v>2022-07-04T15:49:26.539Z</v>
      </c>
    </row>
    <row r="2391" spans="1:10" x14ac:dyDescent="0.2">
      <c r="A2391" s="2" t="str">
        <f ca="1">IFERROR(__xludf.DUMMYFUNCTION("""COMPUTED_VALUE"""),"https://www.facebook.com/german.balderama.311")</f>
        <v>https://www.facebook.com/german.balderama.311</v>
      </c>
      <c r="B2391" s="1" t="str">
        <f ca="1">IFERROR(__xludf.DUMMYFUNCTION("""COMPUTED_VALUE"""),"German Balderama")</f>
        <v>German Balderama</v>
      </c>
      <c r="C2391" s="1" t="str">
        <f ca="1">IFERROR(__xludf.DUMMYFUNCTION("""COMPUTED_VALUE"""),"German")</f>
        <v>German</v>
      </c>
      <c r="D2391" s="1" t="str">
        <f ca="1">IFERROR(__xludf.DUMMYFUNCTION("""COMPUTED_VALUE"""),"Balderama")</f>
        <v>Balderama</v>
      </c>
      <c r="E2391" s="1" t="str">
        <f ca="1">IFERROR(__xludf.DUMMYFUNCTION("""COMPUTED_VALUE"""),"Hindi ka mananali bot benta")</f>
        <v>Hindi ka mananali bot benta</v>
      </c>
      <c r="F2391" s="1"/>
      <c r="G2391" s="1" t="str">
        <f ca="1">IFERROR(__xludf.DUMMYFUNCTION("""COMPUTED_VALUE"""),"3 mos")</f>
        <v>3 mos</v>
      </c>
      <c r="H2391" s="1" t="str">
        <f ca="1">IFERROR(__xludf.DUMMYFUNCTION("""COMPUTED_VALUE"""),"comment")</f>
        <v>comment</v>
      </c>
      <c r="I2391" s="2" t="str">
        <f ca="1">IFERROR(__xludf.DUMMYFUNCTION("""COMPUTED_VALUE"""),"https://www.facebook.com/watch/live/?ref=watch_permalink&amp;v=923735834984653")</f>
        <v>https://www.facebook.com/watch/live/?ref=watch_permalink&amp;v=923735834984653</v>
      </c>
      <c r="J2391" s="1" t="str">
        <f ca="1">IFERROR(__xludf.DUMMYFUNCTION("""COMPUTED_VALUE"""),"2022-07-04T15:49:26.539Z")</f>
        <v>2022-07-04T15:49:26.539Z</v>
      </c>
    </row>
    <row r="2392" spans="1:10" x14ac:dyDescent="0.2">
      <c r="A2392" s="2" t="str">
        <f ca="1">IFERROR(__xludf.DUMMYFUNCTION("""COMPUTED_VALUE"""),"https://www.facebook.com/alectv07")</f>
        <v>https://www.facebook.com/alectv07</v>
      </c>
      <c r="B2392" s="1" t="str">
        <f ca="1">IFERROR(__xludf.DUMMYFUNCTION("""COMPUTED_VALUE"""),"Jonathan Utzurrum")</f>
        <v>Jonathan Utzurrum</v>
      </c>
      <c r="C2392" s="1" t="str">
        <f ca="1">IFERROR(__xludf.DUMMYFUNCTION("""COMPUTED_VALUE"""),"Jonathan")</f>
        <v>Jonathan</v>
      </c>
      <c r="D2392" s="1" t="str">
        <f ca="1">IFERROR(__xludf.DUMMYFUNCTION("""COMPUTED_VALUE"""),"Utzurrum")</f>
        <v>Utzurrum</v>
      </c>
      <c r="E2392" s="1" t="str">
        <f ca="1">IFERROR(__xludf.DUMMYFUNCTION("""COMPUTED_VALUE"""),"Jonathan Utzurrum")</f>
        <v>Jonathan Utzurrum</v>
      </c>
      <c r="F2392" s="1"/>
      <c r="G2392" s="1" t="str">
        <f ca="1">IFERROR(__xludf.DUMMYFUNCTION("""COMPUTED_VALUE"""),"3 mos")</f>
        <v>3 mos</v>
      </c>
      <c r="H2392" s="1" t="str">
        <f ca="1">IFERROR(__xludf.DUMMYFUNCTION("""COMPUTED_VALUE"""),"comment")</f>
        <v>comment</v>
      </c>
      <c r="I2392" s="2" t="str">
        <f ca="1">IFERROR(__xludf.DUMMYFUNCTION("""COMPUTED_VALUE"""),"https://www.facebook.com/watch/live/?ref=watch_permalink&amp;v=923735834984653")</f>
        <v>https://www.facebook.com/watch/live/?ref=watch_permalink&amp;v=923735834984653</v>
      </c>
      <c r="J2392" s="1" t="str">
        <f ca="1">IFERROR(__xludf.DUMMYFUNCTION("""COMPUTED_VALUE"""),"2022-07-04T15:49:26.539Z")</f>
        <v>2022-07-04T15:49:26.539Z</v>
      </c>
    </row>
    <row r="2393" spans="1:10" x14ac:dyDescent="0.2">
      <c r="A2393" s="2" t="str">
        <f ca="1">IFERROR(__xludf.DUMMYFUNCTION("""COMPUTED_VALUE"""),"https://www.facebook.com/emelisa.bautista")</f>
        <v>https://www.facebook.com/emelisa.bautista</v>
      </c>
      <c r="B2393" s="1" t="str">
        <f ca="1">IFERROR(__xludf.DUMMYFUNCTION("""COMPUTED_VALUE"""),"Emelisa Bello Bautista")</f>
        <v>Emelisa Bello Bautista</v>
      </c>
      <c r="C2393" s="1" t="str">
        <f ca="1">IFERROR(__xludf.DUMMYFUNCTION("""COMPUTED_VALUE"""),"Emelisa")</f>
        <v>Emelisa</v>
      </c>
      <c r="D2393" s="1" t="str">
        <f ca="1">IFERROR(__xludf.DUMMYFUNCTION("""COMPUTED_VALUE"""),"Bello Bautista")</f>
        <v>Bello Bautista</v>
      </c>
      <c r="E2393" s="1" t="str">
        <f ca="1">IFERROR(__xludf.DUMMYFUNCTION("""COMPUTED_VALUE"""),"Emelisa Bello Bautista")</f>
        <v>Emelisa Bello Bautista</v>
      </c>
      <c r="F2393" s="1">
        <f ca="1">IFERROR(__xludf.DUMMYFUNCTION("""COMPUTED_VALUE"""),1)</f>
        <v>1</v>
      </c>
      <c r="G2393" s="1" t="str">
        <f ca="1">IFERROR(__xludf.DUMMYFUNCTION("""COMPUTED_VALUE"""),"3 mos")</f>
        <v>3 mos</v>
      </c>
      <c r="H2393" s="1" t="str">
        <f ca="1">IFERROR(__xludf.DUMMYFUNCTION("""COMPUTED_VALUE"""),"comment")</f>
        <v>comment</v>
      </c>
      <c r="I2393" s="2" t="str">
        <f ca="1">IFERROR(__xludf.DUMMYFUNCTION("""COMPUTED_VALUE"""),"https://www.facebook.com/watch/live/?ref=watch_permalink&amp;v=923735834984653")</f>
        <v>https://www.facebook.com/watch/live/?ref=watch_permalink&amp;v=923735834984653</v>
      </c>
      <c r="J2393" s="1" t="str">
        <f ca="1">IFERROR(__xludf.DUMMYFUNCTION("""COMPUTED_VALUE"""),"2022-07-04T15:49:26.539Z")</f>
        <v>2022-07-04T15:49:26.539Z</v>
      </c>
    </row>
    <row r="2394" spans="1:10" x14ac:dyDescent="0.2">
      <c r="A2394" s="2" t="str">
        <f ca="1">IFERROR(__xludf.DUMMYFUNCTION("""COMPUTED_VALUE"""),"https://www.facebook.com/emelisa.bautista")</f>
        <v>https://www.facebook.com/emelisa.bautista</v>
      </c>
      <c r="B2394" s="1" t="str">
        <f ca="1">IFERROR(__xludf.DUMMYFUNCTION("""COMPUTED_VALUE"""),"Emelisa Bello Bautista")</f>
        <v>Emelisa Bello Bautista</v>
      </c>
      <c r="C2394" s="1" t="str">
        <f ca="1">IFERROR(__xludf.DUMMYFUNCTION("""COMPUTED_VALUE"""),"Emelisa")</f>
        <v>Emelisa</v>
      </c>
      <c r="D2394" s="1" t="str">
        <f ca="1">IFERROR(__xludf.DUMMYFUNCTION("""COMPUTED_VALUE"""),"Bello Bautista")</f>
        <v>Bello Bautista</v>
      </c>
      <c r="E2394" s="1" t="str">
        <f ca="1">IFERROR(__xludf.DUMMYFUNCTION("""COMPUTED_VALUE"""),"Emelisa Bello Bautista")</f>
        <v>Emelisa Bello Bautista</v>
      </c>
      <c r="F2394" s="1"/>
      <c r="G2394" s="1" t="str">
        <f ca="1">IFERROR(__xludf.DUMMYFUNCTION("""COMPUTED_VALUE"""),"3 mos")</f>
        <v>3 mos</v>
      </c>
      <c r="H2394" s="1" t="str">
        <f ca="1">IFERROR(__xludf.DUMMYFUNCTION("""COMPUTED_VALUE"""),"comment")</f>
        <v>comment</v>
      </c>
      <c r="I2394" s="2" t="str">
        <f ca="1">IFERROR(__xludf.DUMMYFUNCTION("""COMPUTED_VALUE"""),"https://www.facebook.com/watch/live/?ref=watch_permalink&amp;v=923735834984653")</f>
        <v>https://www.facebook.com/watch/live/?ref=watch_permalink&amp;v=923735834984653</v>
      </c>
      <c r="J2394" s="1" t="str">
        <f ca="1">IFERROR(__xludf.DUMMYFUNCTION("""COMPUTED_VALUE"""),"2022-07-04T15:49:26.539Z")</f>
        <v>2022-07-04T15:49:26.539Z</v>
      </c>
    </row>
    <row r="2395" spans="1:10" x14ac:dyDescent="0.2">
      <c r="A2395" s="2" t="str">
        <f ca="1">IFERROR(__xludf.DUMMYFUNCTION("""COMPUTED_VALUE"""),"https://www.facebook.com/alectv07")</f>
        <v>https://www.facebook.com/alectv07</v>
      </c>
      <c r="B2395" s="1" t="str">
        <f ca="1">IFERROR(__xludf.DUMMYFUNCTION("""COMPUTED_VALUE"""),"Jonathan Utzurrum")</f>
        <v>Jonathan Utzurrum</v>
      </c>
      <c r="C2395" s="1" t="str">
        <f ca="1">IFERROR(__xludf.DUMMYFUNCTION("""COMPUTED_VALUE"""),"Jonathan")</f>
        <v>Jonathan</v>
      </c>
      <c r="D2395" s="1" t="str">
        <f ca="1">IFERROR(__xludf.DUMMYFUNCTION("""COMPUTED_VALUE"""),"Utzurrum")</f>
        <v>Utzurrum</v>
      </c>
      <c r="E2395" s="1" t="str">
        <f ca="1">IFERROR(__xludf.DUMMYFUNCTION("""COMPUTED_VALUE"""),"Jonathan Utzurrum")</f>
        <v>Jonathan Utzurrum</v>
      </c>
      <c r="F2395" s="1"/>
      <c r="G2395" s="1" t="str">
        <f ca="1">IFERROR(__xludf.DUMMYFUNCTION("""COMPUTED_VALUE"""),"3 mos")</f>
        <v>3 mos</v>
      </c>
      <c r="H2395" s="1" t="str">
        <f ca="1">IFERROR(__xludf.DUMMYFUNCTION("""COMPUTED_VALUE"""),"comment")</f>
        <v>comment</v>
      </c>
      <c r="I2395" s="2" t="str">
        <f ca="1">IFERROR(__xludf.DUMMYFUNCTION("""COMPUTED_VALUE"""),"https://www.facebook.com/watch/live/?ref=watch_permalink&amp;v=923735834984653")</f>
        <v>https://www.facebook.com/watch/live/?ref=watch_permalink&amp;v=923735834984653</v>
      </c>
      <c r="J2395" s="1" t="str">
        <f ca="1">IFERROR(__xludf.DUMMYFUNCTION("""COMPUTED_VALUE"""),"2022-07-04T15:49:26.539Z")</f>
        <v>2022-07-04T15:49:26.539Z</v>
      </c>
    </row>
    <row r="2396" spans="1:10" x14ac:dyDescent="0.2">
      <c r="A2396" s="2" t="str">
        <f ca="1">IFERROR(__xludf.DUMMYFUNCTION("""COMPUTED_VALUE"""),"https://www.facebook.com/alectv07")</f>
        <v>https://www.facebook.com/alectv07</v>
      </c>
      <c r="B2396" s="1" t="str">
        <f ca="1">IFERROR(__xludf.DUMMYFUNCTION("""COMPUTED_VALUE"""),"Jonathan Utzurrum")</f>
        <v>Jonathan Utzurrum</v>
      </c>
      <c r="C2396" s="1" t="str">
        <f ca="1">IFERROR(__xludf.DUMMYFUNCTION("""COMPUTED_VALUE"""),"Jonathan")</f>
        <v>Jonathan</v>
      </c>
      <c r="D2396" s="1" t="str">
        <f ca="1">IFERROR(__xludf.DUMMYFUNCTION("""COMPUTED_VALUE"""),"Utzurrum")</f>
        <v>Utzurrum</v>
      </c>
      <c r="E2396" s="1" t="str">
        <f ca="1">IFERROR(__xludf.DUMMYFUNCTION("""COMPUTED_VALUE"""),"Jonathan Utzurrum")</f>
        <v>Jonathan Utzurrum</v>
      </c>
      <c r="F2396" s="1">
        <f ca="1">IFERROR(__xludf.DUMMYFUNCTION("""COMPUTED_VALUE"""),1)</f>
        <v>1</v>
      </c>
      <c r="G2396" s="1" t="str">
        <f ca="1">IFERROR(__xludf.DUMMYFUNCTION("""COMPUTED_VALUE"""),"3 mos")</f>
        <v>3 mos</v>
      </c>
      <c r="H2396" s="1" t="str">
        <f ca="1">IFERROR(__xludf.DUMMYFUNCTION("""COMPUTED_VALUE"""),"comment")</f>
        <v>comment</v>
      </c>
      <c r="I2396" s="2" t="str">
        <f ca="1">IFERROR(__xludf.DUMMYFUNCTION("""COMPUTED_VALUE"""),"https://www.facebook.com/watch/live/?ref=watch_permalink&amp;v=923735834984653")</f>
        <v>https://www.facebook.com/watch/live/?ref=watch_permalink&amp;v=923735834984653</v>
      </c>
      <c r="J2396" s="1" t="str">
        <f ca="1">IFERROR(__xludf.DUMMYFUNCTION("""COMPUTED_VALUE"""),"2022-07-04T15:49:26.539Z")</f>
        <v>2022-07-04T15:49:26.539Z</v>
      </c>
    </row>
    <row r="2397" spans="1:10" x14ac:dyDescent="0.2">
      <c r="A2397" s="2" t="str">
        <f ca="1">IFERROR(__xludf.DUMMYFUNCTION("""COMPUTED_VALUE"""),"https://www.facebook.com/alectv07")</f>
        <v>https://www.facebook.com/alectv07</v>
      </c>
      <c r="B2397" s="1" t="str">
        <f ca="1">IFERROR(__xludf.DUMMYFUNCTION("""COMPUTED_VALUE"""),"Jonathan Utzurrum")</f>
        <v>Jonathan Utzurrum</v>
      </c>
      <c r="C2397" s="1" t="str">
        <f ca="1">IFERROR(__xludf.DUMMYFUNCTION("""COMPUTED_VALUE"""),"Jonathan")</f>
        <v>Jonathan</v>
      </c>
      <c r="D2397" s="1" t="str">
        <f ca="1">IFERROR(__xludf.DUMMYFUNCTION("""COMPUTED_VALUE"""),"Utzurrum")</f>
        <v>Utzurrum</v>
      </c>
      <c r="E2397" s="1" t="str">
        <f ca="1">IFERROR(__xludf.DUMMYFUNCTION("""COMPUTED_VALUE"""),"Jonathan Utzurrum")</f>
        <v>Jonathan Utzurrum</v>
      </c>
      <c r="F2397" s="1"/>
      <c r="G2397" s="1" t="str">
        <f ca="1">IFERROR(__xludf.DUMMYFUNCTION("""COMPUTED_VALUE"""),"3 mos")</f>
        <v>3 mos</v>
      </c>
      <c r="H2397" s="1" t="str">
        <f ca="1">IFERROR(__xludf.DUMMYFUNCTION("""COMPUTED_VALUE"""),"comment")</f>
        <v>comment</v>
      </c>
      <c r="I2397" s="2" t="str">
        <f ca="1">IFERROR(__xludf.DUMMYFUNCTION("""COMPUTED_VALUE"""),"https://www.facebook.com/watch/live/?ref=watch_permalink&amp;v=923735834984653")</f>
        <v>https://www.facebook.com/watch/live/?ref=watch_permalink&amp;v=923735834984653</v>
      </c>
      <c r="J2397" s="1" t="str">
        <f ca="1">IFERROR(__xludf.DUMMYFUNCTION("""COMPUTED_VALUE"""),"2022-07-04T15:49:26.539Z")</f>
        <v>2022-07-04T15:49:26.539Z</v>
      </c>
    </row>
    <row r="2398" spans="1:10" x14ac:dyDescent="0.2">
      <c r="A2398" s="2" t="str">
        <f ca="1">IFERROR(__xludf.DUMMYFUNCTION("""COMPUTED_VALUE"""),"https://www.facebook.com/alectv07")</f>
        <v>https://www.facebook.com/alectv07</v>
      </c>
      <c r="B2398" s="1" t="str">
        <f ca="1">IFERROR(__xludf.DUMMYFUNCTION("""COMPUTED_VALUE"""),"Jonathan Utzurrum")</f>
        <v>Jonathan Utzurrum</v>
      </c>
      <c r="C2398" s="1" t="str">
        <f ca="1">IFERROR(__xludf.DUMMYFUNCTION("""COMPUTED_VALUE"""),"Jonathan")</f>
        <v>Jonathan</v>
      </c>
      <c r="D2398" s="1" t="str">
        <f ca="1">IFERROR(__xludf.DUMMYFUNCTION("""COMPUTED_VALUE"""),"Utzurrum")</f>
        <v>Utzurrum</v>
      </c>
      <c r="E2398" s="1" t="str">
        <f ca="1">IFERROR(__xludf.DUMMYFUNCTION("""COMPUTED_VALUE"""),"Jonathan Utzurrum")</f>
        <v>Jonathan Utzurrum</v>
      </c>
      <c r="F2398" s="1">
        <f ca="1">IFERROR(__xludf.DUMMYFUNCTION("""COMPUTED_VALUE"""),1)</f>
        <v>1</v>
      </c>
      <c r="G2398" s="1" t="str">
        <f ca="1">IFERROR(__xludf.DUMMYFUNCTION("""COMPUTED_VALUE"""),"3 mos")</f>
        <v>3 mos</v>
      </c>
      <c r="H2398" s="1" t="str">
        <f ca="1">IFERROR(__xludf.DUMMYFUNCTION("""COMPUTED_VALUE"""),"comment")</f>
        <v>comment</v>
      </c>
      <c r="I2398" s="2" t="str">
        <f ca="1">IFERROR(__xludf.DUMMYFUNCTION("""COMPUTED_VALUE"""),"https://www.facebook.com/watch/live/?ref=watch_permalink&amp;v=923735834984653")</f>
        <v>https://www.facebook.com/watch/live/?ref=watch_permalink&amp;v=923735834984653</v>
      </c>
      <c r="J2398" s="1" t="str">
        <f ca="1">IFERROR(__xludf.DUMMYFUNCTION("""COMPUTED_VALUE"""),"2022-07-04T15:49:26.539Z")</f>
        <v>2022-07-04T15:49:26.539Z</v>
      </c>
    </row>
    <row r="2399" spans="1:10" x14ac:dyDescent="0.2">
      <c r="A2399" s="2" t="str">
        <f ca="1">IFERROR(__xludf.DUMMYFUNCTION("""COMPUTED_VALUE"""),"https://www.facebook.com/alectv07")</f>
        <v>https://www.facebook.com/alectv07</v>
      </c>
      <c r="B2399" s="1" t="str">
        <f ca="1">IFERROR(__xludf.DUMMYFUNCTION("""COMPUTED_VALUE"""),"Jonathan Utzurrum")</f>
        <v>Jonathan Utzurrum</v>
      </c>
      <c r="C2399" s="1" t="str">
        <f ca="1">IFERROR(__xludf.DUMMYFUNCTION("""COMPUTED_VALUE"""),"Jonathan")</f>
        <v>Jonathan</v>
      </c>
      <c r="D2399" s="1" t="str">
        <f ca="1">IFERROR(__xludf.DUMMYFUNCTION("""COMPUTED_VALUE"""),"Utzurrum")</f>
        <v>Utzurrum</v>
      </c>
      <c r="E2399" s="1" t="str">
        <f ca="1">IFERROR(__xludf.DUMMYFUNCTION("""COMPUTED_VALUE"""),"Jonathan Utzurrum")</f>
        <v>Jonathan Utzurrum</v>
      </c>
      <c r="F2399" s="1"/>
      <c r="G2399" s="1" t="str">
        <f ca="1">IFERROR(__xludf.DUMMYFUNCTION("""COMPUTED_VALUE"""),"3 mos")</f>
        <v>3 mos</v>
      </c>
      <c r="H2399" s="1" t="str">
        <f ca="1">IFERROR(__xludf.DUMMYFUNCTION("""COMPUTED_VALUE"""),"comment")</f>
        <v>comment</v>
      </c>
      <c r="I2399" s="2" t="str">
        <f ca="1">IFERROR(__xludf.DUMMYFUNCTION("""COMPUTED_VALUE"""),"https://www.facebook.com/watch/live/?ref=watch_permalink&amp;v=923735834984653")</f>
        <v>https://www.facebook.com/watch/live/?ref=watch_permalink&amp;v=923735834984653</v>
      </c>
      <c r="J2399" s="1" t="str">
        <f ca="1">IFERROR(__xludf.DUMMYFUNCTION("""COMPUTED_VALUE"""),"2022-07-04T15:49:26.539Z")</f>
        <v>2022-07-04T15:49:26.539Z</v>
      </c>
    </row>
    <row r="2400" spans="1:10" x14ac:dyDescent="0.2">
      <c r="A2400" s="2" t="str">
        <f ca="1">IFERROR(__xludf.DUMMYFUNCTION("""COMPUTED_VALUE"""),"https://www.facebook.com/alectv07")</f>
        <v>https://www.facebook.com/alectv07</v>
      </c>
      <c r="B2400" s="1" t="str">
        <f ca="1">IFERROR(__xludf.DUMMYFUNCTION("""COMPUTED_VALUE"""),"Jonathan Utzurrum")</f>
        <v>Jonathan Utzurrum</v>
      </c>
      <c r="C2400" s="1" t="str">
        <f ca="1">IFERROR(__xludf.DUMMYFUNCTION("""COMPUTED_VALUE"""),"Jonathan")</f>
        <v>Jonathan</v>
      </c>
      <c r="D2400" s="1" t="str">
        <f ca="1">IFERROR(__xludf.DUMMYFUNCTION("""COMPUTED_VALUE"""),"Utzurrum")</f>
        <v>Utzurrum</v>
      </c>
      <c r="E2400" s="1" t="str">
        <f ca="1">IFERROR(__xludf.DUMMYFUNCTION("""COMPUTED_VALUE"""),"Jonathan Utzurrum")</f>
        <v>Jonathan Utzurrum</v>
      </c>
      <c r="F2400" s="1"/>
      <c r="G2400" s="1" t="str">
        <f ca="1">IFERROR(__xludf.DUMMYFUNCTION("""COMPUTED_VALUE"""),"3 mos")</f>
        <v>3 mos</v>
      </c>
      <c r="H2400" s="1" t="str">
        <f ca="1">IFERROR(__xludf.DUMMYFUNCTION("""COMPUTED_VALUE"""),"comment")</f>
        <v>comment</v>
      </c>
      <c r="I2400" s="2" t="str">
        <f ca="1">IFERROR(__xludf.DUMMYFUNCTION("""COMPUTED_VALUE"""),"https://www.facebook.com/watch/live/?ref=watch_permalink&amp;v=923735834984653")</f>
        <v>https://www.facebook.com/watch/live/?ref=watch_permalink&amp;v=923735834984653</v>
      </c>
      <c r="J2400" s="1" t="str">
        <f ca="1">IFERROR(__xludf.DUMMYFUNCTION("""COMPUTED_VALUE"""),"2022-07-04T15:49:26.539Z")</f>
        <v>2022-07-04T15:49:26.539Z</v>
      </c>
    </row>
    <row r="2401" spans="1:10" x14ac:dyDescent="0.2">
      <c r="A2401" s="2" t="str">
        <f ca="1">IFERROR(__xludf.DUMMYFUNCTION("""COMPUTED_VALUE"""),"https://www.facebook.com/jolly.p.miranda")</f>
        <v>https://www.facebook.com/jolly.p.miranda</v>
      </c>
      <c r="B2401" s="1" t="str">
        <f ca="1">IFERROR(__xludf.DUMMYFUNCTION("""COMPUTED_VALUE"""),"Jolly Panaguiton Miranda")</f>
        <v>Jolly Panaguiton Miranda</v>
      </c>
      <c r="C2401" s="1" t="str">
        <f ca="1">IFERROR(__xludf.DUMMYFUNCTION("""COMPUTED_VALUE"""),"Jolly")</f>
        <v>Jolly</v>
      </c>
      <c r="D2401" s="1" t="str">
        <f ca="1">IFERROR(__xludf.DUMMYFUNCTION("""COMPUTED_VALUE"""),"Panaguiton Miranda")</f>
        <v>Panaguiton Miranda</v>
      </c>
      <c r="E2401" s="1" t="str">
        <f ca="1">IFERROR(__xludf.DUMMYFUNCTION("""COMPUTED_VALUE"""),"May ebebenta na naman")</f>
        <v>May ebebenta na naman</v>
      </c>
      <c r="F2401" s="1">
        <f ca="1">IFERROR(__xludf.DUMMYFUNCTION("""COMPUTED_VALUE"""),1)</f>
        <v>1</v>
      </c>
      <c r="G2401" s="1" t="str">
        <f ca="1">IFERROR(__xludf.DUMMYFUNCTION("""COMPUTED_VALUE"""),"3 mos")</f>
        <v>3 mos</v>
      </c>
      <c r="H2401" s="1" t="str">
        <f ca="1">IFERROR(__xludf.DUMMYFUNCTION("""COMPUTED_VALUE"""),"comment")</f>
        <v>comment</v>
      </c>
      <c r="I2401" s="2" t="str">
        <f ca="1">IFERROR(__xludf.DUMMYFUNCTION("""COMPUTED_VALUE"""),"https://www.facebook.com/watch/live/?ref=watch_permalink&amp;v=923735834984653")</f>
        <v>https://www.facebook.com/watch/live/?ref=watch_permalink&amp;v=923735834984653</v>
      </c>
      <c r="J2401" s="1" t="str">
        <f ca="1">IFERROR(__xludf.DUMMYFUNCTION("""COMPUTED_VALUE"""),"2022-07-04T15:49:26.539Z")</f>
        <v>2022-07-04T15:49:26.539Z</v>
      </c>
    </row>
    <row r="2402" spans="1:10" x14ac:dyDescent="0.2">
      <c r="A2402" s="2" t="str">
        <f ca="1">IFERROR(__xludf.DUMMYFUNCTION("""COMPUTED_VALUE"""),"https://www.facebook.com/renzky.zerep")</f>
        <v>https://www.facebook.com/renzky.zerep</v>
      </c>
      <c r="B2402" s="1" t="str">
        <f ca="1">IFERROR(__xludf.DUMMYFUNCTION("""COMPUTED_VALUE"""),"Renzky Zerep")</f>
        <v>Renzky Zerep</v>
      </c>
      <c r="C2402" s="1" t="str">
        <f ca="1">IFERROR(__xludf.DUMMYFUNCTION("""COMPUTED_VALUE"""),"Renzky")</f>
        <v>Renzky</v>
      </c>
      <c r="D2402" s="1" t="str">
        <f ca="1">IFERROR(__xludf.DUMMYFUNCTION("""COMPUTED_VALUE"""),"Zerep")</f>
        <v>Zerep</v>
      </c>
      <c r="E2402" s="1" t="str">
        <f ca="1">IFERROR(__xludf.DUMMYFUNCTION("""COMPUTED_VALUE"""),"isko lang malakas god first")</f>
        <v>isko lang malakas god first</v>
      </c>
      <c r="F2402" s="1">
        <f ca="1">IFERROR(__xludf.DUMMYFUNCTION("""COMPUTED_VALUE"""),1)</f>
        <v>1</v>
      </c>
      <c r="G2402" s="1" t="str">
        <f ca="1">IFERROR(__xludf.DUMMYFUNCTION("""COMPUTED_VALUE"""),"3 mos")</f>
        <v>3 mos</v>
      </c>
      <c r="H2402" s="1" t="str">
        <f ca="1">IFERROR(__xludf.DUMMYFUNCTION("""COMPUTED_VALUE"""),"comment")</f>
        <v>comment</v>
      </c>
      <c r="I2402" s="2" t="str">
        <f ca="1">IFERROR(__xludf.DUMMYFUNCTION("""COMPUTED_VALUE"""),"https://www.facebook.com/watch/live/?ref=watch_permalink&amp;v=923735834984653")</f>
        <v>https://www.facebook.com/watch/live/?ref=watch_permalink&amp;v=923735834984653</v>
      </c>
      <c r="J2402" s="1" t="str">
        <f ca="1">IFERROR(__xludf.DUMMYFUNCTION("""COMPUTED_VALUE"""),"2022-07-04T15:49:26.539Z")</f>
        <v>2022-07-04T15:49:26.539Z</v>
      </c>
    </row>
    <row r="2403" spans="1:10" x14ac:dyDescent="0.2">
      <c r="A2403" s="2" t="str">
        <f ca="1">IFERROR(__xludf.DUMMYFUNCTION("""COMPUTED_VALUE"""),"https://www.facebook.com/vic.montero.9")</f>
        <v>https://www.facebook.com/vic.montero.9</v>
      </c>
      <c r="B2403" s="1" t="str">
        <f ca="1">IFERROR(__xludf.DUMMYFUNCTION("""COMPUTED_VALUE"""),"Vic Montero")</f>
        <v>Vic Montero</v>
      </c>
      <c r="C2403" s="1" t="str">
        <f ca="1">IFERROR(__xludf.DUMMYFUNCTION("""COMPUTED_VALUE"""),"Vic")</f>
        <v>Vic</v>
      </c>
      <c r="D2403" s="1" t="str">
        <f ca="1">IFERROR(__xludf.DUMMYFUNCTION("""COMPUTED_VALUE"""),"Montero")</f>
        <v>Montero</v>
      </c>
      <c r="E2403" s="1" t="str">
        <f ca="1">IFERROR(__xludf.DUMMYFUNCTION("""COMPUTED_VALUE"""),"Renzky Zerep boy benta zan")</f>
        <v>Renzky Zerep boy benta zan</v>
      </c>
      <c r="F2403" s="1">
        <f ca="1">IFERROR(__xludf.DUMMYFUNCTION("""COMPUTED_VALUE"""),1)</f>
        <v>1</v>
      </c>
      <c r="G2403" s="1" t="str">
        <f ca="1">IFERROR(__xludf.DUMMYFUNCTION("""COMPUTED_VALUE"""),"3 mos")</f>
        <v>3 mos</v>
      </c>
      <c r="H2403" s="1" t="str">
        <f ca="1">IFERROR(__xludf.DUMMYFUNCTION("""COMPUTED_VALUE"""),"reply")</f>
        <v>reply</v>
      </c>
      <c r="I2403" s="2" t="str">
        <f ca="1">IFERROR(__xludf.DUMMYFUNCTION("""COMPUTED_VALUE"""),"https://www.facebook.com/watch/live/?ref=watch_permalink&amp;v=923735834984653")</f>
        <v>https://www.facebook.com/watch/live/?ref=watch_permalink&amp;v=923735834984653</v>
      </c>
      <c r="J2403" s="1" t="str">
        <f ca="1">IFERROR(__xludf.DUMMYFUNCTION("""COMPUTED_VALUE"""),"2022-07-04T15:49:26.539Z")</f>
        <v>2022-07-04T15:49:26.539Z</v>
      </c>
    </row>
    <row r="2404" spans="1:10" x14ac:dyDescent="0.2">
      <c r="A2404" s="2" t="str">
        <f ca="1">IFERROR(__xludf.DUMMYFUNCTION("""COMPUTED_VALUE"""),"https://www.facebook.com/cherry.sarte.14")</f>
        <v>https://www.facebook.com/cherry.sarte.14</v>
      </c>
      <c r="B2404" s="1" t="str">
        <f ca="1">IFERROR(__xludf.DUMMYFUNCTION("""COMPUTED_VALUE"""),"Cherry Federico Sarte")</f>
        <v>Cherry Federico Sarte</v>
      </c>
      <c r="C2404" s="1" t="str">
        <f ca="1">IFERROR(__xludf.DUMMYFUNCTION("""COMPUTED_VALUE"""),"Cherry")</f>
        <v>Cherry</v>
      </c>
      <c r="D2404" s="1" t="str">
        <f ca="1">IFERROR(__xludf.DUMMYFUNCTION("""COMPUTED_VALUE"""),"Federico Sarte")</f>
        <v>Federico Sarte</v>
      </c>
      <c r="E2404" s="1" t="str">
        <f ca="1">IFERROR(__xludf.DUMMYFUNCTION("""COMPUTED_VALUE"""),"Zena Sarte Bueno")</f>
        <v>Zena Sarte Bueno</v>
      </c>
      <c r="F2404" s="1">
        <f ca="1">IFERROR(__xludf.DUMMYFUNCTION("""COMPUTED_VALUE"""),1)</f>
        <v>1</v>
      </c>
      <c r="G2404" s="1" t="str">
        <f ca="1">IFERROR(__xludf.DUMMYFUNCTION("""COMPUTED_VALUE"""),"3 mos")</f>
        <v>3 mos</v>
      </c>
      <c r="H2404" s="1" t="str">
        <f ca="1">IFERROR(__xludf.DUMMYFUNCTION("""COMPUTED_VALUE"""),"comment")</f>
        <v>comment</v>
      </c>
      <c r="I2404" s="2" t="str">
        <f ca="1">IFERROR(__xludf.DUMMYFUNCTION("""COMPUTED_VALUE"""),"https://www.facebook.com/watch/live/?ref=watch_permalink&amp;v=923735834984653")</f>
        <v>https://www.facebook.com/watch/live/?ref=watch_permalink&amp;v=923735834984653</v>
      </c>
      <c r="J2404" s="1" t="str">
        <f ca="1">IFERROR(__xludf.DUMMYFUNCTION("""COMPUTED_VALUE"""),"2022-07-04T15:49:26.539Z")</f>
        <v>2022-07-04T15:49:26.539Z</v>
      </c>
    </row>
    <row r="2405" spans="1:10" x14ac:dyDescent="0.2">
      <c r="A2405" s="2" t="str">
        <f ca="1">IFERROR(__xludf.DUMMYFUNCTION("""COMPUTED_VALUE"""),"https://www.facebook.com/nelia.forteza.1")</f>
        <v>https://www.facebook.com/nelia.forteza.1</v>
      </c>
      <c r="B2405" s="1" t="str">
        <f ca="1">IFERROR(__xludf.DUMMYFUNCTION("""COMPUTED_VALUE"""),"Nelia Forteza")</f>
        <v>Nelia Forteza</v>
      </c>
      <c r="C2405" s="1" t="str">
        <f ca="1">IFERROR(__xludf.DUMMYFUNCTION("""COMPUTED_VALUE"""),"Nelia")</f>
        <v>Nelia</v>
      </c>
      <c r="D2405" s="1" t="str">
        <f ca="1">IFERROR(__xludf.DUMMYFUNCTION("""COMPUTED_VALUE"""),"Forteza")</f>
        <v>Forteza</v>
      </c>
      <c r="E2405" s="1" t="str">
        <f ca="1">IFERROR(__xludf.DUMMYFUNCTION("""COMPUTED_VALUE"""),"alis mga boy ngiwi")</f>
        <v>alis mga boy ngiwi</v>
      </c>
      <c r="F2405" s="1"/>
      <c r="G2405" s="1" t="str">
        <f ca="1">IFERROR(__xludf.DUMMYFUNCTION("""COMPUTED_VALUE"""),"3 mos")</f>
        <v>3 mos</v>
      </c>
      <c r="H2405" s="1" t="str">
        <f ca="1">IFERROR(__xludf.DUMMYFUNCTION("""COMPUTED_VALUE"""),"comment")</f>
        <v>comment</v>
      </c>
      <c r="I2405" s="2" t="str">
        <f ca="1">IFERROR(__xludf.DUMMYFUNCTION("""COMPUTED_VALUE"""),"https://www.facebook.com/watch/live/?ref=watch_permalink&amp;v=923735834984653")</f>
        <v>https://www.facebook.com/watch/live/?ref=watch_permalink&amp;v=923735834984653</v>
      </c>
      <c r="J2405" s="1" t="str">
        <f ca="1">IFERROR(__xludf.DUMMYFUNCTION("""COMPUTED_VALUE"""),"2022-07-04T15:49:26.539Z")</f>
        <v>2022-07-04T15:49:26.539Z</v>
      </c>
    </row>
    <row r="2406" spans="1:10" x14ac:dyDescent="0.2">
      <c r="A2406" s="2" t="str">
        <f ca="1">IFERROR(__xludf.DUMMYFUNCTION("""COMPUTED_VALUE"""),"https://www.facebook.com/profile.php?id=100009525769322")</f>
        <v>https://www.facebook.com/profile.php?id=100009525769322</v>
      </c>
      <c r="B2406" s="1" t="str">
        <f ca="1">IFERROR(__xludf.DUMMYFUNCTION("""COMPUTED_VALUE"""),"Bogart Tragob")</f>
        <v>Bogart Tragob</v>
      </c>
      <c r="C2406" s="1" t="str">
        <f ca="1">IFERROR(__xludf.DUMMYFUNCTION("""COMPUTED_VALUE"""),"Bogart")</f>
        <v>Bogart</v>
      </c>
      <c r="D2406" s="1" t="str">
        <f ca="1">IFERROR(__xludf.DUMMYFUNCTION("""COMPUTED_VALUE"""),"Tragob")</f>
        <v>Tragob</v>
      </c>
      <c r="E2406" s="1" t="str">
        <f ca="1">IFERROR(__xludf.DUMMYFUNCTION("""COMPUTED_VALUE"""),"Pilipinas God firsr")</f>
        <v>Pilipinas God firsr</v>
      </c>
      <c r="F2406" s="1"/>
      <c r="G2406" s="1" t="str">
        <f ca="1">IFERROR(__xludf.DUMMYFUNCTION("""COMPUTED_VALUE"""),"3 mos")</f>
        <v>3 mos</v>
      </c>
      <c r="H2406" s="1" t="str">
        <f ca="1">IFERROR(__xludf.DUMMYFUNCTION("""COMPUTED_VALUE"""),"comment")</f>
        <v>comment</v>
      </c>
      <c r="I2406" s="2" t="str">
        <f ca="1">IFERROR(__xludf.DUMMYFUNCTION("""COMPUTED_VALUE"""),"https://www.facebook.com/watch/live/?ref=watch_permalink&amp;v=923735834984653")</f>
        <v>https://www.facebook.com/watch/live/?ref=watch_permalink&amp;v=923735834984653</v>
      </c>
      <c r="J2406" s="1" t="str">
        <f ca="1">IFERROR(__xludf.DUMMYFUNCTION("""COMPUTED_VALUE"""),"2022-07-04T15:49:26.539Z")</f>
        <v>2022-07-04T15:49:26.539Z</v>
      </c>
    </row>
    <row r="2407" spans="1:10" x14ac:dyDescent="0.2">
      <c r="A2407" s="2" t="str">
        <f ca="1">IFERROR(__xludf.DUMMYFUNCTION("""COMPUTED_VALUE"""),"https://www.facebook.com/nelia.forteza.1")</f>
        <v>https://www.facebook.com/nelia.forteza.1</v>
      </c>
      <c r="B2407" s="1" t="str">
        <f ca="1">IFERROR(__xludf.DUMMYFUNCTION("""COMPUTED_VALUE"""),"Nelia Forteza")</f>
        <v>Nelia Forteza</v>
      </c>
      <c r="C2407" s="1" t="str">
        <f ca="1">IFERROR(__xludf.DUMMYFUNCTION("""COMPUTED_VALUE"""),"Nelia")</f>
        <v>Nelia</v>
      </c>
      <c r="D2407" s="1" t="str">
        <f ca="1">IFERROR(__xludf.DUMMYFUNCTION("""COMPUTED_VALUE"""),"Forteza")</f>
        <v>Forteza</v>
      </c>
      <c r="E2407" s="1" t="str">
        <f ca="1">IFERROR(__xludf.DUMMYFUNCTION("""COMPUTED_VALUE"""),"mga boy ngiwi ALIS jan")</f>
        <v>mga boy ngiwi ALIS jan</v>
      </c>
      <c r="F2407" s="1">
        <f ca="1">IFERROR(__xludf.DUMMYFUNCTION("""COMPUTED_VALUE"""),1)</f>
        <v>1</v>
      </c>
      <c r="G2407" s="1" t="str">
        <f ca="1">IFERROR(__xludf.DUMMYFUNCTION("""COMPUTED_VALUE"""),"3 mos")</f>
        <v>3 mos</v>
      </c>
      <c r="H2407" s="1" t="str">
        <f ca="1">IFERROR(__xludf.DUMMYFUNCTION("""COMPUTED_VALUE"""),"comment")</f>
        <v>comment</v>
      </c>
      <c r="I2407" s="2" t="str">
        <f ca="1">IFERROR(__xludf.DUMMYFUNCTION("""COMPUTED_VALUE"""),"https://www.facebook.com/watch/live/?ref=watch_permalink&amp;v=923735834984653")</f>
        <v>https://www.facebook.com/watch/live/?ref=watch_permalink&amp;v=923735834984653</v>
      </c>
      <c r="J2407" s="1" t="str">
        <f ca="1">IFERROR(__xludf.DUMMYFUNCTION("""COMPUTED_VALUE"""),"2022-07-04T15:49:26.539Z")</f>
        <v>2022-07-04T15:49:26.539Z</v>
      </c>
    </row>
    <row r="2408" spans="1:10" x14ac:dyDescent="0.2">
      <c r="A2408" s="2" t="str">
        <f ca="1">IFERROR(__xludf.DUMMYFUNCTION("""COMPUTED_VALUE"""),"https://www.facebook.com/profile.php?id=100074054030710")</f>
        <v>https://www.facebook.com/profile.php?id=100074054030710</v>
      </c>
      <c r="B2408" s="1" t="str">
        <f ca="1">IFERROR(__xludf.DUMMYFUNCTION("""COMPUTED_VALUE"""),"Lyndell An Navarro")</f>
        <v>Lyndell An Navarro</v>
      </c>
      <c r="C2408" s="1" t="str">
        <f ca="1">IFERROR(__xludf.DUMMYFUNCTION("""COMPUTED_VALUE"""),"Lyndell")</f>
        <v>Lyndell</v>
      </c>
      <c r="D2408" s="1" t="str">
        <f ca="1">IFERROR(__xludf.DUMMYFUNCTION("""COMPUTED_VALUE"""),"An Navarro")</f>
        <v>An Navarro</v>
      </c>
      <c r="E2408" s="1" t="str">
        <f ca="1">IFERROR(__xludf.DUMMYFUNCTION("""COMPUTED_VALUE"""),"Basta belwarte nang gruop saywar lang basta di tayo papasok sa campo nila")</f>
        <v>Basta belwarte nang gruop saywar lang basta di tayo papasok sa campo nila</v>
      </c>
      <c r="F2408" s="1"/>
      <c r="G2408" s="1" t="str">
        <f ca="1">IFERROR(__xludf.DUMMYFUNCTION("""COMPUTED_VALUE"""),"3 mos")</f>
        <v>3 mos</v>
      </c>
      <c r="H2408" s="1" t="str">
        <f ca="1">IFERROR(__xludf.DUMMYFUNCTION("""COMPUTED_VALUE"""),"comment")</f>
        <v>comment</v>
      </c>
      <c r="I2408" s="2" t="str">
        <f ca="1">IFERROR(__xludf.DUMMYFUNCTION("""COMPUTED_VALUE"""),"https://www.facebook.com/watch/live/?ref=watch_permalink&amp;v=923735834984653")</f>
        <v>https://www.facebook.com/watch/live/?ref=watch_permalink&amp;v=923735834984653</v>
      </c>
      <c r="J2408" s="1" t="str">
        <f ca="1">IFERROR(__xludf.DUMMYFUNCTION("""COMPUTED_VALUE"""),"2022-07-04T15:49:26.539Z")</f>
        <v>2022-07-04T15:49:26.539Z</v>
      </c>
    </row>
    <row r="2409" spans="1:10" x14ac:dyDescent="0.2">
      <c r="A2409" s="2" t="str">
        <f ca="1">IFERROR(__xludf.DUMMYFUNCTION("""COMPUTED_VALUE"""),"https://www.facebook.com/profile.php?id=100078514241454")</f>
        <v>https://www.facebook.com/profile.php?id=100078514241454</v>
      </c>
      <c r="B2409" s="1" t="str">
        <f ca="1">IFERROR(__xludf.DUMMYFUNCTION("""COMPUTED_VALUE"""),"Blacky Yuloop")</f>
        <v>Blacky Yuloop</v>
      </c>
      <c r="C2409" s="1" t="str">
        <f ca="1">IFERROR(__xludf.DUMMYFUNCTION("""COMPUTED_VALUE"""),"Blacky")</f>
        <v>Blacky</v>
      </c>
      <c r="D2409" s="1" t="str">
        <f ca="1">IFERROR(__xludf.DUMMYFUNCTION("""COMPUTED_VALUE"""),"Yuloop")</f>
        <v>Yuloop</v>
      </c>
      <c r="E2409" s="1" t="str">
        <f ca="1">IFERROR(__xludf.DUMMYFUNCTION("""COMPUTED_VALUE"""),"first time nabaon sa utang ang manila hindi lang million, billion billion pa")</f>
        <v>first time nabaon sa utang ang manila hindi lang million, billion billion pa</v>
      </c>
      <c r="F2409" s="1"/>
      <c r="G2409" s="1" t="str">
        <f ca="1">IFERROR(__xludf.DUMMYFUNCTION("""COMPUTED_VALUE"""),"3 mos")</f>
        <v>3 mos</v>
      </c>
      <c r="H2409" s="1" t="str">
        <f ca="1">IFERROR(__xludf.DUMMYFUNCTION("""COMPUTED_VALUE"""),"comment")</f>
        <v>comment</v>
      </c>
      <c r="I2409" s="2" t="str">
        <f ca="1">IFERROR(__xludf.DUMMYFUNCTION("""COMPUTED_VALUE"""),"https://www.facebook.com/watch/live/?ref=watch_permalink&amp;v=923735834984653")</f>
        <v>https://www.facebook.com/watch/live/?ref=watch_permalink&amp;v=923735834984653</v>
      </c>
      <c r="J2409" s="1" t="str">
        <f ca="1">IFERROR(__xludf.DUMMYFUNCTION("""COMPUTED_VALUE"""),"2022-07-04T15:49:26.539Z")</f>
        <v>2022-07-04T15:49:26.539Z</v>
      </c>
    </row>
    <row r="2410" spans="1:10" x14ac:dyDescent="0.2">
      <c r="A2410" s="2" t="str">
        <f ca="1">IFERROR(__xludf.DUMMYFUNCTION("""COMPUTED_VALUE"""),"https://www.facebook.com/rhaisa.saban")</f>
        <v>https://www.facebook.com/rhaisa.saban</v>
      </c>
      <c r="B2410" s="1" t="str">
        <f ca="1">IFERROR(__xludf.DUMMYFUNCTION("""COMPUTED_VALUE"""),"Rhaisa Saban")</f>
        <v>Rhaisa Saban</v>
      </c>
      <c r="C2410" s="1" t="str">
        <f ca="1">IFERROR(__xludf.DUMMYFUNCTION("""COMPUTED_VALUE"""),"Rhaisa")</f>
        <v>Rhaisa</v>
      </c>
      <c r="D2410" s="1" t="str">
        <f ca="1">IFERROR(__xludf.DUMMYFUNCTION("""COMPUTED_VALUE"""),"Saban")</f>
        <v>Saban</v>
      </c>
      <c r="E2410" s="1" t="str">
        <f ca="1">IFERROR(__xludf.DUMMYFUNCTION("""COMPUTED_VALUE"""),"☝️☝️☝️💖💖💖💖💖☝️☝️☝️☝️")</f>
        <v>☝️☝️☝️💖💖💖💖💖☝️☝️☝️☝️</v>
      </c>
      <c r="F2410" s="1">
        <f ca="1">IFERROR(__xludf.DUMMYFUNCTION("""COMPUTED_VALUE"""),1)</f>
        <v>1</v>
      </c>
      <c r="G2410" s="1" t="str">
        <f ca="1">IFERROR(__xludf.DUMMYFUNCTION("""COMPUTED_VALUE"""),"3 mos")</f>
        <v>3 mos</v>
      </c>
      <c r="H2410" s="1" t="str">
        <f ca="1">IFERROR(__xludf.DUMMYFUNCTION("""COMPUTED_VALUE"""),"comment")</f>
        <v>comment</v>
      </c>
      <c r="I2410" s="2" t="str">
        <f ca="1">IFERROR(__xludf.DUMMYFUNCTION("""COMPUTED_VALUE"""),"https://www.facebook.com/watch/live/?ref=watch_permalink&amp;v=923735834984653")</f>
        <v>https://www.facebook.com/watch/live/?ref=watch_permalink&amp;v=923735834984653</v>
      </c>
      <c r="J2410" s="1" t="str">
        <f ca="1">IFERROR(__xludf.DUMMYFUNCTION("""COMPUTED_VALUE"""),"2022-07-04T15:49:26.539Z")</f>
        <v>2022-07-04T15:49:26.539Z</v>
      </c>
    </row>
    <row r="2411" spans="1:10" x14ac:dyDescent="0.2">
      <c r="A2411" s="2" t="str">
        <f ca="1">IFERROR(__xludf.DUMMYFUNCTION("""COMPUTED_VALUE"""),"https://www.facebook.com/mayeth.suller")</f>
        <v>https://www.facebook.com/mayeth.suller</v>
      </c>
      <c r="B2411" s="1" t="str">
        <f ca="1">IFERROR(__xludf.DUMMYFUNCTION("""COMPUTED_VALUE"""),"Mayeth Suller")</f>
        <v>Mayeth Suller</v>
      </c>
      <c r="C2411" s="1" t="str">
        <f ca="1">IFERROR(__xludf.DUMMYFUNCTION("""COMPUTED_VALUE"""),"Mayeth")</f>
        <v>Mayeth</v>
      </c>
      <c r="D2411" s="1" t="str">
        <f ca="1">IFERROR(__xludf.DUMMYFUNCTION("""COMPUTED_VALUE"""),"Suller")</f>
        <v>Suller</v>
      </c>
      <c r="E2411" s="1" t="str">
        <f ca="1">IFERROR(__xludf.DUMMYFUNCTION("""COMPUTED_VALUE"""),"👆👆👆👆👆👆👆🙏👆🙏🙏🙏🙏👆👆👆👆👆👆")</f>
        <v>👆👆👆👆👆👆👆🙏👆🙏🙏🙏🙏👆👆👆👆👆👆</v>
      </c>
      <c r="F2411" s="1">
        <f ca="1">IFERROR(__xludf.DUMMYFUNCTION("""COMPUTED_VALUE"""),1)</f>
        <v>1</v>
      </c>
      <c r="G2411" s="1" t="str">
        <f ca="1">IFERROR(__xludf.DUMMYFUNCTION("""COMPUTED_VALUE"""),"3 mos")</f>
        <v>3 mos</v>
      </c>
      <c r="H2411" s="1" t="str">
        <f ca="1">IFERROR(__xludf.DUMMYFUNCTION("""COMPUTED_VALUE"""),"comment")</f>
        <v>comment</v>
      </c>
      <c r="I2411" s="2" t="str">
        <f ca="1">IFERROR(__xludf.DUMMYFUNCTION("""COMPUTED_VALUE"""),"https://www.facebook.com/watch/live/?ref=watch_permalink&amp;v=923735834984653")</f>
        <v>https://www.facebook.com/watch/live/?ref=watch_permalink&amp;v=923735834984653</v>
      </c>
      <c r="J2411" s="1" t="str">
        <f ca="1">IFERROR(__xludf.DUMMYFUNCTION("""COMPUTED_VALUE"""),"2022-07-04T15:49:26.539Z")</f>
        <v>2022-07-04T15:49:26.539Z</v>
      </c>
    </row>
    <row r="2412" spans="1:10" x14ac:dyDescent="0.2">
      <c r="A2412" s="2" t="str">
        <f ca="1">IFERROR(__xludf.DUMMYFUNCTION("""COMPUTED_VALUE"""),"https://www.facebook.com/MarjunRPh")</f>
        <v>https://www.facebook.com/MarjunRPh</v>
      </c>
      <c r="B2412" s="1" t="str">
        <f ca="1">IFERROR(__xludf.DUMMYFUNCTION("""COMPUTED_VALUE"""),"Marjun Aringo")</f>
        <v>Marjun Aringo</v>
      </c>
      <c r="C2412" s="1" t="str">
        <f ca="1">IFERROR(__xludf.DUMMYFUNCTION("""COMPUTED_VALUE"""),"Marjun")</f>
        <v>Marjun</v>
      </c>
      <c r="D2412" s="1" t="str">
        <f ca="1">IFERROR(__xludf.DUMMYFUNCTION("""COMPUTED_VALUE"""),"Aringo")</f>
        <v>Aringo</v>
      </c>
      <c r="E2412" s="1" t="str">
        <f ca="1">IFERROR(__xludf.DUMMYFUNCTION("""COMPUTED_VALUE"""),"#divosiria")</f>
        <v>#divosiria</v>
      </c>
      <c r="F2412" s="1">
        <f ca="1">IFERROR(__xludf.DUMMYFUNCTION("""COMPUTED_VALUE"""),2)</f>
        <v>2</v>
      </c>
      <c r="G2412" s="1" t="str">
        <f ca="1">IFERROR(__xludf.DUMMYFUNCTION("""COMPUTED_VALUE"""),"3 mos")</f>
        <v>3 mos</v>
      </c>
      <c r="H2412" s="1" t="str">
        <f ca="1">IFERROR(__xludf.DUMMYFUNCTION("""COMPUTED_VALUE"""),"comment")</f>
        <v>comment</v>
      </c>
      <c r="I2412" s="2" t="str">
        <f ca="1">IFERROR(__xludf.DUMMYFUNCTION("""COMPUTED_VALUE"""),"https://www.facebook.com/watch/live/?ref=watch_permalink&amp;v=923735834984653")</f>
        <v>https://www.facebook.com/watch/live/?ref=watch_permalink&amp;v=923735834984653</v>
      </c>
      <c r="J2412" s="1" t="str">
        <f ca="1">IFERROR(__xludf.DUMMYFUNCTION("""COMPUTED_VALUE"""),"2022-07-04T15:49:26.539Z")</f>
        <v>2022-07-04T15:49:26.539Z</v>
      </c>
    </row>
    <row r="2413" spans="1:10" x14ac:dyDescent="0.2">
      <c r="A2413" s="2" t="str">
        <f ca="1">IFERROR(__xludf.DUMMYFUNCTION("""COMPUTED_VALUE"""),"https://www.facebook.com/emerald.pieris")</f>
        <v>https://www.facebook.com/emerald.pieris</v>
      </c>
      <c r="B2413" s="1" t="str">
        <f ca="1">IFERROR(__xludf.DUMMYFUNCTION("""COMPUTED_VALUE"""),"Emerald Pieris")</f>
        <v>Emerald Pieris</v>
      </c>
      <c r="C2413" s="1" t="str">
        <f ca="1">IFERROR(__xludf.DUMMYFUNCTION("""COMPUTED_VALUE"""),"Emerald")</f>
        <v>Emerald</v>
      </c>
      <c r="D2413" s="1" t="str">
        <f ca="1">IFERROR(__xludf.DUMMYFUNCTION("""COMPUTED_VALUE"""),"Pieris")</f>
        <v>Pieris</v>
      </c>
      <c r="E2413" s="1" t="str">
        <f ca="1">IFERROR(__xludf.DUMMYFUNCTION("""COMPUTED_VALUE"""),"Interview din kasi si erap ask nyo sa anak nya Kung saan sya unitae team anak nun db? 😂Sabihin nyo Kay blogger Mike abe")</f>
        <v>Interview din kasi si erap ask nyo sa anak nya Kung saan sya unitae team anak nun db? 😂Sabihin nyo Kay blogger Mike abe</v>
      </c>
      <c r="F2413" s="1"/>
      <c r="G2413" s="1" t="str">
        <f ca="1">IFERROR(__xludf.DUMMYFUNCTION("""COMPUTED_VALUE"""),"3 mos")</f>
        <v>3 mos</v>
      </c>
      <c r="H2413" s="1" t="str">
        <f ca="1">IFERROR(__xludf.DUMMYFUNCTION("""COMPUTED_VALUE"""),"reply")</f>
        <v>reply</v>
      </c>
      <c r="I2413" s="2" t="str">
        <f ca="1">IFERROR(__xludf.DUMMYFUNCTION("""COMPUTED_VALUE"""),"https://www.facebook.com/watch/live/?ref=watch_permalink&amp;v=923735834984653")</f>
        <v>https://www.facebook.com/watch/live/?ref=watch_permalink&amp;v=923735834984653</v>
      </c>
      <c r="J2413" s="1" t="str">
        <f ca="1">IFERROR(__xludf.DUMMYFUNCTION("""COMPUTED_VALUE"""),"2022-07-04T15:49:26.539Z")</f>
        <v>2022-07-04T15:49:26.539Z</v>
      </c>
    </row>
    <row r="2414" spans="1:10" x14ac:dyDescent="0.2">
      <c r="A2414" s="2" t="str">
        <f ca="1">IFERROR(__xludf.DUMMYFUNCTION("""COMPUTED_VALUE"""),"https://www.facebook.com/mayde.torillo")</f>
        <v>https://www.facebook.com/mayde.torillo</v>
      </c>
      <c r="B2414" s="1" t="str">
        <f ca="1">IFERROR(__xludf.DUMMYFUNCTION("""COMPUTED_VALUE"""),"Mayde Cas Tori")</f>
        <v>Mayde Cas Tori</v>
      </c>
      <c r="C2414" s="1" t="str">
        <f ca="1">IFERROR(__xludf.DUMMYFUNCTION("""COMPUTED_VALUE"""),"Mayde")</f>
        <v>Mayde</v>
      </c>
      <c r="D2414" s="1" t="str">
        <f ca="1">IFERROR(__xludf.DUMMYFUNCTION("""COMPUTED_VALUE"""),"Cas Tori")</f>
        <v>Cas Tori</v>
      </c>
      <c r="E2414" s="1" t="str">
        <f ca="1">IFERROR(__xludf.DUMMYFUNCTION("""COMPUTED_VALUE"""),"Yorme lang totoong tao..")</f>
        <v>Yorme lang totoong tao..</v>
      </c>
      <c r="F2414" s="1"/>
      <c r="G2414" s="1" t="str">
        <f ca="1">IFERROR(__xludf.DUMMYFUNCTION("""COMPUTED_VALUE"""),"3 mos")</f>
        <v>3 mos</v>
      </c>
      <c r="H2414" s="1" t="str">
        <f ca="1">IFERROR(__xludf.DUMMYFUNCTION("""COMPUTED_VALUE"""),"comment")</f>
        <v>comment</v>
      </c>
      <c r="I2414" s="2" t="str">
        <f ca="1">IFERROR(__xludf.DUMMYFUNCTION("""COMPUTED_VALUE"""),"https://www.facebook.com/watch/live/?ref=watch_permalink&amp;v=923735834984653")</f>
        <v>https://www.facebook.com/watch/live/?ref=watch_permalink&amp;v=923735834984653</v>
      </c>
      <c r="J2414" s="1" t="str">
        <f ca="1">IFERROR(__xludf.DUMMYFUNCTION("""COMPUTED_VALUE"""),"2022-07-04T15:49:26.539Z")</f>
        <v>2022-07-04T15:49:26.539Z</v>
      </c>
    </row>
    <row r="2415" spans="1:10" x14ac:dyDescent="0.2">
      <c r="A2415" s="2" t="str">
        <f ca="1">IFERROR(__xludf.DUMMYFUNCTION("""COMPUTED_VALUE"""),"https://www.facebook.com/profile.php?id=100011572841614")</f>
        <v>https://www.facebook.com/profile.php?id=100011572841614</v>
      </c>
      <c r="B2415" s="1" t="str">
        <f ca="1">IFERROR(__xludf.DUMMYFUNCTION("""COMPUTED_VALUE"""),"Aprilrose Pabillo Cabral")</f>
        <v>Aprilrose Pabillo Cabral</v>
      </c>
      <c r="C2415" s="1" t="str">
        <f ca="1">IFERROR(__xludf.DUMMYFUNCTION("""COMPUTED_VALUE"""),"Aprilrose")</f>
        <v>Aprilrose</v>
      </c>
      <c r="D2415" s="1" t="str">
        <f ca="1">IFERROR(__xludf.DUMMYFUNCTION("""COMPUTED_VALUE"""),"Pabillo Cabral")</f>
        <v>Pabillo Cabral</v>
      </c>
      <c r="E2415" s="1" t="str">
        <f ca="1">IFERROR(__xludf.DUMMYFUNCTION("""COMPUTED_VALUE"""),"☝️💙💙💙💙💙💙☝️☝️☝️☝️💙☝️")</f>
        <v>☝️💙💙💙💙💙💙☝️☝️☝️☝️💙☝️</v>
      </c>
      <c r="F2415" s="1"/>
      <c r="G2415" s="1" t="str">
        <f ca="1">IFERROR(__xludf.DUMMYFUNCTION("""COMPUTED_VALUE"""),"3 mos")</f>
        <v>3 mos</v>
      </c>
      <c r="H2415" s="1" t="str">
        <f ca="1">IFERROR(__xludf.DUMMYFUNCTION("""COMPUTED_VALUE"""),"comment")</f>
        <v>comment</v>
      </c>
      <c r="I2415" s="2" t="str">
        <f ca="1">IFERROR(__xludf.DUMMYFUNCTION("""COMPUTED_VALUE"""),"https://www.facebook.com/watch/live/?ref=watch_permalink&amp;v=923735834984653")</f>
        <v>https://www.facebook.com/watch/live/?ref=watch_permalink&amp;v=923735834984653</v>
      </c>
      <c r="J2415" s="1" t="str">
        <f ca="1">IFERROR(__xludf.DUMMYFUNCTION("""COMPUTED_VALUE"""),"2022-07-04T15:49:26.539Z")</f>
        <v>2022-07-04T15:49:26.539Z</v>
      </c>
    </row>
    <row r="2416" spans="1:10" x14ac:dyDescent="0.2">
      <c r="A2416" s="2" t="str">
        <f ca="1">IFERROR(__xludf.DUMMYFUNCTION("""COMPUTED_VALUE"""),"https://www.facebook.com/randy.b.auxtero")</f>
        <v>https://www.facebook.com/randy.b.auxtero</v>
      </c>
      <c r="B2416" s="1" t="str">
        <f ca="1">IFERROR(__xludf.DUMMYFUNCTION("""COMPUTED_VALUE"""),"Rhanz Boquila Auxtero")</f>
        <v>Rhanz Boquila Auxtero</v>
      </c>
      <c r="C2416" s="1" t="str">
        <f ca="1">IFERROR(__xludf.DUMMYFUNCTION("""COMPUTED_VALUE"""),"Rhanz")</f>
        <v>Rhanz</v>
      </c>
      <c r="D2416" s="1" t="str">
        <f ca="1">IFERROR(__xludf.DUMMYFUNCTION("""COMPUTED_VALUE"""),"Boquila Auxtero")</f>
        <v>Boquila Auxtero</v>
      </c>
      <c r="E2416" s="1" t="str">
        <f ca="1">IFERROR(__xludf.DUMMYFUNCTION("""COMPUTED_VALUE"""),"☝️☝️☝️")</f>
        <v>☝️☝️☝️</v>
      </c>
      <c r="F2416" s="1"/>
      <c r="G2416" s="1" t="str">
        <f ca="1">IFERROR(__xludf.DUMMYFUNCTION("""COMPUTED_VALUE"""),"3 mos")</f>
        <v>3 mos</v>
      </c>
      <c r="H2416" s="1" t="str">
        <f ca="1">IFERROR(__xludf.DUMMYFUNCTION("""COMPUTED_VALUE"""),"comment")</f>
        <v>comment</v>
      </c>
      <c r="I2416" s="2" t="str">
        <f ca="1">IFERROR(__xludf.DUMMYFUNCTION("""COMPUTED_VALUE"""),"https://www.facebook.com/watch/live/?ref=watch_permalink&amp;v=923735834984653")</f>
        <v>https://www.facebook.com/watch/live/?ref=watch_permalink&amp;v=923735834984653</v>
      </c>
      <c r="J2416" s="1" t="str">
        <f ca="1">IFERROR(__xludf.DUMMYFUNCTION("""COMPUTED_VALUE"""),"2022-07-04T15:49:26.539Z")</f>
        <v>2022-07-04T15:49:26.539Z</v>
      </c>
    </row>
    <row r="2417" spans="1:10" x14ac:dyDescent="0.2">
      <c r="A2417" s="2" t="str">
        <f ca="1">IFERROR(__xludf.DUMMYFUNCTION("""COMPUTED_VALUE"""),"https://www.facebook.com/danica.ucillos.90")</f>
        <v>https://www.facebook.com/danica.ucillos.90</v>
      </c>
      <c r="B2417" s="1" t="str">
        <f ca="1">IFERROR(__xludf.DUMMYFUNCTION("""COMPUTED_VALUE"""),"Danica Ucillos")</f>
        <v>Danica Ucillos</v>
      </c>
      <c r="C2417" s="1" t="str">
        <f ca="1">IFERROR(__xludf.DUMMYFUNCTION("""COMPUTED_VALUE"""),"Danica")</f>
        <v>Danica</v>
      </c>
      <c r="D2417" s="1" t="str">
        <f ca="1">IFERROR(__xludf.DUMMYFUNCTION("""COMPUTED_VALUE"""),"Ucillos")</f>
        <v>Ucillos</v>
      </c>
      <c r="E2417" s="1" t="str">
        <f ca="1">IFERROR(__xludf.DUMMYFUNCTION("""COMPUTED_VALUE"""),"Benta boy")</f>
        <v>Benta boy</v>
      </c>
      <c r="F2417" s="1"/>
      <c r="G2417" s="1" t="str">
        <f ca="1">IFERROR(__xludf.DUMMYFUNCTION("""COMPUTED_VALUE"""),"3 mos")</f>
        <v>3 mos</v>
      </c>
      <c r="H2417" s="1" t="str">
        <f ca="1">IFERROR(__xludf.DUMMYFUNCTION("""COMPUTED_VALUE"""),"comment")</f>
        <v>comment</v>
      </c>
      <c r="I2417" s="2" t="str">
        <f ca="1">IFERROR(__xludf.DUMMYFUNCTION("""COMPUTED_VALUE"""),"https://www.facebook.com/watch/live/?ref=watch_permalink&amp;v=923735834984653")</f>
        <v>https://www.facebook.com/watch/live/?ref=watch_permalink&amp;v=923735834984653</v>
      </c>
      <c r="J2417" s="1" t="str">
        <f ca="1">IFERROR(__xludf.DUMMYFUNCTION("""COMPUTED_VALUE"""),"2022-07-04T15:49:26.539Z")</f>
        <v>2022-07-04T15:49:26.539Z</v>
      </c>
    </row>
    <row r="2418" spans="1:10" x14ac:dyDescent="0.2">
      <c r="A2418" s="2" t="str">
        <f ca="1">IFERROR(__xludf.DUMMYFUNCTION("""COMPUTED_VALUE"""),"https://www.facebook.com/gilbey.huisken")</f>
        <v>https://www.facebook.com/gilbey.huisken</v>
      </c>
      <c r="B2418" s="1" t="str">
        <f ca="1">IFERROR(__xludf.DUMMYFUNCTION("""COMPUTED_VALUE"""),"Gilbz Huisken")</f>
        <v>Gilbz Huisken</v>
      </c>
      <c r="C2418" s="1" t="str">
        <f ca="1">IFERROR(__xludf.DUMMYFUNCTION("""COMPUTED_VALUE"""),"Gilbz")</f>
        <v>Gilbz</v>
      </c>
      <c r="D2418" s="1" t="str">
        <f ca="1">IFERROR(__xludf.DUMMYFUNCTION("""COMPUTED_VALUE"""),"Huisken")</f>
        <v>Huisken</v>
      </c>
      <c r="E2418" s="1" t="str">
        <f ca="1">IFERROR(__xludf.DUMMYFUNCTION("""COMPUTED_VALUE"""),"👏")</f>
        <v>👏</v>
      </c>
      <c r="F2418" s="1"/>
      <c r="G2418" s="1" t="str">
        <f ca="1">IFERROR(__xludf.DUMMYFUNCTION("""COMPUTED_VALUE"""),"3 mos")</f>
        <v>3 mos</v>
      </c>
      <c r="H2418" s="1" t="str">
        <f ca="1">IFERROR(__xludf.DUMMYFUNCTION("""COMPUTED_VALUE"""),"comment")</f>
        <v>comment</v>
      </c>
      <c r="I2418" s="2" t="str">
        <f ca="1">IFERROR(__xludf.DUMMYFUNCTION("""COMPUTED_VALUE"""),"https://www.facebook.com/watch/live/?ref=watch_permalink&amp;v=923735834984653")</f>
        <v>https://www.facebook.com/watch/live/?ref=watch_permalink&amp;v=923735834984653</v>
      </c>
      <c r="J2418" s="1" t="str">
        <f ca="1">IFERROR(__xludf.DUMMYFUNCTION("""COMPUTED_VALUE"""),"2022-07-04T15:49:26.539Z")</f>
        <v>2022-07-04T15:49:26.539Z</v>
      </c>
    </row>
    <row r="2419" spans="1:10" x14ac:dyDescent="0.2">
      <c r="A2419" s="2" t="str">
        <f ca="1">IFERROR(__xludf.DUMMYFUNCTION("""COMPUTED_VALUE"""),"https://www.facebook.com/profile.php?id=100074054030710")</f>
        <v>https://www.facebook.com/profile.php?id=100074054030710</v>
      </c>
      <c r="B2419" s="1" t="str">
        <f ca="1">IFERROR(__xludf.DUMMYFUNCTION("""COMPUTED_VALUE"""),"Lyndell An Navarro")</f>
        <v>Lyndell An Navarro</v>
      </c>
      <c r="C2419" s="1" t="str">
        <f ca="1">IFERROR(__xludf.DUMMYFUNCTION("""COMPUTED_VALUE"""),"Lyndell")</f>
        <v>Lyndell</v>
      </c>
      <c r="D2419" s="1" t="str">
        <f ca="1">IFERROR(__xludf.DUMMYFUNCTION("""COMPUTED_VALUE"""),"An Navarro")</f>
        <v>An Navarro</v>
      </c>
      <c r="E2419" s="1" t="str">
        <f ca="1">IFERROR(__xludf.DUMMYFUNCTION("""COMPUTED_VALUE"""),"Pag binastos ka idol. Babanatan ko sila")</f>
        <v>Pag binastos ka idol. Babanatan ko sila</v>
      </c>
      <c r="F2419" s="1"/>
      <c r="G2419" s="1" t="str">
        <f ca="1">IFERROR(__xludf.DUMMYFUNCTION("""COMPUTED_VALUE"""),"3 mos")</f>
        <v>3 mos</v>
      </c>
      <c r="H2419" s="1" t="str">
        <f ca="1">IFERROR(__xludf.DUMMYFUNCTION("""COMPUTED_VALUE"""),"comment")</f>
        <v>comment</v>
      </c>
      <c r="I2419" s="2" t="str">
        <f ca="1">IFERROR(__xludf.DUMMYFUNCTION("""COMPUTED_VALUE"""),"https://www.facebook.com/watch/live/?ref=watch_permalink&amp;v=923735834984653")</f>
        <v>https://www.facebook.com/watch/live/?ref=watch_permalink&amp;v=923735834984653</v>
      </c>
      <c r="J2419" s="1" t="str">
        <f ca="1">IFERROR(__xludf.DUMMYFUNCTION("""COMPUTED_VALUE"""),"2022-07-04T15:49:26.539Z")</f>
        <v>2022-07-04T15:49:26.539Z</v>
      </c>
    </row>
    <row r="2420" spans="1:10" x14ac:dyDescent="0.2">
      <c r="A2420" s="2" t="str">
        <f ca="1">IFERROR(__xludf.DUMMYFUNCTION("""COMPUTED_VALUE"""),"https://www.facebook.com/ryan.vandolf")</f>
        <v>https://www.facebook.com/ryan.vandolf</v>
      </c>
      <c r="B2420" s="1" t="str">
        <f ca="1">IFERROR(__xludf.DUMMYFUNCTION("""COMPUTED_VALUE"""),"Ryan Vandolf")</f>
        <v>Ryan Vandolf</v>
      </c>
      <c r="C2420" s="1" t="str">
        <f ca="1">IFERROR(__xludf.DUMMYFUNCTION("""COMPUTED_VALUE"""),"Ryan")</f>
        <v>Ryan</v>
      </c>
      <c r="D2420" s="1" t="str">
        <f ca="1">IFERROR(__xludf.DUMMYFUNCTION("""COMPUTED_VALUE"""),"Vandolf")</f>
        <v>Vandolf</v>
      </c>
      <c r="E2420" s="1" t="str">
        <f ca="1">IFERROR(__xludf.DUMMYFUNCTION("""COMPUTED_VALUE"""),"boy benta")</f>
        <v>boy benta</v>
      </c>
      <c r="F2420" s="1"/>
      <c r="G2420" s="1" t="str">
        <f ca="1">IFERROR(__xludf.DUMMYFUNCTION("""COMPUTED_VALUE"""),"3 mos")</f>
        <v>3 mos</v>
      </c>
      <c r="H2420" s="1" t="str">
        <f ca="1">IFERROR(__xludf.DUMMYFUNCTION("""COMPUTED_VALUE"""),"comment")</f>
        <v>comment</v>
      </c>
      <c r="I2420" s="2" t="str">
        <f ca="1">IFERROR(__xludf.DUMMYFUNCTION("""COMPUTED_VALUE"""),"https://www.facebook.com/watch/live/?ref=watch_permalink&amp;v=923735834984653")</f>
        <v>https://www.facebook.com/watch/live/?ref=watch_permalink&amp;v=923735834984653</v>
      </c>
      <c r="J2420" s="1" t="str">
        <f ca="1">IFERROR(__xludf.DUMMYFUNCTION("""COMPUTED_VALUE"""),"2022-07-04T15:49:26.539Z")</f>
        <v>2022-07-04T15:49:26.539Z</v>
      </c>
    </row>
    <row r="2421" spans="1:10" x14ac:dyDescent="0.2">
      <c r="A2421" s="2" t="str">
        <f ca="1">IFERROR(__xludf.DUMMYFUNCTION("""COMPUTED_VALUE"""),"https://www.facebook.com/irene.bolano.56")</f>
        <v>https://www.facebook.com/irene.bolano.56</v>
      </c>
      <c r="B2421" s="1" t="str">
        <f ca="1">IFERROR(__xludf.DUMMYFUNCTION("""COMPUTED_VALUE"""),"Ren BoLaño")</f>
        <v>Ren BoLaño</v>
      </c>
      <c r="C2421" s="1" t="str">
        <f ca="1">IFERROR(__xludf.DUMMYFUNCTION("""COMPUTED_VALUE"""),"Ren")</f>
        <v>Ren</v>
      </c>
      <c r="D2421" s="1" t="str">
        <f ca="1">IFERROR(__xludf.DUMMYFUNCTION("""COMPUTED_VALUE"""),"BoLaño")</f>
        <v>BoLaño</v>
      </c>
      <c r="E2421" s="1" t="str">
        <f ca="1">IFERROR(__xludf.DUMMYFUNCTION("""COMPUTED_VALUE"""),"Basta poh ako cgurado sa TGP Partylist #30 sa balota subok na may nagawa at me magagawa pa sa President sino ba talaga dun sa may napatunayan na me nagawa sa mga nagdaan nilang panunungkulan maging mabusisi tayo wag basta babasi sa salita pagkat lahat ng "&amp;"kandidato me mgagandang pangako matatamis n pananalita...👀maging mapagmatyag poh tayo at alalahanin ang mga nkaraan kabanata ng buhay sino o kanino nyo nakikita ang tunay na pagbabago...wag kalilimutan TGP partylist poh #30 sa balota..loveyou all mga kab"&amp;"abayan.💙❤️💙")</f>
        <v>Basta poh ako cgurado sa TGP Partylist #30 sa balota subok na may nagawa at me magagawa pa sa President sino ba talaga dun sa may napatunayan na me nagawa sa mga nagdaan nilang panunungkulan maging mabusisi tayo wag basta babasi sa salita pagkat lahat ng kandidato me mgagandang pangako matatamis n pananalita...👀maging mapagmatyag poh tayo at alalahanin ang mga nkaraan kabanata ng buhay sino o kanino nyo nakikita ang tunay na pagbabago...wag kalilimutan TGP partylist poh #30 sa balota..loveyou all mga kababayan.💙❤️💙</v>
      </c>
      <c r="F2421" s="1">
        <f ca="1">IFERROR(__xludf.DUMMYFUNCTION("""COMPUTED_VALUE"""),1)</f>
        <v>1</v>
      </c>
      <c r="G2421" s="1" t="str">
        <f ca="1">IFERROR(__xludf.DUMMYFUNCTION("""COMPUTED_VALUE"""),"3 mos")</f>
        <v>3 mos</v>
      </c>
      <c r="H2421" s="1" t="str">
        <f ca="1">IFERROR(__xludf.DUMMYFUNCTION("""COMPUTED_VALUE"""),"comment")</f>
        <v>comment</v>
      </c>
      <c r="I2421" s="2" t="str">
        <f ca="1">IFERROR(__xludf.DUMMYFUNCTION("""COMPUTED_VALUE"""),"https://www.facebook.com/watch/live/?ref=watch_permalink&amp;v=923735834984653")</f>
        <v>https://www.facebook.com/watch/live/?ref=watch_permalink&amp;v=923735834984653</v>
      </c>
      <c r="J2421" s="1" t="str">
        <f ca="1">IFERROR(__xludf.DUMMYFUNCTION("""COMPUTED_VALUE"""),"2022-07-04T15:49:26.539Z")</f>
        <v>2022-07-04T15:49:26.539Z</v>
      </c>
    </row>
    <row r="2422" spans="1:10" x14ac:dyDescent="0.2">
      <c r="A2422" s="2" t="str">
        <f ca="1">IFERROR(__xludf.DUMMYFUNCTION("""COMPUTED_VALUE"""),"https://www.facebook.com/danisley.casalme.7")</f>
        <v>https://www.facebook.com/danisley.casalme.7</v>
      </c>
      <c r="B2422" s="1" t="str">
        <f ca="1">IFERROR(__xludf.DUMMYFUNCTION("""COMPUTED_VALUE"""),"Dan Isley Casalme")</f>
        <v>Dan Isley Casalme</v>
      </c>
      <c r="C2422" s="1" t="str">
        <f ca="1">IFERROR(__xludf.DUMMYFUNCTION("""COMPUTED_VALUE"""),"Dan")</f>
        <v>Dan</v>
      </c>
      <c r="D2422" s="1" t="str">
        <f ca="1">IFERROR(__xludf.DUMMYFUNCTION("""COMPUTED_VALUE"""),"Isley Casalme")</f>
        <v>Isley Casalme</v>
      </c>
      <c r="E2422" s="1" t="str">
        <f ca="1">IFERROR(__xludf.DUMMYFUNCTION("""COMPUTED_VALUE"""),"kahit di ka manalo yorme ikaw pa rin ang presidente ko,kasi kung sila ang magiging presidente magpupunyagi na naman ang mayayaman tama na sila pinaiikot lang tayong mga mahihirap kayong mayayaman tigilan nyo na ang pagsuporta sa mga politikong mag papaunl"&amp;"ad sa inyo kaya walang mangayari sa pilipinas dahil sa inyong mayayaman puro kayo na lang ang pinapapaboran ng mga presidente,di iboboto yan si yorme kasi kawawa naman ang mayayaman di na sila makaporma mababawasan na ang kayamanan nila kapag isko na ang "&amp;"presidente😀😀😀☝️☝️☝️")</f>
        <v>kahit di ka manalo yorme ikaw pa rin ang presidente ko,kasi kung sila ang magiging presidente magpupunyagi na naman ang mayayaman tama na sila pinaiikot lang tayong mga mahihirap kayong mayayaman tigilan nyo na ang pagsuporta sa mga politikong mag papaunlad sa inyo kaya walang mangayari sa pilipinas dahil sa inyong mayayaman puro kayo na lang ang pinapapaboran ng mga presidente,di iboboto yan si yorme kasi kawawa naman ang mayayaman di na sila makaporma mababawasan na ang kayamanan nila kapag isko na ang presidente😀😀😀☝️☝️☝️</v>
      </c>
      <c r="F2422" s="1"/>
      <c r="G2422" s="1" t="str">
        <f ca="1">IFERROR(__xludf.DUMMYFUNCTION("""COMPUTED_VALUE"""),"3 mos")</f>
        <v>3 mos</v>
      </c>
      <c r="H2422" s="1" t="str">
        <f ca="1">IFERROR(__xludf.DUMMYFUNCTION("""COMPUTED_VALUE"""),"comment")</f>
        <v>comment</v>
      </c>
      <c r="I2422" s="2" t="str">
        <f ca="1">IFERROR(__xludf.DUMMYFUNCTION("""COMPUTED_VALUE"""),"https://www.facebook.com/watch/live/?ref=watch_permalink&amp;v=923735834984653")</f>
        <v>https://www.facebook.com/watch/live/?ref=watch_permalink&amp;v=923735834984653</v>
      </c>
      <c r="J2422" s="1" t="str">
        <f ca="1">IFERROR(__xludf.DUMMYFUNCTION("""COMPUTED_VALUE"""),"2022-07-04T15:49:26.539Z")</f>
        <v>2022-07-04T15:49:26.539Z</v>
      </c>
    </row>
    <row r="2423" spans="1:10" x14ac:dyDescent="0.2">
      <c r="A2423" s="2" t="str">
        <f ca="1">IFERROR(__xludf.DUMMYFUNCTION("""COMPUTED_VALUE"""),"https://www.facebook.com/leony.dumantay")</f>
        <v>https://www.facebook.com/leony.dumantay</v>
      </c>
      <c r="B2423" s="1" t="str">
        <f ca="1">IFERROR(__xludf.DUMMYFUNCTION("""COMPUTED_VALUE"""),"Leony Dumantay")</f>
        <v>Leony Dumantay</v>
      </c>
      <c r="C2423" s="1" t="str">
        <f ca="1">IFERROR(__xludf.DUMMYFUNCTION("""COMPUTED_VALUE"""),"Leony")</f>
        <v>Leony</v>
      </c>
      <c r="D2423" s="1" t="str">
        <f ca="1">IFERROR(__xludf.DUMMYFUNCTION("""COMPUTED_VALUE"""),"Dumantay")</f>
        <v>Dumantay</v>
      </c>
      <c r="E2423" s="1" t="str">
        <f ca="1">IFERROR(__xludf.DUMMYFUNCTION("""COMPUTED_VALUE"""),"Isko is my First Choice..Isko has a heart to his fellowmen.. Pantay syang tumingin..In my life natutukan ko si Yorme Isko ng sya ay maraming nagawa sa Maynila. .Bagamat sa Maynila ako naging bata, nag aral noon ay naibalik nya ang Ganda ng Maynila..Ngayon"&amp;" Senior na ako may Awa ang Dios mkatira uli sa Maynila..Bilang nsa huling Yugto ng aming buhay, naway sa tulong ng Dios ay manalo ka po Isko...hangad namin ang iyong Tagumpay..d man nyo kilala na isa rin katulad mo na nkaranas ng hirap sa aking kabataan.."&amp;"Dito lang ako patuloy na mananalangin sa iyo..Manalo ka nawa sa Pangalan ni Jesus..")</f>
        <v>Isko is my First Choice..Isko has a heart to his fellowmen.. Pantay syang tumingin..In my life natutukan ko si Yorme Isko ng sya ay maraming nagawa sa Maynila. .Bagamat sa Maynila ako naging bata, nag aral noon ay naibalik nya ang Ganda ng Maynila..Ngayon Senior na ako may Awa ang Dios mkatira uli sa Maynila..Bilang nsa huling Yugto ng aming buhay, naway sa tulong ng Dios ay manalo ka po Isko...hangad namin ang iyong Tagumpay..d man nyo kilala na isa rin katulad mo na nkaranas ng hirap sa aking kabataan..Dito lang ako patuloy na mananalangin sa iyo..Manalo ka nawa sa Pangalan ni Jesus..</v>
      </c>
      <c r="F2423" s="1">
        <f ca="1">IFERROR(__xludf.DUMMYFUNCTION("""COMPUTED_VALUE"""),1)</f>
        <v>1</v>
      </c>
      <c r="G2423" s="1" t="str">
        <f ca="1">IFERROR(__xludf.DUMMYFUNCTION("""COMPUTED_VALUE"""),"3 mos")</f>
        <v>3 mos</v>
      </c>
      <c r="H2423" s="1" t="str">
        <f ca="1">IFERROR(__xludf.DUMMYFUNCTION("""COMPUTED_VALUE"""),"comment")</f>
        <v>comment</v>
      </c>
      <c r="I2423" s="2" t="str">
        <f ca="1">IFERROR(__xludf.DUMMYFUNCTION("""COMPUTED_VALUE"""),"https://www.facebook.com/watch/live/?ref=watch_permalink&amp;v=923735834984653")</f>
        <v>https://www.facebook.com/watch/live/?ref=watch_permalink&amp;v=923735834984653</v>
      </c>
      <c r="J2423" s="1" t="str">
        <f ca="1">IFERROR(__xludf.DUMMYFUNCTION("""COMPUTED_VALUE"""),"2022-07-04T15:49:26.540Z")</f>
        <v>2022-07-04T15:49:26.540Z</v>
      </c>
    </row>
    <row r="2424" spans="1:10" x14ac:dyDescent="0.2">
      <c r="A2424" s="2" t="str">
        <f ca="1">IFERROR(__xludf.DUMMYFUNCTION("""COMPUTED_VALUE"""),"https://www.facebook.com/profile.php?id=100075363020565")</f>
        <v>https://www.facebook.com/profile.php?id=100075363020565</v>
      </c>
      <c r="B2424" s="1" t="str">
        <f ca="1">IFERROR(__xludf.DUMMYFUNCTION("""COMPUTED_VALUE"""),"Ariel Telap")</f>
        <v>Ariel Telap</v>
      </c>
      <c r="C2424" s="1" t="str">
        <f ca="1">IFERROR(__xludf.DUMMYFUNCTION("""COMPUTED_VALUE"""),"Ariel")</f>
        <v>Ariel</v>
      </c>
      <c r="D2424" s="1" t="str">
        <f ca="1">IFERROR(__xludf.DUMMYFUNCTION("""COMPUTED_VALUE"""),"Telap")</f>
        <v>Telap</v>
      </c>
      <c r="E2424" s="1" t="str">
        <f ca="1">IFERROR(__xludf.DUMMYFUNCTION("""COMPUTED_VALUE"""),"Boy benta")</f>
        <v>Boy benta</v>
      </c>
      <c r="F2424" s="1"/>
      <c r="G2424" s="1" t="str">
        <f ca="1">IFERROR(__xludf.DUMMYFUNCTION("""COMPUTED_VALUE"""),"3 mos")</f>
        <v>3 mos</v>
      </c>
      <c r="H2424" s="1" t="str">
        <f ca="1">IFERROR(__xludf.DUMMYFUNCTION("""COMPUTED_VALUE"""),"comment")</f>
        <v>comment</v>
      </c>
      <c r="I2424" s="2" t="str">
        <f ca="1">IFERROR(__xludf.DUMMYFUNCTION("""COMPUTED_VALUE"""),"https://www.facebook.com/watch/live/?ref=watch_permalink&amp;v=923735834984653")</f>
        <v>https://www.facebook.com/watch/live/?ref=watch_permalink&amp;v=923735834984653</v>
      </c>
      <c r="J2424" s="1" t="str">
        <f ca="1">IFERROR(__xludf.DUMMYFUNCTION("""COMPUTED_VALUE"""),"2022-07-04T15:49:26.540Z")</f>
        <v>2022-07-04T15:49:26.540Z</v>
      </c>
    </row>
    <row r="2425" spans="1:10" x14ac:dyDescent="0.2">
      <c r="A2425" s="2" t="str">
        <f ca="1">IFERROR(__xludf.DUMMYFUNCTION("""COMPUTED_VALUE"""),"https://www.facebook.com/profile.php?id=100078777143189")</f>
        <v>https://www.facebook.com/profile.php?id=100078777143189</v>
      </c>
      <c r="B2425" s="1" t="str">
        <f ca="1">IFERROR(__xludf.DUMMYFUNCTION("""COMPUTED_VALUE"""),"JiguLo Malupets")</f>
        <v>JiguLo Malupets</v>
      </c>
      <c r="C2425" s="1" t="str">
        <f ca="1">IFERROR(__xludf.DUMMYFUNCTION("""COMPUTED_VALUE"""),"JiguLo")</f>
        <v>JiguLo</v>
      </c>
      <c r="D2425" s="1" t="str">
        <f ca="1">IFERROR(__xludf.DUMMYFUNCTION("""COMPUTED_VALUE"""),"Malupets")</f>
        <v>Malupets</v>
      </c>
      <c r="E2425" s="1" t="str">
        <f ca="1">IFERROR(__xludf.DUMMYFUNCTION("""COMPUTED_VALUE"""),"Benta pa morw")</f>
        <v>Benta pa morw</v>
      </c>
      <c r="F2425" s="1"/>
      <c r="G2425" s="1" t="str">
        <f ca="1">IFERROR(__xludf.DUMMYFUNCTION("""COMPUTED_VALUE"""),"3 mos")</f>
        <v>3 mos</v>
      </c>
      <c r="H2425" s="1" t="str">
        <f ca="1">IFERROR(__xludf.DUMMYFUNCTION("""COMPUTED_VALUE"""),"comment")</f>
        <v>comment</v>
      </c>
      <c r="I2425" s="2" t="str">
        <f ca="1">IFERROR(__xludf.DUMMYFUNCTION("""COMPUTED_VALUE"""),"https://www.facebook.com/watch/live/?ref=watch_permalink&amp;v=923735834984653")</f>
        <v>https://www.facebook.com/watch/live/?ref=watch_permalink&amp;v=923735834984653</v>
      </c>
      <c r="J2425" s="1" t="str">
        <f ca="1">IFERROR(__xludf.DUMMYFUNCTION("""COMPUTED_VALUE"""),"2022-07-04T15:49:26.540Z")</f>
        <v>2022-07-04T15:49:26.540Z</v>
      </c>
    </row>
    <row r="2426" spans="1:10" x14ac:dyDescent="0.2">
      <c r="A2426" s="2" t="str">
        <f ca="1">IFERROR(__xludf.DUMMYFUNCTION("""COMPUTED_VALUE"""),"https://www.facebook.com/profile.php?id=100078786653080")</f>
        <v>https://www.facebook.com/profile.php?id=100078786653080</v>
      </c>
      <c r="B2426" s="1" t="str">
        <f ca="1">IFERROR(__xludf.DUMMYFUNCTION("""COMPUTED_VALUE"""),"Bai Rehma Gutierrez Utto")</f>
        <v>Bai Rehma Gutierrez Utto</v>
      </c>
      <c r="C2426" s="1" t="str">
        <f ca="1">IFERROR(__xludf.DUMMYFUNCTION("""COMPUTED_VALUE"""),"Bai")</f>
        <v>Bai</v>
      </c>
      <c r="D2426" s="1" t="str">
        <f ca="1">IFERROR(__xludf.DUMMYFUNCTION("""COMPUTED_VALUE"""),"Rehma Gutierrez Utto")</f>
        <v>Rehma Gutierrez Utto</v>
      </c>
      <c r="E2426" s="1" t="str">
        <f ca="1">IFERROR(__xludf.DUMMYFUNCTION("""COMPUTED_VALUE"""),"💙💙💙💙💙💙💙💙💙💙💙💙💙💙💙💙💙💙💙💙💙")</f>
        <v>💙💙💙💙💙💙💙💙💙💙💙💙💙💙💙💙💙💙💙💙💙</v>
      </c>
      <c r="F2426" s="1">
        <f ca="1">IFERROR(__xludf.DUMMYFUNCTION("""COMPUTED_VALUE"""),1)</f>
        <v>1</v>
      </c>
      <c r="G2426" s="1" t="str">
        <f ca="1">IFERROR(__xludf.DUMMYFUNCTION("""COMPUTED_VALUE"""),"3 mos")</f>
        <v>3 mos</v>
      </c>
      <c r="H2426" s="1" t="str">
        <f ca="1">IFERROR(__xludf.DUMMYFUNCTION("""COMPUTED_VALUE"""),"comment")</f>
        <v>comment</v>
      </c>
      <c r="I2426" s="2" t="str">
        <f ca="1">IFERROR(__xludf.DUMMYFUNCTION("""COMPUTED_VALUE"""),"https://www.facebook.com/watch/live/?ref=watch_permalink&amp;v=923735834984653")</f>
        <v>https://www.facebook.com/watch/live/?ref=watch_permalink&amp;v=923735834984653</v>
      </c>
      <c r="J2426" s="1" t="str">
        <f ca="1">IFERROR(__xludf.DUMMYFUNCTION("""COMPUTED_VALUE"""),"2022-07-04T15:49:26.540Z")</f>
        <v>2022-07-04T15:49:26.540Z</v>
      </c>
    </row>
    <row r="2427" spans="1:10" x14ac:dyDescent="0.2">
      <c r="A2427" s="2" t="str">
        <f ca="1">IFERROR(__xludf.DUMMYFUNCTION("""COMPUTED_VALUE"""),"https://www.facebook.com/profile.php?id=100009525769322")</f>
        <v>https://www.facebook.com/profile.php?id=100009525769322</v>
      </c>
      <c r="B2427" s="1" t="str">
        <f ca="1">IFERROR(__xludf.DUMMYFUNCTION("""COMPUTED_VALUE"""),"Bogart Tragob")</f>
        <v>Bogart Tragob</v>
      </c>
      <c r="C2427" s="1" t="str">
        <f ca="1">IFERROR(__xludf.DUMMYFUNCTION("""COMPUTED_VALUE"""),"Bogart")</f>
        <v>Bogart</v>
      </c>
      <c r="D2427" s="1" t="str">
        <f ca="1">IFERROR(__xludf.DUMMYFUNCTION("""COMPUTED_VALUE"""),"Tragob")</f>
        <v>Tragob</v>
      </c>
      <c r="E2427" s="1" t="str">
        <f ca="1">IFERROR(__xludf.DUMMYFUNCTION("""COMPUTED_VALUE"""),"Pilipinas God first")</f>
        <v>Pilipinas God first</v>
      </c>
      <c r="F2427" s="1"/>
      <c r="G2427" s="1" t="str">
        <f ca="1">IFERROR(__xludf.DUMMYFUNCTION("""COMPUTED_VALUE"""),"3 mos")</f>
        <v>3 mos</v>
      </c>
      <c r="H2427" s="1" t="str">
        <f ca="1">IFERROR(__xludf.DUMMYFUNCTION("""COMPUTED_VALUE"""),"comment")</f>
        <v>comment</v>
      </c>
      <c r="I2427" s="2" t="str">
        <f ca="1">IFERROR(__xludf.DUMMYFUNCTION("""COMPUTED_VALUE"""),"https://www.facebook.com/watch/live/?ref=watch_permalink&amp;v=923735834984653")</f>
        <v>https://www.facebook.com/watch/live/?ref=watch_permalink&amp;v=923735834984653</v>
      </c>
      <c r="J2427" s="1" t="str">
        <f ca="1">IFERROR(__xludf.DUMMYFUNCTION("""COMPUTED_VALUE"""),"2022-07-04T15:49:26.540Z")</f>
        <v>2022-07-04T15:49:26.540Z</v>
      </c>
    </row>
    <row r="2428" spans="1:10" x14ac:dyDescent="0.2">
      <c r="A2428" s="2" t="str">
        <f ca="1">IFERROR(__xludf.DUMMYFUNCTION("""COMPUTED_VALUE"""),"https://www.facebook.com/luzviminda.tanedo.3")</f>
        <v>https://www.facebook.com/luzviminda.tanedo.3</v>
      </c>
      <c r="B2428" s="1" t="str">
        <f ca="1">IFERROR(__xludf.DUMMYFUNCTION("""COMPUTED_VALUE"""),"Luzviminda Tanedo")</f>
        <v>Luzviminda Tanedo</v>
      </c>
      <c r="C2428" s="1" t="str">
        <f ca="1">IFERROR(__xludf.DUMMYFUNCTION("""COMPUTED_VALUE"""),"Luzviminda")</f>
        <v>Luzviminda</v>
      </c>
      <c r="D2428" s="1" t="str">
        <f ca="1">IFERROR(__xludf.DUMMYFUNCTION("""COMPUTED_VALUE"""),"Tanedo")</f>
        <v>Tanedo</v>
      </c>
      <c r="E2428" s="1" t="str">
        <f ca="1">IFERROR(__xludf.DUMMYFUNCTION("""COMPUTED_VALUE"""),"God First 🙏☝️ Yes na yes ako para maging Presidente ng ating Pilipinas  🇵🇭  ❤️ Isko Moreno Domagoso he has the ability to Rule our country, a great honest man, strong political will, transparency in all aspects in terms of serving his constituents bcoz"&amp;" of his love and most of all GOD's FEARING PERSON . God bless our dear country Pilipinas  🇵🇭 ❤️ and God bless and protect us all always. amen 🙏 🙏 🙏")</f>
        <v>God First 🙏☝️ Yes na yes ako para maging Presidente ng ating Pilipinas  🇵🇭  ❤️ Isko Moreno Domagoso he has the ability to Rule our country, a great honest man, strong political will, transparency in all aspects in terms of serving his constituents bcoz of his love and most of all GOD's FEARING PERSON . God bless our dear country Pilipinas  🇵🇭 ❤️ and God bless and protect us all always. amen 🙏 🙏 🙏</v>
      </c>
      <c r="F2428" s="1">
        <f ca="1">IFERROR(__xludf.DUMMYFUNCTION("""COMPUTED_VALUE"""),2)</f>
        <v>2</v>
      </c>
      <c r="G2428" s="1" t="str">
        <f ca="1">IFERROR(__xludf.DUMMYFUNCTION("""COMPUTED_VALUE"""),"3 mos")</f>
        <v>3 mos</v>
      </c>
      <c r="H2428" s="1" t="str">
        <f ca="1">IFERROR(__xludf.DUMMYFUNCTION("""COMPUTED_VALUE"""),"comment")</f>
        <v>comment</v>
      </c>
      <c r="I2428" s="2" t="str">
        <f ca="1">IFERROR(__xludf.DUMMYFUNCTION("""COMPUTED_VALUE"""),"https://www.facebook.com/watch/live/?ref=watch_permalink&amp;v=923735834984653")</f>
        <v>https://www.facebook.com/watch/live/?ref=watch_permalink&amp;v=923735834984653</v>
      </c>
      <c r="J2428" s="1" t="str">
        <f ca="1">IFERROR(__xludf.DUMMYFUNCTION("""COMPUTED_VALUE"""),"2022-07-04T15:49:26.540Z")</f>
        <v>2022-07-04T15:49:26.540Z</v>
      </c>
    </row>
    <row r="2429" spans="1:10" x14ac:dyDescent="0.2">
      <c r="A2429" s="2" t="str">
        <f ca="1">IFERROR(__xludf.DUMMYFUNCTION("""COMPUTED_VALUE"""),"https://www.facebook.com/canlas.adonis")</f>
        <v>https://www.facebook.com/canlas.adonis</v>
      </c>
      <c r="B2429" s="1" t="str">
        <f ca="1">IFERROR(__xludf.DUMMYFUNCTION("""COMPUTED_VALUE"""),"Tito Donz")</f>
        <v>Tito Donz</v>
      </c>
      <c r="C2429" s="1" t="str">
        <f ca="1">IFERROR(__xludf.DUMMYFUNCTION("""COMPUTED_VALUE"""),"Tito")</f>
        <v>Tito</v>
      </c>
      <c r="D2429" s="1" t="str">
        <f ca="1">IFERROR(__xludf.DUMMYFUNCTION("""COMPUTED_VALUE"""),"Donz")</f>
        <v>Donz</v>
      </c>
      <c r="E2429" s="1" t="str">
        <f ca="1">IFERROR(__xludf.DUMMYFUNCTION("""COMPUTED_VALUE"""),"Pilipinas God first")</f>
        <v>Pilipinas God first</v>
      </c>
      <c r="F2429" s="1">
        <f ca="1">IFERROR(__xludf.DUMMYFUNCTION("""COMPUTED_VALUE"""),2)</f>
        <v>2</v>
      </c>
      <c r="G2429" s="1" t="str">
        <f ca="1">IFERROR(__xludf.DUMMYFUNCTION("""COMPUTED_VALUE"""),"3 mos")</f>
        <v>3 mos</v>
      </c>
      <c r="H2429" s="1" t="str">
        <f ca="1">IFERROR(__xludf.DUMMYFUNCTION("""COMPUTED_VALUE"""),"comment")</f>
        <v>comment</v>
      </c>
      <c r="I2429" s="2" t="str">
        <f ca="1">IFERROR(__xludf.DUMMYFUNCTION("""COMPUTED_VALUE"""),"https://www.facebook.com/watch/live/?ref=watch_permalink&amp;v=923735834984653")</f>
        <v>https://www.facebook.com/watch/live/?ref=watch_permalink&amp;v=923735834984653</v>
      </c>
      <c r="J2429" s="1" t="str">
        <f ca="1">IFERROR(__xludf.DUMMYFUNCTION("""COMPUTED_VALUE"""),"2022-07-04T15:49:26.540Z")</f>
        <v>2022-07-04T15:49:26.540Z</v>
      </c>
    </row>
    <row r="2430" spans="1:10" x14ac:dyDescent="0.2">
      <c r="A2430" s="2" t="str">
        <f ca="1">IFERROR(__xludf.DUMMYFUNCTION("""COMPUTED_VALUE"""),"https://www.facebook.com/rick.galang.58")</f>
        <v>https://www.facebook.com/rick.galang.58</v>
      </c>
      <c r="B2430" s="1" t="str">
        <f ca="1">IFERROR(__xludf.DUMMYFUNCTION("""COMPUTED_VALUE"""),"Rick Galang")</f>
        <v>Rick Galang</v>
      </c>
      <c r="C2430" s="1" t="str">
        <f ca="1">IFERROR(__xludf.DUMMYFUNCTION("""COMPUTED_VALUE"""),"Rick")</f>
        <v>Rick</v>
      </c>
      <c r="D2430" s="1" t="str">
        <f ca="1">IFERROR(__xludf.DUMMYFUNCTION("""COMPUTED_VALUE"""),"Galang")</f>
        <v>Galang</v>
      </c>
      <c r="E2430" s="1" t="str">
        <f ca="1">IFERROR(__xludf.DUMMYFUNCTION("""COMPUTED_VALUE"""),"Mlapit kna ngumanga")</f>
        <v>Mlapit kna ngumanga</v>
      </c>
      <c r="F2430" s="1"/>
      <c r="G2430" s="1" t="str">
        <f ca="1">IFERROR(__xludf.DUMMYFUNCTION("""COMPUTED_VALUE"""),"3 mos")</f>
        <v>3 mos</v>
      </c>
      <c r="H2430" s="1" t="str">
        <f ca="1">IFERROR(__xludf.DUMMYFUNCTION("""COMPUTED_VALUE"""),"comment")</f>
        <v>comment</v>
      </c>
      <c r="I2430" s="2" t="str">
        <f ca="1">IFERROR(__xludf.DUMMYFUNCTION("""COMPUTED_VALUE"""),"https://www.facebook.com/watch/live/?ref=watch_permalink&amp;v=923735834984653")</f>
        <v>https://www.facebook.com/watch/live/?ref=watch_permalink&amp;v=923735834984653</v>
      </c>
      <c r="J2430" s="1" t="str">
        <f ca="1">IFERROR(__xludf.DUMMYFUNCTION("""COMPUTED_VALUE"""),"2022-07-04T15:49:26.540Z")</f>
        <v>2022-07-04T15:49:26.540Z</v>
      </c>
    </row>
    <row r="2431" spans="1:10" x14ac:dyDescent="0.2">
      <c r="A2431" s="2" t="str">
        <f ca="1">IFERROR(__xludf.DUMMYFUNCTION("""COMPUTED_VALUE"""),"https://www.facebook.com/profile.php?id=100078777143189")</f>
        <v>https://www.facebook.com/profile.php?id=100078777143189</v>
      </c>
      <c r="B2431" s="1" t="str">
        <f ca="1">IFERROR(__xludf.DUMMYFUNCTION("""COMPUTED_VALUE"""),"JiguLo Malupets")</f>
        <v>JiguLo Malupets</v>
      </c>
      <c r="C2431" s="1" t="str">
        <f ca="1">IFERROR(__xludf.DUMMYFUNCTION("""COMPUTED_VALUE"""),"JiguLo")</f>
        <v>JiguLo</v>
      </c>
      <c r="D2431" s="1" t="str">
        <f ca="1">IFERROR(__xludf.DUMMYFUNCTION("""COMPUTED_VALUE"""),"Malupets")</f>
        <v>Malupets</v>
      </c>
      <c r="E2431" s="1" t="str">
        <f ca="1">IFERROR(__xludf.DUMMYFUNCTION("""COMPUTED_VALUE"""),"Isko pautang hahaha")</f>
        <v>Isko pautang hahaha</v>
      </c>
      <c r="F2431" s="1"/>
      <c r="G2431" s="1" t="str">
        <f ca="1">IFERROR(__xludf.DUMMYFUNCTION("""COMPUTED_VALUE"""),"3 mos")</f>
        <v>3 mos</v>
      </c>
      <c r="H2431" s="1" t="str">
        <f ca="1">IFERROR(__xludf.DUMMYFUNCTION("""COMPUTED_VALUE"""),"comment")</f>
        <v>comment</v>
      </c>
      <c r="I2431" s="2" t="str">
        <f ca="1">IFERROR(__xludf.DUMMYFUNCTION("""COMPUTED_VALUE"""),"https://www.facebook.com/watch/live/?ref=watch_permalink&amp;v=923735834984653")</f>
        <v>https://www.facebook.com/watch/live/?ref=watch_permalink&amp;v=923735834984653</v>
      </c>
      <c r="J2431" s="1" t="str">
        <f ca="1">IFERROR(__xludf.DUMMYFUNCTION("""COMPUTED_VALUE"""),"2022-07-04T15:49:26.540Z")</f>
        <v>2022-07-04T15:49:26.540Z</v>
      </c>
    </row>
    <row r="2432" spans="1:10" x14ac:dyDescent="0.2">
      <c r="A2432" s="2" t="str">
        <f ca="1">IFERROR(__xludf.DUMMYFUNCTION("""COMPUTED_VALUE"""),"https://www.facebook.com/robert.reforsado.98")</f>
        <v>https://www.facebook.com/robert.reforsado.98</v>
      </c>
      <c r="B2432" s="1" t="str">
        <f ca="1">IFERROR(__xludf.DUMMYFUNCTION("""COMPUTED_VALUE"""),"Robert Reforsado")</f>
        <v>Robert Reforsado</v>
      </c>
      <c r="C2432" s="1" t="str">
        <f ca="1">IFERROR(__xludf.DUMMYFUNCTION("""COMPUTED_VALUE"""),"Robert")</f>
        <v>Robert</v>
      </c>
      <c r="D2432" s="1" t="str">
        <f ca="1">IFERROR(__xludf.DUMMYFUNCTION("""COMPUTED_VALUE"""),"Reforsado")</f>
        <v>Reforsado</v>
      </c>
      <c r="E2432" s="1" t="str">
        <f ca="1">IFERROR(__xludf.DUMMYFUNCTION("""COMPUTED_VALUE"""),".isko. mabuhay.ka.ang.bagong.pangulo.ng.pilipinas")</f>
        <v>.isko. mabuhay.ka.ang.bagong.pangulo.ng.pilipinas</v>
      </c>
      <c r="F2432" s="1"/>
      <c r="G2432" s="1" t="str">
        <f ca="1">IFERROR(__xludf.DUMMYFUNCTION("""COMPUTED_VALUE"""),"3 mos")</f>
        <v>3 mos</v>
      </c>
      <c r="H2432" s="1" t="str">
        <f ca="1">IFERROR(__xludf.DUMMYFUNCTION("""COMPUTED_VALUE"""),"comment")</f>
        <v>comment</v>
      </c>
      <c r="I2432" s="2" t="str">
        <f ca="1">IFERROR(__xludf.DUMMYFUNCTION("""COMPUTED_VALUE"""),"https://www.facebook.com/watch/live/?ref=watch_permalink&amp;v=923735834984653")</f>
        <v>https://www.facebook.com/watch/live/?ref=watch_permalink&amp;v=923735834984653</v>
      </c>
      <c r="J2432" s="1" t="str">
        <f ca="1">IFERROR(__xludf.DUMMYFUNCTION("""COMPUTED_VALUE"""),"2022-07-04T15:49:26.540Z")</f>
        <v>2022-07-04T15:49:26.540Z</v>
      </c>
    </row>
    <row r="2433" spans="1:10" x14ac:dyDescent="0.2">
      <c r="A2433" s="2" t="str">
        <f ca="1">IFERROR(__xludf.DUMMYFUNCTION("""COMPUTED_VALUE"""),"https://www.facebook.com/mae.caampued.9")</f>
        <v>https://www.facebook.com/mae.caampued.9</v>
      </c>
      <c r="B2433" s="1" t="str">
        <f ca="1">IFERROR(__xludf.DUMMYFUNCTION("""COMPUTED_VALUE"""),"Petallo B. Elma")</f>
        <v>Petallo B. Elma</v>
      </c>
      <c r="C2433" s="1" t="str">
        <f ca="1">IFERROR(__xludf.DUMMYFUNCTION("""COMPUTED_VALUE"""),"Petallo")</f>
        <v>Petallo</v>
      </c>
      <c r="D2433" s="1" t="str">
        <f ca="1">IFERROR(__xludf.DUMMYFUNCTION("""COMPUTED_VALUE"""),"B. Elma")</f>
        <v>B. Elma</v>
      </c>
      <c r="E2433" s="1" t="str">
        <f ca="1">IFERROR(__xludf.DUMMYFUNCTION("""COMPUTED_VALUE"""),"Isko TLGA AQO.. kz ramdam k cya tlga mkpa bbagu sa bansa ntin.. alam kz NG isang mahirap ang mga needs NG kapwa mahirap. kya kht anu pa nira nyu. isko p dn aqo. Bkt yung nkaupo ba. DB bgla pres. dn yun. kla nyu ntin mbbago buhay ntin. eh anu nangyari sa b"&amp;"ansa ntin.. Kya DPT Mging Wais TAU. mg Isip2 tau. pra sa ikka gganda NG bansa ntin. pra sa mgmdang knabukasan NG mga anak ntin")</f>
        <v>Isko TLGA AQO.. kz ramdam k cya tlga mkpa bbagu sa bansa ntin.. alam kz NG isang mahirap ang mga needs NG kapwa mahirap. kya kht anu pa nira nyu. isko p dn aqo. Bkt yung nkaupo ba. DB bgla pres. dn yun. kla nyu ntin mbbago buhay ntin. eh anu nangyari sa bansa ntin.. Kya DPT Mging Wais TAU. mg Isip2 tau. pra sa ikka gganda NG bansa ntin. pra sa mgmdang knabukasan NG mga anak ntin</v>
      </c>
      <c r="F2433" s="1"/>
      <c r="G2433" s="1" t="str">
        <f ca="1">IFERROR(__xludf.DUMMYFUNCTION("""COMPUTED_VALUE"""),"3 mos")</f>
        <v>3 mos</v>
      </c>
      <c r="H2433" s="1" t="str">
        <f ca="1">IFERROR(__xludf.DUMMYFUNCTION("""COMPUTED_VALUE"""),"comment")</f>
        <v>comment</v>
      </c>
      <c r="I2433" s="2" t="str">
        <f ca="1">IFERROR(__xludf.DUMMYFUNCTION("""COMPUTED_VALUE"""),"https://www.facebook.com/watch/live/?ref=watch_permalink&amp;v=923735834984653")</f>
        <v>https://www.facebook.com/watch/live/?ref=watch_permalink&amp;v=923735834984653</v>
      </c>
      <c r="J2433" s="1" t="str">
        <f ca="1">IFERROR(__xludf.DUMMYFUNCTION("""COMPUTED_VALUE"""),"2022-07-04T15:49:26.540Z")</f>
        <v>2022-07-04T15:49:26.540Z</v>
      </c>
    </row>
    <row r="2434" spans="1:10" x14ac:dyDescent="0.2">
      <c r="A2434" s="2" t="str">
        <f ca="1">IFERROR(__xludf.DUMMYFUNCTION("""COMPUTED_VALUE"""),"https://www.facebook.com/oliverioalicabo.orland.9")</f>
        <v>https://www.facebook.com/oliverioalicabo.orland.9</v>
      </c>
      <c r="B2434" s="1" t="str">
        <f ca="1">IFERROR(__xludf.DUMMYFUNCTION("""COMPUTED_VALUE"""),"Oliverio Alicabo Orland")</f>
        <v>Oliverio Alicabo Orland</v>
      </c>
      <c r="C2434" s="1" t="str">
        <f ca="1">IFERROR(__xludf.DUMMYFUNCTION("""COMPUTED_VALUE"""),"Oliverio")</f>
        <v>Oliverio</v>
      </c>
      <c r="D2434" s="1" t="str">
        <f ca="1">IFERROR(__xludf.DUMMYFUNCTION("""COMPUTED_VALUE"""),"Alicabo Orland")</f>
        <v>Alicabo Orland</v>
      </c>
      <c r="E2434" s="1" t="str">
        <f ca="1">IFERROR(__xludf.DUMMYFUNCTION("""COMPUTED_VALUE"""),"Boy benta ng pilipinas")</f>
        <v>Boy benta ng pilipinas</v>
      </c>
      <c r="F2434" s="1"/>
      <c r="G2434" s="1" t="str">
        <f ca="1">IFERROR(__xludf.DUMMYFUNCTION("""COMPUTED_VALUE"""),"3 mos")</f>
        <v>3 mos</v>
      </c>
      <c r="H2434" s="1" t="str">
        <f ca="1">IFERROR(__xludf.DUMMYFUNCTION("""COMPUTED_VALUE"""),"comment")</f>
        <v>comment</v>
      </c>
      <c r="I2434" s="2" t="str">
        <f ca="1">IFERROR(__xludf.DUMMYFUNCTION("""COMPUTED_VALUE"""),"https://www.facebook.com/watch/live/?ref=watch_permalink&amp;v=923735834984653")</f>
        <v>https://www.facebook.com/watch/live/?ref=watch_permalink&amp;v=923735834984653</v>
      </c>
      <c r="J2434" s="1" t="str">
        <f ca="1">IFERROR(__xludf.DUMMYFUNCTION("""COMPUTED_VALUE"""),"2022-07-04T15:49:26.540Z")</f>
        <v>2022-07-04T15:49:26.540Z</v>
      </c>
    </row>
    <row r="2435" spans="1:10" x14ac:dyDescent="0.2">
      <c r="A2435" s="2" t="str">
        <f ca="1">IFERROR(__xludf.DUMMYFUNCTION("""COMPUTED_VALUE"""),"https://www.facebook.com/helen.koike")</f>
        <v>https://www.facebook.com/helen.koike</v>
      </c>
      <c r="B2435" s="1" t="str">
        <f ca="1">IFERROR(__xludf.DUMMYFUNCTION("""COMPUTED_VALUE"""),"Helen Koike")</f>
        <v>Helen Koike</v>
      </c>
      <c r="C2435" s="1" t="str">
        <f ca="1">IFERROR(__xludf.DUMMYFUNCTION("""COMPUTED_VALUE"""),"Helen")</f>
        <v>Helen</v>
      </c>
      <c r="D2435" s="1" t="str">
        <f ca="1">IFERROR(__xludf.DUMMYFUNCTION("""COMPUTED_VALUE"""),"Koike")</f>
        <v>Koike</v>
      </c>
      <c r="E2435" s="1" t="str">
        <f ca="1">IFERROR(__xludf.DUMMYFUNCTION("""COMPUTED_VALUE"""),"Ikaw ang piliin ng mga silent majority Yorme go go go lang! Solid God first hanggang dulo ☝️☝️☝️🇵🇭💙💙💙")</f>
        <v>Ikaw ang piliin ng mga silent majority Yorme go go go lang! Solid God first hanggang dulo ☝️☝️☝️🇵🇭💙💙💙</v>
      </c>
      <c r="F2435" s="1"/>
      <c r="G2435" s="1" t="str">
        <f ca="1">IFERROR(__xludf.DUMMYFUNCTION("""COMPUTED_VALUE"""),"3 mos")</f>
        <v>3 mos</v>
      </c>
      <c r="H2435" s="1" t="str">
        <f ca="1">IFERROR(__xludf.DUMMYFUNCTION("""COMPUTED_VALUE"""),"comment")</f>
        <v>comment</v>
      </c>
      <c r="I2435" s="2" t="str">
        <f ca="1">IFERROR(__xludf.DUMMYFUNCTION("""COMPUTED_VALUE"""),"https://www.facebook.com/watch/live/?ref=watch_permalink&amp;v=923735834984653")</f>
        <v>https://www.facebook.com/watch/live/?ref=watch_permalink&amp;v=923735834984653</v>
      </c>
      <c r="J2435" s="1" t="str">
        <f ca="1">IFERROR(__xludf.DUMMYFUNCTION("""COMPUTED_VALUE"""),"2022-07-04T15:49:26.540Z")</f>
        <v>2022-07-04T15:49:26.540Z</v>
      </c>
    </row>
    <row r="2436" spans="1:10" x14ac:dyDescent="0.2">
      <c r="A2436" s="2" t="str">
        <f ca="1">IFERROR(__xludf.DUMMYFUNCTION("""COMPUTED_VALUE"""),"https://www.facebook.com/nelia.forteza.1")</f>
        <v>https://www.facebook.com/nelia.forteza.1</v>
      </c>
      <c r="B2436" s="1" t="str">
        <f ca="1">IFERROR(__xludf.DUMMYFUNCTION("""COMPUTED_VALUE"""),"Nelia Forteza")</f>
        <v>Nelia Forteza</v>
      </c>
      <c r="C2436" s="1" t="str">
        <f ca="1">IFERROR(__xludf.DUMMYFUNCTION("""COMPUTED_VALUE"""),"Nelia")</f>
        <v>Nelia</v>
      </c>
      <c r="D2436" s="1" t="str">
        <f ca="1">IFERROR(__xludf.DUMMYFUNCTION("""COMPUTED_VALUE"""),"Forteza")</f>
        <v>Forteza</v>
      </c>
      <c r="E2436" s="1" t="str">
        <f ca="1">IFERROR(__xludf.DUMMYFUNCTION("""COMPUTED_VALUE"""),"alis boy ngiwi")</f>
        <v>alis boy ngiwi</v>
      </c>
      <c r="F2436" s="1"/>
      <c r="G2436" s="1" t="str">
        <f ca="1">IFERROR(__xludf.DUMMYFUNCTION("""COMPUTED_VALUE"""),"3 mos")</f>
        <v>3 mos</v>
      </c>
      <c r="H2436" s="1" t="str">
        <f ca="1">IFERROR(__xludf.DUMMYFUNCTION("""COMPUTED_VALUE"""),"comment")</f>
        <v>comment</v>
      </c>
      <c r="I2436" s="2" t="str">
        <f ca="1">IFERROR(__xludf.DUMMYFUNCTION("""COMPUTED_VALUE"""),"https://www.facebook.com/watch/live/?ref=watch_permalink&amp;v=923735834984653")</f>
        <v>https://www.facebook.com/watch/live/?ref=watch_permalink&amp;v=923735834984653</v>
      </c>
      <c r="J2436" s="1" t="str">
        <f ca="1">IFERROR(__xludf.DUMMYFUNCTION("""COMPUTED_VALUE"""),"2022-07-04T15:49:26.540Z")</f>
        <v>2022-07-04T15:49:26.540Z</v>
      </c>
    </row>
    <row r="2437" spans="1:10" x14ac:dyDescent="0.2">
      <c r="A2437" s="2" t="str">
        <f ca="1">IFERROR(__xludf.DUMMYFUNCTION("""COMPUTED_VALUE"""),"https://www.facebook.com/nelia.forteza.1")</f>
        <v>https://www.facebook.com/nelia.forteza.1</v>
      </c>
      <c r="B2437" s="1" t="str">
        <f ca="1">IFERROR(__xludf.DUMMYFUNCTION("""COMPUTED_VALUE"""),"Nelia Forteza")</f>
        <v>Nelia Forteza</v>
      </c>
      <c r="C2437" s="1" t="str">
        <f ca="1">IFERROR(__xludf.DUMMYFUNCTION("""COMPUTED_VALUE"""),"Nelia")</f>
        <v>Nelia</v>
      </c>
      <c r="D2437" s="1" t="str">
        <f ca="1">IFERROR(__xludf.DUMMYFUNCTION("""COMPUTED_VALUE"""),"Forteza")</f>
        <v>Forteza</v>
      </c>
      <c r="E2437" s="1" t="str">
        <f ca="1">IFERROR(__xludf.DUMMYFUNCTION("""COMPUTED_VALUE"""),"alis mga boy ngiwi")</f>
        <v>alis mga boy ngiwi</v>
      </c>
      <c r="F2437" s="1"/>
      <c r="G2437" s="1" t="str">
        <f ca="1">IFERROR(__xludf.DUMMYFUNCTION("""COMPUTED_VALUE"""),"3 mos")</f>
        <v>3 mos</v>
      </c>
      <c r="H2437" s="1" t="str">
        <f ca="1">IFERROR(__xludf.DUMMYFUNCTION("""COMPUTED_VALUE"""),"comment")</f>
        <v>comment</v>
      </c>
      <c r="I2437" s="2" t="str">
        <f ca="1">IFERROR(__xludf.DUMMYFUNCTION("""COMPUTED_VALUE"""),"https://www.facebook.com/watch/live/?ref=watch_permalink&amp;v=923735834984653")</f>
        <v>https://www.facebook.com/watch/live/?ref=watch_permalink&amp;v=923735834984653</v>
      </c>
      <c r="J2437" s="1" t="str">
        <f ca="1">IFERROR(__xludf.DUMMYFUNCTION("""COMPUTED_VALUE"""),"2022-07-04T15:49:26.540Z")</f>
        <v>2022-07-04T15:49:26.540Z</v>
      </c>
    </row>
    <row r="2438" spans="1:10" x14ac:dyDescent="0.2">
      <c r="A2438" s="2" t="str">
        <f ca="1">IFERROR(__xludf.DUMMYFUNCTION("""COMPUTED_VALUE"""),"https://www.facebook.com/nelia.forteza.1")</f>
        <v>https://www.facebook.com/nelia.forteza.1</v>
      </c>
      <c r="B2438" s="1" t="str">
        <f ca="1">IFERROR(__xludf.DUMMYFUNCTION("""COMPUTED_VALUE"""),"Nelia Forteza")</f>
        <v>Nelia Forteza</v>
      </c>
      <c r="C2438" s="1" t="str">
        <f ca="1">IFERROR(__xludf.DUMMYFUNCTION("""COMPUTED_VALUE"""),"Nelia")</f>
        <v>Nelia</v>
      </c>
      <c r="D2438" s="1" t="str">
        <f ca="1">IFERROR(__xludf.DUMMYFUNCTION("""COMPUTED_VALUE"""),"Forteza")</f>
        <v>Forteza</v>
      </c>
      <c r="E2438" s="1" t="str">
        <f ca="1">IFERROR(__xludf.DUMMYFUNCTION("""COMPUTED_VALUE"""),"alis mga boy ngiwi")</f>
        <v>alis mga boy ngiwi</v>
      </c>
      <c r="F2438" s="1"/>
      <c r="G2438" s="1" t="str">
        <f ca="1">IFERROR(__xludf.DUMMYFUNCTION("""COMPUTED_VALUE"""),"3 mos")</f>
        <v>3 mos</v>
      </c>
      <c r="H2438" s="1" t="str">
        <f ca="1">IFERROR(__xludf.DUMMYFUNCTION("""COMPUTED_VALUE"""),"comment")</f>
        <v>comment</v>
      </c>
      <c r="I2438" s="2" t="str">
        <f ca="1">IFERROR(__xludf.DUMMYFUNCTION("""COMPUTED_VALUE"""),"https://www.facebook.com/watch/live/?ref=watch_permalink&amp;v=923735834984653")</f>
        <v>https://www.facebook.com/watch/live/?ref=watch_permalink&amp;v=923735834984653</v>
      </c>
      <c r="J2438" s="1" t="str">
        <f ca="1">IFERROR(__xludf.DUMMYFUNCTION("""COMPUTED_VALUE"""),"2022-07-04T15:49:26.540Z")</f>
        <v>2022-07-04T15:49:26.540Z</v>
      </c>
    </row>
    <row r="2439" spans="1:10" x14ac:dyDescent="0.2">
      <c r="A2439" s="2" t="str">
        <f ca="1">IFERROR(__xludf.DUMMYFUNCTION("""COMPUTED_VALUE"""),"https://www.facebook.com/aida.tytco")</f>
        <v>https://www.facebook.com/aida.tytco</v>
      </c>
      <c r="B2439" s="1" t="str">
        <f ca="1">IFERROR(__xludf.DUMMYFUNCTION("""COMPUTED_VALUE"""),"Ayds Ty")</f>
        <v>Ayds Ty</v>
      </c>
      <c r="C2439" s="1" t="str">
        <f ca="1">IFERROR(__xludf.DUMMYFUNCTION("""COMPUTED_VALUE"""),"Ayds")</f>
        <v>Ayds</v>
      </c>
      <c r="D2439" s="1" t="str">
        <f ca="1">IFERROR(__xludf.DUMMYFUNCTION("""COMPUTED_VALUE"""),"Ty")</f>
        <v>Ty</v>
      </c>
      <c r="E2439" s="1" t="str">
        <f ca="1">IFERROR(__xludf.DUMMYFUNCTION("""COMPUTED_VALUE"""),"Lets vote for Yorme...a leader not a politician....wag na po tyong bumoto ng mga pulitiko dahil puro pangako nnman cla habang tyo ay nganga. Nkita nman natin mga nagawa ni Yorme sa manila in a short span of time..meron bagong hospital, available ang gamot"&amp;" para sa mga covid patient...di nya kinuha ung PF nya from Belo, Jag etc. Madali cyang tumulong sa mga nangangailangan. Di nya sinukuan ang hamon ng buhay nya..nag pursige hanggang dumating sya sa kanyang kinalalagyan..he is an inspiration sa atin lahat.."&amp;".kya sana lets give Yorme a chance to rule our country para mabago nman ang buhay nating mga mahirap...si doc Willie pag naging VP, hahawakan nya Philhealth pra cguradong ang hulog ntin ay mapupunta sa dapat puntahan at di ma kuralot💙☝️ #SwitchToIsko #Re"&amp;"sultsOriented #WalangSusuko #GawingPosibleangimposible")</f>
        <v>Lets vote for Yorme...a leader not a politician....wag na po tyong bumoto ng mga pulitiko dahil puro pangako nnman cla habang tyo ay nganga. Nkita nman natin mga nagawa ni Yorme sa manila in a short span of time..meron bagong hospital, available ang gamot para sa mga covid patient...di nya kinuha ung PF nya from Belo, Jag etc. Madali cyang tumulong sa mga nangangailangan. Di nya sinukuan ang hamon ng buhay nya..nag pursige hanggang dumating sya sa kanyang kinalalagyan..he is an inspiration sa atin lahat...kya sana lets give Yorme a chance to rule our country para mabago nman ang buhay nating mga mahirap...si doc Willie pag naging VP, hahawakan nya Philhealth pra cguradong ang hulog ntin ay mapupunta sa dapat puntahan at di ma kuralot💙☝️ #SwitchToIsko #ResultsOriented #WalangSusuko #GawingPosibleangimposible</v>
      </c>
      <c r="F2439" s="1">
        <f ca="1">IFERROR(__xludf.DUMMYFUNCTION("""COMPUTED_VALUE"""),1)</f>
        <v>1</v>
      </c>
      <c r="G2439" s="1" t="str">
        <f ca="1">IFERROR(__xludf.DUMMYFUNCTION("""COMPUTED_VALUE"""),"3 mos")</f>
        <v>3 mos</v>
      </c>
      <c r="H2439" s="1" t="str">
        <f ca="1">IFERROR(__xludf.DUMMYFUNCTION("""COMPUTED_VALUE"""),"comment")</f>
        <v>comment</v>
      </c>
      <c r="I2439" s="2" t="str">
        <f ca="1">IFERROR(__xludf.DUMMYFUNCTION("""COMPUTED_VALUE"""),"https://www.facebook.com/watch/live/?ref=watch_permalink&amp;v=923735834984653")</f>
        <v>https://www.facebook.com/watch/live/?ref=watch_permalink&amp;v=923735834984653</v>
      </c>
      <c r="J2439" s="1" t="str">
        <f ca="1">IFERROR(__xludf.DUMMYFUNCTION("""COMPUTED_VALUE"""),"2022-07-04T15:49:26.540Z")</f>
        <v>2022-07-04T15:49:26.540Z</v>
      </c>
    </row>
    <row r="2440" spans="1:10" x14ac:dyDescent="0.2">
      <c r="A2440" s="2" t="str">
        <f ca="1">IFERROR(__xludf.DUMMYFUNCTION("""COMPUTED_VALUE"""),"https://www.facebook.com/randy.aniano")</f>
        <v>https://www.facebook.com/randy.aniano</v>
      </c>
      <c r="B2440" s="1" t="str">
        <f ca="1">IFERROR(__xludf.DUMMYFUNCTION("""COMPUTED_VALUE"""),"Randy Aniano")</f>
        <v>Randy Aniano</v>
      </c>
      <c r="C2440" s="1" t="str">
        <f ca="1">IFERROR(__xludf.DUMMYFUNCTION("""COMPUTED_VALUE"""),"Randy")</f>
        <v>Randy</v>
      </c>
      <c r="D2440" s="1" t="str">
        <f ca="1">IFERROR(__xludf.DUMMYFUNCTION("""COMPUTED_VALUE"""),"Aniano")</f>
        <v>Aniano</v>
      </c>
      <c r="E2440" s="1" t="str">
        <f ca="1">IFERROR(__xludf.DUMMYFUNCTION("""COMPUTED_VALUE"""),"Boy benta")</f>
        <v>Boy benta</v>
      </c>
      <c r="F2440" s="1"/>
      <c r="G2440" s="1" t="str">
        <f ca="1">IFERROR(__xludf.DUMMYFUNCTION("""COMPUTED_VALUE"""),"3 mos")</f>
        <v>3 mos</v>
      </c>
      <c r="H2440" s="1" t="str">
        <f ca="1">IFERROR(__xludf.DUMMYFUNCTION("""COMPUTED_VALUE"""),"comment")</f>
        <v>comment</v>
      </c>
      <c r="I2440" s="2" t="str">
        <f ca="1">IFERROR(__xludf.DUMMYFUNCTION("""COMPUTED_VALUE"""),"https://www.facebook.com/watch/live/?ref=watch_permalink&amp;v=923735834984653")</f>
        <v>https://www.facebook.com/watch/live/?ref=watch_permalink&amp;v=923735834984653</v>
      </c>
      <c r="J2440" s="1" t="str">
        <f ca="1">IFERROR(__xludf.DUMMYFUNCTION("""COMPUTED_VALUE"""),"2022-07-04T15:49:26.540Z")</f>
        <v>2022-07-04T15:49:26.540Z</v>
      </c>
    </row>
    <row r="2441" spans="1:10" x14ac:dyDescent="0.2">
      <c r="A2441" s="2" t="str">
        <f ca="1">IFERROR(__xludf.DUMMYFUNCTION("""COMPUTED_VALUE"""),"https://www.facebook.com/vhengvheng.manlapaz")</f>
        <v>https://www.facebook.com/vhengvheng.manlapaz</v>
      </c>
      <c r="B2441" s="1" t="str">
        <f ca="1">IFERROR(__xludf.DUMMYFUNCTION("""COMPUTED_VALUE"""),"Vheng-vheng Manlapaz")</f>
        <v>Vheng-vheng Manlapaz</v>
      </c>
      <c r="C2441" s="1" t="str">
        <f ca="1">IFERROR(__xludf.DUMMYFUNCTION("""COMPUTED_VALUE"""),"Vheng-vheng")</f>
        <v>Vheng-vheng</v>
      </c>
      <c r="D2441" s="1" t="str">
        <f ca="1">IFERROR(__xludf.DUMMYFUNCTION("""COMPUTED_VALUE"""),"Manlapaz")</f>
        <v>Manlapaz</v>
      </c>
      <c r="E2441" s="1" t="str">
        <f ca="1">IFERROR(__xludf.DUMMYFUNCTION("""COMPUTED_VALUE"""),"paliwanag mo ang Divisoria pr iboto k")</f>
        <v>paliwanag mo ang Divisoria pr iboto k</v>
      </c>
      <c r="F2441" s="1">
        <f ca="1">IFERROR(__xludf.DUMMYFUNCTION("""COMPUTED_VALUE"""),1)</f>
        <v>1</v>
      </c>
      <c r="G2441" s="1" t="str">
        <f ca="1">IFERROR(__xludf.DUMMYFUNCTION("""COMPUTED_VALUE"""),"3 mos")</f>
        <v>3 mos</v>
      </c>
      <c r="H2441" s="1" t="str">
        <f ca="1">IFERROR(__xludf.DUMMYFUNCTION("""COMPUTED_VALUE"""),"comment")</f>
        <v>comment</v>
      </c>
      <c r="I2441" s="2" t="str">
        <f ca="1">IFERROR(__xludf.DUMMYFUNCTION("""COMPUTED_VALUE"""),"https://www.facebook.com/watch/live/?ref=watch_permalink&amp;v=923735834984653")</f>
        <v>https://www.facebook.com/watch/live/?ref=watch_permalink&amp;v=923735834984653</v>
      </c>
      <c r="J2441" s="1" t="str">
        <f ca="1">IFERROR(__xludf.DUMMYFUNCTION("""COMPUTED_VALUE"""),"2022-07-04T15:49:26.540Z")</f>
        <v>2022-07-04T15:49:26.540Z</v>
      </c>
    </row>
    <row r="2442" spans="1:10" x14ac:dyDescent="0.2">
      <c r="A2442" s="2" t="str">
        <f ca="1">IFERROR(__xludf.DUMMYFUNCTION("""COMPUTED_VALUE"""),"https://www.facebook.com/ricardo.malonzo")</f>
        <v>https://www.facebook.com/ricardo.malonzo</v>
      </c>
      <c r="B2442" s="1" t="str">
        <f ca="1">IFERROR(__xludf.DUMMYFUNCTION("""COMPUTED_VALUE"""),"Ricardo Malonzo")</f>
        <v>Ricardo Malonzo</v>
      </c>
      <c r="C2442" s="1" t="str">
        <f ca="1">IFERROR(__xludf.DUMMYFUNCTION("""COMPUTED_VALUE"""),"Ricardo")</f>
        <v>Ricardo</v>
      </c>
      <c r="D2442" s="1" t="str">
        <f ca="1">IFERROR(__xludf.DUMMYFUNCTION("""COMPUTED_VALUE"""),"Malonzo")</f>
        <v>Malonzo</v>
      </c>
      <c r="E2442" s="1" t="str">
        <f ca="1">IFERROR(__xludf.DUMMYFUNCTION("""COMPUTED_VALUE"""),"Daming etneb etneb ni Yorme pagtapos Ng election..😀😀😀")</f>
        <v>Daming etneb etneb ni Yorme pagtapos Ng election..😀😀😀</v>
      </c>
      <c r="F2442" s="1">
        <f ca="1">IFERROR(__xludf.DUMMYFUNCTION("""COMPUTED_VALUE"""),1)</f>
        <v>1</v>
      </c>
      <c r="G2442" s="1" t="str">
        <f ca="1">IFERROR(__xludf.DUMMYFUNCTION("""COMPUTED_VALUE"""),"3 mos")</f>
        <v>3 mos</v>
      </c>
      <c r="H2442" s="1" t="str">
        <f ca="1">IFERROR(__xludf.DUMMYFUNCTION("""COMPUTED_VALUE"""),"reply")</f>
        <v>reply</v>
      </c>
      <c r="I2442" s="2" t="str">
        <f ca="1">IFERROR(__xludf.DUMMYFUNCTION("""COMPUTED_VALUE"""),"https://www.facebook.com/watch/live/?ref=watch_permalink&amp;v=923735834984653")</f>
        <v>https://www.facebook.com/watch/live/?ref=watch_permalink&amp;v=923735834984653</v>
      </c>
      <c r="J2442" s="1" t="str">
        <f ca="1">IFERROR(__xludf.DUMMYFUNCTION("""COMPUTED_VALUE"""),"2022-07-04T15:49:26.540Z")</f>
        <v>2022-07-04T15:49:26.540Z</v>
      </c>
    </row>
    <row r="2443" spans="1:10" x14ac:dyDescent="0.2">
      <c r="A2443" s="2" t="str">
        <f ca="1">IFERROR(__xludf.DUMMYFUNCTION("""COMPUTED_VALUE"""),"https://www.facebook.com/belen.simbul.58")</f>
        <v>https://www.facebook.com/belen.simbul.58</v>
      </c>
      <c r="B2443" s="1" t="str">
        <f ca="1">IFERROR(__xludf.DUMMYFUNCTION("""COMPUTED_VALUE"""),"Belen Simbul")</f>
        <v>Belen Simbul</v>
      </c>
      <c r="C2443" s="1" t="str">
        <f ca="1">IFERROR(__xludf.DUMMYFUNCTION("""COMPUTED_VALUE"""),"Belen")</f>
        <v>Belen</v>
      </c>
      <c r="D2443" s="1" t="str">
        <f ca="1">IFERROR(__xludf.DUMMYFUNCTION("""COMPUTED_VALUE"""),"Simbul")</f>
        <v>Simbul</v>
      </c>
      <c r="E2443" s="1" t="str">
        <f ca="1">IFERROR(__xludf.DUMMYFUNCTION("""COMPUTED_VALUE"""),"Francisco Isko Moreno Domagoso Ang Ibubuto Ko Sa Mayo 9 Number 3 Sa Baluta Para Sa Pagka Pangulo  2022x God First Bilis Kilos☝️☝️☝️☝️☝️☝️☝️☝️☝️☝️☝️✨✨✨✨✨✨✨✨✨🙏🙏🙏🙏🙏🙏🙏🙏🙏🙏🙏🙏")</f>
        <v>Francisco Isko Moreno Domagoso Ang Ibubuto Ko Sa Mayo 9 Number 3 Sa Baluta Para Sa Pagka Pangulo  2022x God First Bilis Kilos☝️☝️☝️☝️☝️☝️☝️☝️☝️☝️☝️✨✨✨✨✨✨✨✨✨🙏🙏🙏🙏🙏🙏🙏🙏🙏🙏🙏🙏</v>
      </c>
      <c r="F2443" s="1"/>
      <c r="G2443" s="1" t="str">
        <f ca="1">IFERROR(__xludf.DUMMYFUNCTION("""COMPUTED_VALUE"""),"3 mos")</f>
        <v>3 mos</v>
      </c>
      <c r="H2443" s="1" t="str">
        <f ca="1">IFERROR(__xludf.DUMMYFUNCTION("""COMPUTED_VALUE"""),"comment")</f>
        <v>comment</v>
      </c>
      <c r="I2443" s="2" t="str">
        <f ca="1">IFERROR(__xludf.DUMMYFUNCTION("""COMPUTED_VALUE"""),"https://www.facebook.com/watch/live/?ref=watch_permalink&amp;v=923735834984653")</f>
        <v>https://www.facebook.com/watch/live/?ref=watch_permalink&amp;v=923735834984653</v>
      </c>
      <c r="J2443" s="1" t="str">
        <f ca="1">IFERROR(__xludf.DUMMYFUNCTION("""COMPUTED_VALUE"""),"2022-07-04T15:49:26.540Z")</f>
        <v>2022-07-04T15:49:26.540Z</v>
      </c>
    </row>
    <row r="2444" spans="1:10" x14ac:dyDescent="0.2">
      <c r="A2444" s="2" t="str">
        <f ca="1">IFERROR(__xludf.DUMMYFUNCTION("""COMPUTED_VALUE"""),"https://www.facebook.com/profile.php?id=100069812281148")</f>
        <v>https://www.facebook.com/profile.php?id=100069812281148</v>
      </c>
      <c r="B2444" s="1" t="str">
        <f ca="1">IFERROR(__xludf.DUMMYFUNCTION("""COMPUTED_VALUE"""),"Alexander Mendoza")</f>
        <v>Alexander Mendoza</v>
      </c>
      <c r="C2444" s="1" t="str">
        <f ca="1">IFERROR(__xludf.DUMMYFUNCTION("""COMPUTED_VALUE"""),"Alexander")</f>
        <v>Alexander</v>
      </c>
      <c r="D2444" s="1" t="str">
        <f ca="1">IFERROR(__xludf.DUMMYFUNCTION("""COMPUTED_VALUE"""),"Mendoza")</f>
        <v>Mendoza</v>
      </c>
      <c r="E2444" s="1" t="str">
        <f ca="1">IFERROR(__xludf.DUMMYFUNCTION("""COMPUTED_VALUE"""),"Isko alam namin ung inutang mong billion billion para sa manila zoo, binenta mo pa ung divisoria, ang lupit mo isko may dugong boy benta ka din pala isko... hinding hindi ka dapat iboto, baka pag ikaw ung naging pangulo, ibenta mo pa ung buong pilipinas.."&amp;".. kaya hindi ka dapat iboto isko...")</f>
        <v>Isko alam namin ung inutang mong billion billion para sa manila zoo, binenta mo pa ung divisoria, ang lupit mo isko may dugong boy benta ka din pala isko... hinding hindi ka dapat iboto, baka pag ikaw ung naging pangulo, ibenta mo pa ung buong pilipinas.... kaya hindi ka dapat iboto isko...</v>
      </c>
      <c r="F2444" s="1">
        <f ca="1">IFERROR(__xludf.DUMMYFUNCTION("""COMPUTED_VALUE"""),1)</f>
        <v>1</v>
      </c>
      <c r="G2444" s="1" t="str">
        <f ca="1">IFERROR(__xludf.DUMMYFUNCTION("""COMPUTED_VALUE"""),"3 mos")</f>
        <v>3 mos</v>
      </c>
      <c r="H2444" s="1" t="str">
        <f ca="1">IFERROR(__xludf.DUMMYFUNCTION("""COMPUTED_VALUE"""),"comment")</f>
        <v>comment</v>
      </c>
      <c r="I2444" s="2" t="str">
        <f ca="1">IFERROR(__xludf.DUMMYFUNCTION("""COMPUTED_VALUE"""),"https://www.facebook.com/watch/live/?ref=watch_permalink&amp;v=923735834984653")</f>
        <v>https://www.facebook.com/watch/live/?ref=watch_permalink&amp;v=923735834984653</v>
      </c>
      <c r="J2444" s="1" t="str">
        <f ca="1">IFERROR(__xludf.DUMMYFUNCTION("""COMPUTED_VALUE"""),"2022-07-04T15:49:26.540Z")</f>
        <v>2022-07-04T15:49:26.540Z</v>
      </c>
    </row>
    <row r="2445" spans="1:10" x14ac:dyDescent="0.2">
      <c r="A2445" s="2" t="str">
        <f ca="1">IFERROR(__xludf.DUMMYFUNCTION("""COMPUTED_VALUE"""),"https://www.facebook.com/neilson.beltran.75")</f>
        <v>https://www.facebook.com/neilson.beltran.75</v>
      </c>
      <c r="B2445" s="1" t="str">
        <f ca="1">IFERROR(__xludf.DUMMYFUNCTION("""COMPUTED_VALUE"""),"Neilson Beltran")</f>
        <v>Neilson Beltran</v>
      </c>
      <c r="C2445" s="1" t="str">
        <f ca="1">IFERROR(__xludf.DUMMYFUNCTION("""COMPUTED_VALUE"""),"Neilson")</f>
        <v>Neilson</v>
      </c>
      <c r="D2445" s="1" t="str">
        <f ca="1">IFERROR(__xludf.DUMMYFUNCTION("""COMPUTED_VALUE"""),"Beltran")</f>
        <v>Beltran</v>
      </c>
      <c r="E2445" s="1" t="str">
        <f ca="1">IFERROR(__xludf.DUMMYFUNCTION("""COMPUTED_VALUE"""),"Yung Ang Dami nanaman nag iiyakan kc NAHIGIT AN nanamn Ang mga pambato nila ni PANGULONG ISKO MORENO DOMAGOSO ☝️💙👌🇵🇭💙🇵🇭💙🇵🇭 ...oh Pink lawan at REd lawan SET UP na ulit hahaha 😂😂😂 biruain nyo hinigitan pa Ng Team ISKO NG BATANGAS Yung Pinky at"&amp;" REDLAWAN..pinag sama Ang Dami Ng inyong dalwa... 😂😂😂😂Kaya nag ngangaw ngawan Kau ngaun...hahahaha")</f>
        <v>Yung Ang Dami nanaman nag iiyakan kc NAHIGIT AN nanamn Ang mga pambato nila ni PANGULONG ISKO MORENO DOMAGOSO ☝️💙👌🇵🇭💙🇵🇭💙🇵🇭 ...oh Pink lawan at REd lawan SET UP na ulit hahaha 😂😂😂 biruain nyo hinigitan pa Ng Team ISKO NG BATANGAS Yung Pinky at REDLAWAN..pinag sama Ang Dami Ng inyong dalwa... 😂😂😂😂Kaya nag ngangaw ngawan Kau ngaun...hahahaha</v>
      </c>
      <c r="F2445" s="1"/>
      <c r="G2445" s="1" t="str">
        <f ca="1">IFERROR(__xludf.DUMMYFUNCTION("""COMPUTED_VALUE"""),"3 mos")</f>
        <v>3 mos</v>
      </c>
      <c r="H2445" s="1" t="str">
        <f ca="1">IFERROR(__xludf.DUMMYFUNCTION("""COMPUTED_VALUE"""),"comment")</f>
        <v>comment</v>
      </c>
      <c r="I2445" s="2" t="str">
        <f ca="1">IFERROR(__xludf.DUMMYFUNCTION("""COMPUTED_VALUE"""),"https://www.facebook.com/watch/live/?ref=watch_permalink&amp;v=923735834984653")</f>
        <v>https://www.facebook.com/watch/live/?ref=watch_permalink&amp;v=923735834984653</v>
      </c>
      <c r="J2445" s="1" t="str">
        <f ca="1">IFERROR(__xludf.DUMMYFUNCTION("""COMPUTED_VALUE"""),"2022-07-04T15:49:26.540Z")</f>
        <v>2022-07-04T15:49:26.540Z</v>
      </c>
    </row>
    <row r="2446" spans="1:10" x14ac:dyDescent="0.2">
      <c r="A2446" s="2" t="str">
        <f ca="1">IFERROR(__xludf.DUMMYFUNCTION("""COMPUTED_VALUE"""),"https://www.facebook.com/dionisiapiano.rebese")</f>
        <v>https://www.facebook.com/dionisiapiano.rebese</v>
      </c>
      <c r="B2446" s="1" t="str">
        <f ca="1">IFERROR(__xludf.DUMMYFUNCTION("""COMPUTED_VALUE"""),"Dionisia Piano Rebese")</f>
        <v>Dionisia Piano Rebese</v>
      </c>
      <c r="C2446" s="1" t="str">
        <f ca="1">IFERROR(__xludf.DUMMYFUNCTION("""COMPUTED_VALUE"""),"Dionisia")</f>
        <v>Dionisia</v>
      </c>
      <c r="D2446" s="1" t="str">
        <f ca="1">IFERROR(__xludf.DUMMYFUNCTION("""COMPUTED_VALUE"""),"Piano Rebese")</f>
        <v>Piano Rebese</v>
      </c>
      <c r="E2446" s="1" t="str">
        <f ca="1">IFERROR(__xludf.DUMMYFUNCTION("""COMPUTED_VALUE"""),"Mayor Isko, natutuwa kami na ganyan karaming tao ang sumasampatya sa yo sa Batangas! May kapanalo ka po talaga. Kaya lang ingatan mo po ang sarili mo. Baka magkasakit ka kasi masyado na ang pagod mo at puyat. Please eat proper diet especislly your breakfa"&amp;"st and take some vitamins to help your body strong.  Naipayo ko po ito sa yo kasi mahal ka ng taong bayan. SA YO NAMIN IPAGTITIWALA ANG BOTO NAMIN DAHIL HINAHANGAD NAMIN ANG IYONG PAMUMUNO SA DARATING NA MGA ARAW.  PATNUBAYAN KA LAGI NG DYOS !")</f>
        <v>Mayor Isko, natutuwa kami na ganyan karaming tao ang sumasampatya sa yo sa Batangas! May kapanalo ka po talaga. Kaya lang ingatan mo po ang sarili mo. Baka magkasakit ka kasi masyado na ang pagod mo at puyat. Please eat proper diet especislly your breakfast and take some vitamins to help your body strong.  Naipayo ko po ito sa yo kasi mahal ka ng taong bayan. SA YO NAMIN IPAGTITIWALA ANG BOTO NAMIN DAHIL HINAHANGAD NAMIN ANG IYONG PAMUMUNO SA DARATING NA MGA ARAW.  PATNUBAYAN KA LAGI NG DYOS !</v>
      </c>
      <c r="F2446" s="1"/>
      <c r="G2446" s="1" t="str">
        <f ca="1">IFERROR(__xludf.DUMMYFUNCTION("""COMPUTED_VALUE"""),"3 mos")</f>
        <v>3 mos</v>
      </c>
      <c r="H2446" s="1" t="str">
        <f ca="1">IFERROR(__xludf.DUMMYFUNCTION("""COMPUTED_VALUE"""),"comment")</f>
        <v>comment</v>
      </c>
      <c r="I2446" s="2" t="str">
        <f ca="1">IFERROR(__xludf.DUMMYFUNCTION("""COMPUTED_VALUE"""),"https://www.facebook.com/watch/live/?ref=watch_permalink&amp;v=923735834984653")</f>
        <v>https://www.facebook.com/watch/live/?ref=watch_permalink&amp;v=923735834984653</v>
      </c>
      <c r="J2446" s="1" t="str">
        <f ca="1">IFERROR(__xludf.DUMMYFUNCTION("""COMPUTED_VALUE"""),"2022-07-04T15:49:26.540Z")</f>
        <v>2022-07-04T15:49:26.540Z</v>
      </c>
    </row>
    <row r="2447" spans="1:10" x14ac:dyDescent="0.2">
      <c r="A2447" s="2" t="str">
        <f ca="1">IFERROR(__xludf.DUMMYFUNCTION("""COMPUTED_VALUE"""),"https://www.facebook.com/profile.php?id=100005160163120")</f>
        <v>https://www.facebook.com/profile.php?id=100005160163120</v>
      </c>
      <c r="B2447" s="1" t="str">
        <f ca="1">IFERROR(__xludf.DUMMYFUNCTION("""COMPUTED_VALUE"""),"Carmela  Tanida")</f>
        <v>Carmela  Tanida</v>
      </c>
      <c r="C2447" s="1" t="str">
        <f ca="1">IFERROR(__xludf.DUMMYFUNCTION("""COMPUTED_VALUE"""),"Carmela")</f>
        <v>Carmela</v>
      </c>
      <c r="D2447" s="1" t="str">
        <f ca="1">IFERROR(__xludf.DUMMYFUNCTION("""COMPUTED_VALUE"""),"Tanida")</f>
        <v>Tanida</v>
      </c>
      <c r="E2447" s="1" t="str">
        <f ca="1">IFERROR(__xludf.DUMMYFUNCTION("""COMPUTED_VALUE"""),"Carmela  Tanida")</f>
        <v>Carmela  Tanida</v>
      </c>
      <c r="F2447" s="1">
        <f ca="1">IFERROR(__xludf.DUMMYFUNCTION("""COMPUTED_VALUE"""),1)</f>
        <v>1</v>
      </c>
      <c r="G2447" s="1" t="str">
        <f ca="1">IFERROR(__xludf.DUMMYFUNCTION("""COMPUTED_VALUE"""),"3 mos")</f>
        <v>3 mos</v>
      </c>
      <c r="H2447" s="1" t="str">
        <f ca="1">IFERROR(__xludf.DUMMYFUNCTION("""COMPUTED_VALUE"""),"comment")</f>
        <v>comment</v>
      </c>
      <c r="I2447" s="2" t="str">
        <f ca="1">IFERROR(__xludf.DUMMYFUNCTION("""COMPUTED_VALUE"""),"https://www.facebook.com/watch/live/?ref=watch_permalink&amp;v=923735834984653")</f>
        <v>https://www.facebook.com/watch/live/?ref=watch_permalink&amp;v=923735834984653</v>
      </c>
      <c r="J2447" s="1" t="str">
        <f ca="1">IFERROR(__xludf.DUMMYFUNCTION("""COMPUTED_VALUE"""),"2022-07-04T15:49:26.540Z")</f>
        <v>2022-07-04T15:49:26.540Z</v>
      </c>
    </row>
    <row r="2448" spans="1:10" x14ac:dyDescent="0.2">
      <c r="A2448" s="2" t="str">
        <f ca="1">IFERROR(__xludf.DUMMYFUNCTION("""COMPUTED_VALUE"""),"https://www.facebook.com/profile.php?id=100005160163120")</f>
        <v>https://www.facebook.com/profile.php?id=100005160163120</v>
      </c>
      <c r="B2448" s="1" t="str">
        <f ca="1">IFERROR(__xludf.DUMMYFUNCTION("""COMPUTED_VALUE"""),"Carmela  Tanida")</f>
        <v>Carmela  Tanida</v>
      </c>
      <c r="C2448" s="1" t="str">
        <f ca="1">IFERROR(__xludf.DUMMYFUNCTION("""COMPUTED_VALUE"""),"Carmela")</f>
        <v>Carmela</v>
      </c>
      <c r="D2448" s="1" t="str">
        <f ca="1">IFERROR(__xludf.DUMMYFUNCTION("""COMPUTED_VALUE"""),"Tanida")</f>
        <v>Tanida</v>
      </c>
      <c r="E2448" s="1" t="str">
        <f ca="1">IFERROR(__xludf.DUMMYFUNCTION("""COMPUTED_VALUE"""),"Carmela  Tanida")</f>
        <v>Carmela  Tanida</v>
      </c>
      <c r="F2448" s="1"/>
      <c r="G2448" s="1" t="str">
        <f ca="1">IFERROR(__xludf.DUMMYFUNCTION("""COMPUTED_VALUE"""),"3 mos")</f>
        <v>3 mos</v>
      </c>
      <c r="H2448" s="1" t="str">
        <f ca="1">IFERROR(__xludf.DUMMYFUNCTION("""COMPUTED_VALUE"""),"comment")</f>
        <v>comment</v>
      </c>
      <c r="I2448" s="2" t="str">
        <f ca="1">IFERROR(__xludf.DUMMYFUNCTION("""COMPUTED_VALUE"""),"https://www.facebook.com/watch/live/?ref=watch_permalink&amp;v=923735834984653")</f>
        <v>https://www.facebook.com/watch/live/?ref=watch_permalink&amp;v=923735834984653</v>
      </c>
      <c r="J2448" s="1" t="str">
        <f ca="1">IFERROR(__xludf.DUMMYFUNCTION("""COMPUTED_VALUE"""),"2022-07-04T15:49:26.540Z")</f>
        <v>2022-07-04T15:49:26.540Z</v>
      </c>
    </row>
    <row r="2449" spans="1:10" x14ac:dyDescent="0.2">
      <c r="A2449" s="2" t="str">
        <f ca="1">IFERROR(__xludf.DUMMYFUNCTION("""COMPUTED_VALUE"""),"https://www.facebook.com/profile.php?id=100005160163120")</f>
        <v>https://www.facebook.com/profile.php?id=100005160163120</v>
      </c>
      <c r="B2449" s="1" t="str">
        <f ca="1">IFERROR(__xludf.DUMMYFUNCTION("""COMPUTED_VALUE"""),"Carmela  Tanida")</f>
        <v>Carmela  Tanida</v>
      </c>
      <c r="C2449" s="1" t="str">
        <f ca="1">IFERROR(__xludf.DUMMYFUNCTION("""COMPUTED_VALUE"""),"Carmela")</f>
        <v>Carmela</v>
      </c>
      <c r="D2449" s="1" t="str">
        <f ca="1">IFERROR(__xludf.DUMMYFUNCTION("""COMPUTED_VALUE"""),"Tanida")</f>
        <v>Tanida</v>
      </c>
      <c r="E2449" s="1" t="str">
        <f ca="1">IFERROR(__xludf.DUMMYFUNCTION("""COMPUTED_VALUE"""),"Carmela  Tanida")</f>
        <v>Carmela  Tanida</v>
      </c>
      <c r="F2449" s="1"/>
      <c r="G2449" s="1" t="str">
        <f ca="1">IFERROR(__xludf.DUMMYFUNCTION("""COMPUTED_VALUE"""),"3 mos")</f>
        <v>3 mos</v>
      </c>
      <c r="H2449" s="1" t="str">
        <f ca="1">IFERROR(__xludf.DUMMYFUNCTION("""COMPUTED_VALUE"""),"comment")</f>
        <v>comment</v>
      </c>
      <c r="I2449" s="2" t="str">
        <f ca="1">IFERROR(__xludf.DUMMYFUNCTION("""COMPUTED_VALUE"""),"https://www.facebook.com/watch/live/?ref=watch_permalink&amp;v=923735834984653")</f>
        <v>https://www.facebook.com/watch/live/?ref=watch_permalink&amp;v=923735834984653</v>
      </c>
      <c r="J2449" s="1" t="str">
        <f ca="1">IFERROR(__xludf.DUMMYFUNCTION("""COMPUTED_VALUE"""),"2022-07-04T15:49:26.540Z")</f>
        <v>2022-07-04T15:49:26.540Z</v>
      </c>
    </row>
    <row r="2450" spans="1:10" x14ac:dyDescent="0.2">
      <c r="A2450" s="2" t="str">
        <f ca="1">IFERROR(__xludf.DUMMYFUNCTION("""COMPUTED_VALUE"""),"https://www.facebook.com/profile.php?id=100005160163120")</f>
        <v>https://www.facebook.com/profile.php?id=100005160163120</v>
      </c>
      <c r="B2450" s="1" t="str">
        <f ca="1">IFERROR(__xludf.DUMMYFUNCTION("""COMPUTED_VALUE"""),"Carmela  Tanida")</f>
        <v>Carmela  Tanida</v>
      </c>
      <c r="C2450" s="1" t="str">
        <f ca="1">IFERROR(__xludf.DUMMYFUNCTION("""COMPUTED_VALUE"""),"Carmela")</f>
        <v>Carmela</v>
      </c>
      <c r="D2450" s="1" t="str">
        <f ca="1">IFERROR(__xludf.DUMMYFUNCTION("""COMPUTED_VALUE"""),"Tanida")</f>
        <v>Tanida</v>
      </c>
      <c r="E2450" s="1" t="str">
        <f ca="1">IFERROR(__xludf.DUMMYFUNCTION("""COMPUTED_VALUE"""),"Carmela  Tanida")</f>
        <v>Carmela  Tanida</v>
      </c>
      <c r="F2450" s="1"/>
      <c r="G2450" s="1" t="str">
        <f ca="1">IFERROR(__xludf.DUMMYFUNCTION("""COMPUTED_VALUE"""),"3 mos")</f>
        <v>3 mos</v>
      </c>
      <c r="H2450" s="1" t="str">
        <f ca="1">IFERROR(__xludf.DUMMYFUNCTION("""COMPUTED_VALUE"""),"comment")</f>
        <v>comment</v>
      </c>
      <c r="I2450" s="2" t="str">
        <f ca="1">IFERROR(__xludf.DUMMYFUNCTION("""COMPUTED_VALUE"""),"https://www.facebook.com/watch/live/?ref=watch_permalink&amp;v=923735834984653")</f>
        <v>https://www.facebook.com/watch/live/?ref=watch_permalink&amp;v=923735834984653</v>
      </c>
      <c r="J2450" s="1" t="str">
        <f ca="1">IFERROR(__xludf.DUMMYFUNCTION("""COMPUTED_VALUE"""),"2022-07-04T15:49:26.540Z")</f>
        <v>2022-07-04T15:49:26.540Z</v>
      </c>
    </row>
    <row r="2451" spans="1:10" x14ac:dyDescent="0.2">
      <c r="A2451" s="2" t="str">
        <f ca="1">IFERROR(__xludf.DUMMYFUNCTION("""COMPUTED_VALUE"""),"https://www.facebook.com/profile.php?id=100005160163120")</f>
        <v>https://www.facebook.com/profile.php?id=100005160163120</v>
      </c>
      <c r="B2451" s="1" t="str">
        <f ca="1">IFERROR(__xludf.DUMMYFUNCTION("""COMPUTED_VALUE"""),"Carmela  Tanida")</f>
        <v>Carmela  Tanida</v>
      </c>
      <c r="C2451" s="1" t="str">
        <f ca="1">IFERROR(__xludf.DUMMYFUNCTION("""COMPUTED_VALUE"""),"Carmela")</f>
        <v>Carmela</v>
      </c>
      <c r="D2451" s="1" t="str">
        <f ca="1">IFERROR(__xludf.DUMMYFUNCTION("""COMPUTED_VALUE"""),"Tanida")</f>
        <v>Tanida</v>
      </c>
      <c r="E2451" s="1" t="str">
        <f ca="1">IFERROR(__xludf.DUMMYFUNCTION("""COMPUTED_VALUE"""),"Carmela  Tanida")</f>
        <v>Carmela  Tanida</v>
      </c>
      <c r="F2451" s="1"/>
      <c r="G2451" s="1" t="str">
        <f ca="1">IFERROR(__xludf.DUMMYFUNCTION("""COMPUTED_VALUE"""),"3 mos")</f>
        <v>3 mos</v>
      </c>
      <c r="H2451" s="1" t="str">
        <f ca="1">IFERROR(__xludf.DUMMYFUNCTION("""COMPUTED_VALUE"""),"comment")</f>
        <v>comment</v>
      </c>
      <c r="I2451" s="2" t="str">
        <f ca="1">IFERROR(__xludf.DUMMYFUNCTION("""COMPUTED_VALUE"""),"https://www.facebook.com/watch/live/?ref=watch_permalink&amp;v=923735834984653")</f>
        <v>https://www.facebook.com/watch/live/?ref=watch_permalink&amp;v=923735834984653</v>
      </c>
      <c r="J2451" s="1" t="str">
        <f ca="1">IFERROR(__xludf.DUMMYFUNCTION("""COMPUTED_VALUE"""),"2022-07-04T15:49:26.540Z")</f>
        <v>2022-07-04T15:49:26.540Z</v>
      </c>
    </row>
    <row r="2452" spans="1:10" x14ac:dyDescent="0.2">
      <c r="A2452" s="2" t="str">
        <f ca="1">IFERROR(__xludf.DUMMYFUNCTION("""COMPUTED_VALUE"""),"https://www.facebook.com/profile.php?id=100005160163120")</f>
        <v>https://www.facebook.com/profile.php?id=100005160163120</v>
      </c>
      <c r="B2452" s="1" t="str">
        <f ca="1">IFERROR(__xludf.DUMMYFUNCTION("""COMPUTED_VALUE"""),"Carmela  Tanida")</f>
        <v>Carmela  Tanida</v>
      </c>
      <c r="C2452" s="1" t="str">
        <f ca="1">IFERROR(__xludf.DUMMYFUNCTION("""COMPUTED_VALUE"""),"Carmela")</f>
        <v>Carmela</v>
      </c>
      <c r="D2452" s="1" t="str">
        <f ca="1">IFERROR(__xludf.DUMMYFUNCTION("""COMPUTED_VALUE"""),"Tanida")</f>
        <v>Tanida</v>
      </c>
      <c r="E2452" s="1" t="str">
        <f ca="1">IFERROR(__xludf.DUMMYFUNCTION("""COMPUTED_VALUE"""),"Carmela  Tanida")</f>
        <v>Carmela  Tanida</v>
      </c>
      <c r="F2452" s="1"/>
      <c r="G2452" s="1" t="str">
        <f ca="1">IFERROR(__xludf.DUMMYFUNCTION("""COMPUTED_VALUE"""),"3 mos")</f>
        <v>3 mos</v>
      </c>
      <c r="H2452" s="1" t="str">
        <f ca="1">IFERROR(__xludf.DUMMYFUNCTION("""COMPUTED_VALUE"""),"comment")</f>
        <v>comment</v>
      </c>
      <c r="I2452" s="2" t="str">
        <f ca="1">IFERROR(__xludf.DUMMYFUNCTION("""COMPUTED_VALUE"""),"https://www.facebook.com/watch/live/?ref=watch_permalink&amp;v=923735834984653")</f>
        <v>https://www.facebook.com/watch/live/?ref=watch_permalink&amp;v=923735834984653</v>
      </c>
      <c r="J2452" s="1" t="str">
        <f ca="1">IFERROR(__xludf.DUMMYFUNCTION("""COMPUTED_VALUE"""),"2022-07-04T15:49:26.540Z")</f>
        <v>2022-07-04T15:49:26.540Z</v>
      </c>
    </row>
    <row r="2453" spans="1:10" x14ac:dyDescent="0.2">
      <c r="A2453" s="2" t="str">
        <f ca="1">IFERROR(__xludf.DUMMYFUNCTION("""COMPUTED_VALUE"""),"https://www.facebook.com/profile.php?id=100005160163120")</f>
        <v>https://www.facebook.com/profile.php?id=100005160163120</v>
      </c>
      <c r="B2453" s="1" t="str">
        <f ca="1">IFERROR(__xludf.DUMMYFUNCTION("""COMPUTED_VALUE"""),"Carmela  Tanida")</f>
        <v>Carmela  Tanida</v>
      </c>
      <c r="C2453" s="1" t="str">
        <f ca="1">IFERROR(__xludf.DUMMYFUNCTION("""COMPUTED_VALUE"""),"Carmela")</f>
        <v>Carmela</v>
      </c>
      <c r="D2453" s="1" t="str">
        <f ca="1">IFERROR(__xludf.DUMMYFUNCTION("""COMPUTED_VALUE"""),"Tanida")</f>
        <v>Tanida</v>
      </c>
      <c r="E2453" s="1" t="str">
        <f ca="1">IFERROR(__xludf.DUMMYFUNCTION("""COMPUTED_VALUE"""),"Carmela  Tanida")</f>
        <v>Carmela  Tanida</v>
      </c>
      <c r="F2453" s="1"/>
      <c r="G2453" s="1" t="str">
        <f ca="1">IFERROR(__xludf.DUMMYFUNCTION("""COMPUTED_VALUE"""),"3 mos")</f>
        <v>3 mos</v>
      </c>
      <c r="H2453" s="1" t="str">
        <f ca="1">IFERROR(__xludf.DUMMYFUNCTION("""COMPUTED_VALUE"""),"comment")</f>
        <v>comment</v>
      </c>
      <c r="I2453" s="2" t="str">
        <f ca="1">IFERROR(__xludf.DUMMYFUNCTION("""COMPUTED_VALUE"""),"https://www.facebook.com/watch/live/?ref=watch_permalink&amp;v=923735834984653")</f>
        <v>https://www.facebook.com/watch/live/?ref=watch_permalink&amp;v=923735834984653</v>
      </c>
      <c r="J2453" s="1" t="str">
        <f ca="1">IFERROR(__xludf.DUMMYFUNCTION("""COMPUTED_VALUE"""),"2022-07-04T15:49:26.540Z")</f>
        <v>2022-07-04T15:49:26.540Z</v>
      </c>
    </row>
    <row r="2454" spans="1:10" x14ac:dyDescent="0.2">
      <c r="A2454" s="2" t="str">
        <f ca="1">IFERROR(__xludf.DUMMYFUNCTION("""COMPUTED_VALUE"""),"https://www.facebook.com/ricky.marquez.58958")</f>
        <v>https://www.facebook.com/ricky.marquez.58958</v>
      </c>
      <c r="B2454" s="1" t="str">
        <f ca="1">IFERROR(__xludf.DUMMYFUNCTION("""COMPUTED_VALUE"""),"Ricky Marquez")</f>
        <v>Ricky Marquez</v>
      </c>
      <c r="C2454" s="1" t="str">
        <f ca="1">IFERROR(__xludf.DUMMYFUNCTION("""COMPUTED_VALUE"""),"Ricky")</f>
        <v>Ricky</v>
      </c>
      <c r="D2454" s="1" t="str">
        <f ca="1">IFERROR(__xludf.DUMMYFUNCTION("""COMPUTED_VALUE"""),"Marquez")</f>
        <v>Marquez</v>
      </c>
      <c r="E2454" s="1" t="str">
        <f ca="1">IFERROR(__xludf.DUMMYFUNCTION("""COMPUTED_VALUE"""),"Yan po ang Katotohan sa tingin nyo ba after 39 yrs nag bago ang buhay ng mas nakakaraming Pilipino? Tanging si ISKO lang ang Presidenteng makaka gawa para paangatin ang buhay ng mas Nakakaraming Pilipino Bumuto ng nasa Puso wag sa panandaliang lunas sa ka"&amp;"lam ng ating mga sikmura. Tanging Si ISKO lang ang makakapag pa angat ng mas Nakakaraming Pilipino dahil ang pokus nya ay Tao at Pamumuhay! GODFirst🙏☝️")</f>
        <v>Yan po ang Katotohan sa tingin nyo ba after 39 yrs nag bago ang buhay ng mas nakakaraming Pilipino? Tanging si ISKO lang ang Presidenteng makaka gawa para paangatin ang buhay ng mas Nakakaraming Pilipino Bumuto ng nasa Puso wag sa panandaliang lunas sa kalam ng ating mga sikmura. Tanging Si ISKO lang ang makakapag pa angat ng mas Nakakaraming Pilipino dahil ang pokus nya ay Tao at Pamumuhay! GODFirst🙏☝️</v>
      </c>
      <c r="F2454" s="1"/>
      <c r="G2454" s="1" t="str">
        <f ca="1">IFERROR(__xludf.DUMMYFUNCTION("""COMPUTED_VALUE"""),"3 mos")</f>
        <v>3 mos</v>
      </c>
      <c r="H2454" s="1" t="str">
        <f ca="1">IFERROR(__xludf.DUMMYFUNCTION("""COMPUTED_VALUE"""),"comment")</f>
        <v>comment</v>
      </c>
      <c r="I2454" s="2" t="str">
        <f ca="1">IFERROR(__xludf.DUMMYFUNCTION("""COMPUTED_VALUE"""),"https://www.facebook.com/watch/live/?ref=watch_permalink&amp;v=923735834984653")</f>
        <v>https://www.facebook.com/watch/live/?ref=watch_permalink&amp;v=923735834984653</v>
      </c>
      <c r="J2454" s="1" t="str">
        <f ca="1">IFERROR(__xludf.DUMMYFUNCTION("""COMPUTED_VALUE"""),"2022-07-04T15:49:26.540Z")</f>
        <v>2022-07-04T15:49:26.540Z</v>
      </c>
    </row>
    <row r="2455" spans="1:10" x14ac:dyDescent="0.2">
      <c r="A2455" s="2" t="str">
        <f ca="1">IFERROR(__xludf.DUMMYFUNCTION("""COMPUTED_VALUE"""),"https://www.facebook.com/kaie.decal")</f>
        <v>https://www.facebook.com/kaie.decal</v>
      </c>
      <c r="B2455" s="1" t="str">
        <f ca="1">IFERROR(__xludf.DUMMYFUNCTION("""COMPUTED_VALUE"""),"Erwin Decal")</f>
        <v>Erwin Decal</v>
      </c>
      <c r="C2455" s="1" t="str">
        <f ca="1">IFERROR(__xludf.DUMMYFUNCTION("""COMPUTED_VALUE"""),"Erwin")</f>
        <v>Erwin</v>
      </c>
      <c r="D2455" s="1" t="str">
        <f ca="1">IFERROR(__xludf.DUMMYFUNCTION("""COMPUTED_VALUE"""),"Decal")</f>
        <v>Decal</v>
      </c>
      <c r="E2455" s="1" t="str">
        <f ca="1">IFERROR(__xludf.DUMMYFUNCTION("""COMPUTED_VALUE"""),"May bagong nrratives ang kulto ni Baby M, ""Ikw na lang hinihintay ng korte Mam /Sir"". Consistent at pareparehas, mukhng bagong release n script. 😂 Kpg binigyan mo ng data or facts, ang layo ng sagot. Para kang nakikipagusap sa recording. Haha! 🤣")</f>
        <v>May bagong nrratives ang kulto ni Baby M, "Ikw na lang hinihintay ng korte Mam /Sir". Consistent at pareparehas, mukhng bagong release n script. 😂 Kpg binigyan mo ng data or facts, ang layo ng sagot. Para kang nakikipagusap sa recording. Haha! 🤣</v>
      </c>
      <c r="F2455" s="1">
        <f ca="1">IFERROR(__xludf.DUMMYFUNCTION("""COMPUTED_VALUE"""),5)</f>
        <v>5</v>
      </c>
      <c r="G2455" s="1" t="str">
        <f ca="1">IFERROR(__xludf.DUMMYFUNCTION("""COMPUTED_VALUE"""),"3 mos")</f>
        <v>3 mos</v>
      </c>
      <c r="H2455" s="1" t="str">
        <f ca="1">IFERROR(__xludf.DUMMYFUNCTION("""COMPUTED_VALUE"""),"comment")</f>
        <v>comment</v>
      </c>
      <c r="I2455"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55" s="1" t="str">
        <f ca="1">IFERROR(__xludf.DUMMYFUNCTION("""COMPUTED_VALUE"""),"2022-07-04T15:50:11.825Z")</f>
        <v>2022-07-04T15:50:11.825Z</v>
      </c>
    </row>
    <row r="2456" spans="1:10" x14ac:dyDescent="0.2">
      <c r="A2456" s="2" t="str">
        <f ca="1">IFERROR(__xludf.DUMMYFUNCTION("""COMPUTED_VALUE"""),"https://www.facebook.com/gesponela")</f>
        <v>https://www.facebook.com/gesponela</v>
      </c>
      <c r="B2456" s="1" t="str">
        <f ca="1">IFERROR(__xludf.DUMMYFUNCTION("""COMPUTED_VALUE"""),"Gretch Chen Esponela")</f>
        <v>Gretch Chen Esponela</v>
      </c>
      <c r="C2456" s="1" t="str">
        <f ca="1">IFERROR(__xludf.DUMMYFUNCTION("""COMPUTED_VALUE"""),"Gretch")</f>
        <v>Gretch</v>
      </c>
      <c r="D2456" s="1" t="str">
        <f ca="1">IFERROR(__xludf.DUMMYFUNCTION("""COMPUTED_VALUE"""),"Chen Esponela")</f>
        <v>Chen Esponela</v>
      </c>
      <c r="E2456" s="1" t="str">
        <f ca="1">IFERROR(__xludf.DUMMYFUNCTION("""COMPUTED_VALUE"""),"Erwin Decal lapag mo na ebidensya mo sir 🤣😁")</f>
        <v>Erwin Decal lapag mo na ebidensya mo sir 🤣😁</v>
      </c>
      <c r="F2456" s="1"/>
      <c r="G2456" s="1" t="str">
        <f ca="1">IFERROR(__xludf.DUMMYFUNCTION("""COMPUTED_VALUE"""),"3 mos")</f>
        <v>3 mos</v>
      </c>
      <c r="H2456" s="1" t="str">
        <f ca="1">IFERROR(__xludf.DUMMYFUNCTION("""COMPUTED_VALUE"""),"reply")</f>
        <v>reply</v>
      </c>
      <c r="I2456"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56" s="1" t="str">
        <f ca="1">IFERROR(__xludf.DUMMYFUNCTION("""COMPUTED_VALUE"""),"2022-07-04T15:50:11.825Z")</f>
        <v>2022-07-04T15:50:11.825Z</v>
      </c>
    </row>
    <row r="2457" spans="1:10" x14ac:dyDescent="0.2">
      <c r="A2457" s="2" t="str">
        <f ca="1">IFERROR(__xludf.DUMMYFUNCTION("""COMPUTED_VALUE"""),"https://www.facebook.com/rose.ranario.58")</f>
        <v>https://www.facebook.com/rose.ranario.58</v>
      </c>
      <c r="B2457" s="1" t="str">
        <f ca="1">IFERROR(__xludf.DUMMYFUNCTION("""COMPUTED_VALUE"""),"Rose RAnario")</f>
        <v>Rose RAnario</v>
      </c>
      <c r="C2457" s="1" t="str">
        <f ca="1">IFERROR(__xludf.DUMMYFUNCTION("""COMPUTED_VALUE"""),"Rose")</f>
        <v>Rose</v>
      </c>
      <c r="D2457" s="1" t="str">
        <f ca="1">IFERROR(__xludf.DUMMYFUNCTION("""COMPUTED_VALUE"""),"RAnario")</f>
        <v>RAnario</v>
      </c>
      <c r="E2457" s="1" t="str">
        <f ca="1">IFERROR(__xludf.DUMMYFUNCTION("""COMPUTED_VALUE"""),"Alam nmin bayad n sla pero panay paratang prin  d nyo ma uto ang sambayan may net 24hrs.updated po kmi")</f>
        <v>Alam nmin bayad n sla pero panay paratang prin  d nyo ma uto ang sambayan may net 24hrs.updated po kmi</v>
      </c>
      <c r="F2457" s="1">
        <f ca="1">IFERROR(__xludf.DUMMYFUNCTION("""COMPUTED_VALUE"""),37)</f>
        <v>37</v>
      </c>
      <c r="G2457" s="1" t="str">
        <f ca="1">IFERROR(__xludf.DUMMYFUNCTION("""COMPUTED_VALUE"""),"3 mos")</f>
        <v>3 mos</v>
      </c>
      <c r="H2457" s="1" t="str">
        <f ca="1">IFERROR(__xludf.DUMMYFUNCTION("""COMPUTED_VALUE"""),"comment")</f>
        <v>comment</v>
      </c>
      <c r="I2457"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57" s="1" t="str">
        <f ca="1">IFERROR(__xludf.DUMMYFUNCTION("""COMPUTED_VALUE"""),"2022-07-04T15:50:11.825Z")</f>
        <v>2022-07-04T15:50:11.825Z</v>
      </c>
    </row>
    <row r="2458" spans="1:10" x14ac:dyDescent="0.2">
      <c r="A2458" s="2" t="str">
        <f ca="1">IFERROR(__xludf.DUMMYFUNCTION("""COMPUTED_VALUE"""),"https://www.facebook.com/profile.php?id=100071488868784")</f>
        <v>https://www.facebook.com/profile.php?id=100071488868784</v>
      </c>
      <c r="B2458" s="1" t="str">
        <f ca="1">IFERROR(__xludf.DUMMYFUNCTION("""COMPUTED_VALUE"""),"Jas Medalla")</f>
        <v>Jas Medalla</v>
      </c>
      <c r="C2458" s="1" t="str">
        <f ca="1">IFERROR(__xludf.DUMMYFUNCTION("""COMPUTED_VALUE"""),"Jas")</f>
        <v>Jas</v>
      </c>
      <c r="D2458" s="1" t="str">
        <f ca="1">IFERROR(__xludf.DUMMYFUNCTION("""COMPUTED_VALUE"""),"Medalla")</f>
        <v>Medalla</v>
      </c>
      <c r="E2458" s="1" t="str">
        <f ca="1">IFERROR(__xludf.DUMMYFUNCTION("""COMPUTED_VALUE"""),"Rose RAnario saan nyo kinukuha ang mga pekeng impormasyon na yan? Kung sino man may pasimuno nyan, deserve nya mapunta sa impyerno")</f>
        <v>Rose RAnario saan nyo kinukuha ang mga pekeng impormasyon na yan? Kung sino man may pasimuno nyan, deserve nya mapunta sa impyerno</v>
      </c>
      <c r="F2458" s="1">
        <f ca="1">IFERROR(__xludf.DUMMYFUNCTION("""COMPUTED_VALUE"""),5)</f>
        <v>5</v>
      </c>
      <c r="G2458" s="1" t="str">
        <f ca="1">IFERROR(__xludf.DUMMYFUNCTION("""COMPUTED_VALUE"""),"3 mos")</f>
        <v>3 mos</v>
      </c>
      <c r="H2458" s="1" t="str">
        <f ca="1">IFERROR(__xludf.DUMMYFUNCTION("""COMPUTED_VALUE"""),"reply")</f>
        <v>reply</v>
      </c>
      <c r="I2458"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58" s="1" t="str">
        <f ca="1">IFERROR(__xludf.DUMMYFUNCTION("""COMPUTED_VALUE"""),"2022-07-04T15:50:11.825Z")</f>
        <v>2022-07-04T15:50:11.825Z</v>
      </c>
    </row>
    <row r="2459" spans="1:10" x14ac:dyDescent="0.2">
      <c r="A2459" s="2" t="str">
        <f ca="1">IFERROR(__xludf.DUMMYFUNCTION("""COMPUTED_VALUE"""),"https://www.facebook.com/rose.ranario.58")</f>
        <v>https://www.facebook.com/rose.ranario.58</v>
      </c>
      <c r="B2459" s="1" t="str">
        <f ca="1">IFERROR(__xludf.DUMMYFUNCTION("""COMPUTED_VALUE"""),"Rose RAnario")</f>
        <v>Rose RAnario</v>
      </c>
      <c r="C2459" s="1" t="str">
        <f ca="1">IFERROR(__xludf.DUMMYFUNCTION("""COMPUTED_VALUE"""),"Rose")</f>
        <v>Rose</v>
      </c>
      <c r="D2459" s="1" t="str">
        <f ca="1">IFERROR(__xludf.DUMMYFUNCTION("""COMPUTED_VALUE"""),"RAnario")</f>
        <v>RAnario</v>
      </c>
      <c r="E2459" s="1" t="str">
        <f ca="1">IFERROR(__xludf.DUMMYFUNCTION("""COMPUTED_VALUE"""),"Stephen EL Roma  wla k sgurong net kya dk updated")</f>
        <v>Stephen EL Roma  wla k sgurong net kya dk updated</v>
      </c>
      <c r="F2459" s="1">
        <f ca="1">IFERROR(__xludf.DUMMYFUNCTION("""COMPUTED_VALUE"""),1)</f>
        <v>1</v>
      </c>
      <c r="G2459" s="1" t="str">
        <f ca="1">IFERROR(__xludf.DUMMYFUNCTION("""COMPUTED_VALUE"""),"3 mos")</f>
        <v>3 mos</v>
      </c>
      <c r="H2459" s="1" t="str">
        <f ca="1">IFERROR(__xludf.DUMMYFUNCTION("""COMPUTED_VALUE"""),"reply")</f>
        <v>reply</v>
      </c>
      <c r="I2459"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59" s="1" t="str">
        <f ca="1">IFERROR(__xludf.DUMMYFUNCTION("""COMPUTED_VALUE"""),"2022-07-04T15:50:11.825Z")</f>
        <v>2022-07-04T15:50:11.825Z</v>
      </c>
    </row>
    <row r="2460" spans="1:10" x14ac:dyDescent="0.2">
      <c r="A2460" s="2" t="str">
        <f ca="1">IFERROR(__xludf.DUMMYFUNCTION("""COMPUTED_VALUE"""),"https://www.facebook.com/EyronClavsky")</f>
        <v>https://www.facebook.com/EyronClavsky</v>
      </c>
      <c r="B2460" s="1" t="str">
        <f ca="1">IFERROR(__xludf.DUMMYFUNCTION("""COMPUTED_VALUE"""),"Aarön Buëndia")</f>
        <v>Aarön Buëndia</v>
      </c>
      <c r="C2460" s="1" t="str">
        <f ca="1">IFERROR(__xludf.DUMMYFUNCTION("""COMPUTED_VALUE"""),"Aarön")</f>
        <v>Aarön</v>
      </c>
      <c r="D2460" s="1" t="str">
        <f ca="1">IFERROR(__xludf.DUMMYFUNCTION("""COMPUTED_VALUE"""),"Buëndia")</f>
        <v>Buëndia</v>
      </c>
      <c r="E2460" s="1" t="str">
        <f ca="1">IFERROR(__xludf.DUMMYFUNCTION("""COMPUTED_VALUE"""),"Jas Medalla EDUCATED YARN? HAHAHAA")</f>
        <v>Jas Medalla EDUCATED YARN? HAHAHAA</v>
      </c>
      <c r="F2460" s="1"/>
      <c r="G2460" s="1" t="str">
        <f ca="1">IFERROR(__xludf.DUMMYFUNCTION("""COMPUTED_VALUE"""),"3 mos")</f>
        <v>3 mos</v>
      </c>
      <c r="H2460" s="1" t="str">
        <f ca="1">IFERROR(__xludf.DUMMYFUNCTION("""COMPUTED_VALUE"""),"reply")</f>
        <v>reply</v>
      </c>
      <c r="I2460"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60" s="1" t="str">
        <f ca="1">IFERROR(__xludf.DUMMYFUNCTION("""COMPUTED_VALUE"""),"2022-07-04T15:50:11.825Z")</f>
        <v>2022-07-04T15:50:11.825Z</v>
      </c>
    </row>
    <row r="2461" spans="1:10" x14ac:dyDescent="0.2">
      <c r="A2461" s="2" t="str">
        <f ca="1">IFERROR(__xludf.DUMMYFUNCTION("""COMPUTED_VALUE"""),"https://www.facebook.com/gerly.amante1")</f>
        <v>https://www.facebook.com/gerly.amante1</v>
      </c>
      <c r="B2461" s="1" t="str">
        <f ca="1">IFERROR(__xludf.DUMMYFUNCTION("""COMPUTED_VALUE"""),"Joselyn Amante")</f>
        <v>Joselyn Amante</v>
      </c>
      <c r="C2461" s="1" t="str">
        <f ca="1">IFERROR(__xludf.DUMMYFUNCTION("""COMPUTED_VALUE"""),"Joselyn")</f>
        <v>Joselyn</v>
      </c>
      <c r="D2461" s="1" t="str">
        <f ca="1">IFERROR(__xludf.DUMMYFUNCTION("""COMPUTED_VALUE"""),"Amante")</f>
        <v>Amante</v>
      </c>
      <c r="E2461" s="1" t="str">
        <f ca="1">IFERROR(__xludf.DUMMYFUNCTION("""COMPUTED_VALUE"""),"Rose RAnario kanini  sila nagbayad sa iyo? Hahaha...kung nagbayad sila di sana sila sinisingil... utak utak din sabay dilat ng mata..")</f>
        <v>Rose RAnario kanini  sila nagbayad sa iyo? Hahaha...kung nagbayad sila di sana sila sinisingil... utak utak din sabay dilat ng mata..</v>
      </c>
      <c r="F2461" s="1">
        <f ca="1">IFERROR(__xludf.DUMMYFUNCTION("""COMPUTED_VALUE"""),2)</f>
        <v>2</v>
      </c>
      <c r="G2461" s="1" t="str">
        <f ca="1">IFERROR(__xludf.DUMMYFUNCTION("""COMPUTED_VALUE"""),"3 mos")</f>
        <v>3 mos</v>
      </c>
      <c r="H2461" s="1" t="str">
        <f ca="1">IFERROR(__xludf.DUMMYFUNCTION("""COMPUTED_VALUE"""),"reply")</f>
        <v>reply</v>
      </c>
      <c r="I2461"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61" s="1" t="str">
        <f ca="1">IFERROR(__xludf.DUMMYFUNCTION("""COMPUTED_VALUE"""),"2022-07-04T15:50:11.825Z")</f>
        <v>2022-07-04T15:50:11.825Z</v>
      </c>
    </row>
    <row r="2462" spans="1:10" x14ac:dyDescent="0.2">
      <c r="A2462" s="2" t="str">
        <f ca="1">IFERROR(__xludf.DUMMYFUNCTION("""COMPUTED_VALUE"""),"https://www.facebook.com/rose.ranario.58")</f>
        <v>https://www.facebook.com/rose.ranario.58</v>
      </c>
      <c r="B2462" s="1" t="str">
        <f ca="1">IFERROR(__xludf.DUMMYFUNCTION("""COMPUTED_VALUE"""),"Rose RAnario")</f>
        <v>Rose RAnario</v>
      </c>
      <c r="C2462" s="1" t="str">
        <f ca="1">IFERROR(__xludf.DUMMYFUNCTION("""COMPUTED_VALUE"""),"Rose")</f>
        <v>Rose</v>
      </c>
      <c r="D2462" s="1" t="str">
        <f ca="1">IFERROR(__xludf.DUMMYFUNCTION("""COMPUTED_VALUE"""),"RAnario")</f>
        <v>RAnario</v>
      </c>
      <c r="E2462" s="1" t="str">
        <f ca="1">IFERROR(__xludf.DUMMYFUNCTION("""COMPUTED_VALUE"""),"Joselyn Amante ma kalaban lng nman  pra siraan sla bk ikaw tolog lagi kya online k din 24hrs.pra Alam mo bk ihampas syo un resibo😄😄😄")</f>
        <v>Joselyn Amante ma kalaban lng nman  pra siraan sla bk ikaw tolog lagi kya online k din 24hrs.pra Alam mo bk ihampas syo un resibo😄😄😄</v>
      </c>
      <c r="F2462" s="1"/>
      <c r="G2462" s="1" t="str">
        <f ca="1">IFERROR(__xludf.DUMMYFUNCTION("""COMPUTED_VALUE"""),"3 mos")</f>
        <v>3 mos</v>
      </c>
      <c r="H2462" s="1" t="str">
        <f ca="1">IFERROR(__xludf.DUMMYFUNCTION("""COMPUTED_VALUE"""),"reply")</f>
        <v>reply</v>
      </c>
      <c r="I2462"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62" s="1" t="str">
        <f ca="1">IFERROR(__xludf.DUMMYFUNCTION("""COMPUTED_VALUE"""),"2022-07-04T15:50:11.825Z")</f>
        <v>2022-07-04T15:50:11.825Z</v>
      </c>
    </row>
    <row r="2463" spans="1:10" x14ac:dyDescent="0.2">
      <c r="A2463" s="2" t="str">
        <f ca="1">IFERROR(__xludf.DUMMYFUNCTION("""COMPUTED_VALUE"""),"https://www.facebook.com/profile.php?id=100075051973694")</f>
        <v>https://www.facebook.com/profile.php?id=100075051973694</v>
      </c>
      <c r="B2463" s="1" t="str">
        <f ca="1">IFERROR(__xludf.DUMMYFUNCTION("""COMPUTED_VALUE"""),"Neneng Verrana")</f>
        <v>Neneng Verrana</v>
      </c>
      <c r="C2463" s="1" t="str">
        <f ca="1">IFERROR(__xludf.DUMMYFUNCTION("""COMPUTED_VALUE"""),"Neneng")</f>
        <v>Neneng</v>
      </c>
      <c r="D2463" s="1" t="str">
        <f ca="1">IFERROR(__xludf.DUMMYFUNCTION("""COMPUTED_VALUE"""),"Verrana")</f>
        <v>Verrana</v>
      </c>
      <c r="E2463" s="1" t="str">
        <f ca="1">IFERROR(__xludf.DUMMYFUNCTION("""COMPUTED_VALUE"""),"Rose RAnario collect it to the MOON.....")</f>
        <v>Rose RAnario collect it to the MOON.....</v>
      </c>
      <c r="F2463" s="1"/>
      <c r="G2463" s="1" t="str">
        <f ca="1">IFERROR(__xludf.DUMMYFUNCTION("""COMPUTED_VALUE"""),"3 mos")</f>
        <v>3 mos</v>
      </c>
      <c r="H2463" s="1" t="str">
        <f ca="1">IFERROR(__xludf.DUMMYFUNCTION("""COMPUTED_VALUE"""),"reply")</f>
        <v>reply</v>
      </c>
      <c r="I2463"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63" s="1" t="str">
        <f ca="1">IFERROR(__xludf.DUMMYFUNCTION("""COMPUTED_VALUE"""),"2022-07-04T15:50:11.825Z")</f>
        <v>2022-07-04T15:50:11.825Z</v>
      </c>
    </row>
    <row r="2464" spans="1:10" x14ac:dyDescent="0.2">
      <c r="A2464" s="2" t="str">
        <f ca="1">IFERROR(__xludf.DUMMYFUNCTION("""COMPUTED_VALUE"""),"https://www.facebook.com/gerly.amante1")</f>
        <v>https://www.facebook.com/gerly.amante1</v>
      </c>
      <c r="B2464" s="1" t="str">
        <f ca="1">IFERROR(__xludf.DUMMYFUNCTION("""COMPUTED_VALUE"""),"Joselyn Amante")</f>
        <v>Joselyn Amante</v>
      </c>
      <c r="C2464" s="1" t="str">
        <f ca="1">IFERROR(__xludf.DUMMYFUNCTION("""COMPUTED_VALUE"""),"Joselyn")</f>
        <v>Joselyn</v>
      </c>
      <c r="D2464" s="1" t="str">
        <f ca="1">IFERROR(__xludf.DUMMYFUNCTION("""COMPUTED_VALUE"""),"Amante")</f>
        <v>Amante</v>
      </c>
      <c r="E2464" s="1" t="str">
        <f ca="1">IFERROR(__xludf.DUMMYFUNCTION("""COMPUTED_VALUE"""),"Gising na gising ako kabayan... hindi ako tulog sa katotohanan sige nga asan ang resibo na ihahampas mo sa hintayin ko...")</f>
        <v>Gising na gising ako kabayan... hindi ako tulog sa katotohanan sige nga asan ang resibo na ihahampas mo sa hintayin ko...</v>
      </c>
      <c r="F2464" s="1"/>
      <c r="G2464" s="1" t="str">
        <f ca="1">IFERROR(__xludf.DUMMYFUNCTION("""COMPUTED_VALUE"""),"3 mos")</f>
        <v>3 mos</v>
      </c>
      <c r="H2464" s="1" t="str">
        <f ca="1">IFERROR(__xludf.DUMMYFUNCTION("""COMPUTED_VALUE"""),"reply")</f>
        <v>reply</v>
      </c>
      <c r="I2464"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64" s="1" t="str">
        <f ca="1">IFERROR(__xludf.DUMMYFUNCTION("""COMPUTED_VALUE"""),"2022-07-04T15:50:11.825Z")</f>
        <v>2022-07-04T15:50:11.825Z</v>
      </c>
    </row>
    <row r="2465" spans="1:10" x14ac:dyDescent="0.2">
      <c r="A2465" s="2" t="str">
        <f ca="1">IFERROR(__xludf.DUMMYFUNCTION("""COMPUTED_VALUE"""),"https://www.facebook.com/barry.taganas.7")</f>
        <v>https://www.facebook.com/barry.taganas.7</v>
      </c>
      <c r="B2465" s="1" t="str">
        <f ca="1">IFERROR(__xludf.DUMMYFUNCTION("""COMPUTED_VALUE"""),"Raul Moises")</f>
        <v>Raul Moises</v>
      </c>
      <c r="C2465" s="1" t="str">
        <f ca="1">IFERROR(__xludf.DUMMYFUNCTION("""COMPUTED_VALUE"""),"Raul")</f>
        <v>Raul</v>
      </c>
      <c r="D2465" s="1" t="str">
        <f ca="1">IFERROR(__xludf.DUMMYFUNCTION("""COMPUTED_VALUE"""),"Moises")</f>
        <v>Moises</v>
      </c>
      <c r="E2465" s="1" t="str">
        <f ca="1">IFERROR(__xludf.DUMMYFUNCTION("""COMPUTED_VALUE"""),"Rose RAnario updated po kayo sa katangahan")</f>
        <v>Rose RAnario updated po kayo sa katangahan</v>
      </c>
      <c r="F2465" s="1">
        <f ca="1">IFERROR(__xludf.DUMMYFUNCTION("""COMPUTED_VALUE"""),3)</f>
        <v>3</v>
      </c>
      <c r="G2465" s="1" t="str">
        <f ca="1">IFERROR(__xludf.DUMMYFUNCTION("""COMPUTED_VALUE"""),"3 mos")</f>
        <v>3 mos</v>
      </c>
      <c r="H2465" s="1" t="str">
        <f ca="1">IFERROR(__xludf.DUMMYFUNCTION("""COMPUTED_VALUE"""),"reply")</f>
        <v>reply</v>
      </c>
      <c r="I2465"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65" s="1" t="str">
        <f ca="1">IFERROR(__xludf.DUMMYFUNCTION("""COMPUTED_VALUE"""),"2022-07-04T15:50:11.825Z")</f>
        <v>2022-07-04T15:50:11.825Z</v>
      </c>
    </row>
    <row r="2466" spans="1:10" x14ac:dyDescent="0.2">
      <c r="A2466" s="2" t="str">
        <f ca="1">IFERROR(__xludf.DUMMYFUNCTION("""COMPUTED_VALUE"""),"https://www.facebook.com/violet.panuringan")</f>
        <v>https://www.facebook.com/violet.panuringan</v>
      </c>
      <c r="B2466" s="1" t="str">
        <f ca="1">IFERROR(__xludf.DUMMYFUNCTION("""COMPUTED_VALUE"""),"Vholet Lualhati Panuringan")</f>
        <v>Vholet Lualhati Panuringan</v>
      </c>
      <c r="C2466" s="1" t="str">
        <f ca="1">IFERROR(__xludf.DUMMYFUNCTION("""COMPUTED_VALUE"""),"Vholet")</f>
        <v>Vholet</v>
      </c>
      <c r="D2466" s="1" t="str">
        <f ca="1">IFERROR(__xludf.DUMMYFUNCTION("""COMPUTED_VALUE"""),"Lualhati Panuringan")</f>
        <v>Lualhati Panuringan</v>
      </c>
      <c r="E2466" s="1" t="str">
        <f ca="1">IFERROR(__xludf.DUMMYFUNCTION("""COMPUTED_VALUE"""),"Rose RAnario d p cla bayad100x")</f>
        <v>Rose RAnario d p cla bayad100x</v>
      </c>
      <c r="F2466" s="1"/>
      <c r="G2466" s="1" t="str">
        <f ca="1">IFERROR(__xludf.DUMMYFUNCTION("""COMPUTED_VALUE"""),"3 mos")</f>
        <v>3 mos</v>
      </c>
      <c r="H2466" s="1" t="str">
        <f ca="1">IFERROR(__xludf.DUMMYFUNCTION("""COMPUTED_VALUE"""),"reply")</f>
        <v>reply</v>
      </c>
      <c r="I2466"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66" s="1" t="str">
        <f ca="1">IFERROR(__xludf.DUMMYFUNCTION("""COMPUTED_VALUE"""),"2022-07-04T15:50:11.825Z")</f>
        <v>2022-07-04T15:50:11.825Z</v>
      </c>
    </row>
    <row r="2467" spans="1:10" x14ac:dyDescent="0.2">
      <c r="A2467" s="2" t="str">
        <f ca="1">IFERROR(__xludf.DUMMYFUNCTION("""COMPUTED_VALUE"""),"https://www.facebook.com/rolen.danque")</f>
        <v>https://www.facebook.com/rolen.danque</v>
      </c>
      <c r="B2467" s="1" t="str">
        <f ca="1">IFERROR(__xludf.DUMMYFUNCTION("""COMPUTED_VALUE"""),"Rolen Salandanan Danque")</f>
        <v>Rolen Salandanan Danque</v>
      </c>
      <c r="C2467" s="1" t="str">
        <f ca="1">IFERROR(__xludf.DUMMYFUNCTION("""COMPUTED_VALUE"""),"Rolen")</f>
        <v>Rolen</v>
      </c>
      <c r="D2467" s="1" t="str">
        <f ca="1">IFERROR(__xludf.DUMMYFUNCTION("""COMPUTED_VALUE"""),"Salandanan Danque")</f>
        <v>Salandanan Danque</v>
      </c>
      <c r="E2467" s="1" t="str">
        <f ca="1">IFERROR(__xludf.DUMMYFUNCTION("""COMPUTED_VALUE"""),"Rose RAnario madam saang planeta nyo nasagap ang balitang bayad na yan..gising npo ba kyo..updated daw 🤣🤣🤣")</f>
        <v>Rose RAnario madam saang planeta nyo nasagap ang balitang bayad na yan..gising npo ba kyo..updated daw 🤣🤣🤣</v>
      </c>
      <c r="F2467" s="1">
        <f ca="1">IFERROR(__xludf.DUMMYFUNCTION("""COMPUTED_VALUE"""),1)</f>
        <v>1</v>
      </c>
      <c r="G2467" s="1" t="str">
        <f ca="1">IFERROR(__xludf.DUMMYFUNCTION("""COMPUTED_VALUE"""),"3 mos")</f>
        <v>3 mos</v>
      </c>
      <c r="H2467" s="1" t="str">
        <f ca="1">IFERROR(__xludf.DUMMYFUNCTION("""COMPUTED_VALUE"""),"reply")</f>
        <v>reply</v>
      </c>
      <c r="I2467"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67" s="1" t="str">
        <f ca="1">IFERROR(__xludf.DUMMYFUNCTION("""COMPUTED_VALUE"""),"2022-07-04T15:50:11.826Z")</f>
        <v>2022-07-04T15:50:11.826Z</v>
      </c>
    </row>
    <row r="2468" spans="1:10" x14ac:dyDescent="0.2">
      <c r="A2468" s="2" t="str">
        <f ca="1">IFERROR(__xludf.DUMMYFUNCTION("""COMPUTED_VALUE"""),"https://www.facebook.com/profile.php?id=100061205663342")</f>
        <v>https://www.facebook.com/profile.php?id=100061205663342</v>
      </c>
      <c r="B2468" s="1" t="str">
        <f ca="1">IFERROR(__xludf.DUMMYFUNCTION("""COMPUTED_VALUE"""),"Ernesto Perez")</f>
        <v>Ernesto Perez</v>
      </c>
      <c r="C2468" s="1" t="str">
        <f ca="1">IFERROR(__xludf.DUMMYFUNCTION("""COMPUTED_VALUE"""),"Ernesto")</f>
        <v>Ernesto</v>
      </c>
      <c r="D2468" s="1" t="str">
        <f ca="1">IFERROR(__xludf.DUMMYFUNCTION("""COMPUTED_VALUE"""),"Perez")</f>
        <v>Perez</v>
      </c>
      <c r="E2468" s="1" t="str">
        <f ca="1">IFERROR(__xludf.DUMMYFUNCTION("""COMPUTED_VALUE"""),"Rolen Salandanan Danque")</f>
        <v>Rolen Salandanan Danque</v>
      </c>
      <c r="F2468" s="1"/>
      <c r="G2468" s="1" t="str">
        <f ca="1">IFERROR(__xludf.DUMMYFUNCTION("""COMPUTED_VALUE"""),"3 mos")</f>
        <v>3 mos</v>
      </c>
      <c r="H2468" s="1" t="str">
        <f ca="1">IFERROR(__xludf.DUMMYFUNCTION("""COMPUTED_VALUE"""),"reply")</f>
        <v>reply</v>
      </c>
      <c r="I2468"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68" s="1" t="str">
        <f ca="1">IFERROR(__xludf.DUMMYFUNCTION("""COMPUTED_VALUE"""),"2022-07-04T15:50:11.826Z")</f>
        <v>2022-07-04T15:50:11.826Z</v>
      </c>
    </row>
    <row r="2469" spans="1:10" x14ac:dyDescent="0.2">
      <c r="A2469" s="2" t="str">
        <f ca="1">IFERROR(__xludf.DUMMYFUNCTION("""COMPUTED_VALUE"""),"https://www.facebook.com/ruben.musni")</f>
        <v>https://www.facebook.com/ruben.musni</v>
      </c>
      <c r="B2469" s="1" t="str">
        <f ca="1">IFERROR(__xludf.DUMMYFUNCTION("""COMPUTED_VALUE"""),"Ben M Espina")</f>
        <v>Ben M Espina</v>
      </c>
      <c r="C2469" s="1" t="str">
        <f ca="1">IFERROR(__xludf.DUMMYFUNCTION("""COMPUTED_VALUE"""),"Ben")</f>
        <v>Ben</v>
      </c>
      <c r="D2469" s="1" t="str">
        <f ca="1">IFERROR(__xludf.DUMMYFUNCTION("""COMPUTED_VALUE"""),"M Espina")</f>
        <v>M Espina</v>
      </c>
      <c r="E2469" s="1" t="str">
        <f ca="1">IFERROR(__xludf.DUMMYFUNCTION("""COMPUTED_VALUE"""),"Yan 203 billion na yang issue hindi na yan papatok sa mamayan Pilipino! Alam na ng buong mundo kung ano ang totoo!")</f>
        <v>Yan 203 billion na yang issue hindi na yan papatok sa mamayan Pilipino! Alam na ng buong mundo kung ano ang totoo!</v>
      </c>
      <c r="F2469" s="1">
        <f ca="1">IFERROR(__xludf.DUMMYFUNCTION("""COMPUTED_VALUE"""),7)</f>
        <v>7</v>
      </c>
      <c r="G2469" s="1" t="str">
        <f ca="1">IFERROR(__xludf.DUMMYFUNCTION("""COMPUTED_VALUE"""),"3 mos")</f>
        <v>3 mos</v>
      </c>
      <c r="H2469" s="1" t="str">
        <f ca="1">IFERROR(__xludf.DUMMYFUNCTION("""COMPUTED_VALUE"""),"comment")</f>
        <v>comment</v>
      </c>
      <c r="I2469"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69" s="1" t="str">
        <f ca="1">IFERROR(__xludf.DUMMYFUNCTION("""COMPUTED_VALUE"""),"2022-07-04T15:50:11.826Z")</f>
        <v>2022-07-04T15:50:11.826Z</v>
      </c>
    </row>
    <row r="2470" spans="1:10" x14ac:dyDescent="0.2">
      <c r="A2470" s="2" t="str">
        <f ca="1">IFERROR(__xludf.DUMMYFUNCTION("""COMPUTED_VALUE"""),"https://www.facebook.com/abetsuarez")</f>
        <v>https://www.facebook.com/abetsuarez</v>
      </c>
      <c r="B2470" s="1" t="str">
        <f ca="1">IFERROR(__xludf.DUMMYFUNCTION("""COMPUTED_VALUE"""),"Abet Farin")</f>
        <v>Abet Farin</v>
      </c>
      <c r="C2470" s="1" t="str">
        <f ca="1">IFERROR(__xludf.DUMMYFUNCTION("""COMPUTED_VALUE"""),"Abet")</f>
        <v>Abet</v>
      </c>
      <c r="D2470" s="1" t="str">
        <f ca="1">IFERROR(__xludf.DUMMYFUNCTION("""COMPUTED_VALUE"""),"Farin")</f>
        <v>Farin</v>
      </c>
      <c r="E2470" s="1" t="str">
        <f ca="1">IFERROR(__xludf.DUMMYFUNCTION("""COMPUTED_VALUE"""),"Kau ang dapat ifact check hahaha")</f>
        <v>Kau ang dapat ifact check hahaha</v>
      </c>
      <c r="F2470" s="1">
        <f ca="1">IFERROR(__xludf.DUMMYFUNCTION("""COMPUTED_VALUE"""),7)</f>
        <v>7</v>
      </c>
      <c r="G2470" s="1" t="str">
        <f ca="1">IFERROR(__xludf.DUMMYFUNCTION("""COMPUTED_VALUE"""),"3 mos")</f>
        <v>3 mos</v>
      </c>
      <c r="H2470" s="1" t="str">
        <f ca="1">IFERROR(__xludf.DUMMYFUNCTION("""COMPUTED_VALUE"""),"comment")</f>
        <v>comment</v>
      </c>
      <c r="I2470"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70" s="1" t="str">
        <f ca="1">IFERROR(__xludf.DUMMYFUNCTION("""COMPUTED_VALUE"""),"2022-07-04T15:50:11.826Z")</f>
        <v>2022-07-04T15:50:11.826Z</v>
      </c>
    </row>
    <row r="2471" spans="1:10" x14ac:dyDescent="0.2">
      <c r="A2471" s="2" t="str">
        <f ca="1">IFERROR(__xludf.DUMMYFUNCTION("""COMPUTED_VALUE"""),"https://www.facebook.com/carlos.ligan")</f>
        <v>https://www.facebook.com/carlos.ligan</v>
      </c>
      <c r="B2471" s="1" t="str">
        <f ca="1">IFERROR(__xludf.DUMMYFUNCTION("""COMPUTED_VALUE"""),"Carlos Ligan")</f>
        <v>Carlos Ligan</v>
      </c>
      <c r="C2471" s="1" t="str">
        <f ca="1">IFERROR(__xludf.DUMMYFUNCTION("""COMPUTED_VALUE"""),"Carlos")</f>
        <v>Carlos</v>
      </c>
      <c r="D2471" s="1" t="str">
        <f ca="1">IFERROR(__xludf.DUMMYFUNCTION("""COMPUTED_VALUE"""),"Ligan")</f>
        <v>Ligan</v>
      </c>
      <c r="E2471" s="1" t="str">
        <f ca="1">IFERROR(__xludf.DUMMYFUNCTION("""COMPUTED_VALUE"""),"I hate partisan media. They are of Cabals.")</f>
        <v>I hate partisan media. They are of Cabals.</v>
      </c>
      <c r="F2471" s="1"/>
      <c r="G2471" s="1" t="str">
        <f ca="1">IFERROR(__xludf.DUMMYFUNCTION("""COMPUTED_VALUE"""),"3 mos")</f>
        <v>3 mos</v>
      </c>
      <c r="H2471" s="1" t="str">
        <f ca="1">IFERROR(__xludf.DUMMYFUNCTION("""COMPUTED_VALUE"""),"comment")</f>
        <v>comment</v>
      </c>
      <c r="I2471"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71" s="1" t="str">
        <f ca="1">IFERROR(__xludf.DUMMYFUNCTION("""COMPUTED_VALUE"""),"2022-07-04T15:50:11.826Z")</f>
        <v>2022-07-04T15:50:11.826Z</v>
      </c>
    </row>
    <row r="2472" spans="1:10" x14ac:dyDescent="0.2">
      <c r="A2472" s="2" t="str">
        <f ca="1">IFERROR(__xludf.DUMMYFUNCTION("""COMPUTED_VALUE"""),"https://www.facebook.com/melinda.santelices")</f>
        <v>https://www.facebook.com/melinda.santelices</v>
      </c>
      <c r="B2472" s="1" t="str">
        <f ca="1">IFERROR(__xludf.DUMMYFUNCTION("""COMPUTED_VALUE"""),"Melinda Santelices")</f>
        <v>Melinda Santelices</v>
      </c>
      <c r="C2472" s="1" t="str">
        <f ca="1">IFERROR(__xludf.DUMMYFUNCTION("""COMPUTED_VALUE"""),"Melinda")</f>
        <v>Melinda</v>
      </c>
      <c r="D2472" s="1" t="str">
        <f ca="1">IFERROR(__xludf.DUMMYFUNCTION("""COMPUTED_VALUE"""),"Santelices")</f>
        <v>Santelices</v>
      </c>
      <c r="E2472" s="1" t="str">
        <f ca="1">IFERROR(__xludf.DUMMYFUNCTION("""COMPUTED_VALUE"""),"Bayad na please, MAKATULONG pa SA NASA laylayan na Pilipino")</f>
        <v>Bayad na please, MAKATULONG pa SA NASA laylayan na Pilipino</v>
      </c>
      <c r="F2472" s="1">
        <f ca="1">IFERROR(__xludf.DUMMYFUNCTION("""COMPUTED_VALUE"""),12)</f>
        <v>12</v>
      </c>
      <c r="G2472" s="1" t="str">
        <f ca="1">IFERROR(__xludf.DUMMYFUNCTION("""COMPUTED_VALUE"""),"3 mos")</f>
        <v>3 mos</v>
      </c>
      <c r="H2472" s="1" t="str">
        <f ca="1">IFERROR(__xludf.DUMMYFUNCTION("""COMPUTED_VALUE"""),"comment")</f>
        <v>comment</v>
      </c>
      <c r="I2472"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72" s="1" t="str">
        <f ca="1">IFERROR(__xludf.DUMMYFUNCTION("""COMPUTED_VALUE"""),"2022-07-04T15:50:11.826Z")</f>
        <v>2022-07-04T15:50:11.826Z</v>
      </c>
    </row>
    <row r="2473" spans="1:10" x14ac:dyDescent="0.2">
      <c r="A2473" s="2" t="str">
        <f ca="1">IFERROR(__xludf.DUMMYFUNCTION("""COMPUTED_VALUE"""),"https://www.facebook.com/pinedaRuda")</f>
        <v>https://www.facebook.com/pinedaRuda</v>
      </c>
      <c r="B2473" s="1" t="str">
        <f ca="1">IFERROR(__xludf.DUMMYFUNCTION("""COMPUTED_VALUE"""),"Leena Pineda")</f>
        <v>Leena Pineda</v>
      </c>
      <c r="C2473" s="1" t="str">
        <f ca="1">IFERROR(__xludf.DUMMYFUNCTION("""COMPUTED_VALUE"""),"Leena")</f>
        <v>Leena</v>
      </c>
      <c r="D2473" s="1" t="str">
        <f ca="1">IFERROR(__xludf.DUMMYFUNCTION("""COMPUTED_VALUE"""),"Pineda")</f>
        <v>Pineda</v>
      </c>
      <c r="E2473" s="1" t="str">
        <f ca="1">IFERROR(__xludf.DUMMYFUNCTION("""COMPUTED_VALUE"""),"Ericka Chan Racelis sino nagbalita sa inyo? Ung mga bloggers na puro edited videos? Hindi titirahin mayat maya ng mainstream media yan kung bayad na yan. Ayaw nga magbayad kaya gusto mag presidente para lusot na sa lahat ng kaso")</f>
        <v>Ericka Chan Racelis sino nagbalita sa inyo? Ung mga bloggers na puro edited videos? Hindi titirahin mayat maya ng mainstream media yan kung bayad na yan. Ayaw nga magbayad kaya gusto mag presidente para lusot na sa lahat ng kaso</v>
      </c>
      <c r="F2473" s="1"/>
      <c r="G2473" s="1" t="str">
        <f ca="1">IFERROR(__xludf.DUMMYFUNCTION("""COMPUTED_VALUE"""),"3 mos")</f>
        <v>3 mos</v>
      </c>
      <c r="H2473" s="1" t="str">
        <f ca="1">IFERROR(__xludf.DUMMYFUNCTION("""COMPUTED_VALUE"""),"reply")</f>
        <v>reply</v>
      </c>
      <c r="I2473"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73" s="1" t="str">
        <f ca="1">IFERROR(__xludf.DUMMYFUNCTION("""COMPUTED_VALUE"""),"2022-07-04T15:50:11.826Z")</f>
        <v>2022-07-04T15:50:11.826Z</v>
      </c>
    </row>
    <row r="2474" spans="1:10" x14ac:dyDescent="0.2">
      <c r="A2474" s="2" t="str">
        <f ca="1">IFERROR(__xludf.DUMMYFUNCTION("""COMPUTED_VALUE"""),"https://www.facebook.com/pangetkoh30")</f>
        <v>https://www.facebook.com/pangetkoh30</v>
      </c>
      <c r="B2474" s="1" t="str">
        <f ca="1">IFERROR(__xludf.DUMMYFUNCTION("""COMPUTED_VALUE"""),"Ericka Chan Racelis")</f>
        <v>Ericka Chan Racelis</v>
      </c>
      <c r="C2474" s="1" t="str">
        <f ca="1">IFERROR(__xludf.DUMMYFUNCTION("""COMPUTED_VALUE"""),"Ericka")</f>
        <v>Ericka</v>
      </c>
      <c r="D2474" s="1" t="str">
        <f ca="1">IFERROR(__xludf.DUMMYFUNCTION("""COMPUTED_VALUE"""),"Chan Racelis")</f>
        <v>Chan Racelis</v>
      </c>
      <c r="E2474" s="1" t="str">
        <f ca="1">IFERROR(__xludf.DUMMYFUNCTION("""COMPUTED_VALUE"""),"check nyo sa tv patrol")</f>
        <v>check nyo sa tv patrol</v>
      </c>
      <c r="F2474" s="1"/>
      <c r="G2474" s="1" t="str">
        <f ca="1">IFERROR(__xludf.DUMMYFUNCTION("""COMPUTED_VALUE"""),"3 mos")</f>
        <v>3 mos</v>
      </c>
      <c r="H2474" s="1" t="str">
        <f ca="1">IFERROR(__xludf.DUMMYFUNCTION("""COMPUTED_VALUE"""),"reply")</f>
        <v>reply</v>
      </c>
      <c r="I2474"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74" s="1" t="str">
        <f ca="1">IFERROR(__xludf.DUMMYFUNCTION("""COMPUTED_VALUE"""),"2022-07-04T15:50:11.826Z")</f>
        <v>2022-07-04T15:50:11.826Z</v>
      </c>
    </row>
    <row r="2475" spans="1:10" x14ac:dyDescent="0.2">
      <c r="A2475" s="2" t="str">
        <f ca="1">IFERROR(__xludf.DUMMYFUNCTION("""COMPUTED_VALUE"""),"https://www.facebook.com/dawatanpaulo")</f>
        <v>https://www.facebook.com/dawatanpaulo</v>
      </c>
      <c r="B2475" s="1" t="str">
        <f ca="1">IFERROR(__xludf.DUMMYFUNCTION("""COMPUTED_VALUE"""),"Paulo Dawatan")</f>
        <v>Paulo Dawatan</v>
      </c>
      <c r="C2475" s="1" t="str">
        <f ca="1">IFERROR(__xludf.DUMMYFUNCTION("""COMPUTED_VALUE"""),"Paulo")</f>
        <v>Paulo</v>
      </c>
      <c r="D2475" s="1" t="str">
        <f ca="1">IFERROR(__xludf.DUMMYFUNCTION("""COMPUTED_VALUE"""),"Dawatan")</f>
        <v>Dawatan</v>
      </c>
      <c r="E2475" s="1" t="str">
        <f ca="1">IFERROR(__xludf.DUMMYFUNCTION("""COMPUTED_VALUE"""),"Melinda Santelices ikaw nalang Ang hinihintay Ng korte maam")</f>
        <v>Melinda Santelices ikaw nalang Ang hinihintay Ng korte maam</v>
      </c>
      <c r="F2475" s="1">
        <f ca="1">IFERROR(__xludf.DUMMYFUNCTION("""COMPUTED_VALUE"""),3)</f>
        <v>3</v>
      </c>
      <c r="G2475" s="1" t="str">
        <f ca="1">IFERROR(__xludf.DUMMYFUNCTION("""COMPUTED_VALUE"""),"3 mos")</f>
        <v>3 mos</v>
      </c>
      <c r="H2475" s="1" t="str">
        <f ca="1">IFERROR(__xludf.DUMMYFUNCTION("""COMPUTED_VALUE"""),"reply")</f>
        <v>reply</v>
      </c>
      <c r="I2475"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75" s="1" t="str">
        <f ca="1">IFERROR(__xludf.DUMMYFUNCTION("""COMPUTED_VALUE"""),"2022-07-04T15:50:11.826Z")</f>
        <v>2022-07-04T15:50:11.826Z</v>
      </c>
    </row>
    <row r="2476" spans="1:10" x14ac:dyDescent="0.2">
      <c r="A2476" s="2" t="str">
        <f ca="1">IFERROR(__xludf.DUMMYFUNCTION("""COMPUTED_VALUE"""),"https://www.facebook.com/melinda.santelices")</f>
        <v>https://www.facebook.com/melinda.santelices</v>
      </c>
      <c r="B2476" s="1" t="str">
        <f ca="1">IFERROR(__xludf.DUMMYFUNCTION("""COMPUTED_VALUE"""),"Melinda Santelices")</f>
        <v>Melinda Santelices</v>
      </c>
      <c r="C2476" s="1" t="str">
        <f ca="1">IFERROR(__xludf.DUMMYFUNCTION("""COMPUTED_VALUE"""),"Melinda")</f>
        <v>Melinda</v>
      </c>
      <c r="D2476" s="1" t="str">
        <f ca="1">IFERROR(__xludf.DUMMYFUNCTION("""COMPUTED_VALUE"""),"Santelices")</f>
        <v>Santelices</v>
      </c>
      <c r="E2476" s="1" t="str">
        <f ca="1">IFERROR(__xludf.DUMMYFUNCTION("""COMPUTED_VALUE"""),"Prince Paasa  IBIGAY PERA PARA SA MGA PILIPINO, P203 Bilyon mgbayad.")</f>
        <v>Prince Paasa  IBIGAY PERA PARA SA MGA PILIPINO, P203 Bilyon mgbayad.</v>
      </c>
      <c r="F2476" s="1">
        <f ca="1">IFERROR(__xludf.DUMMYFUNCTION("""COMPUTED_VALUE"""),1)</f>
        <v>1</v>
      </c>
      <c r="G2476" s="1" t="str">
        <f ca="1">IFERROR(__xludf.DUMMYFUNCTION("""COMPUTED_VALUE"""),"3 mos")</f>
        <v>3 mos</v>
      </c>
      <c r="H2476" s="1" t="str">
        <f ca="1">IFERROR(__xludf.DUMMYFUNCTION("""COMPUTED_VALUE"""),"reply")</f>
        <v>reply</v>
      </c>
      <c r="I2476"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76" s="1" t="str">
        <f ca="1">IFERROR(__xludf.DUMMYFUNCTION("""COMPUTED_VALUE"""),"2022-07-04T15:50:11.826Z")</f>
        <v>2022-07-04T15:50:11.826Z</v>
      </c>
    </row>
    <row r="2477" spans="1:10" x14ac:dyDescent="0.2">
      <c r="A2477" s="2" t="str">
        <f ca="1">IFERROR(__xludf.DUMMYFUNCTION("""COMPUTED_VALUE"""),"https://www.facebook.com/melinda.santelices")</f>
        <v>https://www.facebook.com/melinda.santelices</v>
      </c>
      <c r="B2477" s="1" t="str">
        <f ca="1">IFERROR(__xludf.DUMMYFUNCTION("""COMPUTED_VALUE"""),"Melinda Santelices")</f>
        <v>Melinda Santelices</v>
      </c>
      <c r="C2477" s="1" t="str">
        <f ca="1">IFERROR(__xludf.DUMMYFUNCTION("""COMPUTED_VALUE"""),"Melinda")</f>
        <v>Melinda</v>
      </c>
      <c r="D2477" s="1" t="str">
        <f ca="1">IFERROR(__xludf.DUMMYFUNCTION("""COMPUTED_VALUE"""),"Santelices")</f>
        <v>Santelices</v>
      </c>
      <c r="E2477" s="1" t="str">
        <f ca="1">IFERROR(__xludf.DUMMYFUNCTION("""COMPUTED_VALUE"""),"Ericka Chan Racelis IN YOUR DREAMS WAG KONSINTIHIN ANG MAGNA CUMLAUDE SA PAGNANAKAW")</f>
        <v>Ericka Chan Racelis IN YOUR DREAMS WAG KONSINTIHIN ANG MAGNA CUMLAUDE SA PAGNANAKAW</v>
      </c>
      <c r="F2477" s="1">
        <f ca="1">IFERROR(__xludf.DUMMYFUNCTION("""COMPUTED_VALUE"""),1)</f>
        <v>1</v>
      </c>
      <c r="G2477" s="1" t="str">
        <f ca="1">IFERROR(__xludf.DUMMYFUNCTION("""COMPUTED_VALUE"""),"3 mos")</f>
        <v>3 mos</v>
      </c>
      <c r="H2477" s="1" t="str">
        <f ca="1">IFERROR(__xludf.DUMMYFUNCTION("""COMPUTED_VALUE"""),"reply")</f>
        <v>reply</v>
      </c>
      <c r="I2477"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77" s="1" t="str">
        <f ca="1">IFERROR(__xludf.DUMMYFUNCTION("""COMPUTED_VALUE"""),"2022-07-04T15:50:11.826Z")</f>
        <v>2022-07-04T15:50:11.826Z</v>
      </c>
    </row>
    <row r="2478" spans="1:10" x14ac:dyDescent="0.2">
      <c r="A2478" s="2" t="str">
        <f ca="1">IFERROR(__xludf.DUMMYFUNCTION("""COMPUTED_VALUE"""),"https://www.facebook.com/pangetkoh30")</f>
        <v>https://www.facebook.com/pangetkoh30</v>
      </c>
      <c r="B2478" s="1" t="str">
        <f ca="1">IFERROR(__xludf.DUMMYFUNCTION("""COMPUTED_VALUE"""),"Ericka Chan Racelis")</f>
        <v>Ericka Chan Racelis</v>
      </c>
      <c r="C2478" s="1" t="str">
        <f ca="1">IFERROR(__xludf.DUMMYFUNCTION("""COMPUTED_VALUE"""),"Ericka")</f>
        <v>Ericka</v>
      </c>
      <c r="D2478" s="1" t="str">
        <f ca="1">IFERROR(__xludf.DUMMYFUNCTION("""COMPUTED_VALUE"""),"Chan Racelis")</f>
        <v>Chan Racelis</v>
      </c>
      <c r="E2478" s="1" t="str">
        <f ca="1">IFERROR(__xludf.DUMMYFUNCTION("""COMPUTED_VALUE"""),"Melinda Santelices sinasabi mo ? kulelat na manok nyo")</f>
        <v>Melinda Santelices sinasabi mo ? kulelat na manok nyo</v>
      </c>
      <c r="F2478" s="1"/>
      <c r="G2478" s="1" t="str">
        <f ca="1">IFERROR(__xludf.DUMMYFUNCTION("""COMPUTED_VALUE"""),"3 mos")</f>
        <v>3 mos</v>
      </c>
      <c r="H2478" s="1" t="str">
        <f ca="1">IFERROR(__xludf.DUMMYFUNCTION("""COMPUTED_VALUE"""),"reply")</f>
        <v>reply</v>
      </c>
      <c r="I2478"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78" s="1" t="str">
        <f ca="1">IFERROR(__xludf.DUMMYFUNCTION("""COMPUTED_VALUE"""),"2022-07-04T15:50:11.826Z")</f>
        <v>2022-07-04T15:50:11.826Z</v>
      </c>
    </row>
    <row r="2479" spans="1:10" x14ac:dyDescent="0.2">
      <c r="A2479" s="2" t="str">
        <f ca="1">IFERROR(__xludf.DUMMYFUNCTION("""COMPUTED_VALUE"""),"https://www.facebook.com/pangetkoh30")</f>
        <v>https://www.facebook.com/pangetkoh30</v>
      </c>
      <c r="B2479" s="1" t="str">
        <f ca="1">IFERROR(__xludf.DUMMYFUNCTION("""COMPUTED_VALUE"""),"Ericka Chan Racelis")</f>
        <v>Ericka Chan Racelis</v>
      </c>
      <c r="C2479" s="1" t="str">
        <f ca="1">IFERROR(__xludf.DUMMYFUNCTION("""COMPUTED_VALUE"""),"Ericka")</f>
        <v>Ericka</v>
      </c>
      <c r="D2479" s="1" t="str">
        <f ca="1">IFERROR(__xludf.DUMMYFUNCTION("""COMPUTED_VALUE"""),"Chan Racelis")</f>
        <v>Chan Racelis</v>
      </c>
      <c r="E2479" s="1" t="str">
        <f ca="1">IFERROR(__xludf.DUMMYFUNCTION("""COMPUTED_VALUE"""),"Melinda Santelices tutal alam mo lahat edi mag star witness ka alam mo pala lahat eh mag sampa ka ng kaso di yung puro ka kuda")</f>
        <v>Melinda Santelices tutal alam mo lahat edi mag star witness ka alam mo pala lahat eh mag sampa ka ng kaso di yung puro ka kuda</v>
      </c>
      <c r="F2479" s="1"/>
      <c r="G2479" s="1" t="str">
        <f ca="1">IFERROR(__xludf.DUMMYFUNCTION("""COMPUTED_VALUE"""),"3 mos")</f>
        <v>3 mos</v>
      </c>
      <c r="H2479" s="1" t="str">
        <f ca="1">IFERROR(__xludf.DUMMYFUNCTION("""COMPUTED_VALUE"""),"reply")</f>
        <v>reply</v>
      </c>
      <c r="I2479"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79" s="1" t="str">
        <f ca="1">IFERROR(__xludf.DUMMYFUNCTION("""COMPUTED_VALUE"""),"2022-07-04T15:50:11.826Z")</f>
        <v>2022-07-04T15:50:11.826Z</v>
      </c>
    </row>
    <row r="2480" spans="1:10" x14ac:dyDescent="0.2">
      <c r="A2480" s="2" t="str">
        <f ca="1">IFERROR(__xludf.DUMMYFUNCTION("""COMPUTED_VALUE"""),"https://www.facebook.com/melinda.santelices")</f>
        <v>https://www.facebook.com/melinda.santelices</v>
      </c>
      <c r="B2480" s="1" t="str">
        <f ca="1">IFERROR(__xludf.DUMMYFUNCTION("""COMPUTED_VALUE"""),"Melinda Santelices")</f>
        <v>Melinda Santelices</v>
      </c>
      <c r="C2480" s="1" t="str">
        <f ca="1">IFERROR(__xludf.DUMMYFUNCTION("""COMPUTED_VALUE"""),"Melinda")</f>
        <v>Melinda</v>
      </c>
      <c r="D2480" s="1" t="str">
        <f ca="1">IFERROR(__xludf.DUMMYFUNCTION("""COMPUTED_VALUE"""),"Santelices")</f>
        <v>Santelices</v>
      </c>
      <c r="E2480" s="1" t="str">
        <f ca="1">IFERROR(__xludf.DUMMYFUNCTION("""COMPUTED_VALUE"""),"Ericka Chan Racelis  let  us wait and see bka manok mo MAKULONG GALINGAN NYO ha...")</f>
        <v>Ericka Chan Racelis  let  us wait and see bka manok mo MAKULONG GALINGAN NYO ha...</v>
      </c>
      <c r="F2480" s="1">
        <f ca="1">IFERROR(__xludf.DUMMYFUNCTION("""COMPUTED_VALUE"""),1)</f>
        <v>1</v>
      </c>
      <c r="G2480" s="1" t="str">
        <f ca="1">IFERROR(__xludf.DUMMYFUNCTION("""COMPUTED_VALUE"""),"3 mos")</f>
        <v>3 mos</v>
      </c>
      <c r="H2480" s="1" t="str">
        <f ca="1">IFERROR(__xludf.DUMMYFUNCTION("""COMPUTED_VALUE"""),"reply")</f>
        <v>reply</v>
      </c>
      <c r="I2480"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80" s="1" t="str">
        <f ca="1">IFERROR(__xludf.DUMMYFUNCTION("""COMPUTED_VALUE"""),"2022-07-04T15:50:11.826Z")</f>
        <v>2022-07-04T15:50:11.826Z</v>
      </c>
    </row>
    <row r="2481" spans="1:10" x14ac:dyDescent="0.2">
      <c r="A2481" s="2" t="str">
        <f ca="1">IFERROR(__xludf.DUMMYFUNCTION("""COMPUTED_VALUE"""),"https://www.facebook.com/rebecca.teodoro.79")</f>
        <v>https://www.facebook.com/rebecca.teodoro.79</v>
      </c>
      <c r="B2481" s="1" t="str">
        <f ca="1">IFERROR(__xludf.DUMMYFUNCTION("""COMPUTED_VALUE"""),"Rebecca Teodoro")</f>
        <v>Rebecca Teodoro</v>
      </c>
      <c r="C2481" s="1" t="str">
        <f ca="1">IFERROR(__xludf.DUMMYFUNCTION("""COMPUTED_VALUE"""),"Rebecca")</f>
        <v>Rebecca</v>
      </c>
      <c r="D2481" s="1" t="str">
        <f ca="1">IFERROR(__xludf.DUMMYFUNCTION("""COMPUTED_VALUE"""),"Teodoro")</f>
        <v>Teodoro</v>
      </c>
      <c r="E2481" s="1" t="str">
        <f ca="1">IFERROR(__xludf.DUMMYFUNCTION("""COMPUTED_VALUE"""),"Melinda Santelices hinihintay po kayo sa Korte para tumistigo hahhaa")</f>
        <v>Melinda Santelices hinihintay po kayo sa Korte para tumistigo hahhaa</v>
      </c>
      <c r="F2481" s="1"/>
      <c r="G2481" s="1" t="str">
        <f ca="1">IFERROR(__xludf.DUMMYFUNCTION("""COMPUTED_VALUE"""),"3 mos")</f>
        <v>3 mos</v>
      </c>
      <c r="H2481" s="1" t="str">
        <f ca="1">IFERROR(__xludf.DUMMYFUNCTION("""COMPUTED_VALUE"""),"reply")</f>
        <v>reply</v>
      </c>
      <c r="I2481"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81" s="1" t="str">
        <f ca="1">IFERROR(__xludf.DUMMYFUNCTION("""COMPUTED_VALUE"""),"2022-07-04T15:50:11.826Z")</f>
        <v>2022-07-04T15:50:11.826Z</v>
      </c>
    </row>
    <row r="2482" spans="1:10" x14ac:dyDescent="0.2">
      <c r="A2482" s="2" t="str">
        <f ca="1">IFERROR(__xludf.DUMMYFUNCTION("""COMPUTED_VALUE"""),"https://www.facebook.com/melinda.santelices")</f>
        <v>https://www.facebook.com/melinda.santelices</v>
      </c>
      <c r="B2482" s="1" t="str">
        <f ca="1">IFERROR(__xludf.DUMMYFUNCTION("""COMPUTED_VALUE"""),"Melinda Santelices")</f>
        <v>Melinda Santelices</v>
      </c>
      <c r="C2482" s="1" t="str">
        <f ca="1">IFERROR(__xludf.DUMMYFUNCTION("""COMPUTED_VALUE"""),"Melinda")</f>
        <v>Melinda</v>
      </c>
      <c r="D2482" s="1" t="str">
        <f ca="1">IFERROR(__xludf.DUMMYFUNCTION("""COMPUTED_VALUE"""),"Santelices")</f>
        <v>Santelices</v>
      </c>
      <c r="E2482" s="1" t="str">
        <f ca="1">IFERROR(__xludf.DUMMYFUNCTION("""COMPUTED_VALUE"""),"Rebecca Teodoro MARAMING Martial Law victims  na nilagyan Ng red tagged Ang tetestigo , d nila ko kylangan sapat na mga BIKTIMA Ng Martial Law. KABOBOHAN sagot mo sorry please may sense nman")</f>
        <v>Rebecca Teodoro MARAMING Martial Law victims  na nilagyan Ng red tagged Ang tetestigo , d nila ko kylangan sapat na mga BIKTIMA Ng Martial Law. KABOBOHAN sagot mo sorry please may sense nman</v>
      </c>
      <c r="F2482" s="1"/>
      <c r="G2482" s="1" t="str">
        <f ca="1">IFERROR(__xludf.DUMMYFUNCTION("""COMPUTED_VALUE"""),"3 mos")</f>
        <v>3 mos</v>
      </c>
      <c r="H2482" s="1" t="str">
        <f ca="1">IFERROR(__xludf.DUMMYFUNCTION("""COMPUTED_VALUE"""),"reply")</f>
        <v>reply</v>
      </c>
      <c r="I2482"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82" s="1" t="str">
        <f ca="1">IFERROR(__xludf.DUMMYFUNCTION("""COMPUTED_VALUE"""),"2022-07-04T15:50:11.826Z")</f>
        <v>2022-07-04T15:50:11.826Z</v>
      </c>
    </row>
    <row r="2483" spans="1:10" x14ac:dyDescent="0.2">
      <c r="A2483" s="2" t="str">
        <f ca="1">IFERROR(__xludf.DUMMYFUNCTION("""COMPUTED_VALUE"""),"https://www.facebook.com/elena.cayandag.71")</f>
        <v>https://www.facebook.com/elena.cayandag.71</v>
      </c>
      <c r="B2483" s="1" t="str">
        <f ca="1">IFERROR(__xludf.DUMMYFUNCTION("""COMPUTED_VALUE"""),"Elena Cayandag")</f>
        <v>Elena Cayandag</v>
      </c>
      <c r="C2483" s="1" t="str">
        <f ca="1">IFERROR(__xludf.DUMMYFUNCTION("""COMPUTED_VALUE"""),"Elena")</f>
        <v>Elena</v>
      </c>
      <c r="D2483" s="1" t="str">
        <f ca="1">IFERROR(__xludf.DUMMYFUNCTION("""COMPUTED_VALUE"""),"Cayandag")</f>
        <v>Cayandag</v>
      </c>
      <c r="E2483" s="1" t="str">
        <f ca="1">IFERROR(__xludf.DUMMYFUNCTION("""COMPUTED_VALUE"""),"Melinda Santelices kanila yon hindi para sa kahit kanino")</f>
        <v>Melinda Santelices kanila yon hindi para sa kahit kanino</v>
      </c>
      <c r="F2483" s="1"/>
      <c r="G2483" s="1" t="str">
        <f ca="1">IFERROR(__xludf.DUMMYFUNCTION("""COMPUTED_VALUE"""),"3 mos")</f>
        <v>3 mos</v>
      </c>
      <c r="H2483" s="1" t="str">
        <f ca="1">IFERROR(__xludf.DUMMYFUNCTION("""COMPUTED_VALUE"""),"reply")</f>
        <v>reply</v>
      </c>
      <c r="I2483"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83" s="1" t="str">
        <f ca="1">IFERROR(__xludf.DUMMYFUNCTION("""COMPUTED_VALUE"""),"2022-07-04T15:50:11.826Z")</f>
        <v>2022-07-04T15:50:11.826Z</v>
      </c>
    </row>
    <row r="2484" spans="1:10" x14ac:dyDescent="0.2">
      <c r="A2484" s="2" t="str">
        <f ca="1">IFERROR(__xludf.DUMMYFUNCTION("""COMPUTED_VALUE"""),"https://www.facebook.com/melinda.santelices")</f>
        <v>https://www.facebook.com/melinda.santelices</v>
      </c>
      <c r="B2484" s="1" t="str">
        <f ca="1">IFERROR(__xludf.DUMMYFUNCTION("""COMPUTED_VALUE"""),"Melinda Santelices")</f>
        <v>Melinda Santelices</v>
      </c>
      <c r="C2484" s="1" t="str">
        <f ca="1">IFERROR(__xludf.DUMMYFUNCTION("""COMPUTED_VALUE"""),"Melinda")</f>
        <v>Melinda</v>
      </c>
      <c r="D2484" s="1" t="str">
        <f ca="1">IFERROR(__xludf.DUMMYFUNCTION("""COMPUTED_VALUE"""),"Santelices")</f>
        <v>Santelices</v>
      </c>
      <c r="E2484" s="1" t="str">
        <f ca="1">IFERROR(__xludf.DUMMYFUNCTION("""COMPUTED_VALUE"""),"Elena Cayandag Yun pala bkit ka nakikisawsaw")</f>
        <v>Elena Cayandag Yun pala bkit ka nakikisawsaw</v>
      </c>
      <c r="F2484" s="1"/>
      <c r="G2484" s="1" t="str">
        <f ca="1">IFERROR(__xludf.DUMMYFUNCTION("""COMPUTED_VALUE"""),"3 mos")</f>
        <v>3 mos</v>
      </c>
      <c r="H2484" s="1" t="str">
        <f ca="1">IFERROR(__xludf.DUMMYFUNCTION("""COMPUTED_VALUE"""),"reply")</f>
        <v>reply</v>
      </c>
      <c r="I2484"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84" s="1" t="str">
        <f ca="1">IFERROR(__xludf.DUMMYFUNCTION("""COMPUTED_VALUE"""),"2022-07-04T15:50:11.826Z")</f>
        <v>2022-07-04T15:50:11.826Z</v>
      </c>
    </row>
    <row r="2485" spans="1:10" x14ac:dyDescent="0.2">
      <c r="A2485" s="2" t="str">
        <f ca="1">IFERROR(__xludf.DUMMYFUNCTION("""COMPUTED_VALUE"""),"https://www.facebook.com/bot.kohtoh")</f>
        <v>https://www.facebook.com/bot.kohtoh</v>
      </c>
      <c r="B2485" s="1" t="str">
        <f ca="1">IFERROR(__xludf.DUMMYFUNCTION("""COMPUTED_VALUE"""),"Bot Kohtoh")</f>
        <v>Bot Kohtoh</v>
      </c>
      <c r="C2485" s="1" t="str">
        <f ca="1">IFERROR(__xludf.DUMMYFUNCTION("""COMPUTED_VALUE"""),"Bot")</f>
        <v>Bot</v>
      </c>
      <c r="D2485" s="1" t="str">
        <f ca="1">IFERROR(__xludf.DUMMYFUNCTION("""COMPUTED_VALUE"""),"Kohtoh")</f>
        <v>Kohtoh</v>
      </c>
      <c r="E2485" s="1" t="str">
        <f ca="1">IFERROR(__xludf.DUMMYFUNCTION("""COMPUTED_VALUE"""),"LOL comprehension mo marvin ayusin mo.")</f>
        <v>LOL comprehension mo marvin ayusin mo.</v>
      </c>
      <c r="F2485" s="1"/>
      <c r="G2485" s="1" t="str">
        <f ca="1">IFERROR(__xludf.DUMMYFUNCTION("""COMPUTED_VALUE"""),"3 mos")</f>
        <v>3 mos</v>
      </c>
      <c r="H2485" s="1" t="str">
        <f ca="1">IFERROR(__xludf.DUMMYFUNCTION("""COMPUTED_VALUE"""),"reply")</f>
        <v>reply</v>
      </c>
      <c r="I2485"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85" s="1" t="str">
        <f ca="1">IFERROR(__xludf.DUMMYFUNCTION("""COMPUTED_VALUE"""),"2022-07-04T15:50:11.826Z")</f>
        <v>2022-07-04T15:50:11.826Z</v>
      </c>
    </row>
    <row r="2486" spans="1:10" x14ac:dyDescent="0.2">
      <c r="A2486" s="2" t="str">
        <f ca="1">IFERROR(__xludf.DUMMYFUNCTION("""COMPUTED_VALUE"""),"https://www.facebook.com/josiephine.pajunar")</f>
        <v>https://www.facebook.com/josiephine.pajunar</v>
      </c>
      <c r="B2486" s="1" t="str">
        <f ca="1">IFERROR(__xludf.DUMMYFUNCTION("""COMPUTED_VALUE"""),"Josiephine Pajunar")</f>
        <v>Josiephine Pajunar</v>
      </c>
      <c r="C2486" s="1" t="str">
        <f ca="1">IFERROR(__xludf.DUMMYFUNCTION("""COMPUTED_VALUE"""),"Josiephine")</f>
        <v>Josiephine</v>
      </c>
      <c r="D2486" s="1" t="str">
        <f ca="1">IFERROR(__xludf.DUMMYFUNCTION("""COMPUTED_VALUE"""),"Pajunar")</f>
        <v>Pajunar</v>
      </c>
      <c r="E2486" s="1" t="str">
        <f ca="1">IFERROR(__xludf.DUMMYFUNCTION("""COMPUTED_VALUE"""),"IYONG SABI NILA ILL GOTTEN WEALTH  WALA IYON!! TUNAY NASA KANILA IYON")</f>
        <v>IYONG SABI NILA ILL GOTTEN WEALTH  WALA IYON!! TUNAY NASA KANILA IYON</v>
      </c>
      <c r="F2486" s="1">
        <f ca="1">IFERROR(__xludf.DUMMYFUNCTION("""COMPUTED_VALUE"""),2)</f>
        <v>2</v>
      </c>
      <c r="G2486" s="1" t="str">
        <f ca="1">IFERROR(__xludf.DUMMYFUNCTION("""COMPUTED_VALUE"""),"3 mos")</f>
        <v>3 mos</v>
      </c>
      <c r="H2486" s="1" t="str">
        <f ca="1">IFERROR(__xludf.DUMMYFUNCTION("""COMPUTED_VALUE"""),"comment")</f>
        <v>comment</v>
      </c>
      <c r="I2486"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86" s="1" t="str">
        <f ca="1">IFERROR(__xludf.DUMMYFUNCTION("""COMPUTED_VALUE"""),"2022-07-04T15:50:11.826Z")</f>
        <v>2022-07-04T15:50:11.826Z</v>
      </c>
    </row>
    <row r="2487" spans="1:10" x14ac:dyDescent="0.2">
      <c r="A2487" s="2" t="str">
        <f ca="1">IFERROR(__xludf.DUMMYFUNCTION("""COMPUTED_VALUE"""),"https://www.facebook.com/melai.banirdag")</f>
        <v>https://www.facebook.com/melai.banirdag</v>
      </c>
      <c r="B2487" s="1" t="str">
        <f ca="1">IFERROR(__xludf.DUMMYFUNCTION("""COMPUTED_VALUE"""),"MeLbre GaDtu")</f>
        <v>MeLbre GaDtu</v>
      </c>
      <c r="C2487" s="1" t="str">
        <f ca="1">IFERROR(__xludf.DUMMYFUNCTION("""COMPUTED_VALUE"""),"MeLbre")</f>
        <v>MeLbre</v>
      </c>
      <c r="D2487" s="1" t="str">
        <f ca="1">IFERROR(__xludf.DUMMYFUNCTION("""COMPUTED_VALUE"""),"GaDtu")</f>
        <v>GaDtu</v>
      </c>
      <c r="E2487" s="1" t="str">
        <f ca="1">IFERROR(__xludf.DUMMYFUNCTION("""COMPUTED_VALUE"""),"Ok po.")</f>
        <v>Ok po.</v>
      </c>
      <c r="F2487" s="1"/>
      <c r="G2487" s="1" t="str">
        <f ca="1">IFERROR(__xludf.DUMMYFUNCTION("""COMPUTED_VALUE"""),"3 mos")</f>
        <v>3 mos</v>
      </c>
      <c r="H2487" s="1" t="str">
        <f ca="1">IFERROR(__xludf.DUMMYFUNCTION("""COMPUTED_VALUE"""),"comment")</f>
        <v>comment</v>
      </c>
      <c r="I2487"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87" s="1" t="str">
        <f ca="1">IFERROR(__xludf.DUMMYFUNCTION("""COMPUTED_VALUE"""),"2022-07-04T15:50:11.826Z")</f>
        <v>2022-07-04T15:50:11.826Z</v>
      </c>
    </row>
    <row r="2488" spans="1:10" x14ac:dyDescent="0.2">
      <c r="A2488" s="2" t="str">
        <f ca="1">IFERROR(__xludf.DUMMYFUNCTION("""COMPUTED_VALUE"""),"https://www.facebook.com/cel.servando")</f>
        <v>https://www.facebook.com/cel.servando</v>
      </c>
      <c r="B2488" s="1" t="str">
        <f ca="1">IFERROR(__xludf.DUMMYFUNCTION("""COMPUTED_VALUE"""),"Cecile Servando")</f>
        <v>Cecile Servando</v>
      </c>
      <c r="C2488" s="1" t="str">
        <f ca="1">IFERROR(__xludf.DUMMYFUNCTION("""COMPUTED_VALUE"""),"Cecile")</f>
        <v>Cecile</v>
      </c>
      <c r="D2488" s="1" t="str">
        <f ca="1">IFERROR(__xludf.DUMMYFUNCTION("""COMPUTED_VALUE"""),"Servando")</f>
        <v>Servando</v>
      </c>
      <c r="E2488" s="1" t="str">
        <f ca="1">IFERROR(__xludf.DUMMYFUNCTION("""COMPUTED_VALUE"""),"Ilusyon nyo lang yan😄")</f>
        <v>Ilusyon nyo lang yan😄</v>
      </c>
      <c r="F2488" s="1">
        <f ca="1">IFERROR(__xludf.DUMMYFUNCTION("""COMPUTED_VALUE"""),3)</f>
        <v>3</v>
      </c>
      <c r="G2488" s="1" t="str">
        <f ca="1">IFERROR(__xludf.DUMMYFUNCTION("""COMPUTED_VALUE"""),"3 mos")</f>
        <v>3 mos</v>
      </c>
      <c r="H2488" s="1" t="str">
        <f ca="1">IFERROR(__xludf.DUMMYFUNCTION("""COMPUTED_VALUE"""),"comment")</f>
        <v>comment</v>
      </c>
      <c r="I2488"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88" s="1" t="str">
        <f ca="1">IFERROR(__xludf.DUMMYFUNCTION("""COMPUTED_VALUE"""),"2022-07-04T15:50:11.826Z")</f>
        <v>2022-07-04T15:50:11.826Z</v>
      </c>
    </row>
    <row r="2489" spans="1:10" x14ac:dyDescent="0.2">
      <c r="A2489" s="2" t="str">
        <f ca="1">IFERROR(__xludf.DUMMYFUNCTION("""COMPUTED_VALUE"""),"https://www.facebook.com/raullongkoy.palad")</f>
        <v>https://www.facebook.com/raullongkoy.palad</v>
      </c>
      <c r="B2489" s="1" t="str">
        <f ca="1">IFERROR(__xludf.DUMMYFUNCTION("""COMPUTED_VALUE"""),"Raul Longkoy Castellano Palad")</f>
        <v>Raul Longkoy Castellano Palad</v>
      </c>
      <c r="C2489" s="1" t="str">
        <f ca="1">IFERROR(__xludf.DUMMYFUNCTION("""COMPUTED_VALUE"""),"Raul")</f>
        <v>Raul</v>
      </c>
      <c r="D2489" s="1" t="str">
        <f ca="1">IFERROR(__xludf.DUMMYFUNCTION("""COMPUTED_VALUE"""),"Longkoy Castellano Palad")</f>
        <v>Longkoy Castellano Palad</v>
      </c>
      <c r="E2489" s="1" t="str">
        <f ca="1">IFERROR(__xludf.DUMMYFUNCTION("""COMPUTED_VALUE"""),"Of course. Otherwise mabubura lahat ng kasalanan nila sa taumbayan!")</f>
        <v>Of course. Otherwise mabubura lahat ng kasalanan nila sa taumbayan!</v>
      </c>
      <c r="F2489" s="1"/>
      <c r="G2489" s="1" t="str">
        <f ca="1">IFERROR(__xludf.DUMMYFUNCTION("""COMPUTED_VALUE"""),"3 mos")</f>
        <v>3 mos</v>
      </c>
      <c r="H2489" s="1" t="str">
        <f ca="1">IFERROR(__xludf.DUMMYFUNCTION("""COMPUTED_VALUE"""),"comment")</f>
        <v>comment</v>
      </c>
      <c r="I2489"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89" s="1" t="str">
        <f ca="1">IFERROR(__xludf.DUMMYFUNCTION("""COMPUTED_VALUE"""),"2022-07-04T15:50:11.826Z")</f>
        <v>2022-07-04T15:50:11.826Z</v>
      </c>
    </row>
    <row r="2490" spans="1:10" x14ac:dyDescent="0.2">
      <c r="A2490" s="2" t="str">
        <f ca="1">IFERROR(__xludf.DUMMYFUNCTION("""COMPUTED_VALUE"""),"https://www.facebook.com/profile.php?id=100061205663342")</f>
        <v>https://www.facebook.com/profile.php?id=100061205663342</v>
      </c>
      <c r="B2490" s="1" t="str">
        <f ca="1">IFERROR(__xludf.DUMMYFUNCTION("""COMPUTED_VALUE"""),"Ernesto Perez")</f>
        <v>Ernesto Perez</v>
      </c>
      <c r="C2490" s="1" t="str">
        <f ca="1">IFERROR(__xludf.DUMMYFUNCTION("""COMPUTED_VALUE"""),"Ernesto")</f>
        <v>Ernesto</v>
      </c>
      <c r="D2490" s="1" t="str">
        <f ca="1">IFERROR(__xludf.DUMMYFUNCTION("""COMPUTED_VALUE"""),"Perez")</f>
        <v>Perez</v>
      </c>
      <c r="E2490" s="1" t="str">
        <f ca="1">IFERROR(__xludf.DUMMYFUNCTION("""COMPUTED_VALUE"""),"Kya pala wla cya sa debate nka tago sa culprit nkikinig lng ha ha ha the  joker president")</f>
        <v>Kya pala wla cya sa debate nka tago sa culprit nkikinig lng ha ha ha the  joker president</v>
      </c>
      <c r="F2490" s="1"/>
      <c r="G2490" s="1" t="str">
        <f ca="1">IFERROR(__xludf.DUMMYFUNCTION("""COMPUTED_VALUE"""),"3 mos")</f>
        <v>3 mos</v>
      </c>
      <c r="H2490" s="1" t="str">
        <f ca="1">IFERROR(__xludf.DUMMYFUNCTION("""COMPUTED_VALUE"""),"comment")</f>
        <v>comment</v>
      </c>
      <c r="I2490"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90" s="1" t="str">
        <f ca="1">IFERROR(__xludf.DUMMYFUNCTION("""COMPUTED_VALUE"""),"2022-07-04T15:50:11.826Z")</f>
        <v>2022-07-04T15:50:11.826Z</v>
      </c>
    </row>
    <row r="2491" spans="1:10" x14ac:dyDescent="0.2">
      <c r="A2491" s="2" t="str">
        <f ca="1">IFERROR(__xludf.DUMMYFUNCTION("""COMPUTED_VALUE"""),"https://www.facebook.com/roldan.lago.75")</f>
        <v>https://www.facebook.com/roldan.lago.75</v>
      </c>
      <c r="B2491" s="1" t="str">
        <f ca="1">IFERROR(__xludf.DUMMYFUNCTION("""COMPUTED_VALUE"""),"Roldan Lago")</f>
        <v>Roldan Lago</v>
      </c>
      <c r="C2491" s="1" t="str">
        <f ca="1">IFERROR(__xludf.DUMMYFUNCTION("""COMPUTED_VALUE"""),"Roldan")</f>
        <v>Roldan</v>
      </c>
      <c r="D2491" s="1" t="str">
        <f ca="1">IFERROR(__xludf.DUMMYFUNCTION("""COMPUTED_VALUE"""),"Lago")</f>
        <v>Lago</v>
      </c>
      <c r="E2491" s="1" t="str">
        <f ca="1">IFERROR(__xludf.DUMMYFUNCTION("""COMPUTED_VALUE"""),"bayad na yan wag na papansin")</f>
        <v>bayad na yan wag na papansin</v>
      </c>
      <c r="F2491" s="1">
        <f ca="1">IFERROR(__xludf.DUMMYFUNCTION("""COMPUTED_VALUE"""),9)</f>
        <v>9</v>
      </c>
      <c r="G2491" s="1" t="str">
        <f ca="1">IFERROR(__xludf.DUMMYFUNCTION("""COMPUTED_VALUE"""),"3 mos")</f>
        <v>3 mos</v>
      </c>
      <c r="H2491" s="1" t="str">
        <f ca="1">IFERROR(__xludf.DUMMYFUNCTION("""COMPUTED_VALUE"""),"comment")</f>
        <v>comment</v>
      </c>
      <c r="I2491"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91" s="1" t="str">
        <f ca="1">IFERROR(__xludf.DUMMYFUNCTION("""COMPUTED_VALUE"""),"2022-07-04T15:50:11.826Z")</f>
        <v>2022-07-04T15:50:11.826Z</v>
      </c>
    </row>
    <row r="2492" spans="1:10" x14ac:dyDescent="0.2">
      <c r="A2492" s="2" t="str">
        <f ca="1">IFERROR(__xludf.DUMMYFUNCTION("""COMPUTED_VALUE"""),"https://www.facebook.com/eduardeddie.rocabo")</f>
        <v>https://www.facebook.com/eduardeddie.rocabo</v>
      </c>
      <c r="B2492" s="1" t="str">
        <f ca="1">IFERROR(__xludf.DUMMYFUNCTION("""COMPUTED_VALUE"""),"Eddie Rcb")</f>
        <v>Eddie Rcb</v>
      </c>
      <c r="C2492" s="1" t="str">
        <f ca="1">IFERROR(__xludf.DUMMYFUNCTION("""COMPUTED_VALUE"""),"Eddie")</f>
        <v>Eddie</v>
      </c>
      <c r="D2492" s="1" t="str">
        <f ca="1">IFERROR(__xludf.DUMMYFUNCTION("""COMPUTED_VALUE"""),"Rcb")</f>
        <v>Rcb</v>
      </c>
      <c r="E2492" s="1" t="str">
        <f ca="1">IFERROR(__xludf.DUMMYFUNCTION("""COMPUTED_VALUE"""),"Roldan Lago link resibo?")</f>
        <v>Roldan Lago link resibo?</v>
      </c>
      <c r="F2492" s="1">
        <f ca="1">IFERROR(__xludf.DUMMYFUNCTION("""COMPUTED_VALUE"""),3)</f>
        <v>3</v>
      </c>
      <c r="G2492" s="1" t="str">
        <f ca="1">IFERROR(__xludf.DUMMYFUNCTION("""COMPUTED_VALUE"""),"3 mos")</f>
        <v>3 mos</v>
      </c>
      <c r="H2492" s="1" t="str">
        <f ca="1">IFERROR(__xludf.DUMMYFUNCTION("""COMPUTED_VALUE"""),"reply")</f>
        <v>reply</v>
      </c>
      <c r="I2492"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92" s="1" t="str">
        <f ca="1">IFERROR(__xludf.DUMMYFUNCTION("""COMPUTED_VALUE"""),"2022-07-04T15:50:11.826Z")</f>
        <v>2022-07-04T15:50:11.826Z</v>
      </c>
    </row>
    <row r="2493" spans="1:10" x14ac:dyDescent="0.2">
      <c r="A2493" s="2" t="str">
        <f ca="1">IFERROR(__xludf.DUMMYFUNCTION("""COMPUTED_VALUE"""),"https://www.facebook.com/tiu.ag")</f>
        <v>https://www.facebook.com/tiu.ag</v>
      </c>
      <c r="B2493" s="1" t="str">
        <f ca="1">IFERROR(__xludf.DUMMYFUNCTION("""COMPUTED_VALUE"""),"Kevin Tiu")</f>
        <v>Kevin Tiu</v>
      </c>
      <c r="C2493" s="1" t="str">
        <f ca="1">IFERROR(__xludf.DUMMYFUNCTION("""COMPUTED_VALUE"""),"Kevin")</f>
        <v>Kevin</v>
      </c>
      <c r="D2493" s="1" t="str">
        <f ca="1">IFERROR(__xludf.DUMMYFUNCTION("""COMPUTED_VALUE"""),"Tiu")</f>
        <v>Tiu</v>
      </c>
      <c r="E2493" s="1" t="str">
        <f ca="1">IFERROR(__xludf.DUMMYFUNCTION("""COMPUTED_VALUE"""),"Roldan Lago nasaan ung resibo na bayad na? Kung wala, cnungaling ka.")</f>
        <v>Roldan Lago nasaan ung resibo na bayad na? Kung wala, cnungaling ka.</v>
      </c>
      <c r="F2493" s="1">
        <f ca="1">IFERROR(__xludf.DUMMYFUNCTION("""COMPUTED_VALUE"""),5)</f>
        <v>5</v>
      </c>
      <c r="G2493" s="1" t="str">
        <f ca="1">IFERROR(__xludf.DUMMYFUNCTION("""COMPUTED_VALUE"""),"3 mos")</f>
        <v>3 mos</v>
      </c>
      <c r="H2493" s="1" t="str">
        <f ca="1">IFERROR(__xludf.DUMMYFUNCTION("""COMPUTED_VALUE"""),"reply")</f>
        <v>reply</v>
      </c>
      <c r="I2493"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93" s="1" t="str">
        <f ca="1">IFERROR(__xludf.DUMMYFUNCTION("""COMPUTED_VALUE"""),"2022-07-04T15:50:11.826Z")</f>
        <v>2022-07-04T15:50:11.826Z</v>
      </c>
    </row>
    <row r="2494" spans="1:10" x14ac:dyDescent="0.2">
      <c r="A2494" s="2" t="str">
        <f ca="1">IFERROR(__xludf.DUMMYFUNCTION("""COMPUTED_VALUE"""),"https://www.facebook.com/roldan.lago.75")</f>
        <v>https://www.facebook.com/roldan.lago.75</v>
      </c>
      <c r="B2494" s="1" t="str">
        <f ca="1">IFERROR(__xludf.DUMMYFUNCTION("""COMPUTED_VALUE"""),"Roldan Lago")</f>
        <v>Roldan Lago</v>
      </c>
      <c r="C2494" s="1" t="str">
        <f ca="1">IFERROR(__xludf.DUMMYFUNCTION("""COMPUTED_VALUE"""),"Roldan")</f>
        <v>Roldan</v>
      </c>
      <c r="D2494" s="1" t="str">
        <f ca="1">IFERROR(__xludf.DUMMYFUNCTION("""COMPUTED_VALUE"""),"Lago")</f>
        <v>Lago</v>
      </c>
      <c r="E2494" s="1" t="str">
        <f ca="1">IFERROR(__xludf.DUMMYFUNCTION("""COMPUTED_VALUE"""),"Kevin Tiu kayo san patunay nyo na nd nag bayad")</f>
        <v>Kevin Tiu kayo san patunay nyo na nd nag bayad</v>
      </c>
      <c r="F2494" s="1">
        <f ca="1">IFERROR(__xludf.DUMMYFUNCTION("""COMPUTED_VALUE"""),1)</f>
        <v>1</v>
      </c>
      <c r="G2494" s="1" t="str">
        <f ca="1">IFERROR(__xludf.DUMMYFUNCTION("""COMPUTED_VALUE"""),"3 mos")</f>
        <v>3 mos</v>
      </c>
      <c r="H2494" s="1" t="str">
        <f ca="1">IFERROR(__xludf.DUMMYFUNCTION("""COMPUTED_VALUE"""),"reply")</f>
        <v>reply</v>
      </c>
      <c r="I2494"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94" s="1" t="str">
        <f ca="1">IFERROR(__xludf.DUMMYFUNCTION("""COMPUTED_VALUE"""),"2022-07-04T15:50:11.826Z")</f>
        <v>2022-07-04T15:50:11.826Z</v>
      </c>
    </row>
    <row r="2495" spans="1:10" x14ac:dyDescent="0.2">
      <c r="A2495" s="2" t="str">
        <f ca="1">IFERROR(__xludf.DUMMYFUNCTION("""COMPUTED_VALUE"""),"https://www.facebook.com/roldan.lago.75")</f>
        <v>https://www.facebook.com/roldan.lago.75</v>
      </c>
      <c r="B2495" s="1" t="str">
        <f ca="1">IFERROR(__xludf.DUMMYFUNCTION("""COMPUTED_VALUE"""),"Roldan Lago")</f>
        <v>Roldan Lago</v>
      </c>
      <c r="C2495" s="1" t="str">
        <f ca="1">IFERROR(__xludf.DUMMYFUNCTION("""COMPUTED_VALUE"""),"Roldan")</f>
        <v>Roldan</v>
      </c>
      <c r="D2495" s="1" t="str">
        <f ca="1">IFERROR(__xludf.DUMMYFUNCTION("""COMPUTED_VALUE"""),"Lago")</f>
        <v>Lago</v>
      </c>
      <c r="E2495" s="1" t="str">
        <f ca="1">IFERROR(__xludf.DUMMYFUNCTION("""COMPUTED_VALUE"""),"pakita u")</f>
        <v>pakita u</v>
      </c>
      <c r="F2495" s="1"/>
      <c r="G2495" s="1" t="str">
        <f ca="1">IFERROR(__xludf.DUMMYFUNCTION("""COMPUTED_VALUE"""),"3 mos")</f>
        <v>3 mos</v>
      </c>
      <c r="H2495" s="1" t="str">
        <f ca="1">IFERROR(__xludf.DUMMYFUNCTION("""COMPUTED_VALUE"""),"reply")</f>
        <v>reply</v>
      </c>
      <c r="I2495"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95" s="1" t="str">
        <f ca="1">IFERROR(__xludf.DUMMYFUNCTION("""COMPUTED_VALUE"""),"2022-07-04T15:50:11.826Z")</f>
        <v>2022-07-04T15:50:11.826Z</v>
      </c>
    </row>
    <row r="2496" spans="1:10" x14ac:dyDescent="0.2">
      <c r="A2496" s="2" t="str">
        <f ca="1">IFERROR(__xludf.DUMMYFUNCTION("""COMPUTED_VALUE"""),"https://www.facebook.com/roldan.lago.75")</f>
        <v>https://www.facebook.com/roldan.lago.75</v>
      </c>
      <c r="B2496" s="1" t="str">
        <f ca="1">IFERROR(__xludf.DUMMYFUNCTION("""COMPUTED_VALUE"""),"Roldan Lago")</f>
        <v>Roldan Lago</v>
      </c>
      <c r="C2496" s="1" t="str">
        <f ca="1">IFERROR(__xludf.DUMMYFUNCTION("""COMPUTED_VALUE"""),"Roldan")</f>
        <v>Roldan</v>
      </c>
      <c r="D2496" s="1" t="str">
        <f ca="1">IFERROR(__xludf.DUMMYFUNCTION("""COMPUTED_VALUE"""),"Lago")</f>
        <v>Lago</v>
      </c>
      <c r="E2496" s="1" t="str">
        <f ca="1">IFERROR(__xludf.DUMMYFUNCTION("""COMPUTED_VALUE"""),"Kevin Tiu anu ilabas u")</f>
        <v>Kevin Tiu anu ilabas u</v>
      </c>
      <c r="F2496" s="1"/>
      <c r="G2496" s="1" t="str">
        <f ca="1">IFERROR(__xludf.DUMMYFUNCTION("""COMPUTED_VALUE"""),"3 mos")</f>
        <v>3 mos</v>
      </c>
      <c r="H2496" s="1" t="str">
        <f ca="1">IFERROR(__xludf.DUMMYFUNCTION("""COMPUTED_VALUE"""),"reply")</f>
        <v>reply</v>
      </c>
      <c r="I2496"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96" s="1" t="str">
        <f ca="1">IFERROR(__xludf.DUMMYFUNCTION("""COMPUTED_VALUE"""),"2022-07-04T15:50:11.826Z")</f>
        <v>2022-07-04T15:50:11.826Z</v>
      </c>
    </row>
    <row r="2497" spans="1:10" x14ac:dyDescent="0.2">
      <c r="A2497" s="2" t="str">
        <f ca="1">IFERROR(__xludf.DUMMYFUNCTION("""COMPUTED_VALUE"""),"https://www.facebook.com/tiu.ag")</f>
        <v>https://www.facebook.com/tiu.ag</v>
      </c>
      <c r="B2497" s="1" t="str">
        <f ca="1">IFERROR(__xludf.DUMMYFUNCTION("""COMPUTED_VALUE"""),"Kevin Tiu")</f>
        <v>Kevin Tiu</v>
      </c>
      <c r="C2497" s="1" t="str">
        <f ca="1">IFERROR(__xludf.DUMMYFUNCTION("""COMPUTED_VALUE"""),"Kevin")</f>
        <v>Kevin</v>
      </c>
      <c r="D2497" s="1" t="str">
        <f ca="1">IFERROR(__xludf.DUMMYFUNCTION("""COMPUTED_VALUE"""),"Tiu")</f>
        <v>Tiu</v>
      </c>
      <c r="E2497" s="1" t="str">
        <f ca="1">IFERROR(__xludf.DUMMYFUNCTION("""COMPUTED_VALUE"""),"Roldan Lago Sige send mo link mo. Gusto ko makita kung gaano ka kagago")</f>
        <v>Roldan Lago Sige send mo link mo. Gusto ko makita kung gaano ka kagago</v>
      </c>
      <c r="F2497" s="1"/>
      <c r="G2497" s="1" t="str">
        <f ca="1">IFERROR(__xludf.DUMMYFUNCTION("""COMPUTED_VALUE"""),"3 mos")</f>
        <v>3 mos</v>
      </c>
      <c r="H2497" s="1" t="str">
        <f ca="1">IFERROR(__xludf.DUMMYFUNCTION("""COMPUTED_VALUE"""),"reply")</f>
        <v>reply</v>
      </c>
      <c r="I2497"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97" s="1" t="str">
        <f ca="1">IFERROR(__xludf.DUMMYFUNCTION("""COMPUTED_VALUE"""),"2022-07-04T15:50:11.826Z")</f>
        <v>2022-07-04T15:50:11.826Z</v>
      </c>
    </row>
    <row r="2498" spans="1:10" x14ac:dyDescent="0.2">
      <c r="A2498" s="2" t="str">
        <f ca="1">IFERROR(__xludf.DUMMYFUNCTION("""COMPUTED_VALUE"""),"https://www.facebook.com/Bosx.Mikel")</f>
        <v>https://www.facebook.com/Bosx.Mikel</v>
      </c>
      <c r="B2498" s="1" t="str">
        <f ca="1">IFERROR(__xludf.DUMMYFUNCTION("""COMPUTED_VALUE"""),"Barbosa Mike")</f>
        <v>Barbosa Mike</v>
      </c>
      <c r="C2498" s="1" t="str">
        <f ca="1">IFERROR(__xludf.DUMMYFUNCTION("""COMPUTED_VALUE"""),"Barbosa")</f>
        <v>Barbosa</v>
      </c>
      <c r="D2498" s="1" t="str">
        <f ca="1">IFERROR(__xludf.DUMMYFUNCTION("""COMPUTED_VALUE"""),"Mike")</f>
        <v>Mike</v>
      </c>
      <c r="E2498" s="1" t="str">
        <f ca="1">IFERROR(__xludf.DUMMYFUNCTION("""COMPUTED_VALUE"""),"Kevin Tiu Pakulong nyo Kung di bayad di yung kuda kayo ng kuda wla nmng ginagawa puro magagaling babawiin pwee! Nung Nkaupo nga sya bilang VP ni di nya ininteresan na bawiin ngaun lakas lakas ng loob maningil purket eleksyon kala nmn nya ikakapanalo nya !")</f>
        <v>Kevin Tiu Pakulong nyo Kung di bayad di yung kuda kayo ng kuda wla nmng ginagawa puro magagaling babawiin pwee! Nung Nkaupo nga sya bilang VP ni di nya ininteresan na bawiin ngaun lakas lakas ng loob maningil purket eleksyon kala nmn nya ikakapanalo nya !</v>
      </c>
      <c r="F2498" s="1"/>
      <c r="G2498" s="1" t="str">
        <f ca="1">IFERROR(__xludf.DUMMYFUNCTION("""COMPUTED_VALUE"""),"3 mos")</f>
        <v>3 mos</v>
      </c>
      <c r="H2498" s="1" t="str">
        <f ca="1">IFERROR(__xludf.DUMMYFUNCTION("""COMPUTED_VALUE"""),"reply")</f>
        <v>reply</v>
      </c>
      <c r="I2498"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98" s="1" t="str">
        <f ca="1">IFERROR(__xludf.DUMMYFUNCTION("""COMPUTED_VALUE"""),"2022-07-04T15:50:11.826Z")</f>
        <v>2022-07-04T15:50:11.826Z</v>
      </c>
    </row>
    <row r="2499" spans="1:10" x14ac:dyDescent="0.2">
      <c r="A2499" s="2" t="str">
        <f ca="1">IFERROR(__xludf.DUMMYFUNCTION("""COMPUTED_VALUE"""),"https://www.facebook.com/john.p.garsula")</f>
        <v>https://www.facebook.com/john.p.garsula</v>
      </c>
      <c r="B2499" s="1" t="str">
        <f ca="1">IFERROR(__xludf.DUMMYFUNCTION("""COMPUTED_VALUE"""),"John Patrick Garsula")</f>
        <v>John Patrick Garsula</v>
      </c>
      <c r="C2499" s="1" t="str">
        <f ca="1">IFERROR(__xludf.DUMMYFUNCTION("""COMPUTED_VALUE"""),"John")</f>
        <v>John</v>
      </c>
      <c r="D2499" s="1" t="str">
        <f ca="1">IFERROR(__xludf.DUMMYFUNCTION("""COMPUTED_VALUE"""),"Patrick Garsula")</f>
        <v>Patrick Garsula</v>
      </c>
      <c r="E2499" s="1" t="str">
        <f ca="1">IFERROR(__xludf.DUMMYFUNCTION("""COMPUTED_VALUE"""),"Eddie Rcb Bayad na yan, sapagkat yan ay sequestered o kinuha na ng goberno, wla nang mana ang mga anak")</f>
        <v>Eddie Rcb Bayad na yan, sapagkat yan ay sequestered o kinuha na ng goberno, wla nang mana ang mga anak</v>
      </c>
      <c r="F2499" s="1">
        <f ca="1">IFERROR(__xludf.DUMMYFUNCTION("""COMPUTED_VALUE"""),1)</f>
        <v>1</v>
      </c>
      <c r="G2499" s="1" t="str">
        <f ca="1">IFERROR(__xludf.DUMMYFUNCTION("""COMPUTED_VALUE"""),"3 mos")</f>
        <v>3 mos</v>
      </c>
      <c r="H2499" s="1" t="str">
        <f ca="1">IFERROR(__xludf.DUMMYFUNCTION("""COMPUTED_VALUE"""),"reply")</f>
        <v>reply</v>
      </c>
      <c r="I2499"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499" s="1" t="str">
        <f ca="1">IFERROR(__xludf.DUMMYFUNCTION("""COMPUTED_VALUE"""),"2022-07-04T15:50:11.826Z")</f>
        <v>2022-07-04T15:50:11.826Z</v>
      </c>
    </row>
    <row r="2500" spans="1:10" x14ac:dyDescent="0.2">
      <c r="A2500" s="2" t="str">
        <f ca="1">IFERROR(__xludf.DUMMYFUNCTION("""COMPUTED_VALUE"""),"https://www.facebook.com/tiu.ag")</f>
        <v>https://www.facebook.com/tiu.ag</v>
      </c>
      <c r="B2500" s="1" t="str">
        <f ca="1">IFERROR(__xludf.DUMMYFUNCTION("""COMPUTED_VALUE"""),"Kevin Tiu")</f>
        <v>Kevin Tiu</v>
      </c>
      <c r="C2500" s="1" t="str">
        <f ca="1">IFERROR(__xludf.DUMMYFUNCTION("""COMPUTED_VALUE"""),"Kevin")</f>
        <v>Kevin</v>
      </c>
      <c r="D2500" s="1" t="str">
        <f ca="1">IFERROR(__xludf.DUMMYFUNCTION("""COMPUTED_VALUE"""),"Tiu")</f>
        <v>Tiu</v>
      </c>
      <c r="E2500" s="1" t="str">
        <f ca="1">IFERROR(__xludf.DUMMYFUNCTION("""COMPUTED_VALUE"""),"Michael B Moraleda fyi, hinahabol yan ng gobyerno maski hindi eleksyon. May reports na lumalabas kada taon sa pag-usad ng proseso. Anong pinagsasasabi mo na tuwing eleksyon lang?")</f>
        <v>Michael B Moraleda fyi, hinahabol yan ng gobyerno maski hindi eleksyon. May reports na lumalabas kada taon sa pag-usad ng proseso. Anong pinagsasasabi mo na tuwing eleksyon lang?</v>
      </c>
      <c r="F2500" s="1"/>
      <c r="G2500" s="1" t="str">
        <f ca="1">IFERROR(__xludf.DUMMYFUNCTION("""COMPUTED_VALUE"""),"3 mos")</f>
        <v>3 mos</v>
      </c>
      <c r="H2500" s="1" t="str">
        <f ca="1">IFERROR(__xludf.DUMMYFUNCTION("""COMPUTED_VALUE"""),"reply")</f>
        <v>reply</v>
      </c>
      <c r="I2500"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00" s="1" t="str">
        <f ca="1">IFERROR(__xludf.DUMMYFUNCTION("""COMPUTED_VALUE"""),"2022-07-04T15:50:11.826Z")</f>
        <v>2022-07-04T15:50:11.826Z</v>
      </c>
    </row>
    <row r="2501" spans="1:10" x14ac:dyDescent="0.2">
      <c r="A2501" s="2" t="str">
        <f ca="1">IFERROR(__xludf.DUMMYFUNCTION("""COMPUTED_VALUE"""),"https://www.facebook.com/profile.php?id=100012069823437")</f>
        <v>https://www.facebook.com/profile.php?id=100012069823437</v>
      </c>
      <c r="B2501" s="1" t="str">
        <f ca="1">IFERROR(__xludf.DUMMYFUNCTION("""COMPUTED_VALUE"""),"Jaime Amor")</f>
        <v>Jaime Amor</v>
      </c>
      <c r="C2501" s="1" t="str">
        <f ca="1">IFERROR(__xludf.DUMMYFUNCTION("""COMPUTED_VALUE"""),"Jaime")</f>
        <v>Jaime</v>
      </c>
      <c r="D2501" s="1" t="str">
        <f ca="1">IFERROR(__xludf.DUMMYFUNCTION("""COMPUTED_VALUE"""),"Amor")</f>
        <v>Amor</v>
      </c>
      <c r="E2501" s="1" t="str">
        <f ca="1">IFERROR(__xludf.DUMMYFUNCTION("""COMPUTED_VALUE"""),"""The voice of the people is the voice of God"" Amen.")</f>
        <v>"The voice of the people is the voice of God" Amen.</v>
      </c>
      <c r="F2501" s="1"/>
      <c r="G2501" s="1" t="str">
        <f ca="1">IFERROR(__xludf.DUMMYFUNCTION("""COMPUTED_VALUE"""),"3 mos")</f>
        <v>3 mos</v>
      </c>
      <c r="H2501" s="1" t="str">
        <f ca="1">IFERROR(__xludf.DUMMYFUNCTION("""COMPUTED_VALUE"""),"comment")</f>
        <v>comment</v>
      </c>
      <c r="I2501"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01" s="1" t="str">
        <f ca="1">IFERROR(__xludf.DUMMYFUNCTION("""COMPUTED_VALUE"""),"2022-07-04T15:50:11.826Z")</f>
        <v>2022-07-04T15:50:11.826Z</v>
      </c>
    </row>
    <row r="2502" spans="1:10" x14ac:dyDescent="0.2">
      <c r="A2502" s="2" t="str">
        <f ca="1">IFERROR(__xludf.DUMMYFUNCTION("""COMPUTED_VALUE"""),"https://www.facebook.com/profile.php?id=100041903862229")</f>
        <v>https://www.facebook.com/profile.php?id=100041903862229</v>
      </c>
      <c r="B2502" s="1" t="str">
        <f ca="1">IFERROR(__xludf.DUMMYFUNCTION("""COMPUTED_VALUE"""),"Marian Garcia")</f>
        <v>Marian Garcia</v>
      </c>
      <c r="C2502" s="1" t="str">
        <f ca="1">IFERROR(__xludf.DUMMYFUNCTION("""COMPUTED_VALUE"""),"Marian")</f>
        <v>Marian</v>
      </c>
      <c r="D2502" s="1" t="str">
        <f ca="1">IFERROR(__xludf.DUMMYFUNCTION("""COMPUTED_VALUE"""),"Garcia")</f>
        <v>Garcia</v>
      </c>
      <c r="E2502" s="1" t="str">
        <f ca="1">IFERROR(__xludf.DUMMYFUNCTION("""COMPUTED_VALUE"""),"At sqka abs cbn")</f>
        <v>At sqka abs cbn</v>
      </c>
      <c r="F2502" s="1"/>
      <c r="G2502" s="1" t="str">
        <f ca="1">IFERROR(__xludf.DUMMYFUNCTION("""COMPUTED_VALUE"""),"3 mos")</f>
        <v>3 mos</v>
      </c>
      <c r="H2502" s="1" t="str">
        <f ca="1">IFERROR(__xludf.DUMMYFUNCTION("""COMPUTED_VALUE"""),"comment")</f>
        <v>comment</v>
      </c>
      <c r="I2502"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02" s="1" t="str">
        <f ca="1">IFERROR(__xludf.DUMMYFUNCTION("""COMPUTED_VALUE"""),"2022-07-04T15:50:11.826Z")</f>
        <v>2022-07-04T15:50:11.826Z</v>
      </c>
    </row>
    <row r="2503" spans="1:10" x14ac:dyDescent="0.2">
      <c r="A2503" s="2" t="str">
        <f ca="1">IFERROR(__xludf.DUMMYFUNCTION("""COMPUTED_VALUE"""),"https://www.facebook.com/fonzy.alfonso.79")</f>
        <v>https://www.facebook.com/fonzy.alfonso.79</v>
      </c>
      <c r="B2503" s="1" t="str">
        <f ca="1">IFERROR(__xludf.DUMMYFUNCTION("""COMPUTED_VALUE"""),"Fonzy Alfonso")</f>
        <v>Fonzy Alfonso</v>
      </c>
      <c r="C2503" s="1" t="str">
        <f ca="1">IFERROR(__xludf.DUMMYFUNCTION("""COMPUTED_VALUE"""),"Fonzy")</f>
        <v>Fonzy</v>
      </c>
      <c r="D2503" s="1" t="str">
        <f ca="1">IFERROR(__xludf.DUMMYFUNCTION("""COMPUTED_VALUE"""),"Alfonso")</f>
        <v>Alfonso</v>
      </c>
      <c r="E2503" s="1" t="str">
        <f ca="1">IFERROR(__xludf.DUMMYFUNCTION("""COMPUTED_VALUE"""),"Last banat sagad nio na ehehe daming banat nde umubra eh✌️✌️✌️")</f>
        <v>Last banat sagad nio na ehehe daming banat nde umubra eh✌️✌️✌️</v>
      </c>
      <c r="F2503" s="1">
        <f ca="1">IFERROR(__xludf.DUMMYFUNCTION("""COMPUTED_VALUE"""),6)</f>
        <v>6</v>
      </c>
      <c r="G2503" s="1" t="str">
        <f ca="1">IFERROR(__xludf.DUMMYFUNCTION("""COMPUTED_VALUE"""),"3 mos")</f>
        <v>3 mos</v>
      </c>
      <c r="H2503" s="1" t="str">
        <f ca="1">IFERROR(__xludf.DUMMYFUNCTION("""COMPUTED_VALUE"""),"comment")</f>
        <v>comment</v>
      </c>
      <c r="I2503"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03" s="1" t="str">
        <f ca="1">IFERROR(__xludf.DUMMYFUNCTION("""COMPUTED_VALUE"""),"2022-07-04T15:50:11.826Z")</f>
        <v>2022-07-04T15:50:11.826Z</v>
      </c>
    </row>
    <row r="2504" spans="1:10" x14ac:dyDescent="0.2">
      <c r="A2504" s="2" t="str">
        <f ca="1">IFERROR(__xludf.DUMMYFUNCTION("""COMPUTED_VALUE"""),"https://www.facebook.com/profile.php?id=100010177068680")</f>
        <v>https://www.facebook.com/profile.php?id=100010177068680</v>
      </c>
      <c r="B2504" s="1" t="str">
        <f ca="1">IFERROR(__xludf.DUMMYFUNCTION("""COMPUTED_VALUE"""),"Nenelyn ILustrisimo Miguel")</f>
        <v>Nenelyn ILustrisimo Miguel</v>
      </c>
      <c r="C2504" s="1" t="str">
        <f ca="1">IFERROR(__xludf.DUMMYFUNCTION("""COMPUTED_VALUE"""),"Nenelyn")</f>
        <v>Nenelyn</v>
      </c>
      <c r="D2504" s="1" t="str">
        <f ca="1">IFERROR(__xludf.DUMMYFUNCTION("""COMPUTED_VALUE"""),"ILustrisimo Miguel")</f>
        <v>ILustrisimo Miguel</v>
      </c>
      <c r="E2504" s="1" t="str">
        <f ca="1">IFERROR(__xludf.DUMMYFUNCTION("""COMPUTED_VALUE"""),"I check mo nung Dec. Pa bayad puro ka katangalinuhan haaaayyyzzz")</f>
        <v>I check mo nung Dec. Pa bayad puro ka katangalinuhan haaaayyyzzz</v>
      </c>
      <c r="F2504" s="1">
        <f ca="1">IFERROR(__xludf.DUMMYFUNCTION("""COMPUTED_VALUE"""),2)</f>
        <v>2</v>
      </c>
      <c r="G2504" s="1" t="str">
        <f ca="1">IFERROR(__xludf.DUMMYFUNCTION("""COMPUTED_VALUE"""),"3 mos")</f>
        <v>3 mos</v>
      </c>
      <c r="H2504" s="1" t="str">
        <f ca="1">IFERROR(__xludf.DUMMYFUNCTION("""COMPUTED_VALUE"""),"comment")</f>
        <v>comment</v>
      </c>
      <c r="I2504"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04" s="1" t="str">
        <f ca="1">IFERROR(__xludf.DUMMYFUNCTION("""COMPUTED_VALUE"""),"2022-07-04T15:50:11.826Z")</f>
        <v>2022-07-04T15:50:11.826Z</v>
      </c>
    </row>
    <row r="2505" spans="1:10" x14ac:dyDescent="0.2">
      <c r="A2505" s="2" t="str">
        <f ca="1">IFERROR(__xludf.DUMMYFUNCTION("""COMPUTED_VALUE"""),"https://www.facebook.com/rommel.carpio.315")</f>
        <v>https://www.facebook.com/rommel.carpio.315</v>
      </c>
      <c r="B2505" s="1" t="str">
        <f ca="1">IFERROR(__xludf.DUMMYFUNCTION("""COMPUTED_VALUE"""),"Rommel Carpio")</f>
        <v>Rommel Carpio</v>
      </c>
      <c r="C2505" s="1" t="str">
        <f ca="1">IFERROR(__xludf.DUMMYFUNCTION("""COMPUTED_VALUE"""),"Rommel")</f>
        <v>Rommel</v>
      </c>
      <c r="D2505" s="1" t="str">
        <f ca="1">IFERROR(__xludf.DUMMYFUNCTION("""COMPUTED_VALUE"""),"Carpio")</f>
        <v>Carpio</v>
      </c>
      <c r="E2505" s="1" t="str">
        <f ca="1">IFERROR(__xludf.DUMMYFUNCTION("""COMPUTED_VALUE"""),"G n G ang bwaka ng inang wrafer")</f>
        <v>G n G ang bwaka ng inang wrafer</v>
      </c>
      <c r="F2505" s="1">
        <f ca="1">IFERROR(__xludf.DUMMYFUNCTION("""COMPUTED_VALUE"""),2)</f>
        <v>2</v>
      </c>
      <c r="G2505" s="1" t="str">
        <f ca="1">IFERROR(__xludf.DUMMYFUNCTION("""COMPUTED_VALUE"""),"3 mos")</f>
        <v>3 mos</v>
      </c>
      <c r="H2505" s="1" t="str">
        <f ca="1">IFERROR(__xludf.DUMMYFUNCTION("""COMPUTED_VALUE"""),"comment")</f>
        <v>comment</v>
      </c>
      <c r="I2505"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05" s="1" t="str">
        <f ca="1">IFERROR(__xludf.DUMMYFUNCTION("""COMPUTED_VALUE"""),"2022-07-04T15:50:11.826Z")</f>
        <v>2022-07-04T15:50:11.826Z</v>
      </c>
    </row>
    <row r="2506" spans="1:10" x14ac:dyDescent="0.2">
      <c r="A2506" s="2" t="str">
        <f ca="1">IFERROR(__xludf.DUMMYFUNCTION("""COMPUTED_VALUE"""),"https://www.facebook.com/profile.php?id=100072240556659")</f>
        <v>https://www.facebook.com/profile.php?id=100072240556659</v>
      </c>
      <c r="B2506" s="1" t="str">
        <f ca="1">IFERROR(__xludf.DUMMYFUNCTION("""COMPUTED_VALUE"""),"Pabs Bautista")</f>
        <v>Pabs Bautista</v>
      </c>
      <c r="C2506" s="1" t="str">
        <f ca="1">IFERROR(__xludf.DUMMYFUNCTION("""COMPUTED_VALUE"""),"Pabs")</f>
        <v>Pabs</v>
      </c>
      <c r="D2506" s="1" t="str">
        <f ca="1">IFERROR(__xludf.DUMMYFUNCTION("""COMPUTED_VALUE"""),"Bautista")</f>
        <v>Bautista</v>
      </c>
      <c r="E2506" s="1" t="str">
        <f ca="1">IFERROR(__xludf.DUMMYFUNCTION("""COMPUTED_VALUE"""),"Ibalik sa taong Bayan, baKa Sa Bulsa ni0 lang din Bumagsak yang pera na yan siaingilin nio... Mga AbNo!")</f>
        <v>Ibalik sa taong Bayan, baKa Sa Bulsa ni0 lang din Bumagsak yang pera na yan siaingilin nio... Mga AbNo!</v>
      </c>
      <c r="F2506" s="1"/>
      <c r="G2506" s="1" t="str">
        <f ca="1">IFERROR(__xludf.DUMMYFUNCTION("""COMPUTED_VALUE"""),"3 mos")</f>
        <v>3 mos</v>
      </c>
      <c r="H2506" s="1" t="str">
        <f ca="1">IFERROR(__xludf.DUMMYFUNCTION("""COMPUTED_VALUE"""),"comment")</f>
        <v>comment</v>
      </c>
      <c r="I2506"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06" s="1" t="str">
        <f ca="1">IFERROR(__xludf.DUMMYFUNCTION("""COMPUTED_VALUE"""),"2022-07-04T15:50:11.826Z")</f>
        <v>2022-07-04T15:50:11.826Z</v>
      </c>
    </row>
    <row r="2507" spans="1:10" x14ac:dyDescent="0.2">
      <c r="A2507" s="2" t="str">
        <f ca="1">IFERROR(__xludf.DUMMYFUNCTION("""COMPUTED_VALUE"""),"https://www.facebook.com/desireecastroventura")</f>
        <v>https://www.facebook.com/desireecastroventura</v>
      </c>
      <c r="B2507" s="1" t="str">
        <f ca="1">IFERROR(__xludf.DUMMYFUNCTION("""COMPUTED_VALUE"""),"Desiree Castro Ventura")</f>
        <v>Desiree Castro Ventura</v>
      </c>
      <c r="C2507" s="1" t="str">
        <f ca="1">IFERROR(__xludf.DUMMYFUNCTION("""COMPUTED_VALUE"""),"Desiree")</f>
        <v>Desiree</v>
      </c>
      <c r="D2507" s="1" t="str">
        <f ca="1">IFERROR(__xludf.DUMMYFUNCTION("""COMPUTED_VALUE"""),"Castro Ventura")</f>
        <v>Castro Ventura</v>
      </c>
      <c r="E2507" s="1" t="str">
        <f ca="1">IFERROR(__xludf.DUMMYFUNCTION("""COMPUTED_VALUE"""),"Inuupdate tayo ng corrapler 24/7 thanks")</f>
        <v>Inuupdate tayo ng corrapler 24/7 thanks</v>
      </c>
      <c r="F2507" s="1">
        <f ca="1">IFERROR(__xludf.DUMMYFUNCTION("""COMPUTED_VALUE"""),14)</f>
        <v>14</v>
      </c>
      <c r="G2507" s="1" t="str">
        <f ca="1">IFERROR(__xludf.DUMMYFUNCTION("""COMPUTED_VALUE"""),"3 mos")</f>
        <v>3 mos</v>
      </c>
      <c r="H2507" s="1" t="str">
        <f ca="1">IFERROR(__xludf.DUMMYFUNCTION("""COMPUTED_VALUE"""),"comment")</f>
        <v>comment</v>
      </c>
      <c r="I2507"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07" s="1" t="str">
        <f ca="1">IFERROR(__xludf.DUMMYFUNCTION("""COMPUTED_VALUE"""),"2022-07-04T15:50:11.826Z")</f>
        <v>2022-07-04T15:50:11.826Z</v>
      </c>
    </row>
    <row r="2508" spans="1:10" x14ac:dyDescent="0.2">
      <c r="A2508" s="2" t="str">
        <f ca="1">IFERROR(__xludf.DUMMYFUNCTION("""COMPUTED_VALUE"""),"https://www.facebook.com/robert.gacayan.3")</f>
        <v>https://www.facebook.com/robert.gacayan.3</v>
      </c>
      <c r="B2508" s="1" t="str">
        <f ca="1">IFERROR(__xludf.DUMMYFUNCTION("""COMPUTED_VALUE"""),"Rob Gacayan")</f>
        <v>Rob Gacayan</v>
      </c>
      <c r="C2508" s="1" t="str">
        <f ca="1">IFERROR(__xludf.DUMMYFUNCTION("""COMPUTED_VALUE"""),"Rob")</f>
        <v>Rob</v>
      </c>
      <c r="D2508" s="1" t="str">
        <f ca="1">IFERROR(__xludf.DUMMYFUNCTION("""COMPUTED_VALUE"""),"Gacayan")</f>
        <v>Gacayan</v>
      </c>
      <c r="E2508" s="1" t="str">
        <f ca="1">IFERROR(__xludf.DUMMYFUNCTION("""COMPUTED_VALUE"""),"E fak tsek to😜🤣")</f>
        <v>E fak tsek to😜🤣</v>
      </c>
      <c r="F2508" s="1">
        <f ca="1">IFERROR(__xludf.DUMMYFUNCTION("""COMPUTED_VALUE"""),3)</f>
        <v>3</v>
      </c>
      <c r="G2508" s="1" t="str">
        <f ca="1">IFERROR(__xludf.DUMMYFUNCTION("""COMPUTED_VALUE"""),"3 mos")</f>
        <v>3 mos</v>
      </c>
      <c r="H2508" s="1" t="str">
        <f ca="1">IFERROR(__xludf.DUMMYFUNCTION("""COMPUTED_VALUE"""),"comment")</f>
        <v>comment</v>
      </c>
      <c r="I2508"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08" s="1" t="str">
        <f ca="1">IFERROR(__xludf.DUMMYFUNCTION("""COMPUTED_VALUE"""),"2022-07-04T15:50:11.826Z")</f>
        <v>2022-07-04T15:50:11.826Z</v>
      </c>
    </row>
    <row r="2509" spans="1:10" x14ac:dyDescent="0.2">
      <c r="A2509" s="2" t="str">
        <f ca="1">IFERROR(__xludf.DUMMYFUNCTION("""COMPUTED_VALUE"""),"https://www.facebook.com/pangetkoh30")</f>
        <v>https://www.facebook.com/pangetkoh30</v>
      </c>
      <c r="B2509" s="1" t="str">
        <f ca="1">IFERROR(__xludf.DUMMYFUNCTION("""COMPUTED_VALUE"""),"Ericka Chan Racelis")</f>
        <v>Ericka Chan Racelis</v>
      </c>
      <c r="C2509" s="1" t="str">
        <f ca="1">IFERROR(__xludf.DUMMYFUNCTION("""COMPUTED_VALUE"""),"Ericka")</f>
        <v>Ericka</v>
      </c>
      <c r="D2509" s="1" t="str">
        <f ca="1">IFERROR(__xludf.DUMMYFUNCTION("""COMPUTED_VALUE"""),"Chan Racelis")</f>
        <v>Chan Racelis</v>
      </c>
      <c r="E2509" s="1" t="str">
        <f ca="1">IFERROR(__xludf.DUMMYFUNCTION("""COMPUTED_VALUE"""),"bayad na")</f>
        <v>bayad na</v>
      </c>
      <c r="F2509" s="1">
        <f ca="1">IFERROR(__xludf.DUMMYFUNCTION("""COMPUTED_VALUE"""),4)</f>
        <v>4</v>
      </c>
      <c r="G2509" s="1" t="str">
        <f ca="1">IFERROR(__xludf.DUMMYFUNCTION("""COMPUTED_VALUE"""),"3 mos")</f>
        <v>3 mos</v>
      </c>
      <c r="H2509" s="1" t="str">
        <f ca="1">IFERROR(__xludf.DUMMYFUNCTION("""COMPUTED_VALUE"""),"comment")</f>
        <v>comment</v>
      </c>
      <c r="I2509"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09" s="1" t="str">
        <f ca="1">IFERROR(__xludf.DUMMYFUNCTION("""COMPUTED_VALUE"""),"2022-07-04T15:50:11.826Z")</f>
        <v>2022-07-04T15:50:11.826Z</v>
      </c>
    </row>
    <row r="2510" spans="1:10" x14ac:dyDescent="0.2">
      <c r="A2510" s="2" t="str">
        <f ca="1">IFERROR(__xludf.DUMMYFUNCTION("""COMPUTED_VALUE"""),"https://www.facebook.com/rey.sumam")</f>
        <v>https://www.facebook.com/rey.sumam</v>
      </c>
      <c r="B2510" s="1" t="str">
        <f ca="1">IFERROR(__xludf.DUMMYFUNCTION("""COMPUTED_VALUE"""),"Rey Sumam")</f>
        <v>Rey Sumam</v>
      </c>
      <c r="C2510" s="1" t="str">
        <f ca="1">IFERROR(__xludf.DUMMYFUNCTION("""COMPUTED_VALUE"""),"Rey")</f>
        <v>Rey</v>
      </c>
      <c r="D2510" s="1" t="str">
        <f ca="1">IFERROR(__xludf.DUMMYFUNCTION("""COMPUTED_VALUE"""),"Sumam")</f>
        <v>Sumam</v>
      </c>
      <c r="E2510" s="1" t="str">
        <f ca="1">IFERROR(__xludf.DUMMYFUNCTION("""COMPUTED_VALUE"""),"Ericka Chan Racelis nah")</f>
        <v>Ericka Chan Racelis nah</v>
      </c>
      <c r="F2510" s="1"/>
      <c r="G2510" s="1" t="str">
        <f ca="1">IFERROR(__xludf.DUMMYFUNCTION("""COMPUTED_VALUE"""),"3 mos")</f>
        <v>3 mos</v>
      </c>
      <c r="H2510" s="1" t="str">
        <f ca="1">IFERROR(__xludf.DUMMYFUNCTION("""COMPUTED_VALUE"""),"reply")</f>
        <v>reply</v>
      </c>
      <c r="I2510"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10" s="1" t="str">
        <f ca="1">IFERROR(__xludf.DUMMYFUNCTION("""COMPUTED_VALUE"""),"2022-07-04T15:50:11.826Z")</f>
        <v>2022-07-04T15:50:11.826Z</v>
      </c>
    </row>
    <row r="2511" spans="1:10" x14ac:dyDescent="0.2">
      <c r="A2511" s="2" t="str">
        <f ca="1">IFERROR(__xludf.DUMMYFUNCTION("""COMPUTED_VALUE"""),"https://www.facebook.com/rey.sumam")</f>
        <v>https://www.facebook.com/rey.sumam</v>
      </c>
      <c r="B2511" s="1" t="str">
        <f ca="1">IFERROR(__xludf.DUMMYFUNCTION("""COMPUTED_VALUE"""),"Rey Sumam")</f>
        <v>Rey Sumam</v>
      </c>
      <c r="C2511" s="1" t="str">
        <f ca="1">IFERROR(__xludf.DUMMYFUNCTION("""COMPUTED_VALUE"""),"Rey")</f>
        <v>Rey</v>
      </c>
      <c r="D2511" s="1" t="str">
        <f ca="1">IFERROR(__xludf.DUMMYFUNCTION("""COMPUTED_VALUE"""),"Sumam")</f>
        <v>Sumam</v>
      </c>
      <c r="E2511" s="1" t="str">
        <f ca="1">IFERROR(__xludf.DUMMYFUNCTION("""COMPUTED_VALUE"""),"Ericka Chan Racelis link?")</f>
        <v>Ericka Chan Racelis link?</v>
      </c>
      <c r="F2511" s="1"/>
      <c r="G2511" s="1" t="str">
        <f ca="1">IFERROR(__xludf.DUMMYFUNCTION("""COMPUTED_VALUE"""),"3 mos")</f>
        <v>3 mos</v>
      </c>
      <c r="H2511" s="1" t="str">
        <f ca="1">IFERROR(__xludf.DUMMYFUNCTION("""COMPUTED_VALUE"""),"reply")</f>
        <v>reply</v>
      </c>
      <c r="I2511"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11" s="1" t="str">
        <f ca="1">IFERROR(__xludf.DUMMYFUNCTION("""COMPUTED_VALUE"""),"2022-07-04T15:50:11.826Z")</f>
        <v>2022-07-04T15:50:11.826Z</v>
      </c>
    </row>
    <row r="2512" spans="1:10" x14ac:dyDescent="0.2">
      <c r="A2512" s="2" t="str">
        <f ca="1">IFERROR(__xludf.DUMMYFUNCTION("""COMPUTED_VALUE"""),"https://www.facebook.com/john.p.garsula")</f>
        <v>https://www.facebook.com/john.p.garsula</v>
      </c>
      <c r="B2512" s="1" t="str">
        <f ca="1">IFERROR(__xludf.DUMMYFUNCTION("""COMPUTED_VALUE"""),"John Patrick Garsula")</f>
        <v>John Patrick Garsula</v>
      </c>
      <c r="C2512" s="1" t="str">
        <f ca="1">IFERROR(__xludf.DUMMYFUNCTION("""COMPUTED_VALUE"""),"John")</f>
        <v>John</v>
      </c>
      <c r="D2512" s="1" t="str">
        <f ca="1">IFERROR(__xludf.DUMMYFUNCTION("""COMPUTED_VALUE"""),"Patrick Garsula")</f>
        <v>Patrick Garsula</v>
      </c>
      <c r="E2512" s="1" t="str">
        <f ca="1">IFERROR(__xludf.DUMMYFUNCTION("""COMPUTED_VALUE"""),"Ericka Chan Racelis  yes bayad na po yan, kasi sequestered na yan ng goberno,")</f>
        <v>Ericka Chan Racelis  yes bayad na po yan, kasi sequestered na yan ng goberno,</v>
      </c>
      <c r="F2512" s="1">
        <f ca="1">IFERROR(__xludf.DUMMYFUNCTION("""COMPUTED_VALUE"""),1)</f>
        <v>1</v>
      </c>
      <c r="G2512" s="1" t="str">
        <f ca="1">IFERROR(__xludf.DUMMYFUNCTION("""COMPUTED_VALUE"""),"3 mos")</f>
        <v>3 mos</v>
      </c>
      <c r="H2512" s="1" t="str">
        <f ca="1">IFERROR(__xludf.DUMMYFUNCTION("""COMPUTED_VALUE"""),"reply")</f>
        <v>reply</v>
      </c>
      <c r="I2512"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12" s="1" t="str">
        <f ca="1">IFERROR(__xludf.DUMMYFUNCTION("""COMPUTED_VALUE"""),"2022-07-04T15:50:11.826Z")</f>
        <v>2022-07-04T15:50:11.826Z</v>
      </c>
    </row>
    <row r="2513" spans="1:10" x14ac:dyDescent="0.2">
      <c r="A2513" s="2" t="str">
        <f ca="1">IFERROR(__xludf.DUMMYFUNCTION("""COMPUTED_VALUE"""),"https://www.facebook.com/rommeltamonte7")</f>
        <v>https://www.facebook.com/rommeltamonte7</v>
      </c>
      <c r="B2513" s="1" t="str">
        <f ca="1">IFERROR(__xludf.DUMMYFUNCTION("""COMPUTED_VALUE"""),"Rommel SebastianBarbosa Tamonte")</f>
        <v>Rommel SebastianBarbosa Tamonte</v>
      </c>
      <c r="C2513" s="1" t="str">
        <f ca="1">IFERROR(__xludf.DUMMYFUNCTION("""COMPUTED_VALUE"""),"Rommel")</f>
        <v>Rommel</v>
      </c>
      <c r="D2513" s="1" t="str">
        <f ca="1">IFERROR(__xludf.DUMMYFUNCTION("""COMPUTED_VALUE"""),"SebastianBarbosa Tamonte")</f>
        <v>SebastianBarbosa Tamonte</v>
      </c>
      <c r="E2513" s="1" t="str">
        <f ca="1">IFERROR(__xludf.DUMMYFUNCTION("""COMPUTED_VALUE"""),"Rey Sumam https://fb.watch/b_98gAygms/")</f>
        <v>Rey Sumam https://fb.watch/b_98gAygms/</v>
      </c>
      <c r="F2513" s="1">
        <f ca="1">IFERROR(__xludf.DUMMYFUNCTION("""COMPUTED_VALUE"""),1)</f>
        <v>1</v>
      </c>
      <c r="G2513" s="1" t="str">
        <f ca="1">IFERROR(__xludf.DUMMYFUNCTION("""COMPUTED_VALUE"""),"March 23 at 4:07 PM")</f>
        <v>March 23 at 4:07 PM</v>
      </c>
      <c r="H2513" s="1" t="str">
        <f ca="1">IFERROR(__xludf.DUMMYFUNCTION("""COMPUTED_VALUE"""),"reply")</f>
        <v>reply</v>
      </c>
      <c r="I2513"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13" s="1" t="str">
        <f ca="1">IFERROR(__xludf.DUMMYFUNCTION("""COMPUTED_VALUE"""),"2022-07-04T15:50:11.826Z")</f>
        <v>2022-07-04T15:50:11.826Z</v>
      </c>
    </row>
    <row r="2514" spans="1:10" x14ac:dyDescent="0.2">
      <c r="A2514" s="2" t="str">
        <f ca="1">IFERROR(__xludf.DUMMYFUNCTION("""COMPUTED_VALUE"""),"https://www.facebook.com/profile.php?id=100009077087732")</f>
        <v>https://www.facebook.com/profile.php?id=100009077087732</v>
      </c>
      <c r="B2514" s="1" t="str">
        <f ca="1">IFERROR(__xludf.DUMMYFUNCTION("""COMPUTED_VALUE"""),"Clarisse Veñegas Cabaluna")</f>
        <v>Clarisse Veñegas Cabaluna</v>
      </c>
      <c r="C2514" s="1" t="str">
        <f ca="1">IFERROR(__xludf.DUMMYFUNCTION("""COMPUTED_VALUE"""),"Clarisse")</f>
        <v>Clarisse</v>
      </c>
      <c r="D2514" s="1" t="str">
        <f ca="1">IFERROR(__xludf.DUMMYFUNCTION("""COMPUTED_VALUE"""),"Veñegas Cabaluna")</f>
        <v>Veñegas Cabaluna</v>
      </c>
      <c r="E2514" s="1" t="str">
        <f ca="1">IFERROR(__xludf.DUMMYFUNCTION("""COMPUTED_VALUE"""),"John Patrick Garsula may proof kba?")</f>
        <v>John Patrick Garsula may proof kba?</v>
      </c>
      <c r="F2514" s="1"/>
      <c r="G2514" s="1" t="str">
        <f ca="1">IFERROR(__xludf.DUMMYFUNCTION("""COMPUTED_VALUE"""),"3 mos")</f>
        <v>3 mos</v>
      </c>
      <c r="H2514" s="1" t="str">
        <f ca="1">IFERROR(__xludf.DUMMYFUNCTION("""COMPUTED_VALUE"""),"reply")</f>
        <v>reply</v>
      </c>
      <c r="I2514"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14" s="1" t="str">
        <f ca="1">IFERROR(__xludf.DUMMYFUNCTION("""COMPUTED_VALUE"""),"2022-07-04T15:50:11.826Z")</f>
        <v>2022-07-04T15:50:11.826Z</v>
      </c>
    </row>
    <row r="2515" spans="1:10" x14ac:dyDescent="0.2">
      <c r="A2515" s="2" t="str">
        <f ca="1">IFERROR(__xludf.DUMMYFUNCTION("""COMPUTED_VALUE"""),"https://www.facebook.com/juliet.romano.75")</f>
        <v>https://www.facebook.com/juliet.romano.75</v>
      </c>
      <c r="B2515" s="1" t="str">
        <f ca="1">IFERROR(__xludf.DUMMYFUNCTION("""COMPUTED_VALUE"""),"Anak Ng Tipaklong")</f>
        <v>Anak Ng Tipaklong</v>
      </c>
      <c r="C2515" s="1" t="str">
        <f ca="1">IFERROR(__xludf.DUMMYFUNCTION("""COMPUTED_VALUE"""),"Anak")</f>
        <v>Anak</v>
      </c>
      <c r="D2515" s="1" t="str">
        <f ca="1">IFERROR(__xludf.DUMMYFUNCTION("""COMPUTED_VALUE"""),"Ng Tipaklong")</f>
        <v>Ng Tipaklong</v>
      </c>
      <c r="E2515" s="1" t="str">
        <f ca="1">IFERROR(__xludf.DUMMYFUNCTION("""COMPUTED_VALUE"""),"Eto sulid #bbmsara ❤️💚")</f>
        <v>Eto sulid #bbmsara ❤️💚</v>
      </c>
      <c r="F2515" s="1">
        <f ca="1">IFERROR(__xludf.DUMMYFUNCTION("""COMPUTED_VALUE"""),3)</f>
        <v>3</v>
      </c>
      <c r="G2515" s="1" t="str">
        <f ca="1">IFERROR(__xludf.DUMMYFUNCTION("""COMPUTED_VALUE"""),"3 mos")</f>
        <v>3 mos</v>
      </c>
      <c r="H2515" s="1" t="str">
        <f ca="1">IFERROR(__xludf.DUMMYFUNCTION("""COMPUTED_VALUE"""),"comment")</f>
        <v>comment</v>
      </c>
      <c r="I2515"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15" s="1" t="str">
        <f ca="1">IFERROR(__xludf.DUMMYFUNCTION("""COMPUTED_VALUE"""),"2022-07-04T15:50:11.826Z")</f>
        <v>2022-07-04T15:50:11.826Z</v>
      </c>
    </row>
    <row r="2516" spans="1:10" x14ac:dyDescent="0.2">
      <c r="A2516" s="2" t="str">
        <f ca="1">IFERROR(__xludf.DUMMYFUNCTION("""COMPUTED_VALUE"""),"https://www.facebook.com/glark.yaranon")</f>
        <v>https://www.facebook.com/glark.yaranon</v>
      </c>
      <c r="B2516" s="1" t="str">
        <f ca="1">IFERROR(__xludf.DUMMYFUNCTION("""COMPUTED_VALUE"""),"Nnelg Kram Solomon Nonaray")</f>
        <v>Nnelg Kram Solomon Nonaray</v>
      </c>
      <c r="C2516" s="1" t="str">
        <f ca="1">IFERROR(__xludf.DUMMYFUNCTION("""COMPUTED_VALUE"""),"Nnelg")</f>
        <v>Nnelg</v>
      </c>
      <c r="D2516" s="1" t="str">
        <f ca="1">IFERROR(__xludf.DUMMYFUNCTION("""COMPUTED_VALUE"""),"Kram Solomon Nonaray")</f>
        <v>Kram Solomon Nonaray</v>
      </c>
      <c r="E2516" s="1" t="str">
        <f ca="1">IFERROR(__xludf.DUMMYFUNCTION("""COMPUTED_VALUE"""),"Croppler nga naman….")</f>
        <v>Croppler nga naman….</v>
      </c>
      <c r="F2516" s="1">
        <f ca="1">IFERROR(__xludf.DUMMYFUNCTION("""COMPUTED_VALUE"""),1)</f>
        <v>1</v>
      </c>
      <c r="G2516" s="1" t="str">
        <f ca="1">IFERROR(__xludf.DUMMYFUNCTION("""COMPUTED_VALUE"""),"3 mos")</f>
        <v>3 mos</v>
      </c>
      <c r="H2516" s="1" t="str">
        <f ca="1">IFERROR(__xludf.DUMMYFUNCTION("""COMPUTED_VALUE"""),"comment")</f>
        <v>comment</v>
      </c>
      <c r="I2516"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16" s="1" t="str">
        <f ca="1">IFERROR(__xludf.DUMMYFUNCTION("""COMPUTED_VALUE"""),"2022-07-04T15:50:11.826Z")</f>
        <v>2022-07-04T15:50:11.826Z</v>
      </c>
    </row>
    <row r="2517" spans="1:10" x14ac:dyDescent="0.2">
      <c r="A2517" s="2" t="str">
        <f ca="1">IFERROR(__xludf.DUMMYFUNCTION("""COMPUTED_VALUE"""),"https://www.facebook.com/chazper21")</f>
        <v>https://www.facebook.com/chazper21</v>
      </c>
      <c r="B2517" s="1" t="str">
        <f ca="1">IFERROR(__xludf.DUMMYFUNCTION("""COMPUTED_VALUE"""),"Jeffrh Sequito Dela Cerna")</f>
        <v>Jeffrh Sequito Dela Cerna</v>
      </c>
      <c r="C2517" s="1" t="str">
        <f ca="1">IFERROR(__xludf.DUMMYFUNCTION("""COMPUTED_VALUE"""),"Jeffrh")</f>
        <v>Jeffrh</v>
      </c>
      <c r="D2517" s="1" t="str">
        <f ca="1">IFERROR(__xludf.DUMMYFUNCTION("""COMPUTED_VALUE"""),"Sequito Dela Cerna")</f>
        <v>Sequito Dela Cerna</v>
      </c>
      <c r="E2517" s="1" t="str">
        <f ca="1">IFERROR(__xludf.DUMMYFUNCTION("""COMPUTED_VALUE"""),"Bayad na po😙")</f>
        <v>Bayad na po😙</v>
      </c>
      <c r="F2517" s="1">
        <f ca="1">IFERROR(__xludf.DUMMYFUNCTION("""COMPUTED_VALUE"""),3)</f>
        <v>3</v>
      </c>
      <c r="G2517" s="1" t="str">
        <f ca="1">IFERROR(__xludf.DUMMYFUNCTION("""COMPUTED_VALUE"""),"3 mos")</f>
        <v>3 mos</v>
      </c>
      <c r="H2517" s="1" t="str">
        <f ca="1">IFERROR(__xludf.DUMMYFUNCTION("""COMPUTED_VALUE"""),"comment")</f>
        <v>comment</v>
      </c>
      <c r="I2517"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17" s="1" t="str">
        <f ca="1">IFERROR(__xludf.DUMMYFUNCTION("""COMPUTED_VALUE"""),"2022-07-04T15:50:11.826Z")</f>
        <v>2022-07-04T15:50:11.826Z</v>
      </c>
    </row>
    <row r="2518" spans="1:10" x14ac:dyDescent="0.2">
      <c r="A2518" s="2" t="str">
        <f ca="1">IFERROR(__xludf.DUMMYFUNCTION("""COMPUTED_VALUE"""),"https://www.facebook.com/rommeltamonte7")</f>
        <v>https://www.facebook.com/rommeltamonte7</v>
      </c>
      <c r="B2518" s="1" t="str">
        <f ca="1">IFERROR(__xludf.DUMMYFUNCTION("""COMPUTED_VALUE"""),"Rommel SebastianBarbosa Tamonte")</f>
        <v>Rommel SebastianBarbosa Tamonte</v>
      </c>
      <c r="C2518" s="1" t="str">
        <f ca="1">IFERROR(__xludf.DUMMYFUNCTION("""COMPUTED_VALUE"""),"Rommel")</f>
        <v>Rommel</v>
      </c>
      <c r="D2518" s="1" t="str">
        <f ca="1">IFERROR(__xludf.DUMMYFUNCTION("""COMPUTED_VALUE"""),"SebastianBarbosa Tamonte")</f>
        <v>SebastianBarbosa Tamonte</v>
      </c>
      <c r="E2518" s="1" t="str">
        <f ca="1">IFERROR(__xludf.DUMMYFUNCTION("""COMPUTED_VALUE"""),"Samantha Veras https://fb.watch/b_9y1h0N7m/")</f>
        <v>Samantha Veras https://fb.watch/b_9y1h0N7m/</v>
      </c>
      <c r="F2518" s="1"/>
      <c r="G2518" s="1" t="str">
        <f ca="1">IFERROR(__xludf.DUMMYFUNCTION("""COMPUTED_VALUE"""),"March 23 at 4:07 PM")</f>
        <v>March 23 at 4:07 PM</v>
      </c>
      <c r="H2518" s="1" t="str">
        <f ca="1">IFERROR(__xludf.DUMMYFUNCTION("""COMPUTED_VALUE"""),"reply")</f>
        <v>reply</v>
      </c>
      <c r="I2518"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18" s="1" t="str">
        <f ca="1">IFERROR(__xludf.DUMMYFUNCTION("""COMPUTED_VALUE"""),"2022-07-04T15:50:11.826Z")</f>
        <v>2022-07-04T15:50:11.826Z</v>
      </c>
    </row>
    <row r="2519" spans="1:10" x14ac:dyDescent="0.2">
      <c r="A2519" s="2" t="str">
        <f ca="1">IFERROR(__xludf.DUMMYFUNCTION("""COMPUTED_VALUE"""),"https://www.facebook.com/chazper21")</f>
        <v>https://www.facebook.com/chazper21</v>
      </c>
      <c r="B2519" s="1" t="str">
        <f ca="1">IFERROR(__xludf.DUMMYFUNCTION("""COMPUTED_VALUE"""),"Jeffrh Sequito Dela Cerna")</f>
        <v>Jeffrh Sequito Dela Cerna</v>
      </c>
      <c r="C2519" s="1" t="str">
        <f ca="1">IFERROR(__xludf.DUMMYFUNCTION("""COMPUTED_VALUE"""),"Jeffrh")</f>
        <v>Jeffrh</v>
      </c>
      <c r="D2519" s="1" t="str">
        <f ca="1">IFERROR(__xludf.DUMMYFUNCTION("""COMPUTED_VALUE"""),"Sequito Dela Cerna")</f>
        <v>Sequito Dela Cerna</v>
      </c>
      <c r="E2519" s="1" t="str">
        <f ca="1">IFERROR(__xludf.DUMMYFUNCTION("""COMPUTED_VALUE"""),"Samantha Veras D updated🤣🤣🤣")</f>
        <v>Samantha Veras D updated🤣🤣🤣</v>
      </c>
      <c r="F2519" s="1"/>
      <c r="G2519" s="1" t="str">
        <f ca="1">IFERROR(__xludf.DUMMYFUNCTION("""COMPUTED_VALUE"""),"3 mos")</f>
        <v>3 mos</v>
      </c>
      <c r="H2519" s="1" t="str">
        <f ca="1">IFERROR(__xludf.DUMMYFUNCTION("""COMPUTED_VALUE"""),"reply")</f>
        <v>reply</v>
      </c>
      <c r="I2519"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19" s="1" t="str">
        <f ca="1">IFERROR(__xludf.DUMMYFUNCTION("""COMPUTED_VALUE"""),"2022-07-04T15:50:11.826Z")</f>
        <v>2022-07-04T15:50:11.826Z</v>
      </c>
    </row>
    <row r="2520" spans="1:10" x14ac:dyDescent="0.2">
      <c r="A2520" s="2" t="str">
        <f ca="1">IFERROR(__xludf.DUMMYFUNCTION("""COMPUTED_VALUE"""),"https://www.facebook.com/chazper21")</f>
        <v>https://www.facebook.com/chazper21</v>
      </c>
      <c r="B2520" s="1" t="str">
        <f ca="1">IFERROR(__xludf.DUMMYFUNCTION("""COMPUTED_VALUE"""),"Jeffrh Sequito Dela Cerna")</f>
        <v>Jeffrh Sequito Dela Cerna</v>
      </c>
      <c r="C2520" s="1" t="str">
        <f ca="1">IFERROR(__xludf.DUMMYFUNCTION("""COMPUTED_VALUE"""),"Jeffrh")</f>
        <v>Jeffrh</v>
      </c>
      <c r="D2520" s="1" t="str">
        <f ca="1">IFERROR(__xludf.DUMMYFUNCTION("""COMPUTED_VALUE"""),"Sequito Dela Cerna")</f>
        <v>Sequito Dela Cerna</v>
      </c>
      <c r="E2520" s="1" t="str">
        <f ca="1">IFERROR(__xludf.DUMMYFUNCTION("""COMPUTED_VALUE"""),"Samantha Veras Wag kasi one sided para matutu kang humanap sa totoo at katotohanan")</f>
        <v>Samantha Veras Wag kasi one sided para matutu kang humanap sa totoo at katotohanan</v>
      </c>
      <c r="F2520" s="1"/>
      <c r="G2520" s="1" t="str">
        <f ca="1">IFERROR(__xludf.DUMMYFUNCTION("""COMPUTED_VALUE"""),"3 mos")</f>
        <v>3 mos</v>
      </c>
      <c r="H2520" s="1" t="str">
        <f ca="1">IFERROR(__xludf.DUMMYFUNCTION("""COMPUTED_VALUE"""),"reply")</f>
        <v>reply</v>
      </c>
      <c r="I2520"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20" s="1" t="str">
        <f ca="1">IFERROR(__xludf.DUMMYFUNCTION("""COMPUTED_VALUE"""),"2022-07-04T15:50:11.826Z")</f>
        <v>2022-07-04T15:50:11.826Z</v>
      </c>
    </row>
    <row r="2521" spans="1:10" x14ac:dyDescent="0.2">
      <c r="A2521" s="2" t="str">
        <f ca="1">IFERROR(__xludf.DUMMYFUNCTION("""COMPUTED_VALUE"""),"https://www.facebook.com/Overhauled12")</f>
        <v>https://www.facebook.com/Overhauled12</v>
      </c>
      <c r="B2521" s="1" t="str">
        <f ca="1">IFERROR(__xludf.DUMMYFUNCTION("""COMPUTED_VALUE"""),"Em Cee")</f>
        <v>Em Cee</v>
      </c>
      <c r="C2521" s="1" t="str">
        <f ca="1">IFERROR(__xludf.DUMMYFUNCTION("""COMPUTED_VALUE"""),"Em")</f>
        <v>Em</v>
      </c>
      <c r="D2521" s="1" t="str">
        <f ca="1">IFERROR(__xludf.DUMMYFUNCTION("""COMPUTED_VALUE"""),"Cee")</f>
        <v>Cee</v>
      </c>
      <c r="E2521" s="1" t="str">
        <f ca="1">IFERROR(__xludf.DUMMYFUNCTION("""COMPUTED_VALUE"""),"Double time baka sakaling makahabol")</f>
        <v>Double time baka sakaling makahabol</v>
      </c>
      <c r="F2521" s="1">
        <f ca="1">IFERROR(__xludf.DUMMYFUNCTION("""COMPUTED_VALUE"""),3)</f>
        <v>3</v>
      </c>
      <c r="G2521" s="1" t="str">
        <f ca="1">IFERROR(__xludf.DUMMYFUNCTION("""COMPUTED_VALUE"""),"3 mos")</f>
        <v>3 mos</v>
      </c>
      <c r="H2521" s="1" t="str">
        <f ca="1">IFERROR(__xludf.DUMMYFUNCTION("""COMPUTED_VALUE"""),"comment")</f>
        <v>comment</v>
      </c>
      <c r="I2521"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21" s="1" t="str">
        <f ca="1">IFERROR(__xludf.DUMMYFUNCTION("""COMPUTED_VALUE"""),"2022-07-04T15:50:11.826Z")</f>
        <v>2022-07-04T15:50:11.826Z</v>
      </c>
    </row>
    <row r="2522" spans="1:10" x14ac:dyDescent="0.2">
      <c r="A2522" s="2" t="str">
        <f ca="1">IFERROR(__xludf.DUMMYFUNCTION("""COMPUTED_VALUE"""),"https://www.facebook.com/carlos.javelosa")</f>
        <v>https://www.facebook.com/carlos.javelosa</v>
      </c>
      <c r="B2522" s="1" t="str">
        <f ca="1">IFERROR(__xludf.DUMMYFUNCTION("""COMPUTED_VALUE"""),"Carlos Javelosa")</f>
        <v>Carlos Javelosa</v>
      </c>
      <c r="C2522" s="1" t="str">
        <f ca="1">IFERROR(__xludf.DUMMYFUNCTION("""COMPUTED_VALUE"""),"Carlos")</f>
        <v>Carlos</v>
      </c>
      <c r="D2522" s="1" t="str">
        <f ca="1">IFERROR(__xludf.DUMMYFUNCTION("""COMPUTED_VALUE"""),"Javelosa")</f>
        <v>Javelosa</v>
      </c>
      <c r="E2522" s="1" t="str">
        <f ca="1">IFERROR(__xludf.DUMMYFUNCTION("""COMPUTED_VALUE"""),"SINGILIN ! SINGILIN  ! SINGILIN !")</f>
        <v>SINGILIN ! SINGILIN  ! SINGILIN !</v>
      </c>
      <c r="F2522" s="1">
        <f ca="1">IFERROR(__xludf.DUMMYFUNCTION("""COMPUTED_VALUE"""),1)</f>
        <v>1</v>
      </c>
      <c r="G2522" s="1" t="str">
        <f ca="1">IFERROR(__xludf.DUMMYFUNCTION("""COMPUTED_VALUE"""),"3 mos")</f>
        <v>3 mos</v>
      </c>
      <c r="H2522" s="1" t="str">
        <f ca="1">IFERROR(__xludf.DUMMYFUNCTION("""COMPUTED_VALUE"""),"comment")</f>
        <v>comment</v>
      </c>
      <c r="I2522"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22" s="1" t="str">
        <f ca="1">IFERROR(__xludf.DUMMYFUNCTION("""COMPUTED_VALUE"""),"2022-07-04T15:50:11.826Z")</f>
        <v>2022-07-04T15:50:11.826Z</v>
      </c>
    </row>
    <row r="2523" spans="1:10" x14ac:dyDescent="0.2">
      <c r="A2523" s="2" t="str">
        <f ca="1">IFERROR(__xludf.DUMMYFUNCTION("""COMPUTED_VALUE"""),"https://www.facebook.com/josefina.nalcot")</f>
        <v>https://www.facebook.com/josefina.nalcot</v>
      </c>
      <c r="B2523" s="1" t="str">
        <f ca="1">IFERROR(__xludf.DUMMYFUNCTION("""COMPUTED_VALUE"""),"Josefina Arizobal Nalcot")</f>
        <v>Josefina Arizobal Nalcot</v>
      </c>
      <c r="C2523" s="1" t="str">
        <f ca="1">IFERROR(__xludf.DUMMYFUNCTION("""COMPUTED_VALUE"""),"Josefina")</f>
        <v>Josefina</v>
      </c>
      <c r="D2523" s="1" t="str">
        <f ca="1">IFERROR(__xludf.DUMMYFUNCTION("""COMPUTED_VALUE"""),"Arizobal Nalcot")</f>
        <v>Arizobal Nalcot</v>
      </c>
      <c r="E2523" s="1" t="str">
        <f ca="1">IFERROR(__xludf.DUMMYFUNCTION("""COMPUTED_VALUE"""),"Mgbyad n kau ibalik  ang .....wg ang tao never3")</f>
        <v>Mgbyad n kau ibalik  ang .....wg ang tao never3</v>
      </c>
      <c r="F2523" s="1">
        <f ca="1">IFERROR(__xludf.DUMMYFUNCTION("""COMPUTED_VALUE"""),4)</f>
        <v>4</v>
      </c>
      <c r="G2523" s="1" t="str">
        <f ca="1">IFERROR(__xludf.DUMMYFUNCTION("""COMPUTED_VALUE"""),"3 mos")</f>
        <v>3 mos</v>
      </c>
      <c r="H2523" s="1" t="str">
        <f ca="1">IFERROR(__xludf.DUMMYFUNCTION("""COMPUTED_VALUE"""),"comment")</f>
        <v>comment</v>
      </c>
      <c r="I2523"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23" s="1" t="str">
        <f ca="1">IFERROR(__xludf.DUMMYFUNCTION("""COMPUTED_VALUE"""),"2022-07-04T15:50:11.826Z")</f>
        <v>2022-07-04T15:50:11.826Z</v>
      </c>
    </row>
    <row r="2524" spans="1:10" x14ac:dyDescent="0.2">
      <c r="A2524" s="2" t="str">
        <f ca="1">IFERROR(__xludf.DUMMYFUNCTION("""COMPUTED_VALUE"""),"https://www.facebook.com/profile.php?id=100072240556659")</f>
        <v>https://www.facebook.com/profile.php?id=100072240556659</v>
      </c>
      <c r="B2524" s="1" t="str">
        <f ca="1">IFERROR(__xludf.DUMMYFUNCTION("""COMPUTED_VALUE"""),"Pabs Bautista")</f>
        <v>Pabs Bautista</v>
      </c>
      <c r="C2524" s="1" t="str">
        <f ca="1">IFERROR(__xludf.DUMMYFUNCTION("""COMPUTED_VALUE"""),"Pabs")</f>
        <v>Pabs</v>
      </c>
      <c r="D2524" s="1" t="str">
        <f ca="1">IFERROR(__xludf.DUMMYFUNCTION("""COMPUTED_VALUE"""),"Bautista")</f>
        <v>Bautista</v>
      </c>
      <c r="E2524" s="1" t="str">
        <f ca="1">IFERROR(__xludf.DUMMYFUNCTION("""COMPUTED_VALUE"""),"Laslasin nio na lang mga Pulso nio... SusMe")</f>
        <v>Laslasin nio na lang mga Pulso nio... SusMe</v>
      </c>
      <c r="F2524" s="1"/>
      <c r="G2524" s="1" t="str">
        <f ca="1">IFERROR(__xludf.DUMMYFUNCTION("""COMPUTED_VALUE"""),"3 mos")</f>
        <v>3 mos</v>
      </c>
      <c r="H2524" s="1" t="str">
        <f ca="1">IFERROR(__xludf.DUMMYFUNCTION("""COMPUTED_VALUE"""),"comment")</f>
        <v>comment</v>
      </c>
      <c r="I2524"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24" s="1" t="str">
        <f ca="1">IFERROR(__xludf.DUMMYFUNCTION("""COMPUTED_VALUE"""),"2022-07-04T15:50:11.826Z")</f>
        <v>2022-07-04T15:50:11.826Z</v>
      </c>
    </row>
    <row r="2525" spans="1:10" x14ac:dyDescent="0.2">
      <c r="A2525" s="2" t="str">
        <f ca="1">IFERROR(__xludf.DUMMYFUNCTION("""COMPUTED_VALUE"""),"https://www.facebook.com/lorenza.ito.33")</f>
        <v>https://www.facebook.com/lorenza.ito.33</v>
      </c>
      <c r="B2525" s="1" t="str">
        <f ca="1">IFERROR(__xludf.DUMMYFUNCTION("""COMPUTED_VALUE"""),"Lorenza Ito")</f>
        <v>Lorenza Ito</v>
      </c>
      <c r="C2525" s="1" t="str">
        <f ca="1">IFERROR(__xludf.DUMMYFUNCTION("""COMPUTED_VALUE"""),"Lorenza")</f>
        <v>Lorenza</v>
      </c>
      <c r="D2525" s="1" t="str">
        <f ca="1">IFERROR(__xludf.DUMMYFUNCTION("""COMPUTED_VALUE"""),"Ito")</f>
        <v>Ito</v>
      </c>
      <c r="E2525" s="1" t="str">
        <f ca="1">IFERROR(__xludf.DUMMYFUNCTION("""COMPUTED_VALUE"""),"Brain wash yan...")</f>
        <v>Brain wash yan...</v>
      </c>
      <c r="F2525" s="1">
        <f ca="1">IFERROR(__xludf.DUMMYFUNCTION("""COMPUTED_VALUE"""),2)</f>
        <v>2</v>
      </c>
      <c r="G2525" s="1" t="str">
        <f ca="1">IFERROR(__xludf.DUMMYFUNCTION("""COMPUTED_VALUE"""),"3 mos")</f>
        <v>3 mos</v>
      </c>
      <c r="H2525" s="1" t="str">
        <f ca="1">IFERROR(__xludf.DUMMYFUNCTION("""COMPUTED_VALUE"""),"comment")</f>
        <v>comment</v>
      </c>
      <c r="I2525"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25" s="1" t="str">
        <f ca="1">IFERROR(__xludf.DUMMYFUNCTION("""COMPUTED_VALUE"""),"2022-07-04T15:50:11.826Z")</f>
        <v>2022-07-04T15:50:11.826Z</v>
      </c>
    </row>
    <row r="2526" spans="1:10" x14ac:dyDescent="0.2">
      <c r="A2526" s="2" t="str">
        <f ca="1">IFERROR(__xludf.DUMMYFUNCTION("""COMPUTED_VALUE"""),"https://www.facebook.com/lceleste3")</f>
        <v>https://www.facebook.com/lceleste3</v>
      </c>
      <c r="B2526" s="1" t="str">
        <f ca="1">IFERROR(__xludf.DUMMYFUNCTION("""COMPUTED_VALUE"""),"Lucy Celeste")</f>
        <v>Lucy Celeste</v>
      </c>
      <c r="C2526" s="1" t="str">
        <f ca="1">IFERROR(__xludf.DUMMYFUNCTION("""COMPUTED_VALUE"""),"Lucy")</f>
        <v>Lucy</v>
      </c>
      <c r="D2526" s="1" t="str">
        <f ca="1">IFERROR(__xludf.DUMMYFUNCTION("""COMPUTED_VALUE"""),"Celeste")</f>
        <v>Celeste</v>
      </c>
      <c r="E2526" s="1" t="str">
        <f ca="1">IFERROR(__xludf.DUMMYFUNCTION("""COMPUTED_VALUE"""),"Sana nga po.. 🙏😇")</f>
        <v>Sana nga po.. 🙏😇</v>
      </c>
      <c r="F2526" s="1"/>
      <c r="G2526" s="1" t="str">
        <f ca="1">IFERROR(__xludf.DUMMYFUNCTION("""COMPUTED_VALUE"""),"3 mos")</f>
        <v>3 mos</v>
      </c>
      <c r="H2526" s="1" t="str">
        <f ca="1">IFERROR(__xludf.DUMMYFUNCTION("""COMPUTED_VALUE"""),"comment")</f>
        <v>comment</v>
      </c>
      <c r="I2526" s="2" t="str">
        <f ca="1">IFERROR(__xludf.DUMMYFUNCTION("""COMPUTED_VALUE"""),"https://www.facebook.com/rapplerdotcom/posts/pfbid02BCyyacWVuuu1bwX5PwYK8PvqDGTANxekqEMy7qyV9vMmaGKTbC8sBf7i5j3Wbx9Ll")</f>
        <v>https://www.facebook.com/rapplerdotcom/posts/pfbid02BCyyacWVuuu1bwX5PwYK8PvqDGTANxekqEMy7qyV9vMmaGKTbC8sBf7i5j3Wbx9Ll</v>
      </c>
      <c r="J2526" s="1" t="str">
        <f ca="1">IFERROR(__xludf.DUMMYFUNCTION("""COMPUTED_VALUE"""),"2022-07-04T15:50:11.826Z")</f>
        <v>2022-07-04T15:50:11.826Z</v>
      </c>
    </row>
    <row r="2527" spans="1:10" x14ac:dyDescent="0.2">
      <c r="A2527" s="2" t="str">
        <f ca="1">IFERROR(__xludf.DUMMYFUNCTION("""COMPUTED_VALUE"""),"https://www.facebook.com/profile.php?id=100011366202531")</f>
        <v>https://www.facebook.com/profile.php?id=100011366202531</v>
      </c>
      <c r="B2527" s="1" t="str">
        <f ca="1">IFERROR(__xludf.DUMMYFUNCTION("""COMPUTED_VALUE"""),"Francis Abel")</f>
        <v>Francis Abel</v>
      </c>
      <c r="C2527" s="1" t="str">
        <f ca="1">IFERROR(__xludf.DUMMYFUNCTION("""COMPUTED_VALUE"""),"Francis")</f>
        <v>Francis</v>
      </c>
      <c r="D2527" s="1" t="str">
        <f ca="1">IFERROR(__xludf.DUMMYFUNCTION("""COMPUTED_VALUE"""),"Abel")</f>
        <v>Abel</v>
      </c>
      <c r="E2527" s="1" t="str">
        <f ca="1">IFERROR(__xludf.DUMMYFUNCTION("""COMPUTED_VALUE"""),"I couldn't agree more... like any successor, she is a better one for sure.💗🌷")</f>
        <v>I couldn't agree more... like any successor, she is a better one for sure.💗🌷</v>
      </c>
      <c r="F2527" s="1"/>
      <c r="G2527" s="1" t="str">
        <f ca="1">IFERROR(__xludf.DUMMYFUNCTION("""COMPUTED_VALUE"""),"3 mos")</f>
        <v>3 mos</v>
      </c>
      <c r="H2527" s="1" t="str">
        <f ca="1">IFERROR(__xludf.DUMMYFUNCTION("""COMPUTED_VALUE"""),"comment")</f>
        <v>comment</v>
      </c>
      <c r="I2527"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27" s="1" t="str">
        <f ca="1">IFERROR(__xludf.DUMMYFUNCTION("""COMPUTED_VALUE"""),"2022-07-04T15:50:43.109Z")</f>
        <v>2022-07-04T15:50:43.109Z</v>
      </c>
    </row>
    <row r="2528" spans="1:10" x14ac:dyDescent="0.2">
      <c r="A2528" s="2" t="str">
        <f ca="1">IFERROR(__xludf.DUMMYFUNCTION("""COMPUTED_VALUE"""),"https://www.facebook.com/vhersapitula")</f>
        <v>https://www.facebook.com/vhersapitula</v>
      </c>
      <c r="B2528" s="1" t="str">
        <f ca="1">IFERROR(__xludf.DUMMYFUNCTION("""COMPUTED_VALUE"""),"Vher Sapitula")</f>
        <v>Vher Sapitula</v>
      </c>
      <c r="C2528" s="1" t="str">
        <f ca="1">IFERROR(__xludf.DUMMYFUNCTION("""COMPUTED_VALUE"""),"Vher")</f>
        <v>Vher</v>
      </c>
      <c r="D2528" s="1" t="str">
        <f ca="1">IFERROR(__xludf.DUMMYFUNCTION("""COMPUTED_VALUE"""),"Sapitula")</f>
        <v>Sapitula</v>
      </c>
      <c r="E2528" s="1" t="str">
        <f ca="1">IFERROR(__xludf.DUMMYFUNCTION("""COMPUTED_VALUE"""),"Len-len lutang libre mangarap...")</f>
        <v>Len-len lutang libre mangarap...</v>
      </c>
      <c r="F2528" s="1">
        <f ca="1">IFERROR(__xludf.DUMMYFUNCTION("""COMPUTED_VALUE"""),11)</f>
        <v>11</v>
      </c>
      <c r="G2528" s="1" t="str">
        <f ca="1">IFERROR(__xludf.DUMMYFUNCTION("""COMPUTED_VALUE"""),"3 mos")</f>
        <v>3 mos</v>
      </c>
      <c r="H2528" s="1" t="str">
        <f ca="1">IFERROR(__xludf.DUMMYFUNCTION("""COMPUTED_VALUE"""),"comment")</f>
        <v>comment</v>
      </c>
      <c r="I2528"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28" s="1" t="str">
        <f ca="1">IFERROR(__xludf.DUMMYFUNCTION("""COMPUTED_VALUE"""),"2022-07-04T15:50:43.109Z")</f>
        <v>2022-07-04T15:50:43.109Z</v>
      </c>
    </row>
    <row r="2529" spans="1:10" x14ac:dyDescent="0.2">
      <c r="A2529" s="2" t="str">
        <f ca="1">IFERROR(__xludf.DUMMYFUNCTION("""COMPUTED_VALUE"""),"https://www.facebook.com/IamRoselleBaltazar")</f>
        <v>https://www.facebook.com/IamRoselleBaltazar</v>
      </c>
      <c r="B2529" s="1" t="str">
        <f ca="1">IFERROR(__xludf.DUMMYFUNCTION("""COMPUTED_VALUE"""),"Roselle Baltazar")</f>
        <v>Roselle Baltazar</v>
      </c>
      <c r="C2529" s="1" t="str">
        <f ca="1">IFERROR(__xludf.DUMMYFUNCTION("""COMPUTED_VALUE"""),"Roselle")</f>
        <v>Roselle</v>
      </c>
      <c r="D2529" s="1" t="str">
        <f ca="1">IFERROR(__xludf.DUMMYFUNCTION("""COMPUTED_VALUE"""),"Baltazar")</f>
        <v>Baltazar</v>
      </c>
      <c r="E2529" s="1" t="str">
        <f ca="1">IFERROR(__xludf.DUMMYFUNCTION("""COMPUTED_VALUE"""),"Vher Sapitula  lutang na lutang po talaga. 🙊  https://fb.watch/bZbb2LFA7_/  https://fb.watch/bZbd7kZ_zI/")</f>
        <v>Vher Sapitula  lutang na lutang po talaga. 🙊  https://fb.watch/bZbb2LFA7_/  https://fb.watch/bZbd7kZ_zI/</v>
      </c>
      <c r="F2529" s="1">
        <f ca="1">IFERROR(__xludf.DUMMYFUNCTION("""COMPUTED_VALUE"""),2)</f>
        <v>2</v>
      </c>
      <c r="G2529" s="1" t="str">
        <f ca="1">IFERROR(__xludf.DUMMYFUNCTION("""COMPUTED_VALUE"""),"March 25 at 1:12 AM")</f>
        <v>March 25 at 1:12 AM</v>
      </c>
      <c r="H2529" s="1" t="str">
        <f ca="1">IFERROR(__xludf.DUMMYFUNCTION("""COMPUTED_VALUE"""),"reply")</f>
        <v>reply</v>
      </c>
      <c r="I2529"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29" s="1" t="str">
        <f ca="1">IFERROR(__xludf.DUMMYFUNCTION("""COMPUTED_VALUE"""),"2022-07-04T15:50:43.109Z")</f>
        <v>2022-07-04T15:50:43.109Z</v>
      </c>
    </row>
    <row r="2530" spans="1:10" x14ac:dyDescent="0.2">
      <c r="A2530" s="2" t="str">
        <f ca="1">IFERROR(__xludf.DUMMYFUNCTION("""COMPUTED_VALUE"""),"https://www.facebook.com/profile.php?id=100004103093312")</f>
        <v>https://www.facebook.com/profile.php?id=100004103093312</v>
      </c>
      <c r="B2530" s="1" t="str">
        <f ca="1">IFERROR(__xludf.DUMMYFUNCTION("""COMPUTED_VALUE"""),"Adors Adriano")</f>
        <v>Adors Adriano</v>
      </c>
      <c r="C2530" s="1" t="str">
        <f ca="1">IFERROR(__xludf.DUMMYFUNCTION("""COMPUTED_VALUE"""),"Adors")</f>
        <v>Adors</v>
      </c>
      <c r="D2530" s="1" t="str">
        <f ca="1">IFERROR(__xludf.DUMMYFUNCTION("""COMPUTED_VALUE"""),"Adriano")</f>
        <v>Adriano</v>
      </c>
      <c r="E2530" s="1" t="str">
        <f ca="1">IFERROR(__xludf.DUMMYFUNCTION("""COMPUTED_VALUE"""),"Vher Sapitula Oo lutang sya, at lumulutang sya sa alapaap ng kaligayahan dahil sa dami at bumubuhos na naninindigan para sa magandang kinabukasan. #CaMaNaVaForLeniKiko #CaMaNaVaIsPink 💗💚💗💚💗💚💗💚💗💚💗💚💗💚💗💚💗💚💗💚💗💚💗💚💗💚💗💚💗💚")</f>
        <v>Vher Sapitula Oo lutang sya, at lumulutang sya sa alapaap ng kaligayahan dahil sa dami at bumubuhos na naninindigan para sa magandang kinabukasan. #CaMaNaVaForLeniKiko #CaMaNaVaIsPink 💗💚💗💚💗💚💗💚💗💚💗💚💗💚💗💚💗💚💗💚💗💚💗💚💗💚💗💚💗💚</v>
      </c>
      <c r="F2530" s="1">
        <f ca="1">IFERROR(__xludf.DUMMYFUNCTION("""COMPUTED_VALUE"""),1)</f>
        <v>1</v>
      </c>
      <c r="G2530" s="1" t="str">
        <f ca="1">IFERROR(__xludf.DUMMYFUNCTION("""COMPUTED_VALUE"""),"3 mos")</f>
        <v>3 mos</v>
      </c>
      <c r="H2530" s="1" t="str">
        <f ca="1">IFERROR(__xludf.DUMMYFUNCTION("""COMPUTED_VALUE"""),"reply")</f>
        <v>reply</v>
      </c>
      <c r="I2530"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30" s="1" t="str">
        <f ca="1">IFERROR(__xludf.DUMMYFUNCTION("""COMPUTED_VALUE"""),"2022-07-04T15:50:43.109Z")</f>
        <v>2022-07-04T15:50:43.109Z</v>
      </c>
    </row>
    <row r="2531" spans="1:10" x14ac:dyDescent="0.2">
      <c r="A2531" s="2" t="str">
        <f ca="1">IFERROR(__xludf.DUMMYFUNCTION("""COMPUTED_VALUE"""),"https://www.facebook.com/laura.coloma.7")</f>
        <v>https://www.facebook.com/laura.coloma.7</v>
      </c>
      <c r="B2531" s="1" t="str">
        <f ca="1">IFERROR(__xludf.DUMMYFUNCTION("""COMPUTED_VALUE"""),"Laura Coloma")</f>
        <v>Laura Coloma</v>
      </c>
      <c r="C2531" s="1" t="str">
        <f ca="1">IFERROR(__xludf.DUMMYFUNCTION("""COMPUTED_VALUE"""),"Laura")</f>
        <v>Laura</v>
      </c>
      <c r="D2531" s="1" t="str">
        <f ca="1">IFERROR(__xludf.DUMMYFUNCTION("""COMPUTED_VALUE"""),"Coloma")</f>
        <v>Coloma</v>
      </c>
      <c r="E2531" s="1" t="str">
        <f ca="1">IFERROR(__xludf.DUMMYFUNCTION("""COMPUTED_VALUE"""),"Ang mag de decide pa rin ay mga tao...sila ang pipili...at hindi yung kung sino lang....anf mga tao ang magluluklok sa taong gusto nila...huwag nating pangunahan....mas matatalino na mga tao...at hindi na nagpapadala sa mga mainstream media.....marami nan"&amp;"g sources at hindi na nagpapadala sa mga  maling impormasyon...")</f>
        <v>Ang mag de decide pa rin ay mga tao...sila ang pipili...at hindi yung kung sino lang....anf mga tao ang magluluklok sa taong gusto nila...huwag nating pangunahan....mas matatalino na mga tao...at hindi na nagpapadala sa mga mainstream media.....marami nang sources at hindi na nagpapadala sa mga  maling impormasyon...</v>
      </c>
      <c r="F2531" s="1"/>
      <c r="G2531" s="1" t="str">
        <f ca="1">IFERROR(__xludf.DUMMYFUNCTION("""COMPUTED_VALUE"""),"3 mos")</f>
        <v>3 mos</v>
      </c>
      <c r="H2531" s="1" t="str">
        <f ca="1">IFERROR(__xludf.DUMMYFUNCTION("""COMPUTED_VALUE"""),"comment")</f>
        <v>comment</v>
      </c>
      <c r="I2531"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31" s="1" t="str">
        <f ca="1">IFERROR(__xludf.DUMMYFUNCTION("""COMPUTED_VALUE"""),"2022-07-04T15:50:43.109Z")</f>
        <v>2022-07-04T15:50:43.109Z</v>
      </c>
    </row>
    <row r="2532" spans="1:10" x14ac:dyDescent="0.2">
      <c r="A2532" s="2" t="str">
        <f ca="1">IFERROR(__xludf.DUMMYFUNCTION("""COMPUTED_VALUE"""),"https://www.facebook.com/jingbong.suan")</f>
        <v>https://www.facebook.com/jingbong.suan</v>
      </c>
      <c r="B2532" s="1" t="str">
        <f ca="1">IFERROR(__xludf.DUMMYFUNCTION("""COMPUTED_VALUE"""),"Felix Suan")</f>
        <v>Felix Suan</v>
      </c>
      <c r="C2532" s="1" t="str">
        <f ca="1">IFERROR(__xludf.DUMMYFUNCTION("""COMPUTED_VALUE"""),"Felix")</f>
        <v>Felix</v>
      </c>
      <c r="D2532" s="1" t="str">
        <f ca="1">IFERROR(__xludf.DUMMYFUNCTION("""COMPUTED_VALUE"""),"Suan")</f>
        <v>Suan</v>
      </c>
      <c r="E2532" s="1" t="str">
        <f ca="1">IFERROR(__xludf.DUMMYFUNCTION("""COMPUTED_VALUE"""),"ayaw na naming maduterte pa ulit")</f>
        <v>ayaw na naming maduterte pa ulit</v>
      </c>
      <c r="F2532" s="1">
        <f ca="1">IFERROR(__xludf.DUMMYFUNCTION("""COMPUTED_VALUE"""),9)</f>
        <v>9</v>
      </c>
      <c r="G2532" s="1" t="str">
        <f ca="1">IFERROR(__xludf.DUMMYFUNCTION("""COMPUTED_VALUE"""),"3 mos")</f>
        <v>3 mos</v>
      </c>
      <c r="H2532" s="1" t="str">
        <f ca="1">IFERROR(__xludf.DUMMYFUNCTION("""COMPUTED_VALUE"""),"comment")</f>
        <v>comment</v>
      </c>
      <c r="I2532"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32" s="1" t="str">
        <f ca="1">IFERROR(__xludf.DUMMYFUNCTION("""COMPUTED_VALUE"""),"2022-07-04T15:50:43.109Z")</f>
        <v>2022-07-04T15:50:43.109Z</v>
      </c>
    </row>
    <row r="2533" spans="1:10" x14ac:dyDescent="0.2">
      <c r="A2533" s="2" t="str">
        <f ca="1">IFERROR(__xludf.DUMMYFUNCTION("""COMPUTED_VALUE"""),"https://www.facebook.com/esting.cabrerazaAaAaA")</f>
        <v>https://www.facebook.com/esting.cabrerazaAaAaA</v>
      </c>
      <c r="B2533" s="1" t="str">
        <f ca="1">IFERROR(__xludf.DUMMYFUNCTION("""COMPUTED_VALUE"""),"Esting Cabrera")</f>
        <v>Esting Cabrera</v>
      </c>
      <c r="C2533" s="1" t="str">
        <f ca="1">IFERROR(__xludf.DUMMYFUNCTION("""COMPUTED_VALUE"""),"Esting")</f>
        <v>Esting</v>
      </c>
      <c r="D2533" s="1" t="str">
        <f ca="1">IFERROR(__xludf.DUMMYFUNCTION("""COMPUTED_VALUE"""),"Cabrera")</f>
        <v>Cabrera</v>
      </c>
      <c r="E2533" s="1" t="str">
        <f ca="1">IFERROR(__xludf.DUMMYFUNCTION("""COMPUTED_VALUE"""),"Felix Suan oo nga.po grabe iniwan na utang 12.2trillion npka laki ilan porsiento kya napunta sa nga bulsa ng mga ganid na pulitiko.numero uno pandemic a very good source of corruption..")</f>
        <v>Felix Suan oo nga.po grabe iniwan na utang 12.2trillion npka laki ilan porsiento kya napunta sa nga bulsa ng mga ganid na pulitiko.numero uno pandemic a very good source of corruption..</v>
      </c>
      <c r="F2533" s="1">
        <f ca="1">IFERROR(__xludf.DUMMYFUNCTION("""COMPUTED_VALUE"""),2)</f>
        <v>2</v>
      </c>
      <c r="G2533" s="1" t="str">
        <f ca="1">IFERROR(__xludf.DUMMYFUNCTION("""COMPUTED_VALUE"""),"3 mos")</f>
        <v>3 mos</v>
      </c>
      <c r="H2533" s="1" t="str">
        <f ca="1">IFERROR(__xludf.DUMMYFUNCTION("""COMPUTED_VALUE"""),"reply")</f>
        <v>reply</v>
      </c>
      <c r="I2533"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33" s="1" t="str">
        <f ca="1">IFERROR(__xludf.DUMMYFUNCTION("""COMPUTED_VALUE"""),"2022-07-04T15:50:43.109Z")</f>
        <v>2022-07-04T15:50:43.109Z</v>
      </c>
    </row>
    <row r="2534" spans="1:10" x14ac:dyDescent="0.2">
      <c r="A2534" s="2" t="str">
        <f ca="1">IFERROR(__xludf.DUMMYFUNCTION("""COMPUTED_VALUE"""),"https://www.facebook.com/alma.bautista.148")</f>
        <v>https://www.facebook.com/alma.bautista.148</v>
      </c>
      <c r="B2534" s="1" t="str">
        <f ca="1">IFERROR(__xludf.DUMMYFUNCTION("""COMPUTED_VALUE"""),"Maria Alma Bautista")</f>
        <v>Maria Alma Bautista</v>
      </c>
      <c r="C2534" s="1" t="str">
        <f ca="1">IFERROR(__xludf.DUMMYFUNCTION("""COMPUTED_VALUE"""),"Maria")</f>
        <v>Maria</v>
      </c>
      <c r="D2534" s="1" t="str">
        <f ca="1">IFERROR(__xludf.DUMMYFUNCTION("""COMPUTED_VALUE"""),"Alma Bautista")</f>
        <v>Alma Bautista</v>
      </c>
      <c r="E2534" s="1" t="str">
        <f ca="1">IFERROR(__xludf.DUMMYFUNCTION("""COMPUTED_VALUE"""),"Maria Alma Bautista")</f>
        <v>Maria Alma Bautista</v>
      </c>
      <c r="F2534" s="1">
        <f ca="1">IFERROR(__xludf.DUMMYFUNCTION("""COMPUTED_VALUE"""),4)</f>
        <v>4</v>
      </c>
      <c r="G2534" s="1" t="str">
        <f ca="1">IFERROR(__xludf.DUMMYFUNCTION("""COMPUTED_VALUE"""),"3 mos")</f>
        <v>3 mos</v>
      </c>
      <c r="H2534" s="1" t="str">
        <f ca="1">IFERROR(__xludf.DUMMYFUNCTION("""COMPUTED_VALUE"""),"comment")</f>
        <v>comment</v>
      </c>
      <c r="I2534"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34" s="1" t="str">
        <f ca="1">IFERROR(__xludf.DUMMYFUNCTION("""COMPUTED_VALUE"""),"2022-07-04T15:50:43.109Z")</f>
        <v>2022-07-04T15:50:43.109Z</v>
      </c>
    </row>
    <row r="2535" spans="1:10" x14ac:dyDescent="0.2">
      <c r="A2535" s="2" t="str">
        <f ca="1">IFERROR(__xludf.DUMMYFUNCTION("""COMPUTED_VALUE"""),"https://www.facebook.com/jrockersgsm")</f>
        <v>https://www.facebook.com/jrockersgsm</v>
      </c>
      <c r="B2535" s="1" t="str">
        <f ca="1">IFERROR(__xludf.DUMMYFUNCTION("""COMPUTED_VALUE"""),"Jovey Seson Laput")</f>
        <v>Jovey Seson Laput</v>
      </c>
      <c r="C2535" s="1" t="str">
        <f ca="1">IFERROR(__xludf.DUMMYFUNCTION("""COMPUTED_VALUE"""),"Jovey")</f>
        <v>Jovey</v>
      </c>
      <c r="D2535" s="1" t="str">
        <f ca="1">IFERROR(__xludf.DUMMYFUNCTION("""COMPUTED_VALUE"""),"Seson Laput")</f>
        <v>Seson Laput</v>
      </c>
      <c r="E2535" s="1" t="str">
        <f ca="1">IFERROR(__xludf.DUMMYFUNCTION("""COMPUTED_VALUE"""),"Maawa napo kau kay lenlen.😂🤣")</f>
        <v>Maawa napo kau kay lenlen.😂🤣</v>
      </c>
      <c r="F2535" s="1"/>
      <c r="G2535" s="1" t="str">
        <f ca="1">IFERROR(__xludf.DUMMYFUNCTION("""COMPUTED_VALUE"""),"3 mos")</f>
        <v>3 mos</v>
      </c>
      <c r="H2535" s="1" t="str">
        <f ca="1">IFERROR(__xludf.DUMMYFUNCTION("""COMPUTED_VALUE"""),"comment")</f>
        <v>comment</v>
      </c>
      <c r="I2535"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35" s="1" t="str">
        <f ca="1">IFERROR(__xludf.DUMMYFUNCTION("""COMPUTED_VALUE"""),"2022-07-04T15:50:43.109Z")</f>
        <v>2022-07-04T15:50:43.109Z</v>
      </c>
    </row>
    <row r="2536" spans="1:10" x14ac:dyDescent="0.2">
      <c r="A2536" s="2" t="str">
        <f ca="1">IFERROR(__xludf.DUMMYFUNCTION("""COMPUTED_VALUE"""),"https://www.facebook.com/marichu.espinosa.5")</f>
        <v>https://www.facebook.com/marichu.espinosa.5</v>
      </c>
      <c r="B2536" s="1" t="str">
        <f ca="1">IFERROR(__xludf.DUMMYFUNCTION("""COMPUTED_VALUE"""),"Marichu Espinosa")</f>
        <v>Marichu Espinosa</v>
      </c>
      <c r="C2536" s="1" t="str">
        <f ca="1">IFERROR(__xludf.DUMMYFUNCTION("""COMPUTED_VALUE"""),"Marichu")</f>
        <v>Marichu</v>
      </c>
      <c r="D2536" s="1" t="str">
        <f ca="1">IFERROR(__xludf.DUMMYFUNCTION("""COMPUTED_VALUE"""),"Espinosa")</f>
        <v>Espinosa</v>
      </c>
      <c r="E2536" s="1" t="str">
        <f ca="1">IFERROR(__xludf.DUMMYFUNCTION("""COMPUTED_VALUE"""),"tama po kyo.at bihira manalo ang indorso ng admin.")</f>
        <v>tama po kyo.at bihira manalo ang indorso ng admin.</v>
      </c>
      <c r="F2536" s="1">
        <f ca="1">IFERROR(__xludf.DUMMYFUNCTION("""COMPUTED_VALUE"""),9)</f>
        <v>9</v>
      </c>
      <c r="G2536" s="1" t="str">
        <f ca="1">IFERROR(__xludf.DUMMYFUNCTION("""COMPUTED_VALUE"""),"3 mos")</f>
        <v>3 mos</v>
      </c>
      <c r="H2536" s="1" t="str">
        <f ca="1">IFERROR(__xludf.DUMMYFUNCTION("""COMPUTED_VALUE"""),"comment")</f>
        <v>comment</v>
      </c>
      <c r="I2536"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36" s="1" t="str">
        <f ca="1">IFERROR(__xludf.DUMMYFUNCTION("""COMPUTED_VALUE"""),"2022-07-04T15:50:43.109Z")</f>
        <v>2022-07-04T15:50:43.109Z</v>
      </c>
    </row>
    <row r="2537" spans="1:10" x14ac:dyDescent="0.2">
      <c r="A2537" s="2" t="str">
        <f ca="1">IFERROR(__xludf.DUMMYFUNCTION("""COMPUTED_VALUE"""),"https://www.facebook.com/arnel.bernardino.9")</f>
        <v>https://www.facebook.com/arnel.bernardino.9</v>
      </c>
      <c r="B2537" s="1" t="str">
        <f ca="1">IFERROR(__xludf.DUMMYFUNCTION("""COMPUTED_VALUE"""),"Arnel Bernardino")</f>
        <v>Arnel Bernardino</v>
      </c>
      <c r="C2537" s="1" t="str">
        <f ca="1">IFERROR(__xludf.DUMMYFUNCTION("""COMPUTED_VALUE"""),"Arnel")</f>
        <v>Arnel</v>
      </c>
      <c r="D2537" s="1" t="str">
        <f ca="1">IFERROR(__xludf.DUMMYFUNCTION("""COMPUTED_VALUE"""),"Bernardino")</f>
        <v>Bernardino</v>
      </c>
      <c r="E2537" s="1" t="str">
        <f ca="1">IFERROR(__xludf.DUMMYFUNCTION("""COMPUTED_VALUE"""),"Marichu Espinosa wehhhh😂😂")</f>
        <v>Marichu Espinosa wehhhh😂😂</v>
      </c>
      <c r="F2537" s="1"/>
      <c r="G2537" s="1" t="str">
        <f ca="1">IFERROR(__xludf.DUMMYFUNCTION("""COMPUTED_VALUE"""),"3 mos")</f>
        <v>3 mos</v>
      </c>
      <c r="H2537" s="1" t="str">
        <f ca="1">IFERROR(__xludf.DUMMYFUNCTION("""COMPUTED_VALUE"""),"reply")</f>
        <v>reply</v>
      </c>
      <c r="I2537"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37" s="1" t="str">
        <f ca="1">IFERROR(__xludf.DUMMYFUNCTION("""COMPUTED_VALUE"""),"2022-07-04T15:50:43.109Z")</f>
        <v>2022-07-04T15:50:43.109Z</v>
      </c>
    </row>
    <row r="2538" spans="1:10" x14ac:dyDescent="0.2">
      <c r="A2538" s="2" t="str">
        <f ca="1">IFERROR(__xludf.DUMMYFUNCTION("""COMPUTED_VALUE"""),"https://www.facebook.com/rgrino1")</f>
        <v>https://www.facebook.com/rgrino1</v>
      </c>
      <c r="B2538" s="1" t="str">
        <f ca="1">IFERROR(__xludf.DUMMYFUNCTION("""COMPUTED_VALUE"""),"Ruc Griño")</f>
        <v>Ruc Griño</v>
      </c>
      <c r="C2538" s="1" t="str">
        <f ca="1">IFERROR(__xludf.DUMMYFUNCTION("""COMPUTED_VALUE"""),"Ruc")</f>
        <v>Ruc</v>
      </c>
      <c r="D2538" s="1" t="str">
        <f ca="1">IFERROR(__xludf.DUMMYFUNCTION("""COMPUTED_VALUE"""),"Griño")</f>
        <v>Griño</v>
      </c>
      <c r="E2538" s="1" t="str">
        <f ca="1">IFERROR(__xludf.DUMMYFUNCTION("""COMPUTED_VALUE"""),"Marichu Espinosa panu mo nasabi?? Lalo na kakarampot lang kau")</f>
        <v>Marichu Espinosa panu mo nasabi?? Lalo na kakarampot lang kau</v>
      </c>
      <c r="F2538" s="1"/>
      <c r="G2538" s="1" t="str">
        <f ca="1">IFERROR(__xludf.DUMMYFUNCTION("""COMPUTED_VALUE"""),"3 mos")</f>
        <v>3 mos</v>
      </c>
      <c r="H2538" s="1" t="str">
        <f ca="1">IFERROR(__xludf.DUMMYFUNCTION("""COMPUTED_VALUE"""),"reply")</f>
        <v>reply</v>
      </c>
      <c r="I2538"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38" s="1" t="str">
        <f ca="1">IFERROR(__xludf.DUMMYFUNCTION("""COMPUTED_VALUE"""),"2022-07-04T15:50:43.109Z")</f>
        <v>2022-07-04T15:50:43.109Z</v>
      </c>
    </row>
    <row r="2539" spans="1:10" x14ac:dyDescent="0.2">
      <c r="A2539" s="2" t="str">
        <f ca="1">IFERROR(__xludf.DUMMYFUNCTION("""COMPUTED_VALUE"""),"https://www.facebook.com/kawboy02")</f>
        <v>https://www.facebook.com/kawboy02</v>
      </c>
      <c r="B2539" s="1" t="str">
        <f ca="1">IFERROR(__xludf.DUMMYFUNCTION("""COMPUTED_VALUE"""),"Rico James U. Felasol")</f>
        <v>Rico James U. Felasol</v>
      </c>
      <c r="C2539" s="1" t="str">
        <f ca="1">IFERROR(__xludf.DUMMYFUNCTION("""COMPUTED_VALUE"""),"Rico")</f>
        <v>Rico</v>
      </c>
      <c r="D2539" s="1" t="str">
        <f ca="1">IFERROR(__xludf.DUMMYFUNCTION("""COMPUTED_VALUE"""),"James U. Felasol")</f>
        <v>James U. Felasol</v>
      </c>
      <c r="E2539" s="1" t="str">
        <f ca="1">IFERROR(__xludf.DUMMYFUNCTION("""COMPUTED_VALUE"""),"Marichu Espinosa Mind Conditioning Sigurado may Dayaan sa May 9 Buti nahuli Yung Breached Sa Comelec Kaya kompyansa kayu")</f>
        <v>Marichu Espinosa Mind Conditioning Sigurado may Dayaan sa May 9 Buti nahuli Yung Breached Sa Comelec Kaya kompyansa kayu</v>
      </c>
      <c r="F2539" s="1"/>
      <c r="G2539" s="1" t="str">
        <f ca="1">IFERROR(__xludf.DUMMYFUNCTION("""COMPUTED_VALUE"""),"3 mos")</f>
        <v>3 mos</v>
      </c>
      <c r="H2539" s="1" t="str">
        <f ca="1">IFERROR(__xludf.DUMMYFUNCTION("""COMPUTED_VALUE"""),"reply")</f>
        <v>reply</v>
      </c>
      <c r="I2539"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39" s="1" t="str">
        <f ca="1">IFERROR(__xludf.DUMMYFUNCTION("""COMPUTED_VALUE"""),"2022-07-04T15:50:43.109Z")</f>
        <v>2022-07-04T15:50:43.109Z</v>
      </c>
    </row>
    <row r="2540" spans="1:10" x14ac:dyDescent="0.2">
      <c r="A2540" s="2" t="str">
        <f ca="1">IFERROR(__xludf.DUMMYFUNCTION("""COMPUTED_VALUE"""),"https://www.facebook.com/vanessa.cabelto")</f>
        <v>https://www.facebook.com/vanessa.cabelto</v>
      </c>
      <c r="B2540" s="1" t="str">
        <f ca="1">IFERROR(__xludf.DUMMYFUNCTION("""COMPUTED_VALUE"""),"Vanessa Cabelto")</f>
        <v>Vanessa Cabelto</v>
      </c>
      <c r="C2540" s="1" t="str">
        <f ca="1">IFERROR(__xludf.DUMMYFUNCTION("""COMPUTED_VALUE"""),"Vanessa")</f>
        <v>Vanessa</v>
      </c>
      <c r="D2540" s="1" t="str">
        <f ca="1">IFERROR(__xludf.DUMMYFUNCTION("""COMPUTED_VALUE"""),"Cabelto")</f>
        <v>Cabelto</v>
      </c>
      <c r="E2540" s="1" t="str">
        <f ca="1">IFERROR(__xludf.DUMMYFUNCTION("""COMPUTED_VALUE"""),"Vanessa Cabelto")</f>
        <v>Vanessa Cabelto</v>
      </c>
      <c r="F2540" s="1"/>
      <c r="G2540" s="1" t="str">
        <f ca="1">IFERROR(__xludf.DUMMYFUNCTION("""COMPUTED_VALUE"""),"3 mos")</f>
        <v>3 mos</v>
      </c>
      <c r="H2540" s="1" t="str">
        <f ca="1">IFERROR(__xludf.DUMMYFUNCTION("""COMPUTED_VALUE"""),"comment")</f>
        <v>comment</v>
      </c>
      <c r="I2540"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40" s="1" t="str">
        <f ca="1">IFERROR(__xludf.DUMMYFUNCTION("""COMPUTED_VALUE"""),"2022-07-04T15:50:43.109Z")</f>
        <v>2022-07-04T15:50:43.109Z</v>
      </c>
    </row>
    <row r="2541" spans="1:10" x14ac:dyDescent="0.2">
      <c r="A2541" s="2" t="str">
        <f ca="1">IFERROR(__xludf.DUMMYFUNCTION("""COMPUTED_VALUE"""),"https://www.facebook.com/ronel.padrqiue")</f>
        <v>https://www.facebook.com/ronel.padrqiue</v>
      </c>
      <c r="B2541" s="1" t="str">
        <f ca="1">IFERROR(__xludf.DUMMYFUNCTION("""COMPUTED_VALUE"""),"Ronel Padrique")</f>
        <v>Ronel Padrique</v>
      </c>
      <c r="C2541" s="1" t="str">
        <f ca="1">IFERROR(__xludf.DUMMYFUNCTION("""COMPUTED_VALUE"""),"Ronel")</f>
        <v>Ronel</v>
      </c>
      <c r="D2541" s="1" t="str">
        <f ca="1">IFERROR(__xludf.DUMMYFUNCTION("""COMPUTED_VALUE"""),"Padrique")</f>
        <v>Padrique</v>
      </c>
      <c r="E2541" s="1" t="str">
        <f ca="1">IFERROR(__xludf.DUMMYFUNCTION("""COMPUTED_VALUE"""),"Mga botante ang magpapasya hindi ng kung sino man at nakikita natin yon sa kasalukuyan")</f>
        <v>Mga botante ang magpapasya hindi ng kung sino man at nakikita natin yon sa kasalukuyan</v>
      </c>
      <c r="F2541" s="1"/>
      <c r="G2541" s="1" t="str">
        <f ca="1">IFERROR(__xludf.DUMMYFUNCTION("""COMPUTED_VALUE"""),"3 mos")</f>
        <v>3 mos</v>
      </c>
      <c r="H2541" s="1" t="str">
        <f ca="1">IFERROR(__xludf.DUMMYFUNCTION("""COMPUTED_VALUE"""),"comment")</f>
        <v>comment</v>
      </c>
      <c r="I2541"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41" s="1" t="str">
        <f ca="1">IFERROR(__xludf.DUMMYFUNCTION("""COMPUTED_VALUE"""),"2022-07-04T15:50:43.109Z")</f>
        <v>2022-07-04T15:50:43.109Z</v>
      </c>
    </row>
    <row r="2542" spans="1:10" x14ac:dyDescent="0.2">
      <c r="A2542" s="2" t="str">
        <f ca="1">IFERROR(__xludf.DUMMYFUNCTION("""COMPUTED_VALUE"""),"https://www.facebook.com/carmen.tabarnilla")</f>
        <v>https://www.facebook.com/carmen.tabarnilla</v>
      </c>
      <c r="B2542" s="1" t="str">
        <f ca="1">IFERROR(__xludf.DUMMYFUNCTION("""COMPUTED_VALUE"""),"Carmen Eustaquio Tabarnilla")</f>
        <v>Carmen Eustaquio Tabarnilla</v>
      </c>
      <c r="C2542" s="1" t="str">
        <f ca="1">IFERROR(__xludf.DUMMYFUNCTION("""COMPUTED_VALUE"""),"Carmen")</f>
        <v>Carmen</v>
      </c>
      <c r="D2542" s="1" t="str">
        <f ca="1">IFERROR(__xludf.DUMMYFUNCTION("""COMPUTED_VALUE"""),"Eustaquio Tabarnilla")</f>
        <v>Eustaquio Tabarnilla</v>
      </c>
      <c r="E2542" s="1" t="str">
        <f ca="1">IFERROR(__xludf.DUMMYFUNCTION("""COMPUTED_VALUE"""),"❤💚")</f>
        <v>❤💚</v>
      </c>
      <c r="F2542" s="1"/>
      <c r="G2542" s="1" t="str">
        <f ca="1">IFERROR(__xludf.DUMMYFUNCTION("""COMPUTED_VALUE"""),"3 mos")</f>
        <v>3 mos</v>
      </c>
      <c r="H2542" s="1" t="str">
        <f ca="1">IFERROR(__xludf.DUMMYFUNCTION("""COMPUTED_VALUE"""),"comment")</f>
        <v>comment</v>
      </c>
      <c r="I2542"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42" s="1" t="str">
        <f ca="1">IFERROR(__xludf.DUMMYFUNCTION("""COMPUTED_VALUE"""),"2022-07-04T15:50:43.109Z")</f>
        <v>2022-07-04T15:50:43.109Z</v>
      </c>
    </row>
    <row r="2543" spans="1:10" x14ac:dyDescent="0.2">
      <c r="A2543" s="2" t="str">
        <f ca="1">IFERROR(__xludf.DUMMYFUNCTION("""COMPUTED_VALUE"""),"https://www.facebook.com/liv.viloria18")</f>
        <v>https://www.facebook.com/liv.viloria18</v>
      </c>
      <c r="B2543" s="1" t="str">
        <f ca="1">IFERROR(__xludf.DUMMYFUNCTION("""COMPUTED_VALUE"""),"Liv Viloria")</f>
        <v>Liv Viloria</v>
      </c>
      <c r="C2543" s="1" t="str">
        <f ca="1">IFERROR(__xludf.DUMMYFUNCTION("""COMPUTED_VALUE"""),"Liv")</f>
        <v>Liv</v>
      </c>
      <c r="D2543" s="1" t="str">
        <f ca="1">IFERROR(__xludf.DUMMYFUNCTION("""COMPUTED_VALUE"""),"Viloria")</f>
        <v>Viloria</v>
      </c>
      <c r="E2543" s="1" t="str">
        <f ca="1">IFERROR(__xludf.DUMMYFUNCTION("""COMPUTED_VALUE"""),"❤️💚")</f>
        <v>❤️💚</v>
      </c>
      <c r="F2543" s="1"/>
      <c r="G2543" s="1" t="str">
        <f ca="1">IFERROR(__xludf.DUMMYFUNCTION("""COMPUTED_VALUE"""),"3 mos")</f>
        <v>3 mos</v>
      </c>
      <c r="H2543" s="1" t="str">
        <f ca="1">IFERROR(__xludf.DUMMYFUNCTION("""COMPUTED_VALUE"""),"comment")</f>
        <v>comment</v>
      </c>
      <c r="I2543"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43" s="1" t="str">
        <f ca="1">IFERROR(__xludf.DUMMYFUNCTION("""COMPUTED_VALUE"""),"2022-07-04T15:50:43.109Z")</f>
        <v>2022-07-04T15:50:43.109Z</v>
      </c>
    </row>
    <row r="2544" spans="1:10" x14ac:dyDescent="0.2">
      <c r="A2544" s="2" t="str">
        <f ca="1">IFERROR(__xludf.DUMMYFUNCTION("""COMPUTED_VALUE"""),"https://www.facebook.com/jkeallano")</f>
        <v>https://www.facebook.com/jkeallano</v>
      </c>
      <c r="B2544" s="1" t="str">
        <f ca="1">IFERROR(__xludf.DUMMYFUNCTION("""COMPUTED_VALUE"""),"Jake Catanyag Semillano")</f>
        <v>Jake Catanyag Semillano</v>
      </c>
      <c r="C2544" s="1" t="str">
        <f ca="1">IFERROR(__xludf.DUMMYFUNCTION("""COMPUTED_VALUE"""),"Jake")</f>
        <v>Jake</v>
      </c>
      <c r="D2544" s="1" t="str">
        <f ca="1">IFERROR(__xludf.DUMMYFUNCTION("""COMPUTED_VALUE"""),"Catanyag Semillano")</f>
        <v>Catanyag Semillano</v>
      </c>
      <c r="E2544" s="1" t="str">
        <f ca="1">IFERROR(__xludf.DUMMYFUNCTION("""COMPUTED_VALUE"""),"🤔🤔😁")</f>
        <v>🤔🤔😁</v>
      </c>
      <c r="F2544" s="1"/>
      <c r="G2544" s="1" t="str">
        <f ca="1">IFERROR(__xludf.DUMMYFUNCTION("""COMPUTED_VALUE"""),"3 mos")</f>
        <v>3 mos</v>
      </c>
      <c r="H2544" s="1" t="str">
        <f ca="1">IFERROR(__xludf.DUMMYFUNCTION("""COMPUTED_VALUE"""),"comment")</f>
        <v>comment</v>
      </c>
      <c r="I2544"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44" s="1" t="str">
        <f ca="1">IFERROR(__xludf.DUMMYFUNCTION("""COMPUTED_VALUE"""),"2022-07-04T15:50:43.109Z")</f>
        <v>2022-07-04T15:50:43.109Z</v>
      </c>
    </row>
    <row r="2545" spans="1:10" x14ac:dyDescent="0.2">
      <c r="A2545" s="2" t="str">
        <f ca="1">IFERROR(__xludf.DUMMYFUNCTION("""COMPUTED_VALUE"""),"https://www.facebook.com/gregorio.deo")</f>
        <v>https://www.facebook.com/gregorio.deo</v>
      </c>
      <c r="B2545" s="1" t="str">
        <f ca="1">IFERROR(__xludf.DUMMYFUNCTION("""COMPUTED_VALUE"""),"Gregorio Deo")</f>
        <v>Gregorio Deo</v>
      </c>
      <c r="C2545" s="1" t="str">
        <f ca="1">IFERROR(__xludf.DUMMYFUNCTION("""COMPUTED_VALUE"""),"Gregorio")</f>
        <v>Gregorio</v>
      </c>
      <c r="D2545" s="1" t="str">
        <f ca="1">IFERROR(__xludf.DUMMYFUNCTION("""COMPUTED_VALUE"""),"Deo")</f>
        <v>Deo</v>
      </c>
      <c r="E2545" s="1" t="str">
        <f ca="1">IFERROR(__xludf.DUMMYFUNCTION("""COMPUTED_VALUE"""),"❤️💚✌️👊")</f>
        <v>❤️💚✌️👊</v>
      </c>
      <c r="F2545" s="1"/>
      <c r="G2545" s="1" t="str">
        <f ca="1">IFERROR(__xludf.DUMMYFUNCTION("""COMPUTED_VALUE"""),"3 mos")</f>
        <v>3 mos</v>
      </c>
      <c r="H2545" s="1" t="str">
        <f ca="1">IFERROR(__xludf.DUMMYFUNCTION("""COMPUTED_VALUE"""),"comment")</f>
        <v>comment</v>
      </c>
      <c r="I2545"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45" s="1" t="str">
        <f ca="1">IFERROR(__xludf.DUMMYFUNCTION("""COMPUTED_VALUE"""),"2022-07-04T15:50:43.109Z")</f>
        <v>2022-07-04T15:50:43.109Z</v>
      </c>
    </row>
    <row r="2546" spans="1:10" x14ac:dyDescent="0.2">
      <c r="A2546" s="2" t="str">
        <f ca="1">IFERROR(__xludf.DUMMYFUNCTION("""COMPUTED_VALUE"""),"https://www.facebook.com/kristine.r.nueva")</f>
        <v>https://www.facebook.com/kristine.r.nueva</v>
      </c>
      <c r="B2546" s="1" t="str">
        <f ca="1">IFERROR(__xludf.DUMMYFUNCTION("""COMPUTED_VALUE"""),"Kristine Reyes Nueva")</f>
        <v>Kristine Reyes Nueva</v>
      </c>
      <c r="C2546" s="1" t="str">
        <f ca="1">IFERROR(__xludf.DUMMYFUNCTION("""COMPUTED_VALUE"""),"Kristine")</f>
        <v>Kristine</v>
      </c>
      <c r="D2546" s="1" t="str">
        <f ca="1">IFERROR(__xludf.DUMMYFUNCTION("""COMPUTED_VALUE"""),"Reyes Nueva")</f>
        <v>Reyes Nueva</v>
      </c>
      <c r="E2546" s="1" t="str">
        <f ca="1">IFERROR(__xludf.DUMMYFUNCTION("""COMPUTED_VALUE"""),"❤️💚🇵🇭")</f>
        <v>❤️💚🇵🇭</v>
      </c>
      <c r="F2546" s="1"/>
      <c r="G2546" s="1" t="str">
        <f ca="1">IFERROR(__xludf.DUMMYFUNCTION("""COMPUTED_VALUE"""),"3 mos")</f>
        <v>3 mos</v>
      </c>
      <c r="H2546" s="1" t="str">
        <f ca="1">IFERROR(__xludf.DUMMYFUNCTION("""COMPUTED_VALUE"""),"comment")</f>
        <v>comment</v>
      </c>
      <c r="I2546"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46" s="1" t="str">
        <f ca="1">IFERROR(__xludf.DUMMYFUNCTION("""COMPUTED_VALUE"""),"2022-07-04T15:50:43.109Z")</f>
        <v>2022-07-04T15:50:43.109Z</v>
      </c>
    </row>
    <row r="2547" spans="1:10" x14ac:dyDescent="0.2">
      <c r="A2547" s="2" t="str">
        <f ca="1">IFERROR(__xludf.DUMMYFUNCTION("""COMPUTED_VALUE"""),"https://www.facebook.com/norieann.ramos")</f>
        <v>https://www.facebook.com/norieann.ramos</v>
      </c>
      <c r="B2547" s="1" t="str">
        <f ca="1">IFERROR(__xludf.DUMMYFUNCTION("""COMPUTED_VALUE"""),"Norie Ann Serrano")</f>
        <v>Norie Ann Serrano</v>
      </c>
      <c r="C2547" s="1" t="str">
        <f ca="1">IFERROR(__xludf.DUMMYFUNCTION("""COMPUTED_VALUE"""),"Norie")</f>
        <v>Norie</v>
      </c>
      <c r="D2547" s="1" t="str">
        <f ca="1">IFERROR(__xludf.DUMMYFUNCTION("""COMPUTED_VALUE"""),"Ann Serrano")</f>
        <v>Ann Serrano</v>
      </c>
      <c r="E2547" s="1" t="str">
        <f ca="1">IFERROR(__xludf.DUMMYFUNCTION("""COMPUTED_VALUE"""),"https://clickpartylist.ph/ CLICK NA CLICK BUHAY GAWING HIGHTECH No.40 sa balota")</f>
        <v>https://clickpartylist.ph/ CLICK NA CLICK BUHAY GAWING HIGHTECH No.40 sa balota</v>
      </c>
      <c r="F2547" s="1"/>
      <c r="G2547" s="1" t="str">
        <f ca="1">IFERROR(__xludf.DUMMYFUNCTION("""COMPUTED_VALUE"""),"3 mos")</f>
        <v>3 mos</v>
      </c>
      <c r="H2547" s="1" t="str">
        <f ca="1">IFERROR(__xludf.DUMMYFUNCTION("""COMPUTED_VALUE"""),"comment")</f>
        <v>comment</v>
      </c>
      <c r="I2547"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47" s="1" t="str">
        <f ca="1">IFERROR(__xludf.DUMMYFUNCTION("""COMPUTED_VALUE"""),"2022-07-04T15:50:43.110Z")</f>
        <v>2022-07-04T15:50:43.110Z</v>
      </c>
    </row>
    <row r="2548" spans="1:10" x14ac:dyDescent="0.2">
      <c r="A2548" s="2" t="str">
        <f ca="1">IFERROR(__xludf.DUMMYFUNCTION("""COMPUTED_VALUE"""),"https://www.facebook.com/jheys.lupet")</f>
        <v>https://www.facebook.com/jheys.lupet</v>
      </c>
      <c r="B2548" s="1" t="str">
        <f ca="1">IFERROR(__xludf.DUMMYFUNCTION("""COMPUTED_VALUE"""),"Batan Jason")</f>
        <v>Batan Jason</v>
      </c>
      <c r="C2548" s="1" t="str">
        <f ca="1">IFERROR(__xludf.DUMMYFUNCTION("""COMPUTED_VALUE"""),"Batan")</f>
        <v>Batan</v>
      </c>
      <c r="D2548" s="1" t="str">
        <f ca="1">IFERROR(__xludf.DUMMYFUNCTION("""COMPUTED_VALUE"""),"Jason")</f>
        <v>Jason</v>
      </c>
      <c r="E2548" s="1" t="str">
        <f ca="1">IFERROR(__xludf.DUMMYFUNCTION("""COMPUTED_VALUE"""),"Norie Ann Serrano CLICK NA CLICK. BUHAY GAWIN HIGHTECH! https://www.facebook.com/CLICKpartylist")</f>
        <v>Norie Ann Serrano CLICK NA CLICK. BUHAY GAWIN HIGHTECH! https://www.facebook.com/CLICKpartylist</v>
      </c>
      <c r="F2548" s="1"/>
      <c r="G2548" s="1" t="str">
        <f ca="1">IFERROR(__xludf.DUMMYFUNCTION("""COMPUTED_VALUE"""),"3 mos")</f>
        <v>3 mos</v>
      </c>
      <c r="H2548" s="1" t="str">
        <f ca="1">IFERROR(__xludf.DUMMYFUNCTION("""COMPUTED_VALUE"""),"reply")</f>
        <v>reply</v>
      </c>
      <c r="I2548"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48" s="1" t="str">
        <f ca="1">IFERROR(__xludf.DUMMYFUNCTION("""COMPUTED_VALUE"""),"2022-07-04T15:50:43.110Z")</f>
        <v>2022-07-04T15:50:43.110Z</v>
      </c>
    </row>
    <row r="2549" spans="1:10" x14ac:dyDescent="0.2">
      <c r="A2549" s="2" t="str">
        <f ca="1">IFERROR(__xludf.DUMMYFUNCTION("""COMPUTED_VALUE"""),"https://www.facebook.com/kram.nia.5")</f>
        <v>https://www.facebook.com/kram.nia.5</v>
      </c>
      <c r="B2549" s="1" t="str">
        <f ca="1">IFERROR(__xludf.DUMMYFUNCTION("""COMPUTED_VALUE"""),"Jeho Akin")</f>
        <v>Jeho Akin</v>
      </c>
      <c r="C2549" s="1" t="str">
        <f ca="1">IFERROR(__xludf.DUMMYFUNCTION("""COMPUTED_VALUE"""),"Jeho")</f>
        <v>Jeho</v>
      </c>
      <c r="D2549" s="1" t="str">
        <f ca="1">IFERROR(__xludf.DUMMYFUNCTION("""COMPUTED_VALUE"""),"Akin")</f>
        <v>Akin</v>
      </c>
      <c r="E2549" s="1" t="str">
        <f ca="1">IFERROR(__xludf.DUMMYFUNCTION("""COMPUTED_VALUE"""),"Ayaw nyu pa tumigil Wala na finish na asan na yang presedential nyu")</f>
        <v>Ayaw nyu pa tumigil Wala na finish na asan na yang presedential nyu</v>
      </c>
      <c r="F2549" s="1"/>
      <c r="G2549" s="1" t="str">
        <f ca="1">IFERROR(__xludf.DUMMYFUNCTION("""COMPUTED_VALUE"""),"3 mos")</f>
        <v>3 mos</v>
      </c>
      <c r="H2549" s="1" t="str">
        <f ca="1">IFERROR(__xludf.DUMMYFUNCTION("""COMPUTED_VALUE"""),"comment")</f>
        <v>comment</v>
      </c>
      <c r="I2549" s="2" t="str">
        <f ca="1">IFERROR(__xludf.DUMMYFUNCTION("""COMPUTED_VALUE"""),"https://www.facebook.com/rapplerdotcom/posts/pfbid0231hbcbuKeQLDkPH8oZAdZbuU8MPPgRANx152V3xWpbjZ6EvfpohwQMvxHYAgrGPul")</f>
        <v>https://www.facebook.com/rapplerdotcom/posts/pfbid0231hbcbuKeQLDkPH8oZAdZbuU8MPPgRANx152V3xWpbjZ6EvfpohwQMvxHYAgrGPul</v>
      </c>
      <c r="J2549" s="1" t="str">
        <f ca="1">IFERROR(__xludf.DUMMYFUNCTION("""COMPUTED_VALUE"""),"2022-07-04T15:50:43.110Z")</f>
        <v>2022-07-04T15:50:43.110Z</v>
      </c>
    </row>
    <row r="2550" spans="1:10" x14ac:dyDescent="0.2">
      <c r="A2550" s="2" t="str">
        <f ca="1">IFERROR(__xludf.DUMMYFUNCTION("""COMPUTED_VALUE"""),"https://www.facebook.com/ivee.villarinarnaiz")</f>
        <v>https://www.facebook.com/ivee.villarinarnaiz</v>
      </c>
      <c r="B2550" s="1" t="str">
        <f ca="1">IFERROR(__xludf.DUMMYFUNCTION("""COMPUTED_VALUE"""),"Ivee Villarin")</f>
        <v>Ivee Villarin</v>
      </c>
      <c r="C2550" s="1" t="str">
        <f ca="1">IFERROR(__xludf.DUMMYFUNCTION("""COMPUTED_VALUE"""),"Ivee")</f>
        <v>Ivee</v>
      </c>
      <c r="D2550" s="1" t="str">
        <f ca="1">IFERROR(__xludf.DUMMYFUNCTION("""COMPUTED_VALUE"""),"Villarin")</f>
        <v>Villarin</v>
      </c>
      <c r="E2550" s="1" t="str">
        <f ca="1">IFERROR(__xludf.DUMMYFUNCTION("""COMPUTED_VALUE"""),"I hope people will realize nga sila ra gyud gibinuangan sa ilang grupo. Manipulating such video just to make their supporters think that it’s theirs is an absolute mockery to the intelligence of their supporters.  Let’s vote for the truth. 🇵🇭 💖")</f>
        <v>I hope people will realize nga sila ra gyud gibinuangan sa ilang grupo. Manipulating such video just to make their supporters think that it’s theirs is an absolute mockery to the intelligence of their supporters.  Let’s vote for the truth. 🇵🇭 💖</v>
      </c>
      <c r="F2550" s="1">
        <f ca="1">IFERROR(__xludf.DUMMYFUNCTION("""COMPUTED_VALUE"""),2)</f>
        <v>2</v>
      </c>
      <c r="G2550" s="1" t="str">
        <f ca="1">IFERROR(__xludf.DUMMYFUNCTION("""COMPUTED_VALUE"""),"3 mos")</f>
        <v>3 mos</v>
      </c>
      <c r="H2550" s="1" t="str">
        <f ca="1">IFERROR(__xludf.DUMMYFUNCTION("""COMPUTED_VALUE"""),"comment")</f>
        <v>comment</v>
      </c>
      <c r="I2550" s="2" t="str">
        <f ca="1">IFERROR(__xludf.DUMMYFUNCTION("""COMPUTED_VALUE"""),"https://www.facebook.com/rapplerdotcom/photos/a.317154781638645/5594264657260938/")</f>
        <v>https://www.facebook.com/rapplerdotcom/photos/a.317154781638645/5594264657260938/</v>
      </c>
      <c r="J2550" s="1" t="str">
        <f ca="1">IFERROR(__xludf.DUMMYFUNCTION("""COMPUTED_VALUE"""),"2022-07-04T15:51:46.028Z")</f>
        <v>2022-07-04T15:51:46.028Z</v>
      </c>
    </row>
    <row r="2551" spans="1:10" x14ac:dyDescent="0.2">
      <c r="A2551" s="2" t="str">
        <f ca="1">IFERROR(__xludf.DUMMYFUNCTION("""COMPUTED_VALUE"""),"https://www.facebook.com/ness.lansang.1")</f>
        <v>https://www.facebook.com/ness.lansang.1</v>
      </c>
      <c r="B2551" s="1" t="str">
        <f ca="1">IFERROR(__xludf.DUMMYFUNCTION("""COMPUTED_VALUE"""),"Ness Lansang")</f>
        <v>Ness Lansang</v>
      </c>
      <c r="C2551" s="1" t="str">
        <f ca="1">IFERROR(__xludf.DUMMYFUNCTION("""COMPUTED_VALUE"""),"Ness")</f>
        <v>Ness</v>
      </c>
      <c r="D2551" s="1" t="str">
        <f ca="1">IFERROR(__xludf.DUMMYFUNCTION("""COMPUTED_VALUE"""),"Lansang")</f>
        <v>Lansang</v>
      </c>
      <c r="E2551" s="1" t="str">
        <f ca="1">IFERROR(__xludf.DUMMYFUNCTION("""COMPUTED_VALUE"""),"Nawala sa tamang daan itong c Andrew E. Sayang! #lenikiko2022gobernongtapat #kulayrosasangkulayngbukas")</f>
        <v>Nawala sa tamang daan itong c Andrew E. Sayang! #lenikiko2022gobernongtapat #kulayrosasangkulayngbukas</v>
      </c>
      <c r="F2551" s="1">
        <f ca="1">IFERROR(__xludf.DUMMYFUNCTION("""COMPUTED_VALUE"""),29)</f>
        <v>29</v>
      </c>
      <c r="G2551" s="1" t="str">
        <f ca="1">IFERROR(__xludf.DUMMYFUNCTION("""COMPUTED_VALUE"""),"3 mos")</f>
        <v>3 mos</v>
      </c>
      <c r="H2551" s="1" t="str">
        <f ca="1">IFERROR(__xludf.DUMMYFUNCTION("""COMPUTED_VALUE"""),"comment")</f>
        <v>comment</v>
      </c>
      <c r="I2551" s="2" t="str">
        <f ca="1">IFERROR(__xludf.DUMMYFUNCTION("""COMPUTED_VALUE"""),"https://www.facebook.com/rapplerdotcom/photos/a.317154781638645/5594264657260938/")</f>
        <v>https://www.facebook.com/rapplerdotcom/photos/a.317154781638645/5594264657260938/</v>
      </c>
      <c r="J2551" s="1" t="str">
        <f ca="1">IFERROR(__xludf.DUMMYFUNCTION("""COMPUTED_VALUE"""),"2022-07-04T15:51:46.028Z")</f>
        <v>2022-07-04T15:51:46.028Z</v>
      </c>
    </row>
    <row r="2552" spans="1:10" x14ac:dyDescent="0.2">
      <c r="A2552" s="2" t="str">
        <f ca="1">IFERROR(__xludf.DUMMYFUNCTION("""COMPUTED_VALUE"""),"https://www.facebook.com/zion.poliquit.54")</f>
        <v>https://www.facebook.com/zion.poliquit.54</v>
      </c>
      <c r="B2552" s="1" t="str">
        <f ca="1">IFERROR(__xludf.DUMMYFUNCTION("""COMPUTED_VALUE"""),"Zion Zion")</f>
        <v>Zion Zion</v>
      </c>
      <c r="C2552" s="1" t="str">
        <f ca="1">IFERROR(__xludf.DUMMYFUNCTION("""COMPUTED_VALUE"""),"Zion")</f>
        <v>Zion</v>
      </c>
      <c r="D2552" s="1" t="str">
        <f ca="1">IFERROR(__xludf.DUMMYFUNCTION("""COMPUTED_VALUE"""),"Zion")</f>
        <v>Zion</v>
      </c>
      <c r="E2552" s="1" t="str">
        <f ca="1">IFERROR(__xludf.DUMMYFUNCTION("""COMPUTED_VALUE"""),"Ness Lansang AT IKAW NASA TAMANG DAAN? O MAY TAMANG LUTANG NA DAAN? KULAY ROSAS ANG PEK2X NI LENIDORO")</f>
        <v>Ness Lansang AT IKAW NASA TAMANG DAAN? O MAY TAMANG LUTANG NA DAAN? KULAY ROSAS ANG PEK2X NI LENIDORO</v>
      </c>
      <c r="F2552" s="1"/>
      <c r="G2552" s="1" t="str">
        <f ca="1">IFERROR(__xludf.DUMMYFUNCTION("""COMPUTED_VALUE"""),"3 mos")</f>
        <v>3 mos</v>
      </c>
      <c r="H2552" s="1" t="str">
        <f ca="1">IFERROR(__xludf.DUMMYFUNCTION("""COMPUTED_VALUE"""),"reply")</f>
        <v>reply</v>
      </c>
      <c r="I2552" s="2" t="str">
        <f ca="1">IFERROR(__xludf.DUMMYFUNCTION("""COMPUTED_VALUE"""),"https://www.facebook.com/rapplerdotcom/photos/a.317154781638645/5594264657260938/")</f>
        <v>https://www.facebook.com/rapplerdotcom/photos/a.317154781638645/5594264657260938/</v>
      </c>
      <c r="J2552" s="1" t="str">
        <f ca="1">IFERROR(__xludf.DUMMYFUNCTION("""COMPUTED_VALUE"""),"2022-07-04T15:51:46.028Z")</f>
        <v>2022-07-04T15:51:46.028Z</v>
      </c>
    </row>
    <row r="2553" spans="1:10" x14ac:dyDescent="0.2">
      <c r="A2553" s="2" t="str">
        <f ca="1">IFERROR(__xludf.DUMMYFUNCTION("""COMPUTED_VALUE"""),"https://www.facebook.com/gahimaeeeeee")</f>
        <v>https://www.facebook.com/gahimaeeeeee</v>
      </c>
      <c r="B2553" s="1" t="str">
        <f ca="1">IFERROR(__xludf.DUMMYFUNCTION("""COMPUTED_VALUE"""),"Kristine Gahi")</f>
        <v>Kristine Gahi</v>
      </c>
      <c r="C2553" s="1" t="str">
        <f ca="1">IFERROR(__xludf.DUMMYFUNCTION("""COMPUTED_VALUE"""),"Kristine")</f>
        <v>Kristine</v>
      </c>
      <c r="D2553" s="1" t="str">
        <f ca="1">IFERROR(__xludf.DUMMYFUNCTION("""COMPUTED_VALUE"""),"Gahi")</f>
        <v>Gahi</v>
      </c>
      <c r="E2553" s="1" t="str">
        <f ca="1">IFERROR(__xludf.DUMMYFUNCTION("""COMPUTED_VALUE"""),"Zion Zion Walang karapatang magsalita ng lutang kundi kayang pantayan mga nagawa ni vp ah. #RespectMyOpinion")</f>
        <v>Zion Zion Walang karapatang magsalita ng lutang kundi kayang pantayan mga nagawa ni vp ah. #RespectMyOpinion</v>
      </c>
      <c r="F2553" s="1">
        <f ca="1">IFERROR(__xludf.DUMMYFUNCTION("""COMPUTED_VALUE"""),1)</f>
        <v>1</v>
      </c>
      <c r="G2553" s="1" t="str">
        <f ca="1">IFERROR(__xludf.DUMMYFUNCTION("""COMPUTED_VALUE"""),"3 mos")</f>
        <v>3 mos</v>
      </c>
      <c r="H2553" s="1" t="str">
        <f ca="1">IFERROR(__xludf.DUMMYFUNCTION("""COMPUTED_VALUE"""),"reply")</f>
        <v>reply</v>
      </c>
      <c r="I2553" s="2" t="str">
        <f ca="1">IFERROR(__xludf.DUMMYFUNCTION("""COMPUTED_VALUE"""),"https://www.facebook.com/rapplerdotcom/photos/a.317154781638645/5594264657260938/")</f>
        <v>https://www.facebook.com/rapplerdotcom/photos/a.317154781638645/5594264657260938/</v>
      </c>
      <c r="J2553" s="1" t="str">
        <f ca="1">IFERROR(__xludf.DUMMYFUNCTION("""COMPUTED_VALUE"""),"2022-07-04T15:51:46.028Z")</f>
        <v>2022-07-04T15:51:46.028Z</v>
      </c>
    </row>
    <row r="2554" spans="1:10" x14ac:dyDescent="0.2">
      <c r="A2554" s="2" t="str">
        <f ca="1">IFERROR(__xludf.DUMMYFUNCTION("""COMPUTED_VALUE"""),"https://www.facebook.com/shiela.hechanovasotero")</f>
        <v>https://www.facebook.com/shiela.hechanovasotero</v>
      </c>
      <c r="B2554" s="1" t="str">
        <f ca="1">IFERROR(__xludf.DUMMYFUNCTION("""COMPUTED_VALUE"""),"Shiela Rote Hechanova Sotero")</f>
        <v>Shiela Rote Hechanova Sotero</v>
      </c>
      <c r="C2554" s="1" t="str">
        <f ca="1">IFERROR(__xludf.DUMMYFUNCTION("""COMPUTED_VALUE"""),"Shiela")</f>
        <v>Shiela</v>
      </c>
      <c r="D2554" s="1" t="str">
        <f ca="1">IFERROR(__xludf.DUMMYFUNCTION("""COMPUTED_VALUE"""),"Rote Hechanova Sotero")</f>
        <v>Rote Hechanova Sotero</v>
      </c>
      <c r="E2554" s="1" t="str">
        <f ca="1">IFERROR(__xludf.DUMMYFUNCTION("""COMPUTED_VALUE"""),"Joy Gahi  correct ka po...bat d nila tignan ang idolo nila kng ano ba ang nagawa..")</f>
        <v>Joy Gahi  correct ka po...bat d nila tignan ang idolo nila kng ano ba ang nagawa..</v>
      </c>
      <c r="F2554" s="1">
        <f ca="1">IFERROR(__xludf.DUMMYFUNCTION("""COMPUTED_VALUE"""),1)</f>
        <v>1</v>
      </c>
      <c r="G2554" s="1" t="str">
        <f ca="1">IFERROR(__xludf.DUMMYFUNCTION("""COMPUTED_VALUE"""),"3 mos")</f>
        <v>3 mos</v>
      </c>
      <c r="H2554" s="1" t="str">
        <f ca="1">IFERROR(__xludf.DUMMYFUNCTION("""COMPUTED_VALUE"""),"reply")</f>
        <v>reply</v>
      </c>
      <c r="I2554" s="2" t="str">
        <f ca="1">IFERROR(__xludf.DUMMYFUNCTION("""COMPUTED_VALUE"""),"https://www.facebook.com/rapplerdotcom/photos/a.317154781638645/5594264657260938/")</f>
        <v>https://www.facebook.com/rapplerdotcom/photos/a.317154781638645/5594264657260938/</v>
      </c>
      <c r="J2554" s="1" t="str">
        <f ca="1">IFERROR(__xludf.DUMMYFUNCTION("""COMPUTED_VALUE"""),"2022-07-04T15:51:46.028Z")</f>
        <v>2022-07-04T15:51:46.028Z</v>
      </c>
    </row>
    <row r="2555" spans="1:10" x14ac:dyDescent="0.2">
      <c r="A2555" s="2" t="str">
        <f ca="1">IFERROR(__xludf.DUMMYFUNCTION("""COMPUTED_VALUE"""),"https://www.facebook.com/zion.poliquit.54")</f>
        <v>https://www.facebook.com/zion.poliquit.54</v>
      </c>
      <c r="B2555" s="1" t="str">
        <f ca="1">IFERROR(__xludf.DUMMYFUNCTION("""COMPUTED_VALUE"""),"Zion Zion")</f>
        <v>Zion Zion</v>
      </c>
      <c r="C2555" s="1" t="str">
        <f ca="1">IFERROR(__xludf.DUMMYFUNCTION("""COMPUTED_VALUE"""),"Zion")</f>
        <v>Zion</v>
      </c>
      <c r="D2555" s="1" t="str">
        <f ca="1">IFERROR(__xludf.DUMMYFUNCTION("""COMPUTED_VALUE"""),"Zion")</f>
        <v>Zion</v>
      </c>
      <c r="E2555" s="1" t="str">
        <f ca="1">IFERROR(__xludf.DUMMYFUNCTION("""COMPUTED_VALUE"""),"Joy Gahi NAGAWA NYA? BA'T ANO BANG NAGAWA NYA HA? MAG PA PICTURE SA MEDIA? LUTANG INA NYA")</f>
        <v>Joy Gahi NAGAWA NYA? BA'T ANO BANG NAGAWA NYA HA? MAG PA PICTURE SA MEDIA? LUTANG INA NYA</v>
      </c>
      <c r="F2555" s="1">
        <f ca="1">IFERROR(__xludf.DUMMYFUNCTION("""COMPUTED_VALUE"""),3)</f>
        <v>3</v>
      </c>
      <c r="G2555" s="1" t="str">
        <f ca="1">IFERROR(__xludf.DUMMYFUNCTION("""COMPUTED_VALUE"""),"3 mos")</f>
        <v>3 mos</v>
      </c>
      <c r="H2555" s="1" t="str">
        <f ca="1">IFERROR(__xludf.DUMMYFUNCTION("""COMPUTED_VALUE"""),"reply")</f>
        <v>reply</v>
      </c>
      <c r="I2555" s="2" t="str">
        <f ca="1">IFERROR(__xludf.DUMMYFUNCTION("""COMPUTED_VALUE"""),"https://www.facebook.com/rapplerdotcom/photos/a.317154781638645/5594264657260938/")</f>
        <v>https://www.facebook.com/rapplerdotcom/photos/a.317154781638645/5594264657260938/</v>
      </c>
      <c r="J2555" s="1" t="str">
        <f ca="1">IFERROR(__xludf.DUMMYFUNCTION("""COMPUTED_VALUE"""),"2022-07-04T15:51:46.028Z")</f>
        <v>2022-07-04T15:51:46.028Z</v>
      </c>
    </row>
    <row r="2556" spans="1:10" x14ac:dyDescent="0.2">
      <c r="A2556" s="2" t="str">
        <f ca="1">IFERROR(__xludf.DUMMYFUNCTION("""COMPUTED_VALUE"""),"https://www.facebook.com/zion.poliquit.54")</f>
        <v>https://www.facebook.com/zion.poliquit.54</v>
      </c>
      <c r="B2556" s="1" t="str">
        <f ca="1">IFERROR(__xludf.DUMMYFUNCTION("""COMPUTED_VALUE"""),"Zion Zion")</f>
        <v>Zion Zion</v>
      </c>
      <c r="C2556" s="1" t="str">
        <f ca="1">IFERROR(__xludf.DUMMYFUNCTION("""COMPUTED_VALUE"""),"Zion")</f>
        <v>Zion</v>
      </c>
      <c r="D2556" s="1" t="str">
        <f ca="1">IFERROR(__xludf.DUMMYFUNCTION("""COMPUTED_VALUE"""),"Zion")</f>
        <v>Zion</v>
      </c>
      <c r="E2556" s="1" t="str">
        <f ca="1">IFERROR(__xludf.DUMMYFUNCTION("""COMPUTED_VALUE"""),"Shiela Rote Hechanova Sotero NAMATAY LANG ANG ASAWA GUSTO NA AGAD MAG PRESIDENTE?  ANG UTAK NI LUTANG INA PANG  BRGY LANG, REAL TALK")</f>
        <v>Shiela Rote Hechanova Sotero NAMATAY LANG ANG ASAWA GUSTO NA AGAD MAG PRESIDENTE?  ANG UTAK NI LUTANG INA PANG  BRGY LANG, REAL TALK</v>
      </c>
      <c r="F2556" s="1">
        <f ca="1">IFERROR(__xludf.DUMMYFUNCTION("""COMPUTED_VALUE"""),3)</f>
        <v>3</v>
      </c>
      <c r="G2556" s="1" t="str">
        <f ca="1">IFERROR(__xludf.DUMMYFUNCTION("""COMPUTED_VALUE"""),"3 mos")</f>
        <v>3 mos</v>
      </c>
      <c r="H2556" s="1" t="str">
        <f ca="1">IFERROR(__xludf.DUMMYFUNCTION("""COMPUTED_VALUE"""),"reply")</f>
        <v>reply</v>
      </c>
      <c r="I2556" s="2" t="str">
        <f ca="1">IFERROR(__xludf.DUMMYFUNCTION("""COMPUTED_VALUE"""),"https://www.facebook.com/rapplerdotcom/photos/a.317154781638645/5594264657260938/")</f>
        <v>https://www.facebook.com/rapplerdotcom/photos/a.317154781638645/5594264657260938/</v>
      </c>
      <c r="J2556" s="1" t="str">
        <f ca="1">IFERROR(__xludf.DUMMYFUNCTION("""COMPUTED_VALUE"""),"2022-07-04T15:51:46.028Z")</f>
        <v>2022-07-04T15:51:46.028Z</v>
      </c>
    </row>
    <row r="2557" spans="1:10" x14ac:dyDescent="0.2">
      <c r="A2557" s="2" t="str">
        <f ca="1">IFERROR(__xludf.DUMMYFUNCTION("""COMPUTED_VALUE"""),"https://www.facebook.com/zion.poliquit.54")</f>
        <v>https://www.facebook.com/zion.poliquit.54</v>
      </c>
      <c r="B2557" s="1" t="str">
        <f ca="1">IFERROR(__xludf.DUMMYFUNCTION("""COMPUTED_VALUE"""),"Zion Zion")</f>
        <v>Zion Zion</v>
      </c>
      <c r="C2557" s="1" t="str">
        <f ca="1">IFERROR(__xludf.DUMMYFUNCTION("""COMPUTED_VALUE"""),"Zion")</f>
        <v>Zion</v>
      </c>
      <c r="D2557" s="1" t="str">
        <f ca="1">IFERROR(__xludf.DUMMYFUNCTION("""COMPUTED_VALUE"""),"Zion")</f>
        <v>Zion</v>
      </c>
      <c r="E2557" s="1" t="str">
        <f ca="1">IFERROR(__xludf.DUMMYFUNCTION("""COMPUTED_VALUE"""),"Shiela Rote Hechanova Sotero SANA NAMAN MATAUHAN KAYO AT WAG NA PAUTO KAY LENIDORO,")</f>
        <v>Shiela Rote Hechanova Sotero SANA NAMAN MATAUHAN KAYO AT WAG NA PAUTO KAY LENIDORO,</v>
      </c>
      <c r="F2557" s="1"/>
      <c r="G2557" s="1" t="str">
        <f ca="1">IFERROR(__xludf.DUMMYFUNCTION("""COMPUTED_VALUE"""),"3 mos")</f>
        <v>3 mos</v>
      </c>
      <c r="H2557" s="1" t="str">
        <f ca="1">IFERROR(__xludf.DUMMYFUNCTION("""COMPUTED_VALUE"""),"reply")</f>
        <v>reply</v>
      </c>
      <c r="I2557" s="2" t="str">
        <f ca="1">IFERROR(__xludf.DUMMYFUNCTION("""COMPUTED_VALUE"""),"https://www.facebook.com/rapplerdotcom/photos/a.317154781638645/5594264657260938/")</f>
        <v>https://www.facebook.com/rapplerdotcom/photos/a.317154781638645/5594264657260938/</v>
      </c>
      <c r="J2557" s="1" t="str">
        <f ca="1">IFERROR(__xludf.DUMMYFUNCTION("""COMPUTED_VALUE"""),"2022-07-04T15:51:46.028Z")</f>
        <v>2022-07-04T15:51:46.028Z</v>
      </c>
    </row>
    <row r="2558" spans="1:10" x14ac:dyDescent="0.2">
      <c r="A2558" s="2" t="str">
        <f ca="1">IFERROR(__xludf.DUMMYFUNCTION("""COMPUTED_VALUE"""),"https://www.facebook.com/gahimaeeeeee")</f>
        <v>https://www.facebook.com/gahimaeeeeee</v>
      </c>
      <c r="B2558" s="1" t="str">
        <f ca="1">IFERROR(__xludf.DUMMYFUNCTION("""COMPUTED_VALUE"""),"Kristine Gahi")</f>
        <v>Kristine Gahi</v>
      </c>
      <c r="C2558" s="1" t="str">
        <f ca="1">IFERROR(__xludf.DUMMYFUNCTION("""COMPUTED_VALUE"""),"Kristine")</f>
        <v>Kristine</v>
      </c>
      <c r="D2558" s="1" t="str">
        <f ca="1">IFERROR(__xludf.DUMMYFUNCTION("""COMPUTED_VALUE"""),"Gahi")</f>
        <v>Gahi</v>
      </c>
      <c r="E2558" s="1" t="str">
        <f ca="1">IFERROR(__xludf.DUMMYFUNCTION("""COMPUTED_VALUE"""),"Zion Zion luh, nagsalita yung matapang dahil naka dummy acc HAHAHHAHAHAHAA kung sa kaniya pang brgy. kamusta naman yung sa'yo? baka kahit elem student ikahiya na nakumpara sa'yo. Rt langs.")</f>
        <v>Zion Zion luh, nagsalita yung matapang dahil naka dummy acc HAHAHHAHAHAHAA kung sa kaniya pang brgy. kamusta naman yung sa'yo? baka kahit elem student ikahiya na nakumpara sa'yo. Rt langs.</v>
      </c>
      <c r="F2558" s="1"/>
      <c r="G2558" s="1" t="str">
        <f ca="1">IFERROR(__xludf.DUMMYFUNCTION("""COMPUTED_VALUE"""),"3 mos")</f>
        <v>3 mos</v>
      </c>
      <c r="H2558" s="1" t="str">
        <f ca="1">IFERROR(__xludf.DUMMYFUNCTION("""COMPUTED_VALUE"""),"reply")</f>
        <v>reply</v>
      </c>
      <c r="I2558" s="2" t="str">
        <f ca="1">IFERROR(__xludf.DUMMYFUNCTION("""COMPUTED_VALUE"""),"https://www.facebook.com/rapplerdotcom/photos/a.317154781638645/5594264657260938/")</f>
        <v>https://www.facebook.com/rapplerdotcom/photos/a.317154781638645/5594264657260938/</v>
      </c>
      <c r="J2558" s="1" t="str">
        <f ca="1">IFERROR(__xludf.DUMMYFUNCTION("""COMPUTED_VALUE"""),"2022-07-04T15:51:46.028Z")</f>
        <v>2022-07-04T15:51:46.028Z</v>
      </c>
    </row>
    <row r="2559" spans="1:10" x14ac:dyDescent="0.2">
      <c r="A2559" s="2" t="str">
        <f ca="1">IFERROR(__xludf.DUMMYFUNCTION("""COMPUTED_VALUE"""),"https://www.facebook.com/alvin.loyola.754")</f>
        <v>https://www.facebook.com/alvin.loyola.754</v>
      </c>
      <c r="B2559" s="1" t="str">
        <f ca="1">IFERROR(__xludf.DUMMYFUNCTION("""COMPUTED_VALUE"""),"Alvin Barrioquinto Loyola")</f>
        <v>Alvin Barrioquinto Loyola</v>
      </c>
      <c r="C2559" s="1" t="str">
        <f ca="1">IFERROR(__xludf.DUMMYFUNCTION("""COMPUTED_VALUE"""),"Alvin")</f>
        <v>Alvin</v>
      </c>
      <c r="D2559" s="1" t="str">
        <f ca="1">IFERROR(__xludf.DUMMYFUNCTION("""COMPUTED_VALUE"""),"Barrioquinto Loyola")</f>
        <v>Barrioquinto Loyola</v>
      </c>
      <c r="E2559" s="1" t="str">
        <f ca="1">IFERROR(__xludf.DUMMYFUNCTION("""COMPUTED_VALUE"""),"Ness Lansang bkit throll ano ngyre ky andrew e? eh mukhang ikaw nwla sa tamang daan gmit mo throll accnt na 🤣")</f>
        <v>Ness Lansang bkit throll ano ngyre ky andrew e? eh mukhang ikaw nwla sa tamang daan gmit mo throll accnt na 🤣</v>
      </c>
      <c r="F2559" s="1"/>
      <c r="G2559" s="1" t="str">
        <f ca="1">IFERROR(__xludf.DUMMYFUNCTION("""COMPUTED_VALUE"""),"3 mos")</f>
        <v>3 mos</v>
      </c>
      <c r="H2559" s="1" t="str">
        <f ca="1">IFERROR(__xludf.DUMMYFUNCTION("""COMPUTED_VALUE"""),"reply")</f>
        <v>reply</v>
      </c>
      <c r="I2559" s="2" t="str">
        <f ca="1">IFERROR(__xludf.DUMMYFUNCTION("""COMPUTED_VALUE"""),"https://www.facebook.com/rapplerdotcom/photos/a.317154781638645/5594264657260938/")</f>
        <v>https://www.facebook.com/rapplerdotcom/photos/a.317154781638645/5594264657260938/</v>
      </c>
      <c r="J2559" s="1" t="str">
        <f ca="1">IFERROR(__xludf.DUMMYFUNCTION("""COMPUTED_VALUE"""),"2022-07-04T15:51:46.028Z")</f>
        <v>2022-07-04T15:51:46.028Z</v>
      </c>
    </row>
    <row r="2560" spans="1:10" x14ac:dyDescent="0.2">
      <c r="A2560" s="2" t="str">
        <f ca="1">IFERROR(__xludf.DUMMYFUNCTION("""COMPUTED_VALUE"""),"https://www.facebook.com/cydrex.bernabe.7")</f>
        <v>https://www.facebook.com/cydrex.bernabe.7</v>
      </c>
      <c r="B2560" s="1" t="str">
        <f ca="1">IFERROR(__xludf.DUMMYFUNCTION("""COMPUTED_VALUE"""),"Cydrex Bernabe")</f>
        <v>Cydrex Bernabe</v>
      </c>
      <c r="C2560" s="1" t="str">
        <f ca="1">IFERROR(__xludf.DUMMYFUNCTION("""COMPUTED_VALUE"""),"Cydrex")</f>
        <v>Cydrex</v>
      </c>
      <c r="D2560" s="1" t="str">
        <f ca="1">IFERROR(__xludf.DUMMYFUNCTION("""COMPUTED_VALUE"""),"Bernabe")</f>
        <v>Bernabe</v>
      </c>
      <c r="E2560" s="1" t="str">
        <f ca="1">IFERROR(__xludf.DUMMYFUNCTION("""COMPUTED_VALUE"""),"Ness Lansang kesa naman maniwala sa tuwid na daan pero Lubak nMan 💛💛💛💛💛")</f>
        <v>Ness Lansang kesa naman maniwala sa tuwid na daan pero Lubak nMan 💛💛💛💛💛</v>
      </c>
      <c r="F2560" s="1"/>
      <c r="G2560" s="1" t="str">
        <f ca="1">IFERROR(__xludf.DUMMYFUNCTION("""COMPUTED_VALUE"""),"3 mos")</f>
        <v>3 mos</v>
      </c>
      <c r="H2560" s="1" t="str">
        <f ca="1">IFERROR(__xludf.DUMMYFUNCTION("""COMPUTED_VALUE"""),"reply")</f>
        <v>reply</v>
      </c>
      <c r="I2560" s="2" t="str">
        <f ca="1">IFERROR(__xludf.DUMMYFUNCTION("""COMPUTED_VALUE"""),"https://www.facebook.com/rapplerdotcom/photos/a.317154781638645/5594264657260938/")</f>
        <v>https://www.facebook.com/rapplerdotcom/photos/a.317154781638645/5594264657260938/</v>
      </c>
      <c r="J2560" s="1" t="str">
        <f ca="1">IFERROR(__xludf.DUMMYFUNCTION("""COMPUTED_VALUE"""),"2022-07-04T15:51:46.028Z")</f>
        <v>2022-07-04T15:51:46.028Z</v>
      </c>
    </row>
    <row r="2561" spans="1:10" x14ac:dyDescent="0.2">
      <c r="A2561" s="2" t="str">
        <f ca="1">IFERROR(__xludf.DUMMYFUNCTION("""COMPUTED_VALUE"""),"https://www.facebook.com/armi.prieto")</f>
        <v>https://www.facebook.com/armi.prieto</v>
      </c>
      <c r="B2561" s="1" t="str">
        <f ca="1">IFERROR(__xludf.DUMMYFUNCTION("""COMPUTED_VALUE"""),"Armi Lovina Prieto")</f>
        <v>Armi Lovina Prieto</v>
      </c>
      <c r="C2561" s="1" t="str">
        <f ca="1">IFERROR(__xludf.DUMMYFUNCTION("""COMPUTED_VALUE"""),"Armi")</f>
        <v>Armi</v>
      </c>
      <c r="D2561" s="1" t="str">
        <f ca="1">IFERROR(__xludf.DUMMYFUNCTION("""COMPUTED_VALUE"""),"Lovina Prieto")</f>
        <v>Lovina Prieto</v>
      </c>
      <c r="E2561" s="1" t="str">
        <f ca="1">IFERROR(__xludf.DUMMYFUNCTION("""COMPUTED_VALUE"""),"Ness Lansang  tamang daan pinunthan, hnd lubak n daan!")</f>
        <v>Ness Lansang  tamang daan pinunthan, hnd lubak n daan!</v>
      </c>
      <c r="F2561" s="1"/>
      <c r="G2561" s="1" t="str">
        <f ca="1">IFERROR(__xludf.DUMMYFUNCTION("""COMPUTED_VALUE"""),"3 mos")</f>
        <v>3 mos</v>
      </c>
      <c r="H2561" s="1" t="str">
        <f ca="1">IFERROR(__xludf.DUMMYFUNCTION("""COMPUTED_VALUE"""),"reply")</f>
        <v>reply</v>
      </c>
      <c r="I2561" s="2" t="str">
        <f ca="1">IFERROR(__xludf.DUMMYFUNCTION("""COMPUTED_VALUE"""),"https://www.facebook.com/rapplerdotcom/photos/a.317154781638645/5594264657260938/")</f>
        <v>https://www.facebook.com/rapplerdotcom/photos/a.317154781638645/5594264657260938/</v>
      </c>
      <c r="J2561" s="1" t="str">
        <f ca="1">IFERROR(__xludf.DUMMYFUNCTION("""COMPUTED_VALUE"""),"2022-07-04T15:51:46.028Z")</f>
        <v>2022-07-04T15:51:46.028Z</v>
      </c>
    </row>
    <row r="2562" spans="1:10" x14ac:dyDescent="0.2">
      <c r="A2562" s="2" t="str">
        <f ca="1">IFERROR(__xludf.DUMMYFUNCTION("""COMPUTED_VALUE"""),"https://www.facebook.com/nivek.leiro2")</f>
        <v>https://www.facebook.com/nivek.leiro2</v>
      </c>
      <c r="B2562" s="1" t="str">
        <f ca="1">IFERROR(__xludf.DUMMYFUNCTION("""COMPUTED_VALUE"""),"Nivek Leiro Noliba")</f>
        <v>Nivek Leiro Noliba</v>
      </c>
      <c r="C2562" s="1" t="str">
        <f ca="1">IFERROR(__xludf.DUMMYFUNCTION("""COMPUTED_VALUE"""),"Nivek")</f>
        <v>Nivek</v>
      </c>
      <c r="D2562" s="1" t="str">
        <f ca="1">IFERROR(__xludf.DUMMYFUNCTION("""COMPUTED_VALUE"""),"Leiro Noliba")</f>
        <v>Leiro Noliba</v>
      </c>
      <c r="E2562" s="1" t="str">
        <f ca="1">IFERROR(__xludf.DUMMYFUNCTION("""COMPUTED_VALUE"""),"Ness Lansang buti pa po kayo NASA walang kwentang daan hehe God bless po")</f>
        <v>Ness Lansang buti pa po kayo NASA walang kwentang daan hehe God bless po</v>
      </c>
      <c r="F2562" s="1">
        <f ca="1">IFERROR(__xludf.DUMMYFUNCTION("""COMPUTED_VALUE"""),6)</f>
        <v>6</v>
      </c>
      <c r="G2562" s="1" t="str">
        <f ca="1">IFERROR(__xludf.DUMMYFUNCTION("""COMPUTED_VALUE"""),"3 mos")</f>
        <v>3 mos</v>
      </c>
      <c r="H2562" s="1" t="str">
        <f ca="1">IFERROR(__xludf.DUMMYFUNCTION("""COMPUTED_VALUE"""),"reply")</f>
        <v>reply</v>
      </c>
      <c r="I2562" s="2" t="str">
        <f ca="1">IFERROR(__xludf.DUMMYFUNCTION("""COMPUTED_VALUE"""),"https://www.facebook.com/rapplerdotcom/photos/a.317154781638645/5594264657260938/")</f>
        <v>https://www.facebook.com/rapplerdotcom/photos/a.317154781638645/5594264657260938/</v>
      </c>
      <c r="J2562" s="1" t="str">
        <f ca="1">IFERROR(__xludf.DUMMYFUNCTION("""COMPUTED_VALUE"""),"2022-07-04T15:51:46.028Z")</f>
        <v>2022-07-04T15:51:46.028Z</v>
      </c>
    </row>
    <row r="2563" spans="1:10" x14ac:dyDescent="0.2">
      <c r="A2563" s="2" t="str">
        <f ca="1">IFERROR(__xludf.DUMMYFUNCTION("""COMPUTED_VALUE"""),"https://www.facebook.com/anjadonis11")</f>
        <v>https://www.facebook.com/anjadonis11</v>
      </c>
      <c r="B2563" s="1" t="str">
        <f ca="1">IFERROR(__xludf.DUMMYFUNCTION("""COMPUTED_VALUE"""),"Anjehlla N. Adonis")</f>
        <v>Anjehlla N. Adonis</v>
      </c>
      <c r="C2563" s="1" t="str">
        <f ca="1">IFERROR(__xludf.DUMMYFUNCTION("""COMPUTED_VALUE"""),"Anjehlla")</f>
        <v>Anjehlla</v>
      </c>
      <c r="D2563" s="1" t="str">
        <f ca="1">IFERROR(__xludf.DUMMYFUNCTION("""COMPUTED_VALUE"""),"N. Adonis")</f>
        <v>N. Adonis</v>
      </c>
      <c r="E2563" s="1" t="str">
        <f ca="1">IFERROR(__xludf.DUMMYFUNCTION("""COMPUTED_VALUE"""),"Ness Lansang d naman po ata si andrew e ang my gawa nyan..ang my gwa nyan ung mga trolls ni Baby M..wahaha..or mga die hard fans nya 😂😅")</f>
        <v>Ness Lansang d naman po ata si andrew e ang my gawa nyan..ang my gwa nyan ung mga trolls ni Baby M..wahaha..or mga die hard fans nya 😂😅</v>
      </c>
      <c r="F2563" s="1"/>
      <c r="G2563" s="1" t="str">
        <f ca="1">IFERROR(__xludf.DUMMYFUNCTION("""COMPUTED_VALUE"""),"3 mos")</f>
        <v>3 mos</v>
      </c>
      <c r="H2563" s="1" t="str">
        <f ca="1">IFERROR(__xludf.DUMMYFUNCTION("""COMPUTED_VALUE"""),"reply")</f>
        <v>reply</v>
      </c>
      <c r="I2563" s="2" t="str">
        <f ca="1">IFERROR(__xludf.DUMMYFUNCTION("""COMPUTED_VALUE"""),"https://www.facebook.com/rapplerdotcom/photos/a.317154781638645/5594264657260938/")</f>
        <v>https://www.facebook.com/rapplerdotcom/photos/a.317154781638645/5594264657260938/</v>
      </c>
      <c r="J2563" s="1" t="str">
        <f ca="1">IFERROR(__xludf.DUMMYFUNCTION("""COMPUTED_VALUE"""),"2022-07-04T15:51:46.028Z")</f>
        <v>2022-07-04T15:51:46.028Z</v>
      </c>
    </row>
    <row r="2564" spans="1:10" x14ac:dyDescent="0.2">
      <c r="A2564" s="2" t="str">
        <f ca="1">IFERROR(__xludf.DUMMYFUNCTION("""COMPUTED_VALUE"""),"https://www.facebook.com/gemrose.rescobactol")</f>
        <v>https://www.facebook.com/gemrose.rescobactol</v>
      </c>
      <c r="B2564" s="1" t="str">
        <f ca="1">IFERROR(__xludf.DUMMYFUNCTION("""COMPUTED_VALUE"""),"Gemrose Resco Bactol")</f>
        <v>Gemrose Resco Bactol</v>
      </c>
      <c r="C2564" s="1" t="str">
        <f ca="1">IFERROR(__xludf.DUMMYFUNCTION("""COMPUTED_VALUE"""),"Gemrose")</f>
        <v>Gemrose</v>
      </c>
      <c r="D2564" s="1" t="str">
        <f ca="1">IFERROR(__xludf.DUMMYFUNCTION("""COMPUTED_VALUE"""),"Resco Bactol")</f>
        <v>Resco Bactol</v>
      </c>
      <c r="E2564" s="1" t="str">
        <f ca="1">IFERROR(__xludf.DUMMYFUNCTION("""COMPUTED_VALUE"""),"Ness Lansang para sayo mam ano po ba ang tamang daan?")</f>
        <v>Ness Lansang para sayo mam ano po ba ang tamang daan?</v>
      </c>
      <c r="F2564" s="1"/>
      <c r="G2564" s="1" t="str">
        <f ca="1">IFERROR(__xludf.DUMMYFUNCTION("""COMPUTED_VALUE"""),"3 mos")</f>
        <v>3 mos</v>
      </c>
      <c r="H2564" s="1" t="str">
        <f ca="1">IFERROR(__xludf.DUMMYFUNCTION("""COMPUTED_VALUE"""),"reply")</f>
        <v>reply</v>
      </c>
      <c r="I2564" s="2" t="str">
        <f ca="1">IFERROR(__xludf.DUMMYFUNCTION("""COMPUTED_VALUE"""),"https://www.facebook.com/rapplerdotcom/photos/a.317154781638645/5594264657260938/")</f>
        <v>https://www.facebook.com/rapplerdotcom/photos/a.317154781638645/5594264657260938/</v>
      </c>
      <c r="J2564" s="1" t="str">
        <f ca="1">IFERROR(__xludf.DUMMYFUNCTION("""COMPUTED_VALUE"""),"2022-07-04T15:51:46.028Z")</f>
        <v>2022-07-04T15:51:46.028Z</v>
      </c>
    </row>
    <row r="2565" spans="1:10" x14ac:dyDescent="0.2">
      <c r="A2565" s="2" t="str">
        <f ca="1">IFERROR(__xludf.DUMMYFUNCTION("""COMPUTED_VALUE"""),"https://www.facebook.com/ching8ramon")</f>
        <v>https://www.facebook.com/ching8ramon</v>
      </c>
      <c r="B2565" s="1" t="str">
        <f ca="1">IFERROR(__xludf.DUMMYFUNCTION("""COMPUTED_VALUE"""),"Mon Ching Mendoza")</f>
        <v>Mon Ching Mendoza</v>
      </c>
      <c r="C2565" s="1" t="str">
        <f ca="1">IFERROR(__xludf.DUMMYFUNCTION("""COMPUTED_VALUE"""),"Mon")</f>
        <v>Mon</v>
      </c>
      <c r="D2565" s="1" t="str">
        <f ca="1">IFERROR(__xludf.DUMMYFUNCTION("""COMPUTED_VALUE"""),"Ching Mendoza")</f>
        <v>Ching Mendoza</v>
      </c>
      <c r="E2565" s="1" t="str">
        <f ca="1">IFERROR(__xludf.DUMMYFUNCTION("""COMPUTED_VALUE"""),"Lahat na lang ginagago ng LBM team. Nakakahiyang pamemeke!")</f>
        <v>Lahat na lang ginagago ng LBM team. Nakakahiyang pamemeke!</v>
      </c>
      <c r="F2565" s="1">
        <f ca="1">IFERROR(__xludf.DUMMYFUNCTION("""COMPUTED_VALUE"""),8)</f>
        <v>8</v>
      </c>
      <c r="G2565" s="1" t="str">
        <f ca="1">IFERROR(__xludf.DUMMYFUNCTION("""COMPUTED_VALUE"""),"3 mos")</f>
        <v>3 mos</v>
      </c>
      <c r="H2565" s="1" t="str">
        <f ca="1">IFERROR(__xludf.DUMMYFUNCTION("""COMPUTED_VALUE"""),"comment")</f>
        <v>comment</v>
      </c>
      <c r="I2565" s="2" t="str">
        <f ca="1">IFERROR(__xludf.DUMMYFUNCTION("""COMPUTED_VALUE"""),"https://www.facebook.com/rapplerdotcom/photos/a.317154781638645/5594264657260938/")</f>
        <v>https://www.facebook.com/rapplerdotcom/photos/a.317154781638645/5594264657260938/</v>
      </c>
      <c r="J2565" s="1" t="str">
        <f ca="1">IFERROR(__xludf.DUMMYFUNCTION("""COMPUTED_VALUE"""),"2022-07-04T15:51:46.028Z")</f>
        <v>2022-07-04T15:51:46.028Z</v>
      </c>
    </row>
    <row r="2566" spans="1:10" x14ac:dyDescent="0.2">
      <c r="A2566" s="2" t="str">
        <f ca="1">IFERROR(__xludf.DUMMYFUNCTION("""COMPUTED_VALUE"""),"https://www.facebook.com/zion.poliquit.54")</f>
        <v>https://www.facebook.com/zion.poliquit.54</v>
      </c>
      <c r="B2566" s="1" t="str">
        <f ca="1">IFERROR(__xludf.DUMMYFUNCTION("""COMPUTED_VALUE"""),"Zion Zion")</f>
        <v>Zion Zion</v>
      </c>
      <c r="C2566" s="1" t="str">
        <f ca="1">IFERROR(__xludf.DUMMYFUNCTION("""COMPUTED_VALUE"""),"Zion")</f>
        <v>Zion</v>
      </c>
      <c r="D2566" s="1" t="str">
        <f ca="1">IFERROR(__xludf.DUMMYFUNCTION("""COMPUTED_VALUE"""),"Zion")</f>
        <v>Zion</v>
      </c>
      <c r="E2566" s="1" t="str">
        <f ca="1">IFERROR(__xludf.DUMMYFUNCTION("""COMPUTED_VALUE"""),"Mon Ching Mendoza AKO ANG NAAAWA SA MGA GAYANG MONG UTO2X,")</f>
        <v>Mon Ching Mendoza AKO ANG NAAAWA SA MGA GAYANG MONG UTO2X,</v>
      </c>
      <c r="F2566" s="1">
        <f ca="1">IFERROR(__xludf.DUMMYFUNCTION("""COMPUTED_VALUE"""),3)</f>
        <v>3</v>
      </c>
      <c r="G2566" s="1" t="str">
        <f ca="1">IFERROR(__xludf.DUMMYFUNCTION("""COMPUTED_VALUE"""),"3 mos")</f>
        <v>3 mos</v>
      </c>
      <c r="H2566" s="1" t="str">
        <f ca="1">IFERROR(__xludf.DUMMYFUNCTION("""COMPUTED_VALUE"""),"reply")</f>
        <v>reply</v>
      </c>
      <c r="I2566" s="2" t="str">
        <f ca="1">IFERROR(__xludf.DUMMYFUNCTION("""COMPUTED_VALUE"""),"https://www.facebook.com/rapplerdotcom/photos/a.317154781638645/5594264657260938/")</f>
        <v>https://www.facebook.com/rapplerdotcom/photos/a.317154781638645/5594264657260938/</v>
      </c>
      <c r="J2566" s="1" t="str">
        <f ca="1">IFERROR(__xludf.DUMMYFUNCTION("""COMPUTED_VALUE"""),"2022-07-04T15:51:46.028Z")</f>
        <v>2022-07-04T15:51:46.028Z</v>
      </c>
    </row>
    <row r="2567" spans="1:10" x14ac:dyDescent="0.2">
      <c r="A2567" s="2" t="str">
        <f ca="1">IFERROR(__xludf.DUMMYFUNCTION("""COMPUTED_VALUE"""),"https://www.facebook.com/nora.montejo.925")</f>
        <v>https://www.facebook.com/nora.montejo.925</v>
      </c>
      <c r="B2567" s="1" t="str">
        <f ca="1">IFERROR(__xludf.DUMMYFUNCTION("""COMPUTED_VALUE"""),"Nora Montejo")</f>
        <v>Nora Montejo</v>
      </c>
      <c r="C2567" s="1" t="str">
        <f ca="1">IFERROR(__xludf.DUMMYFUNCTION("""COMPUTED_VALUE"""),"Nora")</f>
        <v>Nora</v>
      </c>
      <c r="D2567" s="1" t="str">
        <f ca="1">IFERROR(__xludf.DUMMYFUNCTION("""COMPUTED_VALUE"""),"Montejo")</f>
        <v>Montejo</v>
      </c>
      <c r="E2567" s="1" t="str">
        <f ca="1">IFERROR(__xludf.DUMMYFUNCTION("""COMPUTED_VALUE"""),"Zion Zion Ikaw yon! 🤣🤣🤣")</f>
        <v>Zion Zion Ikaw yon! 🤣🤣🤣</v>
      </c>
      <c r="F2567" s="1">
        <f ca="1">IFERROR(__xludf.DUMMYFUNCTION("""COMPUTED_VALUE"""),4)</f>
        <v>4</v>
      </c>
      <c r="G2567" s="1" t="str">
        <f ca="1">IFERROR(__xludf.DUMMYFUNCTION("""COMPUTED_VALUE"""),"3 mos")</f>
        <v>3 mos</v>
      </c>
      <c r="H2567" s="1" t="str">
        <f ca="1">IFERROR(__xludf.DUMMYFUNCTION("""COMPUTED_VALUE"""),"reply")</f>
        <v>reply</v>
      </c>
      <c r="I2567" s="2" t="str">
        <f ca="1">IFERROR(__xludf.DUMMYFUNCTION("""COMPUTED_VALUE"""),"https://www.facebook.com/rapplerdotcom/photos/a.317154781638645/5594264657260938/")</f>
        <v>https://www.facebook.com/rapplerdotcom/photos/a.317154781638645/5594264657260938/</v>
      </c>
      <c r="J2567" s="1" t="str">
        <f ca="1">IFERROR(__xludf.DUMMYFUNCTION("""COMPUTED_VALUE"""),"2022-07-04T15:51:46.028Z")</f>
        <v>2022-07-04T15:51:46.028Z</v>
      </c>
    </row>
    <row r="2568" spans="1:10" x14ac:dyDescent="0.2">
      <c r="A2568" s="2" t="str">
        <f ca="1">IFERROR(__xludf.DUMMYFUNCTION("""COMPUTED_VALUE"""),"https://www.facebook.com/profile.php?id=100069339588430")</f>
        <v>https://www.facebook.com/profile.php?id=100069339588430</v>
      </c>
      <c r="B2568" s="1" t="str">
        <f ca="1">IFERROR(__xludf.DUMMYFUNCTION("""COMPUTED_VALUE"""),"Prince Roger Bernabe")</f>
        <v>Prince Roger Bernabe</v>
      </c>
      <c r="C2568" s="1" t="str">
        <f ca="1">IFERROR(__xludf.DUMMYFUNCTION("""COMPUTED_VALUE"""),"Prince")</f>
        <v>Prince</v>
      </c>
      <c r="D2568" s="1" t="str">
        <f ca="1">IFERROR(__xludf.DUMMYFUNCTION("""COMPUTED_VALUE"""),"Roger Bernabe")</f>
        <v>Roger Bernabe</v>
      </c>
      <c r="E2568" s="1" t="str">
        <f ca="1">IFERROR(__xludf.DUMMYFUNCTION("""COMPUTED_VALUE"""),"Nora Montejo  exactly yes..")</f>
        <v>Nora Montejo  exactly yes..</v>
      </c>
      <c r="F2568" s="1"/>
      <c r="G2568" s="1" t="str">
        <f ca="1">IFERROR(__xludf.DUMMYFUNCTION("""COMPUTED_VALUE"""),"3 mos")</f>
        <v>3 mos</v>
      </c>
      <c r="H2568" s="1" t="str">
        <f ca="1">IFERROR(__xludf.DUMMYFUNCTION("""COMPUTED_VALUE"""),"reply")</f>
        <v>reply</v>
      </c>
      <c r="I2568" s="2" t="str">
        <f ca="1">IFERROR(__xludf.DUMMYFUNCTION("""COMPUTED_VALUE"""),"https://www.facebook.com/rapplerdotcom/photos/a.317154781638645/5594264657260938/")</f>
        <v>https://www.facebook.com/rapplerdotcom/photos/a.317154781638645/5594264657260938/</v>
      </c>
      <c r="J2568" s="1" t="str">
        <f ca="1">IFERROR(__xludf.DUMMYFUNCTION("""COMPUTED_VALUE"""),"2022-07-04T15:51:46.028Z")</f>
        <v>2022-07-04T15:51:46.028Z</v>
      </c>
    </row>
    <row r="2569" spans="1:10" x14ac:dyDescent="0.2">
      <c r="A2569" s="2" t="str">
        <f ca="1">IFERROR(__xludf.DUMMYFUNCTION("""COMPUTED_VALUE"""),"https://www.facebook.com/profile.php?id=100018491727313")</f>
        <v>https://www.facebook.com/profile.php?id=100018491727313</v>
      </c>
      <c r="B2569" s="1" t="str">
        <f ca="1">IFERROR(__xludf.DUMMYFUNCTION("""COMPUTED_VALUE"""),"John Wick")</f>
        <v>John Wick</v>
      </c>
      <c r="C2569" s="1" t="str">
        <f ca="1">IFERROR(__xludf.DUMMYFUNCTION("""COMPUTED_VALUE"""),"John")</f>
        <v>John</v>
      </c>
      <c r="D2569" s="1" t="str">
        <f ca="1">IFERROR(__xludf.DUMMYFUNCTION("""COMPUTED_VALUE"""),"Wick")</f>
        <v>Wick</v>
      </c>
      <c r="E2569" s="1" t="str">
        <f ca="1">IFERROR(__xludf.DUMMYFUNCTION("""COMPUTED_VALUE"""),"wag lng tlga dayain ulit s eleksyon")</f>
        <v>wag lng tlga dayain ulit s eleksyon</v>
      </c>
      <c r="F2569" s="1"/>
      <c r="G2569" s="1" t="str">
        <f ca="1">IFERROR(__xludf.DUMMYFUNCTION("""COMPUTED_VALUE"""),"3 mos")</f>
        <v>3 mos</v>
      </c>
      <c r="H2569" s="1" t="str">
        <f ca="1">IFERROR(__xludf.DUMMYFUNCTION("""COMPUTED_VALUE"""),"reply")</f>
        <v>reply</v>
      </c>
      <c r="I2569" s="2" t="str">
        <f ca="1">IFERROR(__xludf.DUMMYFUNCTION("""COMPUTED_VALUE"""),"https://www.facebook.com/rapplerdotcom/photos/a.317154781638645/5594264657260938/")</f>
        <v>https://www.facebook.com/rapplerdotcom/photos/a.317154781638645/5594264657260938/</v>
      </c>
      <c r="J2569" s="1" t="str">
        <f ca="1">IFERROR(__xludf.DUMMYFUNCTION("""COMPUTED_VALUE"""),"2022-07-04T15:51:46.028Z")</f>
        <v>2022-07-04T15:51:46.028Z</v>
      </c>
    </row>
    <row r="2570" spans="1:10" x14ac:dyDescent="0.2">
      <c r="A2570" s="2" t="str">
        <f ca="1">IFERROR(__xludf.DUMMYFUNCTION("""COMPUTED_VALUE"""),"https://www.facebook.com/cydrex.bernabe.7")</f>
        <v>https://www.facebook.com/cydrex.bernabe.7</v>
      </c>
      <c r="B2570" s="1" t="str">
        <f ca="1">IFERROR(__xludf.DUMMYFUNCTION("""COMPUTED_VALUE"""),"Cydrex Bernabe")</f>
        <v>Cydrex Bernabe</v>
      </c>
      <c r="C2570" s="1" t="str">
        <f ca="1">IFERROR(__xludf.DUMMYFUNCTION("""COMPUTED_VALUE"""),"Cydrex")</f>
        <v>Cydrex</v>
      </c>
      <c r="D2570" s="1" t="str">
        <f ca="1">IFERROR(__xludf.DUMMYFUNCTION("""COMPUTED_VALUE"""),"Bernabe")</f>
        <v>Bernabe</v>
      </c>
      <c r="E2570" s="1" t="str">
        <f ca="1">IFERROR(__xludf.DUMMYFUNCTION("""COMPUTED_VALUE"""),"Mon Ching Mendoza wow ginagago? Sure Ka?")</f>
        <v>Mon Ching Mendoza wow ginagago? Sure Ka?</v>
      </c>
      <c r="F2570" s="1"/>
      <c r="G2570" s="1" t="str">
        <f ca="1">IFERROR(__xludf.DUMMYFUNCTION("""COMPUTED_VALUE"""),"3 mos")</f>
        <v>3 mos</v>
      </c>
      <c r="H2570" s="1" t="str">
        <f ca="1">IFERROR(__xludf.DUMMYFUNCTION("""COMPUTED_VALUE"""),"reply")</f>
        <v>reply</v>
      </c>
      <c r="I2570" s="2" t="str">
        <f ca="1">IFERROR(__xludf.DUMMYFUNCTION("""COMPUTED_VALUE"""),"https://www.facebook.com/rapplerdotcom/photos/a.317154781638645/5594264657260938/")</f>
        <v>https://www.facebook.com/rapplerdotcom/photos/a.317154781638645/5594264657260938/</v>
      </c>
      <c r="J2570" s="1" t="str">
        <f ca="1">IFERROR(__xludf.DUMMYFUNCTION("""COMPUTED_VALUE"""),"2022-07-04T15:51:46.028Z")</f>
        <v>2022-07-04T15:51:46.028Z</v>
      </c>
    </row>
    <row r="2571" spans="1:10" x14ac:dyDescent="0.2">
      <c r="A2571" s="2" t="str">
        <f ca="1">IFERROR(__xludf.DUMMYFUNCTION("""COMPUTED_VALUE"""),"https://www.facebook.com/JeffOliGarTV")</f>
        <v>https://www.facebook.com/JeffOliGarTV</v>
      </c>
      <c r="B2571" s="1" t="str">
        <f ca="1">IFERROR(__xludf.DUMMYFUNCTION("""COMPUTED_VALUE"""),"Jeff Oli Gar TV")</f>
        <v>Jeff Oli Gar TV</v>
      </c>
      <c r="C2571" s="1" t="str">
        <f ca="1">IFERROR(__xludf.DUMMYFUNCTION("""COMPUTED_VALUE"""),"Jeff")</f>
        <v>Jeff</v>
      </c>
      <c r="D2571" s="1" t="str">
        <f ca="1">IFERROR(__xludf.DUMMYFUNCTION("""COMPUTED_VALUE"""),"Oli Gar TV")</f>
        <v>Oli Gar TV</v>
      </c>
      <c r="E2571" s="1" t="str">
        <f ca="1">IFERROR(__xludf.DUMMYFUNCTION("""COMPUTED_VALUE"""),"Nainggit sa Break Free kaya nag-imbento na lang hahaha!")</f>
        <v>Nainggit sa Break Free kaya nag-imbento na lang hahaha!</v>
      </c>
      <c r="F2571" s="1">
        <f ca="1">IFERROR(__xludf.DUMMYFUNCTION("""COMPUTED_VALUE"""),23)</f>
        <v>23</v>
      </c>
      <c r="G2571" s="1" t="str">
        <f ca="1">IFERROR(__xludf.DUMMYFUNCTION("""COMPUTED_VALUE"""),"3 mos")</f>
        <v>3 mos</v>
      </c>
      <c r="H2571" s="1" t="str">
        <f ca="1">IFERROR(__xludf.DUMMYFUNCTION("""COMPUTED_VALUE"""),"comment")</f>
        <v>comment</v>
      </c>
      <c r="I2571" s="2" t="str">
        <f ca="1">IFERROR(__xludf.DUMMYFUNCTION("""COMPUTED_VALUE"""),"https://www.facebook.com/rapplerdotcom/photos/a.317154781638645/5594264657260938/")</f>
        <v>https://www.facebook.com/rapplerdotcom/photos/a.317154781638645/5594264657260938/</v>
      </c>
      <c r="J2571" s="1" t="str">
        <f ca="1">IFERROR(__xludf.DUMMYFUNCTION("""COMPUTED_VALUE"""),"2022-07-04T15:51:46.028Z")</f>
        <v>2022-07-04T15:51:46.028Z</v>
      </c>
    </row>
    <row r="2572" spans="1:10" x14ac:dyDescent="0.2">
      <c r="A2572" s="2" t="str">
        <f ca="1">IFERROR(__xludf.DUMMYFUNCTION("""COMPUTED_VALUE"""),"https://www.facebook.com/sid.nazal.7")</f>
        <v>https://www.facebook.com/sid.nazal.7</v>
      </c>
      <c r="B2572" s="1" t="str">
        <f ca="1">IFERROR(__xludf.DUMMYFUNCTION("""COMPUTED_VALUE"""),"Sid Nazal")</f>
        <v>Sid Nazal</v>
      </c>
      <c r="C2572" s="1" t="str">
        <f ca="1">IFERROR(__xludf.DUMMYFUNCTION("""COMPUTED_VALUE"""),"Sid")</f>
        <v>Sid</v>
      </c>
      <c r="D2572" s="1" t="str">
        <f ca="1">IFERROR(__xludf.DUMMYFUNCTION("""COMPUTED_VALUE"""),"Nazal")</f>
        <v>Nazal</v>
      </c>
      <c r="E2572" s="1" t="str">
        <f ca="1">IFERROR(__xludf.DUMMYFUNCTION("""COMPUTED_VALUE"""),"Pati ba nmn bidyo minamarcos na dn?")</f>
        <v>Pati ba nmn bidyo minamarcos na dn?</v>
      </c>
      <c r="F2572" s="1">
        <f ca="1">IFERROR(__xludf.DUMMYFUNCTION("""COMPUTED_VALUE"""),3)</f>
        <v>3</v>
      </c>
      <c r="G2572" s="1" t="str">
        <f ca="1">IFERROR(__xludf.DUMMYFUNCTION("""COMPUTED_VALUE"""),"3 mos")</f>
        <v>3 mos</v>
      </c>
      <c r="H2572" s="1" t="str">
        <f ca="1">IFERROR(__xludf.DUMMYFUNCTION("""COMPUTED_VALUE"""),"comment")</f>
        <v>comment</v>
      </c>
      <c r="I2572" s="2" t="str">
        <f ca="1">IFERROR(__xludf.DUMMYFUNCTION("""COMPUTED_VALUE"""),"https://www.facebook.com/rapplerdotcom/photos/a.317154781638645/5594264657260938/")</f>
        <v>https://www.facebook.com/rapplerdotcom/photos/a.317154781638645/5594264657260938/</v>
      </c>
      <c r="J2572" s="1" t="str">
        <f ca="1">IFERROR(__xludf.DUMMYFUNCTION("""COMPUTED_VALUE"""),"2022-07-04T15:51:46.028Z")</f>
        <v>2022-07-04T15:51:46.028Z</v>
      </c>
    </row>
    <row r="2573" spans="1:10" x14ac:dyDescent="0.2">
      <c r="A2573" s="2" t="str">
        <f ca="1">IFERROR(__xludf.DUMMYFUNCTION("""COMPUTED_VALUE"""),"https://www.facebook.com/irma.gerardo")</f>
        <v>https://www.facebook.com/irma.gerardo</v>
      </c>
      <c r="B2573" s="1" t="str">
        <f ca="1">IFERROR(__xludf.DUMMYFUNCTION("""COMPUTED_VALUE"""),"Mari L. Dela Cruz")</f>
        <v>Mari L. Dela Cruz</v>
      </c>
      <c r="C2573" s="1" t="str">
        <f ca="1">IFERROR(__xludf.DUMMYFUNCTION("""COMPUTED_VALUE"""),"Mari")</f>
        <v>Mari</v>
      </c>
      <c r="D2573" s="1" t="str">
        <f ca="1">IFERROR(__xludf.DUMMYFUNCTION("""COMPUTED_VALUE"""),"L. Dela Cruz")</f>
        <v>L. Dela Cruz</v>
      </c>
      <c r="E2573" s="1" t="str">
        <f ca="1">IFERROR(__xludf.DUMMYFUNCTION("""COMPUTED_VALUE"""),"Lahat nalang peke sa sobrang insecurity ... peke pa more 😂")</f>
        <v>Lahat nalang peke sa sobrang insecurity ... peke pa more 😂</v>
      </c>
      <c r="F2573" s="1">
        <f ca="1">IFERROR(__xludf.DUMMYFUNCTION("""COMPUTED_VALUE"""),10)</f>
        <v>10</v>
      </c>
      <c r="G2573" s="1" t="str">
        <f ca="1">IFERROR(__xludf.DUMMYFUNCTION("""COMPUTED_VALUE"""),"3 mos")</f>
        <v>3 mos</v>
      </c>
      <c r="H2573" s="1" t="str">
        <f ca="1">IFERROR(__xludf.DUMMYFUNCTION("""COMPUTED_VALUE"""),"comment")</f>
        <v>comment</v>
      </c>
      <c r="I2573" s="2" t="str">
        <f ca="1">IFERROR(__xludf.DUMMYFUNCTION("""COMPUTED_VALUE"""),"https://www.facebook.com/rapplerdotcom/photos/a.317154781638645/5594264657260938/")</f>
        <v>https://www.facebook.com/rapplerdotcom/photos/a.317154781638645/5594264657260938/</v>
      </c>
      <c r="J2573" s="1" t="str">
        <f ca="1">IFERROR(__xludf.DUMMYFUNCTION("""COMPUTED_VALUE"""),"2022-07-04T15:51:46.029Z")</f>
        <v>2022-07-04T15:51:46.029Z</v>
      </c>
    </row>
    <row r="2574" spans="1:10" x14ac:dyDescent="0.2">
      <c r="A2574" s="2" t="str">
        <f ca="1">IFERROR(__xludf.DUMMYFUNCTION("""COMPUTED_VALUE"""),"https://www.facebook.com/angela.delosreyes.543")</f>
        <v>https://www.facebook.com/angela.delosreyes.543</v>
      </c>
      <c r="B2574" s="1" t="str">
        <f ca="1">IFERROR(__xludf.DUMMYFUNCTION("""COMPUTED_VALUE"""),"Angela De Los Reyes")</f>
        <v>Angela De Los Reyes</v>
      </c>
      <c r="C2574" s="1" t="str">
        <f ca="1">IFERROR(__xludf.DUMMYFUNCTION("""COMPUTED_VALUE"""),"Angela")</f>
        <v>Angela</v>
      </c>
      <c r="D2574" s="1" t="str">
        <f ca="1">IFERROR(__xludf.DUMMYFUNCTION("""COMPUTED_VALUE"""),"De Los Reyes")</f>
        <v>De Los Reyes</v>
      </c>
      <c r="E2574" s="1" t="str">
        <f ca="1">IFERROR(__xludf.DUMMYFUNCTION("""COMPUTED_VALUE"""),"Desperate crowd. Desperate move. Kalma ho, 16% ang kalaban niyo diba 🤣🤣🤣 #IpanaloNa10To")</f>
        <v>Desperate crowd. Desperate move. Kalma ho, 16% ang kalaban niyo diba 🤣🤣🤣 #IpanaloNa10To</v>
      </c>
      <c r="F2574" s="1">
        <f ca="1">IFERROR(__xludf.DUMMYFUNCTION("""COMPUTED_VALUE"""),1)</f>
        <v>1</v>
      </c>
      <c r="G2574" s="1" t="str">
        <f ca="1">IFERROR(__xludf.DUMMYFUNCTION("""COMPUTED_VALUE"""),"3 mos")</f>
        <v>3 mos</v>
      </c>
      <c r="H2574" s="1" t="str">
        <f ca="1">IFERROR(__xludf.DUMMYFUNCTION("""COMPUTED_VALUE"""),"comment")</f>
        <v>comment</v>
      </c>
      <c r="I2574" s="2" t="str">
        <f ca="1">IFERROR(__xludf.DUMMYFUNCTION("""COMPUTED_VALUE"""),"https://www.facebook.com/rapplerdotcom/photos/a.317154781638645/5594264657260938/")</f>
        <v>https://www.facebook.com/rapplerdotcom/photos/a.317154781638645/5594264657260938/</v>
      </c>
      <c r="J2574" s="1" t="str">
        <f ca="1">IFERROR(__xludf.DUMMYFUNCTION("""COMPUTED_VALUE"""),"2022-07-04T15:51:46.029Z")</f>
        <v>2022-07-04T15:51:46.029Z</v>
      </c>
    </row>
    <row r="2575" spans="1:10" x14ac:dyDescent="0.2">
      <c r="A2575" s="2" t="str">
        <f ca="1">IFERROR(__xludf.DUMMYFUNCTION("""COMPUTED_VALUE"""),"https://www.facebook.com/ren.wah.1")</f>
        <v>https://www.facebook.com/ren.wah.1</v>
      </c>
      <c r="B2575" s="1" t="str">
        <f ca="1">IFERROR(__xludf.DUMMYFUNCTION("""COMPUTED_VALUE"""),"Mglnty Rhen")</f>
        <v>Mglnty Rhen</v>
      </c>
      <c r="C2575" s="1" t="str">
        <f ca="1">IFERROR(__xludf.DUMMYFUNCTION("""COMPUTED_VALUE"""),"Mglnty")</f>
        <v>Mglnty</v>
      </c>
      <c r="D2575" s="1" t="str">
        <f ca="1">IFERROR(__xludf.DUMMYFUNCTION("""COMPUTED_VALUE"""),"Rhen")</f>
        <v>Rhen</v>
      </c>
      <c r="E2575" s="1" t="str">
        <f ca="1">IFERROR(__xludf.DUMMYFUNCTION("""COMPUTED_VALUE"""),"Alam na kung kanino galing ang mga ganyang mga gawain... #UnityNgMagnanakawAtManloloko #AlagadNgA_Dik #TatakDutaeTatakUlupong")</f>
        <v>Alam na kung kanino galing ang mga ganyang mga gawain... #UnityNgMagnanakawAtManloloko #AlagadNgA_Dik #TatakDutaeTatakUlupong</v>
      </c>
      <c r="F2575" s="1">
        <f ca="1">IFERROR(__xludf.DUMMYFUNCTION("""COMPUTED_VALUE"""),44)</f>
        <v>44</v>
      </c>
      <c r="G2575" s="1" t="str">
        <f ca="1">IFERROR(__xludf.DUMMYFUNCTION("""COMPUTED_VALUE"""),"3 mos")</f>
        <v>3 mos</v>
      </c>
      <c r="H2575" s="1" t="str">
        <f ca="1">IFERROR(__xludf.DUMMYFUNCTION("""COMPUTED_VALUE"""),"comment")</f>
        <v>comment</v>
      </c>
      <c r="I2575" s="2" t="str">
        <f ca="1">IFERROR(__xludf.DUMMYFUNCTION("""COMPUTED_VALUE"""),"https://www.facebook.com/rapplerdotcom/photos/a.317154781638645/5594264657260938/")</f>
        <v>https://www.facebook.com/rapplerdotcom/photos/a.317154781638645/5594264657260938/</v>
      </c>
      <c r="J2575" s="1" t="str">
        <f ca="1">IFERROR(__xludf.DUMMYFUNCTION("""COMPUTED_VALUE"""),"2022-07-04T15:51:46.029Z")</f>
        <v>2022-07-04T15:51:46.029Z</v>
      </c>
    </row>
    <row r="2576" spans="1:10" x14ac:dyDescent="0.2">
      <c r="A2576" s="2" t="str">
        <f ca="1">IFERROR(__xludf.DUMMYFUNCTION("""COMPUTED_VALUE"""),"https://www.facebook.com/jacqueline.reynado")</f>
        <v>https://www.facebook.com/jacqueline.reynado</v>
      </c>
      <c r="B2576" s="1" t="str">
        <f ca="1">IFERROR(__xludf.DUMMYFUNCTION("""COMPUTED_VALUE"""),"Jac Que Line")</f>
        <v>Jac Que Line</v>
      </c>
      <c r="C2576" s="1" t="str">
        <f ca="1">IFERROR(__xludf.DUMMYFUNCTION("""COMPUTED_VALUE"""),"Jac")</f>
        <v>Jac</v>
      </c>
      <c r="D2576" s="1" t="str">
        <f ca="1">IFERROR(__xludf.DUMMYFUNCTION("""COMPUTED_VALUE"""),"Que Line")</f>
        <v>Que Line</v>
      </c>
      <c r="E2576" s="1" t="str">
        <f ca="1">IFERROR(__xludf.DUMMYFUNCTION("""COMPUTED_VALUE"""),"Mglnty Rhen nkakahiya ka makadyos na demonyo. Palitan mo profile mo ng demonyo mas bagay sau😂")</f>
        <v>Mglnty Rhen nkakahiya ka makadyos na demonyo. Palitan mo profile mo ng demonyo mas bagay sau😂</v>
      </c>
      <c r="F2576" s="1">
        <f ca="1">IFERROR(__xludf.DUMMYFUNCTION("""COMPUTED_VALUE"""),2)</f>
        <v>2</v>
      </c>
      <c r="G2576" s="1" t="str">
        <f ca="1">IFERROR(__xludf.DUMMYFUNCTION("""COMPUTED_VALUE"""),"3 mos")</f>
        <v>3 mos</v>
      </c>
      <c r="H2576" s="1" t="str">
        <f ca="1">IFERROR(__xludf.DUMMYFUNCTION("""COMPUTED_VALUE"""),"reply")</f>
        <v>reply</v>
      </c>
      <c r="I2576" s="2" t="str">
        <f ca="1">IFERROR(__xludf.DUMMYFUNCTION("""COMPUTED_VALUE"""),"https://www.facebook.com/rapplerdotcom/photos/a.317154781638645/5594264657260938/")</f>
        <v>https://www.facebook.com/rapplerdotcom/photos/a.317154781638645/5594264657260938/</v>
      </c>
      <c r="J2576" s="1" t="str">
        <f ca="1">IFERROR(__xludf.DUMMYFUNCTION("""COMPUTED_VALUE"""),"2022-07-04T15:51:46.029Z")</f>
        <v>2022-07-04T15:51:46.029Z</v>
      </c>
    </row>
    <row r="2577" spans="1:10" x14ac:dyDescent="0.2">
      <c r="A2577" s="2" t="str">
        <f ca="1">IFERROR(__xludf.DUMMYFUNCTION("""COMPUTED_VALUE"""),"https://www.facebook.com/initials.jt")</f>
        <v>https://www.facebook.com/initials.jt</v>
      </c>
      <c r="B2577" s="1" t="str">
        <f ca="1">IFERROR(__xludf.DUMMYFUNCTION("""COMPUTED_VALUE"""),"Brader Jaafar")</f>
        <v>Brader Jaafar</v>
      </c>
      <c r="C2577" s="1" t="str">
        <f ca="1">IFERROR(__xludf.DUMMYFUNCTION("""COMPUTED_VALUE"""),"Brader")</f>
        <v>Brader</v>
      </c>
      <c r="D2577" s="1" t="str">
        <f ca="1">IFERROR(__xludf.DUMMYFUNCTION("""COMPUTED_VALUE"""),"Jaafar")</f>
        <v>Jaafar</v>
      </c>
      <c r="E2577" s="1" t="str">
        <f ca="1">IFERROR(__xludf.DUMMYFUNCTION("""COMPUTED_VALUE"""),"Mglnty Rhen https://www.facebook.com/1483983471/posts/10226530538558075/?app=fbl")</f>
        <v>Mglnty Rhen https://www.facebook.com/1483983471/posts/10226530538558075/?app=fbl</v>
      </c>
      <c r="F2577" s="1"/>
      <c r="G2577" s="1" t="str">
        <f ca="1">IFERROR(__xludf.DUMMYFUNCTION("""COMPUTED_VALUE"""),"October 25, 2021 at 3:35 AM")</f>
        <v>October 25, 2021 at 3:35 AM</v>
      </c>
      <c r="H2577" s="1" t="str">
        <f ca="1">IFERROR(__xludf.DUMMYFUNCTION("""COMPUTED_VALUE"""),"reply")</f>
        <v>reply</v>
      </c>
      <c r="I2577" s="2" t="str">
        <f ca="1">IFERROR(__xludf.DUMMYFUNCTION("""COMPUTED_VALUE"""),"https://www.facebook.com/rapplerdotcom/photos/a.317154781638645/5594264657260938/")</f>
        <v>https://www.facebook.com/rapplerdotcom/photos/a.317154781638645/5594264657260938/</v>
      </c>
      <c r="J2577" s="1" t="str">
        <f ca="1">IFERROR(__xludf.DUMMYFUNCTION("""COMPUTED_VALUE"""),"2022-07-04T15:51:46.029Z")</f>
        <v>2022-07-04T15:51:46.029Z</v>
      </c>
    </row>
    <row r="2578" spans="1:10" x14ac:dyDescent="0.2">
      <c r="A2578" s="2" t="str">
        <f ca="1">IFERROR(__xludf.DUMMYFUNCTION("""COMPUTED_VALUE"""),"https://www.facebook.com/nilo.asas")</f>
        <v>https://www.facebook.com/nilo.asas</v>
      </c>
      <c r="B2578" s="1" t="str">
        <f ca="1">IFERROR(__xludf.DUMMYFUNCTION("""COMPUTED_VALUE"""),"Nilo Asas")</f>
        <v>Nilo Asas</v>
      </c>
      <c r="C2578" s="1" t="str">
        <f ca="1">IFERROR(__xludf.DUMMYFUNCTION("""COMPUTED_VALUE"""),"Nilo")</f>
        <v>Nilo</v>
      </c>
      <c r="D2578" s="1" t="str">
        <f ca="1">IFERROR(__xludf.DUMMYFUNCTION("""COMPUTED_VALUE"""),"Asas")</f>
        <v>Asas</v>
      </c>
      <c r="E2578" s="1" t="str">
        <f ca="1">IFERROR(__xludf.DUMMYFUNCTION("""COMPUTED_VALUE"""),"Mglnty Rhen mag labas ka ng kalutangan mo")</f>
        <v>Mglnty Rhen mag labas ka ng kalutangan mo</v>
      </c>
      <c r="F2578" s="1">
        <f ca="1">IFERROR(__xludf.DUMMYFUNCTION("""COMPUTED_VALUE"""),2)</f>
        <v>2</v>
      </c>
      <c r="G2578" s="1" t="str">
        <f ca="1">IFERROR(__xludf.DUMMYFUNCTION("""COMPUTED_VALUE"""),"3 mos")</f>
        <v>3 mos</v>
      </c>
      <c r="H2578" s="1" t="str">
        <f ca="1">IFERROR(__xludf.DUMMYFUNCTION("""COMPUTED_VALUE"""),"reply")</f>
        <v>reply</v>
      </c>
      <c r="I2578" s="2" t="str">
        <f ca="1">IFERROR(__xludf.DUMMYFUNCTION("""COMPUTED_VALUE"""),"https://www.facebook.com/rapplerdotcom/photos/a.317154781638645/5594264657260938/")</f>
        <v>https://www.facebook.com/rapplerdotcom/photos/a.317154781638645/5594264657260938/</v>
      </c>
      <c r="J2578" s="1" t="str">
        <f ca="1">IFERROR(__xludf.DUMMYFUNCTION("""COMPUTED_VALUE"""),"2022-07-04T15:51:46.029Z")</f>
        <v>2022-07-04T15:51:46.029Z</v>
      </c>
    </row>
    <row r="2579" spans="1:10" x14ac:dyDescent="0.2">
      <c r="A2579" s="2" t="str">
        <f ca="1">IFERROR(__xludf.DUMMYFUNCTION("""COMPUTED_VALUE"""),"https://www.facebook.com/zion.poliquit.54")</f>
        <v>https://www.facebook.com/zion.poliquit.54</v>
      </c>
      <c r="B2579" s="1" t="str">
        <f ca="1">IFERROR(__xludf.DUMMYFUNCTION("""COMPUTED_VALUE"""),"Zion Zion")</f>
        <v>Zion Zion</v>
      </c>
      <c r="C2579" s="1" t="str">
        <f ca="1">IFERROR(__xludf.DUMMYFUNCTION("""COMPUTED_VALUE"""),"Zion")</f>
        <v>Zion</v>
      </c>
      <c r="D2579" s="1" t="str">
        <f ca="1">IFERROR(__xludf.DUMMYFUNCTION("""COMPUTED_VALUE"""),"Zion")</f>
        <v>Zion</v>
      </c>
      <c r="E2579" s="1" t="str">
        <f ca="1">IFERROR(__xludf.DUMMYFUNCTION("""COMPUTED_VALUE"""),"Mglnty Rhen BUTI NAKA LIGTAS KA SA TOKHANG , SAYANG NAMAN")</f>
        <v>Mglnty Rhen BUTI NAKA LIGTAS KA SA TOKHANG , SAYANG NAMAN</v>
      </c>
      <c r="F2579" s="1"/>
      <c r="G2579" s="1" t="str">
        <f ca="1">IFERROR(__xludf.DUMMYFUNCTION("""COMPUTED_VALUE"""),"3 mos")</f>
        <v>3 mos</v>
      </c>
      <c r="H2579" s="1" t="str">
        <f ca="1">IFERROR(__xludf.DUMMYFUNCTION("""COMPUTED_VALUE"""),"reply")</f>
        <v>reply</v>
      </c>
      <c r="I2579" s="2" t="str">
        <f ca="1">IFERROR(__xludf.DUMMYFUNCTION("""COMPUTED_VALUE"""),"https://www.facebook.com/rapplerdotcom/photos/a.317154781638645/5594264657260938/")</f>
        <v>https://www.facebook.com/rapplerdotcom/photos/a.317154781638645/5594264657260938/</v>
      </c>
      <c r="J2579" s="1" t="str">
        <f ca="1">IFERROR(__xludf.DUMMYFUNCTION("""COMPUTED_VALUE"""),"2022-07-04T15:51:46.029Z")</f>
        <v>2022-07-04T15:51:46.029Z</v>
      </c>
    </row>
    <row r="2580" spans="1:10" x14ac:dyDescent="0.2">
      <c r="A2580" s="2" t="str">
        <f ca="1">IFERROR(__xludf.DUMMYFUNCTION("""COMPUTED_VALUE"""),"https://www.facebook.com/eugine.flores.5")</f>
        <v>https://www.facebook.com/eugine.flores.5</v>
      </c>
      <c r="B2580" s="1" t="str">
        <f ca="1">IFERROR(__xludf.DUMMYFUNCTION("""COMPUTED_VALUE"""),"Bigo Sa Pag Ibig")</f>
        <v>Bigo Sa Pag Ibig</v>
      </c>
      <c r="C2580" s="1" t="str">
        <f ca="1">IFERROR(__xludf.DUMMYFUNCTION("""COMPUTED_VALUE"""),"Bigo")</f>
        <v>Bigo</v>
      </c>
      <c r="D2580" s="1" t="str">
        <f ca="1">IFERROR(__xludf.DUMMYFUNCTION("""COMPUTED_VALUE"""),"Sa Pag Ibig")</f>
        <v>Sa Pag Ibig</v>
      </c>
      <c r="E2580" s="1" t="str">
        <f ca="1">IFERROR(__xludf.DUMMYFUNCTION("""COMPUTED_VALUE"""),"Oo...nga nagsisi na tyo na duterte administration libo libong pamilya nwalan ng anak,kpatid,ama tulad dn ni marcus Sr kya bkit pa tyo bablik sa gnun na systema")</f>
        <v>Oo...nga nagsisi na tyo na duterte administration libo libong pamilya nwalan ng anak,kpatid,ama tulad dn ni marcus Sr kya bkit pa tyo bablik sa gnun na systema</v>
      </c>
      <c r="F2580" s="1">
        <f ca="1">IFERROR(__xludf.DUMMYFUNCTION("""COMPUTED_VALUE"""),2)</f>
        <v>2</v>
      </c>
      <c r="G2580" s="1" t="str">
        <f ca="1">IFERROR(__xludf.DUMMYFUNCTION("""COMPUTED_VALUE"""),"3 mos")</f>
        <v>3 mos</v>
      </c>
      <c r="H2580" s="1" t="str">
        <f ca="1">IFERROR(__xludf.DUMMYFUNCTION("""COMPUTED_VALUE"""),"reply")</f>
        <v>reply</v>
      </c>
      <c r="I2580" s="2" t="str">
        <f ca="1">IFERROR(__xludf.DUMMYFUNCTION("""COMPUTED_VALUE"""),"https://www.facebook.com/rapplerdotcom/photos/a.317154781638645/5594264657260938/")</f>
        <v>https://www.facebook.com/rapplerdotcom/photos/a.317154781638645/5594264657260938/</v>
      </c>
      <c r="J2580" s="1" t="str">
        <f ca="1">IFERROR(__xludf.DUMMYFUNCTION("""COMPUTED_VALUE"""),"2022-07-04T15:51:46.029Z")</f>
        <v>2022-07-04T15:51:46.029Z</v>
      </c>
    </row>
    <row r="2581" spans="1:10" x14ac:dyDescent="0.2">
      <c r="A2581" s="2" t="str">
        <f ca="1">IFERROR(__xludf.DUMMYFUNCTION("""COMPUTED_VALUE"""),"https://www.facebook.com/jehe.kokos")</f>
        <v>https://www.facebook.com/jehe.kokos</v>
      </c>
      <c r="B2581" s="1" t="str">
        <f ca="1">IFERROR(__xludf.DUMMYFUNCTION("""COMPUTED_VALUE"""),"Chan Dell")</f>
        <v>Chan Dell</v>
      </c>
      <c r="C2581" s="1" t="str">
        <f ca="1">IFERROR(__xludf.DUMMYFUNCTION("""COMPUTED_VALUE"""),"Chan")</f>
        <v>Chan</v>
      </c>
      <c r="D2581" s="1" t="str">
        <f ca="1">IFERROR(__xludf.DUMMYFUNCTION("""COMPUTED_VALUE"""),"Dell")</f>
        <v>Dell</v>
      </c>
      <c r="E2581" s="1" t="str">
        <f ca="1">IFERROR(__xludf.DUMMYFUNCTION("""COMPUTED_VALUE"""),"Mglnty Rhen ung 6 years ka di  naka hithit haha")</f>
        <v>Mglnty Rhen ung 6 years ka di  naka hithit haha</v>
      </c>
      <c r="F2581" s="1"/>
      <c r="G2581" s="1" t="str">
        <f ca="1">IFERROR(__xludf.DUMMYFUNCTION("""COMPUTED_VALUE"""),"3 mos")</f>
        <v>3 mos</v>
      </c>
      <c r="H2581" s="1" t="str">
        <f ca="1">IFERROR(__xludf.DUMMYFUNCTION("""COMPUTED_VALUE"""),"reply")</f>
        <v>reply</v>
      </c>
      <c r="I2581" s="2" t="str">
        <f ca="1">IFERROR(__xludf.DUMMYFUNCTION("""COMPUTED_VALUE"""),"https://www.facebook.com/rapplerdotcom/photos/a.317154781638645/5594264657260938/")</f>
        <v>https://www.facebook.com/rapplerdotcom/photos/a.317154781638645/5594264657260938/</v>
      </c>
      <c r="J2581" s="1" t="str">
        <f ca="1">IFERROR(__xludf.DUMMYFUNCTION("""COMPUTED_VALUE"""),"2022-07-04T15:51:46.029Z")</f>
        <v>2022-07-04T15:51:46.029Z</v>
      </c>
    </row>
    <row r="2582" spans="1:10" x14ac:dyDescent="0.2">
      <c r="A2582" s="2" t="str">
        <f ca="1">IFERROR(__xludf.DUMMYFUNCTION("""COMPUTED_VALUE"""),"https://www.facebook.com/reniel.carandang.56")</f>
        <v>https://www.facebook.com/reniel.carandang.56</v>
      </c>
      <c r="B2582" s="1" t="str">
        <f ca="1">IFERROR(__xludf.DUMMYFUNCTION("""COMPUTED_VALUE"""),"Renato Carandang")</f>
        <v>Renato Carandang</v>
      </c>
      <c r="C2582" s="1" t="str">
        <f ca="1">IFERROR(__xludf.DUMMYFUNCTION("""COMPUTED_VALUE"""),"Renato")</f>
        <v>Renato</v>
      </c>
      <c r="D2582" s="1" t="str">
        <f ca="1">IFERROR(__xludf.DUMMYFUNCTION("""COMPUTED_VALUE"""),"Carandang")</f>
        <v>Carandang</v>
      </c>
      <c r="E2582" s="1" t="str">
        <f ca="1">IFERROR(__xludf.DUMMYFUNCTION("""COMPUTED_VALUE"""),"Bigo Sa Pag Ibig talaga ba")</f>
        <v>Bigo Sa Pag Ibig talaga ba</v>
      </c>
      <c r="F2582" s="1"/>
      <c r="G2582" s="1" t="str">
        <f ca="1">IFERROR(__xludf.DUMMYFUNCTION("""COMPUTED_VALUE"""),"3 mos")</f>
        <v>3 mos</v>
      </c>
      <c r="H2582" s="1" t="str">
        <f ca="1">IFERROR(__xludf.DUMMYFUNCTION("""COMPUTED_VALUE"""),"reply")</f>
        <v>reply</v>
      </c>
      <c r="I2582" s="2" t="str">
        <f ca="1">IFERROR(__xludf.DUMMYFUNCTION("""COMPUTED_VALUE"""),"https://www.facebook.com/rapplerdotcom/photos/a.317154781638645/5594264657260938/")</f>
        <v>https://www.facebook.com/rapplerdotcom/photos/a.317154781638645/5594264657260938/</v>
      </c>
      <c r="J2582" s="1" t="str">
        <f ca="1">IFERROR(__xludf.DUMMYFUNCTION("""COMPUTED_VALUE"""),"2022-07-04T15:51:46.029Z")</f>
        <v>2022-07-04T15:51:46.029Z</v>
      </c>
    </row>
    <row r="2583" spans="1:10" x14ac:dyDescent="0.2">
      <c r="A2583" s="2" t="str">
        <f ca="1">IFERROR(__xludf.DUMMYFUNCTION("""COMPUTED_VALUE"""),"https://www.facebook.com/gemrose.rescobactol")</f>
        <v>https://www.facebook.com/gemrose.rescobactol</v>
      </c>
      <c r="B2583" s="1" t="str">
        <f ca="1">IFERROR(__xludf.DUMMYFUNCTION("""COMPUTED_VALUE"""),"Gemrose Resco Bactol")</f>
        <v>Gemrose Resco Bactol</v>
      </c>
      <c r="C2583" s="1" t="str">
        <f ca="1">IFERROR(__xludf.DUMMYFUNCTION("""COMPUTED_VALUE"""),"Gemrose")</f>
        <v>Gemrose</v>
      </c>
      <c r="D2583" s="1" t="str">
        <f ca="1">IFERROR(__xludf.DUMMYFUNCTION("""COMPUTED_VALUE"""),"Resco Bactol")</f>
        <v>Resco Bactol</v>
      </c>
      <c r="E2583" s="1" t="str">
        <f ca="1">IFERROR(__xludf.DUMMYFUNCTION("""COMPUTED_VALUE"""),"Bigo Sa Pag Ibig kung sa oplan tokhang po yung binabanggit mo Sana naisip mo din yung mga menor de edad na pinatay at ginahasa dahil sa mga taong lulong na sa droga")</f>
        <v>Bigo Sa Pag Ibig kung sa oplan tokhang po yung binabanggit mo Sana naisip mo din yung mga menor de edad na pinatay at ginahasa dahil sa mga taong lulong na sa droga</v>
      </c>
      <c r="F2583" s="1"/>
      <c r="G2583" s="1" t="str">
        <f ca="1">IFERROR(__xludf.DUMMYFUNCTION("""COMPUTED_VALUE"""),"3 mos")</f>
        <v>3 mos</v>
      </c>
      <c r="H2583" s="1" t="str">
        <f ca="1">IFERROR(__xludf.DUMMYFUNCTION("""COMPUTED_VALUE"""),"reply")</f>
        <v>reply</v>
      </c>
      <c r="I2583" s="2" t="str">
        <f ca="1">IFERROR(__xludf.DUMMYFUNCTION("""COMPUTED_VALUE"""),"https://www.facebook.com/rapplerdotcom/photos/a.317154781638645/5594264657260938/")</f>
        <v>https://www.facebook.com/rapplerdotcom/photos/a.317154781638645/5594264657260938/</v>
      </c>
      <c r="J2583" s="1" t="str">
        <f ca="1">IFERROR(__xludf.DUMMYFUNCTION("""COMPUTED_VALUE"""),"2022-07-04T15:51:46.029Z")</f>
        <v>2022-07-04T15:51:46.029Z</v>
      </c>
    </row>
    <row r="2584" spans="1:10" x14ac:dyDescent="0.2">
      <c r="A2584" s="2" t="str">
        <f ca="1">IFERROR(__xludf.DUMMYFUNCTION("""COMPUTED_VALUE"""),"https://www.facebook.com/jefferson.parrocha.3")</f>
        <v>https://www.facebook.com/jefferson.parrocha.3</v>
      </c>
      <c r="B2584" s="1" t="str">
        <f ca="1">IFERROR(__xludf.DUMMYFUNCTION("""COMPUTED_VALUE"""),"Jefferson Estandian Parrocha Jr.")</f>
        <v>Jefferson Estandian Parrocha Jr.</v>
      </c>
      <c r="C2584" s="1" t="str">
        <f ca="1">IFERROR(__xludf.DUMMYFUNCTION("""COMPUTED_VALUE"""),"Jefferson")</f>
        <v>Jefferson</v>
      </c>
      <c r="D2584" s="1" t="str">
        <f ca="1">IFERROR(__xludf.DUMMYFUNCTION("""COMPUTED_VALUE"""),"Estandian Parrocha Jr.")</f>
        <v>Estandian Parrocha Jr.</v>
      </c>
      <c r="E2584" s="1" t="str">
        <f ca="1">IFERROR(__xludf.DUMMYFUNCTION("""COMPUTED_VALUE"""),"Gemrose Resco Bactol ndi nya maiisip yan boss my msabi,lng sya")</f>
        <v>Gemrose Resco Bactol ndi nya maiisip yan boss my msabi,lng sya</v>
      </c>
      <c r="F2584" s="1"/>
      <c r="G2584" s="1" t="str">
        <f ca="1">IFERROR(__xludf.DUMMYFUNCTION("""COMPUTED_VALUE"""),"3 mos")</f>
        <v>3 mos</v>
      </c>
      <c r="H2584" s="1" t="str">
        <f ca="1">IFERROR(__xludf.DUMMYFUNCTION("""COMPUTED_VALUE"""),"reply")</f>
        <v>reply</v>
      </c>
      <c r="I2584" s="2" t="str">
        <f ca="1">IFERROR(__xludf.DUMMYFUNCTION("""COMPUTED_VALUE"""),"https://www.facebook.com/rapplerdotcom/photos/a.317154781638645/5594264657260938/")</f>
        <v>https://www.facebook.com/rapplerdotcom/photos/a.317154781638645/5594264657260938/</v>
      </c>
      <c r="J2584" s="1" t="str">
        <f ca="1">IFERROR(__xludf.DUMMYFUNCTION("""COMPUTED_VALUE"""),"2022-07-04T15:51:46.029Z")</f>
        <v>2022-07-04T15:51:46.029Z</v>
      </c>
    </row>
    <row r="2585" spans="1:10" x14ac:dyDescent="0.2">
      <c r="A2585" s="2" t="str">
        <f ca="1">IFERROR(__xludf.DUMMYFUNCTION("""COMPUTED_VALUE"""),"https://www.facebook.com/nilo.asas")</f>
        <v>https://www.facebook.com/nilo.asas</v>
      </c>
      <c r="B2585" s="1" t="str">
        <f ca="1">IFERROR(__xludf.DUMMYFUNCTION("""COMPUTED_VALUE"""),"Nilo Asas")</f>
        <v>Nilo Asas</v>
      </c>
      <c r="C2585" s="1" t="str">
        <f ca="1">IFERROR(__xludf.DUMMYFUNCTION("""COMPUTED_VALUE"""),"Nilo")</f>
        <v>Nilo</v>
      </c>
      <c r="D2585" s="1" t="str">
        <f ca="1">IFERROR(__xludf.DUMMYFUNCTION("""COMPUTED_VALUE"""),"Asas")</f>
        <v>Asas</v>
      </c>
      <c r="E2585" s="1" t="str">
        <f ca="1">IFERROR(__xludf.DUMMYFUNCTION("""COMPUTED_VALUE"""),"Bigo Sa Pag Ibig sir ang nawalan lang nman yung mga adik,paano nman yung pinatay at ginahasa dahil sa droga wala nalang yun")</f>
        <v>Bigo Sa Pag Ibig sir ang nawalan lang nman yung mga adik,paano nman yung pinatay at ginahasa dahil sa droga wala nalang yun</v>
      </c>
      <c r="F2585" s="1"/>
      <c r="G2585" s="1" t="str">
        <f ca="1">IFERROR(__xludf.DUMMYFUNCTION("""COMPUTED_VALUE"""),"3 mos")</f>
        <v>3 mos</v>
      </c>
      <c r="H2585" s="1" t="str">
        <f ca="1">IFERROR(__xludf.DUMMYFUNCTION("""COMPUTED_VALUE"""),"reply")</f>
        <v>reply</v>
      </c>
      <c r="I2585" s="2" t="str">
        <f ca="1">IFERROR(__xludf.DUMMYFUNCTION("""COMPUTED_VALUE"""),"https://www.facebook.com/rapplerdotcom/photos/a.317154781638645/5594264657260938/")</f>
        <v>https://www.facebook.com/rapplerdotcom/photos/a.317154781638645/5594264657260938/</v>
      </c>
      <c r="J2585" s="1" t="str">
        <f ca="1">IFERROR(__xludf.DUMMYFUNCTION("""COMPUTED_VALUE"""),"2022-07-04T15:51:46.029Z")</f>
        <v>2022-07-04T15:51:46.029Z</v>
      </c>
    </row>
    <row r="2586" spans="1:10" x14ac:dyDescent="0.2">
      <c r="A2586" s="2" t="str">
        <f ca="1">IFERROR(__xludf.DUMMYFUNCTION("""COMPUTED_VALUE"""),"https://www.facebook.com/RheamaePineda.15")</f>
        <v>https://www.facebook.com/RheamaePineda.15</v>
      </c>
      <c r="B2586" s="1" t="str">
        <f ca="1">IFERROR(__xludf.DUMMYFUNCTION("""COMPUTED_VALUE"""),"Rhea Mae Ramada Pineda")</f>
        <v>Rhea Mae Ramada Pineda</v>
      </c>
      <c r="C2586" s="1" t="str">
        <f ca="1">IFERROR(__xludf.DUMMYFUNCTION("""COMPUTED_VALUE"""),"Rhea")</f>
        <v>Rhea</v>
      </c>
      <c r="D2586" s="1" t="str">
        <f ca="1">IFERROR(__xludf.DUMMYFUNCTION("""COMPUTED_VALUE"""),"Mae Ramada Pineda")</f>
        <v>Mae Ramada Pineda</v>
      </c>
      <c r="E2586" s="1" t="str">
        <f ca="1">IFERROR(__xludf.DUMMYFUNCTION("""COMPUTED_VALUE"""),"Mglnty Rhen fyi nasa angat team ang druglord HAHAHA wag puro comment lang nakakahiya ka 😂😂 buti hindi ka pa tokhang ano bulag ka din sa katutuhanan. Dinamay mo pa si President Duterte e pekeng Vice President naman ipinagtatanggol mo.")</f>
        <v>Mglnty Rhen fyi nasa angat team ang druglord HAHAHA wag puro comment lang nakakahiya ka 😂😂 buti hindi ka pa tokhang ano bulag ka din sa katutuhanan. Dinamay mo pa si President Duterte e pekeng Vice President naman ipinagtatanggol mo.</v>
      </c>
      <c r="F2586" s="1"/>
      <c r="G2586" s="1" t="str">
        <f ca="1">IFERROR(__xludf.DUMMYFUNCTION("""COMPUTED_VALUE"""),"3 mos")</f>
        <v>3 mos</v>
      </c>
      <c r="H2586" s="1" t="str">
        <f ca="1">IFERROR(__xludf.DUMMYFUNCTION("""COMPUTED_VALUE"""),"reply")</f>
        <v>reply</v>
      </c>
      <c r="I2586" s="2" t="str">
        <f ca="1">IFERROR(__xludf.DUMMYFUNCTION("""COMPUTED_VALUE"""),"https://www.facebook.com/rapplerdotcom/photos/a.317154781638645/5594264657260938/")</f>
        <v>https://www.facebook.com/rapplerdotcom/photos/a.317154781638645/5594264657260938/</v>
      </c>
      <c r="J2586" s="1" t="str">
        <f ca="1">IFERROR(__xludf.DUMMYFUNCTION("""COMPUTED_VALUE"""),"2022-07-04T15:51:46.029Z")</f>
        <v>2022-07-04T15:51:46.029Z</v>
      </c>
    </row>
    <row r="2587" spans="1:10" x14ac:dyDescent="0.2">
      <c r="A2587" s="2" t="str">
        <f ca="1">IFERROR(__xludf.DUMMYFUNCTION("""COMPUTED_VALUE"""),"https://www.facebook.com/profile.php?id=100051340422684")</f>
        <v>https://www.facebook.com/profile.php?id=100051340422684</v>
      </c>
      <c r="B2587" s="1" t="str">
        <f ca="1">IFERROR(__xludf.DUMMYFUNCTION("""COMPUTED_VALUE"""),"Cristina Salazar")</f>
        <v>Cristina Salazar</v>
      </c>
      <c r="C2587" s="1" t="str">
        <f ca="1">IFERROR(__xludf.DUMMYFUNCTION("""COMPUTED_VALUE"""),"Cristina")</f>
        <v>Cristina</v>
      </c>
      <c r="D2587" s="1" t="str">
        <f ca="1">IFERROR(__xludf.DUMMYFUNCTION("""COMPUTED_VALUE"""),"Salazar")</f>
        <v>Salazar</v>
      </c>
      <c r="E2587" s="1" t="str">
        <f ca="1">IFERROR(__xludf.DUMMYFUNCTION("""COMPUTED_VALUE"""),"Puro pandaraya ang alam ng mga hinqyupak..manong sumunod naman sa tama..")</f>
        <v>Puro pandaraya ang alam ng mga hinqyupak..manong sumunod naman sa tama..</v>
      </c>
      <c r="F2587" s="1">
        <f ca="1">IFERROR(__xludf.DUMMYFUNCTION("""COMPUTED_VALUE"""),6)</f>
        <v>6</v>
      </c>
      <c r="G2587" s="1" t="str">
        <f ca="1">IFERROR(__xludf.DUMMYFUNCTION("""COMPUTED_VALUE"""),"3 mos")</f>
        <v>3 mos</v>
      </c>
      <c r="H2587" s="1" t="str">
        <f ca="1">IFERROR(__xludf.DUMMYFUNCTION("""COMPUTED_VALUE"""),"comment")</f>
        <v>comment</v>
      </c>
      <c r="I2587" s="2" t="str">
        <f ca="1">IFERROR(__xludf.DUMMYFUNCTION("""COMPUTED_VALUE"""),"https://www.facebook.com/rapplerdotcom/photos/a.317154781638645/5594264657260938/")</f>
        <v>https://www.facebook.com/rapplerdotcom/photos/a.317154781638645/5594264657260938/</v>
      </c>
      <c r="J2587" s="1" t="str">
        <f ca="1">IFERROR(__xludf.DUMMYFUNCTION("""COMPUTED_VALUE"""),"2022-07-04T15:51:46.029Z")</f>
        <v>2022-07-04T15:51:46.029Z</v>
      </c>
    </row>
    <row r="2588" spans="1:10" x14ac:dyDescent="0.2">
      <c r="A2588" s="2" t="str">
        <f ca="1">IFERROR(__xludf.DUMMYFUNCTION("""COMPUTED_VALUE"""),"https://www.facebook.com/LanieJuson")</f>
        <v>https://www.facebook.com/LanieJuson</v>
      </c>
      <c r="B2588" s="1" t="str">
        <f ca="1">IFERROR(__xludf.DUMMYFUNCTION("""COMPUTED_VALUE"""),"Mel Juson")</f>
        <v>Mel Juson</v>
      </c>
      <c r="C2588" s="1" t="str">
        <f ca="1">IFERROR(__xludf.DUMMYFUNCTION("""COMPUTED_VALUE"""),"Mel")</f>
        <v>Mel</v>
      </c>
      <c r="D2588" s="1" t="str">
        <f ca="1">IFERROR(__xludf.DUMMYFUNCTION("""COMPUTED_VALUE"""),"Juson")</f>
        <v>Juson</v>
      </c>
      <c r="E2588" s="1" t="str">
        <f ca="1">IFERROR(__xludf.DUMMYFUNCTION("""COMPUTED_VALUE"""),"Ay wowww! Pathetic. Ang alam lang talaga ay mameke. Tsk tsk tsk!😏🤨")</f>
        <v>Ay wowww! Pathetic. Ang alam lang talaga ay mameke. Tsk tsk tsk!😏🤨</v>
      </c>
      <c r="F2588" s="1">
        <f ca="1">IFERROR(__xludf.DUMMYFUNCTION("""COMPUTED_VALUE"""),1)</f>
        <v>1</v>
      </c>
      <c r="G2588" s="1" t="str">
        <f ca="1">IFERROR(__xludf.DUMMYFUNCTION("""COMPUTED_VALUE"""),"3 mos")</f>
        <v>3 mos</v>
      </c>
      <c r="H2588" s="1" t="str">
        <f ca="1">IFERROR(__xludf.DUMMYFUNCTION("""COMPUTED_VALUE"""),"comment")</f>
        <v>comment</v>
      </c>
      <c r="I2588" s="2" t="str">
        <f ca="1">IFERROR(__xludf.DUMMYFUNCTION("""COMPUTED_VALUE"""),"https://www.facebook.com/rapplerdotcom/photos/a.317154781638645/5594264657260938/")</f>
        <v>https://www.facebook.com/rapplerdotcom/photos/a.317154781638645/5594264657260938/</v>
      </c>
      <c r="J2588" s="1" t="str">
        <f ca="1">IFERROR(__xludf.DUMMYFUNCTION("""COMPUTED_VALUE"""),"2022-07-04T15:51:46.029Z")</f>
        <v>2022-07-04T15:51:46.029Z</v>
      </c>
    </row>
    <row r="2589" spans="1:10" x14ac:dyDescent="0.2">
      <c r="A2589" s="2" t="str">
        <f ca="1">IFERROR(__xludf.DUMMYFUNCTION("""COMPUTED_VALUE"""),"https://www.facebook.com/venass.mercado.1")</f>
        <v>https://www.facebook.com/venass.mercado.1</v>
      </c>
      <c r="B2589" s="1" t="str">
        <f ca="1">IFERROR(__xludf.DUMMYFUNCTION("""COMPUTED_VALUE"""),"Venass Mercado")</f>
        <v>Venass Mercado</v>
      </c>
      <c r="C2589" s="1" t="str">
        <f ca="1">IFERROR(__xludf.DUMMYFUNCTION("""COMPUTED_VALUE"""),"Venass")</f>
        <v>Venass</v>
      </c>
      <c r="D2589" s="1" t="str">
        <f ca="1">IFERROR(__xludf.DUMMYFUNCTION("""COMPUTED_VALUE"""),"Mercado")</f>
        <v>Mercado</v>
      </c>
      <c r="E2589" s="1" t="str">
        <f ca="1">IFERROR(__xludf.DUMMYFUNCTION("""COMPUTED_VALUE"""),"Tapossssas ang laban, MAY NANALO NA!")</f>
        <v>Tapossssas ang laban, MAY NANALO NA!</v>
      </c>
      <c r="F2589" s="1"/>
      <c r="G2589" s="1" t="str">
        <f ca="1">IFERROR(__xludf.DUMMYFUNCTION("""COMPUTED_VALUE"""),"3 mos")</f>
        <v>3 mos</v>
      </c>
      <c r="H2589" s="1" t="str">
        <f ca="1">IFERROR(__xludf.DUMMYFUNCTION("""COMPUTED_VALUE"""),"comment")</f>
        <v>comment</v>
      </c>
      <c r="I2589" s="2" t="str">
        <f ca="1">IFERROR(__xludf.DUMMYFUNCTION("""COMPUTED_VALUE"""),"https://www.facebook.com/rapplerdotcom/photos/a.317154781638645/5594264657260938/")</f>
        <v>https://www.facebook.com/rapplerdotcom/photos/a.317154781638645/5594264657260938/</v>
      </c>
      <c r="J2589" s="1" t="str">
        <f ca="1">IFERROR(__xludf.DUMMYFUNCTION("""COMPUTED_VALUE"""),"2022-07-04T15:51:46.029Z")</f>
        <v>2022-07-04T15:51:46.029Z</v>
      </c>
    </row>
    <row r="2590" spans="1:10" x14ac:dyDescent="0.2">
      <c r="A2590" s="2" t="str">
        <f ca="1">IFERROR(__xludf.DUMMYFUNCTION("""COMPUTED_VALUE"""),"https://www.facebook.com/aj.dadivas.7")</f>
        <v>https://www.facebook.com/aj.dadivas.7</v>
      </c>
      <c r="B2590" s="1" t="str">
        <f ca="1">IFERROR(__xludf.DUMMYFUNCTION("""COMPUTED_VALUE"""),"Allyn Joy Dadivas")</f>
        <v>Allyn Joy Dadivas</v>
      </c>
      <c r="C2590" s="1" t="str">
        <f ca="1">IFERROR(__xludf.DUMMYFUNCTION("""COMPUTED_VALUE"""),"Allyn")</f>
        <v>Allyn</v>
      </c>
      <c r="D2590" s="1" t="str">
        <f ca="1">IFERROR(__xludf.DUMMYFUNCTION("""COMPUTED_VALUE"""),"Joy Dadivas")</f>
        <v>Joy Dadivas</v>
      </c>
      <c r="E2590" s="1" t="str">
        <f ca="1">IFERROR(__xludf.DUMMYFUNCTION("""COMPUTED_VALUE"""),"Ginagawa nyo? Sana okay pa kayo.. lahat na lng gagawin para sa pamemeke.. 🤦🏼‍♀️🤦🏼‍♀️🤦🏼‍♀️🤦🏼‍♀️🤦🏼‍♀️")</f>
        <v>Ginagawa nyo? Sana okay pa kayo.. lahat na lng gagawin para sa pamemeke.. 🤦🏼‍♀️🤦🏼‍♀️🤦🏼‍♀️🤦🏼‍♀️🤦🏼‍♀️</v>
      </c>
      <c r="F2590" s="1">
        <f ca="1">IFERROR(__xludf.DUMMYFUNCTION("""COMPUTED_VALUE"""),1)</f>
        <v>1</v>
      </c>
      <c r="G2590" s="1" t="str">
        <f ca="1">IFERROR(__xludf.DUMMYFUNCTION("""COMPUTED_VALUE"""),"3 mos")</f>
        <v>3 mos</v>
      </c>
      <c r="H2590" s="1" t="str">
        <f ca="1">IFERROR(__xludf.DUMMYFUNCTION("""COMPUTED_VALUE"""),"comment")</f>
        <v>comment</v>
      </c>
      <c r="I2590" s="2" t="str">
        <f ca="1">IFERROR(__xludf.DUMMYFUNCTION("""COMPUTED_VALUE"""),"https://www.facebook.com/rapplerdotcom/photos/a.317154781638645/5594264657260938/")</f>
        <v>https://www.facebook.com/rapplerdotcom/photos/a.317154781638645/5594264657260938/</v>
      </c>
      <c r="J2590" s="1" t="str">
        <f ca="1">IFERROR(__xludf.DUMMYFUNCTION("""COMPUTED_VALUE"""),"2022-07-04T15:51:46.029Z")</f>
        <v>2022-07-04T15:51:46.029Z</v>
      </c>
    </row>
    <row r="2591" spans="1:10" x14ac:dyDescent="0.2">
      <c r="A2591" s="2" t="str">
        <f ca="1">IFERROR(__xludf.DUMMYFUNCTION("""COMPUTED_VALUE"""),"https://www.facebook.com/russel.hade")</f>
        <v>https://www.facebook.com/russel.hade</v>
      </c>
      <c r="B2591" s="1" t="str">
        <f ca="1">IFERROR(__xludf.DUMMYFUNCTION("""COMPUTED_VALUE"""),"Russel Navarro")</f>
        <v>Russel Navarro</v>
      </c>
      <c r="C2591" s="1" t="str">
        <f ca="1">IFERROR(__xludf.DUMMYFUNCTION("""COMPUTED_VALUE"""),"Russel")</f>
        <v>Russel</v>
      </c>
      <c r="D2591" s="1" t="str">
        <f ca="1">IFERROR(__xludf.DUMMYFUNCTION("""COMPUTED_VALUE"""),"Navarro")</f>
        <v>Navarro</v>
      </c>
      <c r="E2591" s="1" t="str">
        <f ca="1">IFERROR(__xludf.DUMMYFUNCTION("""COMPUTED_VALUE"""),"Mag double time pa po kayo :) Talo na partido nyo 💚❤️")</f>
        <v>Mag double time pa po kayo :) Talo na partido nyo 💚❤️</v>
      </c>
      <c r="F2591" s="1">
        <f ca="1">IFERROR(__xludf.DUMMYFUNCTION("""COMPUTED_VALUE"""),31)</f>
        <v>31</v>
      </c>
      <c r="G2591" s="1" t="str">
        <f ca="1">IFERROR(__xludf.DUMMYFUNCTION("""COMPUTED_VALUE"""),"3 mos")</f>
        <v>3 mos</v>
      </c>
      <c r="H2591" s="1" t="str">
        <f ca="1">IFERROR(__xludf.DUMMYFUNCTION("""COMPUTED_VALUE"""),"comment")</f>
        <v>comment</v>
      </c>
      <c r="I2591" s="2" t="str">
        <f ca="1">IFERROR(__xludf.DUMMYFUNCTION("""COMPUTED_VALUE"""),"https://www.facebook.com/rapplerdotcom/photos/a.317154781638645/5594264657260938/")</f>
        <v>https://www.facebook.com/rapplerdotcom/photos/a.317154781638645/5594264657260938/</v>
      </c>
      <c r="J2591" s="1" t="str">
        <f ca="1">IFERROR(__xludf.DUMMYFUNCTION("""COMPUTED_VALUE"""),"2022-07-04T15:51:46.029Z")</f>
        <v>2022-07-04T15:51:46.029Z</v>
      </c>
    </row>
    <row r="2592" spans="1:10" x14ac:dyDescent="0.2">
      <c r="A2592" s="2" t="str">
        <f ca="1">IFERROR(__xludf.DUMMYFUNCTION("""COMPUTED_VALUE"""),"https://www.facebook.com/fortunato.salas.9")</f>
        <v>https://www.facebook.com/fortunato.salas.9</v>
      </c>
      <c r="B2592" s="1" t="str">
        <f ca="1">IFERROR(__xludf.DUMMYFUNCTION("""COMPUTED_VALUE"""),"Leopoldo Mabilangan")</f>
        <v>Leopoldo Mabilangan</v>
      </c>
      <c r="C2592" s="1" t="str">
        <f ca="1">IFERROR(__xludf.DUMMYFUNCTION("""COMPUTED_VALUE"""),"Leopoldo")</f>
        <v>Leopoldo</v>
      </c>
      <c r="D2592" s="1" t="str">
        <f ca="1">IFERROR(__xludf.DUMMYFUNCTION("""COMPUTED_VALUE"""),"Mabilangan")</f>
        <v>Mabilangan</v>
      </c>
      <c r="E2592" s="1" t="str">
        <f ca="1">IFERROR(__xludf.DUMMYFUNCTION("""COMPUTED_VALUE"""),"Russel Navarro SOLID UNITHIEVES")</f>
        <v>Russel Navarro SOLID UNITHIEVES</v>
      </c>
      <c r="F2592" s="1">
        <f ca="1">IFERROR(__xludf.DUMMYFUNCTION("""COMPUTED_VALUE"""),10)</f>
        <v>10</v>
      </c>
      <c r="G2592" s="1" t="str">
        <f ca="1">IFERROR(__xludf.DUMMYFUNCTION("""COMPUTED_VALUE"""),"3 mos")</f>
        <v>3 mos</v>
      </c>
      <c r="H2592" s="1" t="str">
        <f ca="1">IFERROR(__xludf.DUMMYFUNCTION("""COMPUTED_VALUE"""),"reply")</f>
        <v>reply</v>
      </c>
      <c r="I2592" s="2" t="str">
        <f ca="1">IFERROR(__xludf.DUMMYFUNCTION("""COMPUTED_VALUE"""),"https://www.facebook.com/rapplerdotcom/photos/a.317154781638645/5594264657260938/")</f>
        <v>https://www.facebook.com/rapplerdotcom/photos/a.317154781638645/5594264657260938/</v>
      </c>
      <c r="J2592" s="1" t="str">
        <f ca="1">IFERROR(__xludf.DUMMYFUNCTION("""COMPUTED_VALUE"""),"2022-07-04T15:51:46.029Z")</f>
        <v>2022-07-04T15:51:46.029Z</v>
      </c>
    </row>
    <row r="2593" spans="1:10" x14ac:dyDescent="0.2">
      <c r="A2593" s="2" t="str">
        <f ca="1">IFERROR(__xludf.DUMMYFUNCTION("""COMPUTED_VALUE"""),"https://www.facebook.com/anjadonis11")</f>
        <v>https://www.facebook.com/anjadonis11</v>
      </c>
      <c r="B2593" s="1" t="str">
        <f ca="1">IFERROR(__xludf.DUMMYFUNCTION("""COMPUTED_VALUE"""),"Anjehlla N. Adonis")</f>
        <v>Anjehlla N. Adonis</v>
      </c>
      <c r="C2593" s="1" t="str">
        <f ca="1">IFERROR(__xludf.DUMMYFUNCTION("""COMPUTED_VALUE"""),"Anjehlla")</f>
        <v>Anjehlla</v>
      </c>
      <c r="D2593" s="1" t="str">
        <f ca="1">IFERROR(__xludf.DUMMYFUNCTION("""COMPUTED_VALUE"""),"N. Adonis")</f>
        <v>N. Adonis</v>
      </c>
      <c r="E2593" s="1" t="str">
        <f ca="1">IFERROR(__xludf.DUMMYFUNCTION("""COMPUTED_VALUE"""),"Russel Navarro kala ko si lenlen ang talo?bkt prng kau ang talo kc kau ang desperado?🤣🤣🤣")</f>
        <v>Russel Navarro kala ko si lenlen ang talo?bkt prng kau ang talo kc kau ang desperado?🤣🤣🤣</v>
      </c>
      <c r="F2593" s="1">
        <f ca="1">IFERROR(__xludf.DUMMYFUNCTION("""COMPUTED_VALUE"""),3)</f>
        <v>3</v>
      </c>
      <c r="G2593" s="1" t="str">
        <f ca="1">IFERROR(__xludf.DUMMYFUNCTION("""COMPUTED_VALUE"""),"3 mos")</f>
        <v>3 mos</v>
      </c>
      <c r="H2593" s="1" t="str">
        <f ca="1">IFERROR(__xludf.DUMMYFUNCTION("""COMPUTED_VALUE"""),"reply")</f>
        <v>reply</v>
      </c>
      <c r="I2593" s="2" t="str">
        <f ca="1">IFERROR(__xludf.DUMMYFUNCTION("""COMPUTED_VALUE"""),"https://www.facebook.com/rapplerdotcom/photos/a.317154781638645/5594264657260938/")</f>
        <v>https://www.facebook.com/rapplerdotcom/photos/a.317154781638645/5594264657260938/</v>
      </c>
      <c r="J2593" s="1" t="str">
        <f ca="1">IFERROR(__xludf.DUMMYFUNCTION("""COMPUTED_VALUE"""),"2022-07-04T15:51:46.029Z")</f>
        <v>2022-07-04T15:51:46.029Z</v>
      </c>
    </row>
    <row r="2594" spans="1:10" x14ac:dyDescent="0.2">
      <c r="A2594" s="2" t="str">
        <f ca="1">IFERROR(__xludf.DUMMYFUNCTION("""COMPUTED_VALUE"""),"https://www.facebook.com/louie.m.quidlat")</f>
        <v>https://www.facebook.com/louie.m.quidlat</v>
      </c>
      <c r="B2594" s="1" t="str">
        <f ca="1">IFERROR(__xludf.DUMMYFUNCTION("""COMPUTED_VALUE"""),"Louie Mercaral Quidlat")</f>
        <v>Louie Mercaral Quidlat</v>
      </c>
      <c r="C2594" s="1" t="str">
        <f ca="1">IFERROR(__xludf.DUMMYFUNCTION("""COMPUTED_VALUE"""),"Louie")</f>
        <v>Louie</v>
      </c>
      <c r="D2594" s="1" t="str">
        <f ca="1">IFERROR(__xludf.DUMMYFUNCTION("""COMPUTED_VALUE"""),"Mercaral Quidlat")</f>
        <v>Mercaral Quidlat</v>
      </c>
      <c r="E2594" s="1" t="str">
        <f ca="1">IFERROR(__xludf.DUMMYFUNCTION("""COMPUTED_VALUE"""),"Russel Navarro Aray 🤣🤣🤣")</f>
        <v>Russel Navarro Aray 🤣🤣🤣</v>
      </c>
      <c r="F2594" s="1">
        <f ca="1">IFERROR(__xludf.DUMMYFUNCTION("""COMPUTED_VALUE"""),1)</f>
        <v>1</v>
      </c>
      <c r="G2594" s="1" t="str">
        <f ca="1">IFERROR(__xludf.DUMMYFUNCTION("""COMPUTED_VALUE"""),"3 mos")</f>
        <v>3 mos</v>
      </c>
      <c r="H2594" s="1" t="str">
        <f ca="1">IFERROR(__xludf.DUMMYFUNCTION("""COMPUTED_VALUE"""),"reply")</f>
        <v>reply</v>
      </c>
      <c r="I2594" s="2" t="str">
        <f ca="1">IFERROR(__xludf.DUMMYFUNCTION("""COMPUTED_VALUE"""),"https://www.facebook.com/rapplerdotcom/photos/a.317154781638645/5594264657260938/")</f>
        <v>https://www.facebook.com/rapplerdotcom/photos/a.317154781638645/5594264657260938/</v>
      </c>
      <c r="J2594" s="1" t="str">
        <f ca="1">IFERROR(__xludf.DUMMYFUNCTION("""COMPUTED_VALUE"""),"2022-07-04T15:51:46.029Z")</f>
        <v>2022-07-04T15:51:46.029Z</v>
      </c>
    </row>
    <row r="2595" spans="1:10" x14ac:dyDescent="0.2">
      <c r="A2595" s="2" t="str">
        <f ca="1">IFERROR(__xludf.DUMMYFUNCTION("""COMPUTED_VALUE"""),"https://www.facebook.com/lilian.sunglao")</f>
        <v>https://www.facebook.com/lilian.sunglao</v>
      </c>
      <c r="B2595" s="1" t="str">
        <f ca="1">IFERROR(__xludf.DUMMYFUNCTION("""COMPUTED_VALUE"""),"Lilian Sunglao")</f>
        <v>Lilian Sunglao</v>
      </c>
      <c r="C2595" s="1" t="str">
        <f ca="1">IFERROR(__xludf.DUMMYFUNCTION("""COMPUTED_VALUE"""),"Lilian")</f>
        <v>Lilian</v>
      </c>
      <c r="D2595" s="1" t="str">
        <f ca="1">IFERROR(__xludf.DUMMYFUNCTION("""COMPUTED_VALUE"""),"Sunglao")</f>
        <v>Sunglao</v>
      </c>
      <c r="E2595" s="1" t="str">
        <f ca="1">IFERROR(__xludf.DUMMYFUNCTION("""COMPUTED_VALUE"""),"Russel Navarro pinatunayan lng na unithievs kayo")</f>
        <v>Russel Navarro pinatunayan lng na unithievs kayo</v>
      </c>
      <c r="F2595" s="1">
        <f ca="1">IFERROR(__xludf.DUMMYFUNCTION("""COMPUTED_VALUE"""),3)</f>
        <v>3</v>
      </c>
      <c r="G2595" s="1" t="str">
        <f ca="1">IFERROR(__xludf.DUMMYFUNCTION("""COMPUTED_VALUE"""),"3 mos")</f>
        <v>3 mos</v>
      </c>
      <c r="H2595" s="1" t="str">
        <f ca="1">IFERROR(__xludf.DUMMYFUNCTION("""COMPUTED_VALUE"""),"reply")</f>
        <v>reply</v>
      </c>
      <c r="I2595" s="2" t="str">
        <f ca="1">IFERROR(__xludf.DUMMYFUNCTION("""COMPUTED_VALUE"""),"https://www.facebook.com/rapplerdotcom/photos/a.317154781638645/5594264657260938/")</f>
        <v>https://www.facebook.com/rapplerdotcom/photos/a.317154781638645/5594264657260938/</v>
      </c>
      <c r="J2595" s="1" t="str">
        <f ca="1">IFERROR(__xludf.DUMMYFUNCTION("""COMPUTED_VALUE"""),"2022-07-04T15:51:46.029Z")</f>
        <v>2022-07-04T15:51:46.029Z</v>
      </c>
    </row>
    <row r="2596" spans="1:10" x14ac:dyDescent="0.2">
      <c r="A2596" s="2" t="str">
        <f ca="1">IFERROR(__xludf.DUMMYFUNCTION("""COMPUTED_VALUE"""),"https://www.facebook.com/eugine.flores.5")</f>
        <v>https://www.facebook.com/eugine.flores.5</v>
      </c>
      <c r="B2596" s="1" t="str">
        <f ca="1">IFERROR(__xludf.DUMMYFUNCTION("""COMPUTED_VALUE"""),"Bigo Sa Pag Ibig")</f>
        <v>Bigo Sa Pag Ibig</v>
      </c>
      <c r="C2596" s="1" t="str">
        <f ca="1">IFERROR(__xludf.DUMMYFUNCTION("""COMPUTED_VALUE"""),"Bigo")</f>
        <v>Bigo</v>
      </c>
      <c r="D2596" s="1" t="str">
        <f ca="1">IFERROR(__xludf.DUMMYFUNCTION("""COMPUTED_VALUE"""),"Sa Pag Ibig")</f>
        <v>Sa Pag Ibig</v>
      </c>
      <c r="E2596" s="1" t="str">
        <f ca="1">IFERROR(__xludf.DUMMYFUNCTION("""COMPUTED_VALUE"""),"Doon tyo sa mkabago...gising na kyo sa ktotohanan DUTERTE administration kawawa tyong mga mahihrap...laging may patayan khit wlang ka laban2x ang tao kya bkit pa tyo bablik sa gnun systema")</f>
        <v>Doon tyo sa mkabago...gising na kyo sa ktotohanan DUTERTE administration kawawa tyong mga mahihrap...laging may patayan khit wlang ka laban2x ang tao kya bkit pa tyo bablik sa gnun systema</v>
      </c>
      <c r="F2596" s="1">
        <f ca="1">IFERROR(__xludf.DUMMYFUNCTION("""COMPUTED_VALUE"""),7)</f>
        <v>7</v>
      </c>
      <c r="G2596" s="1" t="str">
        <f ca="1">IFERROR(__xludf.DUMMYFUNCTION("""COMPUTED_VALUE"""),"3 mos")</f>
        <v>3 mos</v>
      </c>
      <c r="H2596" s="1" t="str">
        <f ca="1">IFERROR(__xludf.DUMMYFUNCTION("""COMPUTED_VALUE"""),"comment")</f>
        <v>comment</v>
      </c>
      <c r="I2596" s="2" t="str">
        <f ca="1">IFERROR(__xludf.DUMMYFUNCTION("""COMPUTED_VALUE"""),"https://www.facebook.com/rapplerdotcom/photos/a.317154781638645/5594264657260938/")</f>
        <v>https://www.facebook.com/rapplerdotcom/photos/a.317154781638645/5594264657260938/</v>
      </c>
      <c r="J2596" s="1" t="str">
        <f ca="1">IFERROR(__xludf.DUMMYFUNCTION("""COMPUTED_VALUE"""),"2022-07-04T15:51:46.029Z")</f>
        <v>2022-07-04T15:51:46.029Z</v>
      </c>
    </row>
    <row r="2597" spans="1:10" x14ac:dyDescent="0.2">
      <c r="A2597" s="2" t="str">
        <f ca="1">IFERROR(__xludf.DUMMYFUNCTION("""COMPUTED_VALUE"""),"https://www.facebook.com/reniel.carandang.56")</f>
        <v>https://www.facebook.com/reniel.carandang.56</v>
      </c>
      <c r="B2597" s="1" t="str">
        <f ca="1">IFERROR(__xludf.DUMMYFUNCTION("""COMPUTED_VALUE"""),"Renato Carandang")</f>
        <v>Renato Carandang</v>
      </c>
      <c r="C2597" s="1" t="str">
        <f ca="1">IFERROR(__xludf.DUMMYFUNCTION("""COMPUTED_VALUE"""),"Renato")</f>
        <v>Renato</v>
      </c>
      <c r="D2597" s="1" t="str">
        <f ca="1">IFERROR(__xludf.DUMMYFUNCTION("""COMPUTED_VALUE"""),"Carandang")</f>
        <v>Carandang</v>
      </c>
      <c r="E2597" s="1" t="str">
        <f ca="1">IFERROR(__xludf.DUMMYFUNCTION("""COMPUTED_VALUE"""),"Bigo Sa Pag Ibig gumising ka katotohan  wlang bansa ang wlang nagpapatayan dito sa mundo laging magulo at may patayan wlang kapayapan")</f>
        <v>Bigo Sa Pag Ibig gumising ka katotohan  wlang bansa ang wlang nagpapatayan dito sa mundo laging magulo at may patayan wlang kapayapan</v>
      </c>
      <c r="F2597" s="1"/>
      <c r="G2597" s="1" t="str">
        <f ca="1">IFERROR(__xludf.DUMMYFUNCTION("""COMPUTED_VALUE"""),"3 mos")</f>
        <v>3 mos</v>
      </c>
      <c r="H2597" s="1" t="str">
        <f ca="1">IFERROR(__xludf.DUMMYFUNCTION("""COMPUTED_VALUE"""),"reply")</f>
        <v>reply</v>
      </c>
      <c r="I2597" s="2" t="str">
        <f ca="1">IFERROR(__xludf.DUMMYFUNCTION("""COMPUTED_VALUE"""),"https://www.facebook.com/rapplerdotcom/photos/a.317154781638645/5594264657260938/")</f>
        <v>https://www.facebook.com/rapplerdotcom/photos/a.317154781638645/5594264657260938/</v>
      </c>
      <c r="J2597" s="1" t="str">
        <f ca="1">IFERROR(__xludf.DUMMYFUNCTION("""COMPUTED_VALUE"""),"2022-07-04T15:51:46.029Z")</f>
        <v>2022-07-04T15:51:46.029Z</v>
      </c>
    </row>
    <row r="2598" spans="1:10" x14ac:dyDescent="0.2">
      <c r="A2598" s="2" t="str">
        <f ca="1">IFERROR(__xludf.DUMMYFUNCTION("""COMPUTED_VALUE"""),"https://www.facebook.com/gemrose.rescobactol")</f>
        <v>https://www.facebook.com/gemrose.rescobactol</v>
      </c>
      <c r="B2598" s="1" t="str">
        <f ca="1">IFERROR(__xludf.DUMMYFUNCTION("""COMPUTED_VALUE"""),"Gemrose Resco Bactol")</f>
        <v>Gemrose Resco Bactol</v>
      </c>
      <c r="C2598" s="1" t="str">
        <f ca="1">IFERROR(__xludf.DUMMYFUNCTION("""COMPUTED_VALUE"""),"Gemrose")</f>
        <v>Gemrose</v>
      </c>
      <c r="D2598" s="1" t="str">
        <f ca="1">IFERROR(__xludf.DUMMYFUNCTION("""COMPUTED_VALUE"""),"Resco Bactol")</f>
        <v>Resco Bactol</v>
      </c>
      <c r="E2598" s="1" t="str">
        <f ca="1">IFERROR(__xludf.DUMMYFUNCTION("""COMPUTED_VALUE"""),"Bigo Sa Pag Ibig kawawa ka naman kung ganyan ka Magisip")</f>
        <v>Bigo Sa Pag Ibig kawawa ka naman kung ganyan ka Magisip</v>
      </c>
      <c r="F2598" s="1"/>
      <c r="G2598" s="1" t="str">
        <f ca="1">IFERROR(__xludf.DUMMYFUNCTION("""COMPUTED_VALUE"""),"3 mos")</f>
        <v>3 mos</v>
      </c>
      <c r="H2598" s="1" t="str">
        <f ca="1">IFERROR(__xludf.DUMMYFUNCTION("""COMPUTED_VALUE"""),"reply")</f>
        <v>reply</v>
      </c>
      <c r="I2598" s="2" t="str">
        <f ca="1">IFERROR(__xludf.DUMMYFUNCTION("""COMPUTED_VALUE"""),"https://www.facebook.com/rapplerdotcom/photos/a.317154781638645/5594264657260938/")</f>
        <v>https://www.facebook.com/rapplerdotcom/photos/a.317154781638645/5594264657260938/</v>
      </c>
      <c r="J2598" s="1" t="str">
        <f ca="1">IFERROR(__xludf.DUMMYFUNCTION("""COMPUTED_VALUE"""),"2022-07-04T15:51:46.029Z")</f>
        <v>2022-07-04T15:51:46.029Z</v>
      </c>
    </row>
    <row r="2599" spans="1:10" x14ac:dyDescent="0.2">
      <c r="A2599" s="2" t="str">
        <f ca="1">IFERROR(__xludf.DUMMYFUNCTION("""COMPUTED_VALUE"""),"https://www.facebook.com/ebucayan")</f>
        <v>https://www.facebook.com/ebucayan</v>
      </c>
      <c r="B2599" s="1" t="str">
        <f ca="1">IFERROR(__xludf.DUMMYFUNCTION("""COMPUTED_VALUE"""),"Elvie Bucayan")</f>
        <v>Elvie Bucayan</v>
      </c>
      <c r="C2599" s="1" t="str">
        <f ca="1">IFERROR(__xludf.DUMMYFUNCTION("""COMPUTED_VALUE"""),"Elvie")</f>
        <v>Elvie</v>
      </c>
      <c r="D2599" s="1" t="str">
        <f ca="1">IFERROR(__xludf.DUMMYFUNCTION("""COMPUTED_VALUE"""),"Bucayan")</f>
        <v>Bucayan</v>
      </c>
      <c r="E2599" s="1" t="str">
        <f ca="1">IFERROR(__xludf.DUMMYFUNCTION("""COMPUTED_VALUE"""),"Punta ka sa sky doon walang patay … Hahaha or sa ibang planeta doon walang nakatira kaya walang patayan bugak ..")</f>
        <v>Punta ka sa sky doon walang patay … Hahaha or sa ibang planeta doon walang nakatira kaya walang patayan bugak ..</v>
      </c>
      <c r="F2599" s="1"/>
      <c r="G2599" s="1" t="str">
        <f ca="1">IFERROR(__xludf.DUMMYFUNCTION("""COMPUTED_VALUE"""),"3 mos")</f>
        <v>3 mos</v>
      </c>
      <c r="H2599" s="1" t="str">
        <f ca="1">IFERROR(__xludf.DUMMYFUNCTION("""COMPUTED_VALUE"""),"reply")</f>
        <v>reply</v>
      </c>
      <c r="I2599" s="2" t="str">
        <f ca="1">IFERROR(__xludf.DUMMYFUNCTION("""COMPUTED_VALUE"""),"https://www.facebook.com/rapplerdotcom/photos/a.317154781638645/5594264657260938/")</f>
        <v>https://www.facebook.com/rapplerdotcom/photos/a.317154781638645/5594264657260938/</v>
      </c>
      <c r="J2599" s="1" t="str">
        <f ca="1">IFERROR(__xludf.DUMMYFUNCTION("""COMPUTED_VALUE"""),"2022-07-04T15:51:46.029Z")</f>
        <v>2022-07-04T15:51:46.029Z</v>
      </c>
    </row>
    <row r="2600" spans="1:10" x14ac:dyDescent="0.2">
      <c r="A2600" s="2" t="str">
        <f ca="1">IFERROR(__xludf.DUMMYFUNCTION("""COMPUTED_VALUE"""),"https://www.facebook.com/liza.smmercado")</f>
        <v>https://www.facebook.com/liza.smmercado</v>
      </c>
      <c r="B2600" s="1" t="str">
        <f ca="1">IFERROR(__xludf.DUMMYFUNCTION("""COMPUTED_VALUE"""),"ディリザ フロルディリザ")</f>
        <v>ディリザ フロルディリザ</v>
      </c>
      <c r="C2600" s="1" t="str">
        <f ca="1">IFERROR(__xludf.DUMMYFUNCTION("""COMPUTED_VALUE"""),"ディリザ")</f>
        <v>ディリザ</v>
      </c>
      <c r="D2600" s="1" t="str">
        <f ca="1">IFERROR(__xludf.DUMMYFUNCTION("""COMPUTED_VALUE"""),"フロルディリザ")</f>
        <v>フロルディリザ</v>
      </c>
      <c r="E2600" s="1" t="str">
        <f ca="1">IFERROR(__xludf.DUMMYFUNCTION("""COMPUTED_VALUE"""),"Wala ng ttoo sa kanila kampanya nila lahat pammeke!😅😅😅")</f>
        <v>Wala ng ttoo sa kanila kampanya nila lahat pammeke!😅😅😅</v>
      </c>
      <c r="F2600" s="1"/>
      <c r="G2600" s="1" t="str">
        <f ca="1">IFERROR(__xludf.DUMMYFUNCTION("""COMPUTED_VALUE"""),"3 mos")</f>
        <v>3 mos</v>
      </c>
      <c r="H2600" s="1" t="str">
        <f ca="1">IFERROR(__xludf.DUMMYFUNCTION("""COMPUTED_VALUE"""),"comment")</f>
        <v>comment</v>
      </c>
      <c r="I2600" s="2" t="str">
        <f ca="1">IFERROR(__xludf.DUMMYFUNCTION("""COMPUTED_VALUE"""),"https://www.facebook.com/rapplerdotcom/photos/a.317154781638645/5594264657260938/")</f>
        <v>https://www.facebook.com/rapplerdotcom/photos/a.317154781638645/5594264657260938/</v>
      </c>
      <c r="J2600" s="1" t="str">
        <f ca="1">IFERROR(__xludf.DUMMYFUNCTION("""COMPUTED_VALUE"""),"2022-07-04T15:51:46.029Z")</f>
        <v>2022-07-04T15:51:46.029Z</v>
      </c>
    </row>
    <row r="2601" spans="1:10" x14ac:dyDescent="0.2">
      <c r="A2601" s="2" t="str">
        <f ca="1">IFERROR(__xludf.DUMMYFUNCTION("""COMPUTED_VALUE"""),"https://www.facebook.com/profile.php?id=100075263366177")</f>
        <v>https://www.facebook.com/profile.php?id=100075263366177</v>
      </c>
      <c r="B2601" s="1" t="str">
        <f ca="1">IFERROR(__xludf.DUMMYFUNCTION("""COMPUTED_VALUE"""),"Ebeth Quinto")</f>
        <v>Ebeth Quinto</v>
      </c>
      <c r="C2601" s="1" t="str">
        <f ca="1">IFERROR(__xludf.DUMMYFUNCTION("""COMPUTED_VALUE"""),"Ebeth")</f>
        <v>Ebeth</v>
      </c>
      <c r="D2601" s="1" t="str">
        <f ca="1">IFERROR(__xludf.DUMMYFUNCTION("""COMPUTED_VALUE"""),"Quinto")</f>
        <v>Quinto</v>
      </c>
      <c r="E2601" s="1" t="str">
        <f ca="1">IFERROR(__xludf.DUMMYFUNCTION("""COMPUTED_VALUE"""),"Mahirap magkaroon ng pekeng Presidente ang Gawain.")</f>
        <v>Mahirap magkaroon ng pekeng Presidente ang Gawain.</v>
      </c>
      <c r="F2601" s="1">
        <f ca="1">IFERROR(__xludf.DUMMYFUNCTION("""COMPUTED_VALUE"""),4)</f>
        <v>4</v>
      </c>
      <c r="G2601" s="1" t="str">
        <f ca="1">IFERROR(__xludf.DUMMYFUNCTION("""COMPUTED_VALUE"""),"3 mos")</f>
        <v>3 mos</v>
      </c>
      <c r="H2601" s="1" t="str">
        <f ca="1">IFERROR(__xludf.DUMMYFUNCTION("""COMPUTED_VALUE"""),"comment")</f>
        <v>comment</v>
      </c>
      <c r="I2601" s="2" t="str">
        <f ca="1">IFERROR(__xludf.DUMMYFUNCTION("""COMPUTED_VALUE"""),"https://www.facebook.com/rapplerdotcom/photos/a.317154781638645/5594264657260938/")</f>
        <v>https://www.facebook.com/rapplerdotcom/photos/a.317154781638645/5594264657260938/</v>
      </c>
      <c r="J2601" s="1" t="str">
        <f ca="1">IFERROR(__xludf.DUMMYFUNCTION("""COMPUTED_VALUE"""),"2022-07-04T15:51:46.029Z")</f>
        <v>2022-07-04T15:51:46.029Z</v>
      </c>
    </row>
    <row r="2602" spans="1:10" x14ac:dyDescent="0.2">
      <c r="A2602" s="2" t="str">
        <f ca="1">IFERROR(__xludf.DUMMYFUNCTION("""COMPUTED_VALUE"""),"https://www.facebook.com/cydrex.bernabe.7")</f>
        <v>https://www.facebook.com/cydrex.bernabe.7</v>
      </c>
      <c r="B2602" s="1" t="str">
        <f ca="1">IFERROR(__xludf.DUMMYFUNCTION("""COMPUTED_VALUE"""),"Cydrex Bernabe")</f>
        <v>Cydrex Bernabe</v>
      </c>
      <c r="C2602" s="1" t="str">
        <f ca="1">IFERROR(__xludf.DUMMYFUNCTION("""COMPUTED_VALUE"""),"Cydrex")</f>
        <v>Cydrex</v>
      </c>
      <c r="D2602" s="1" t="str">
        <f ca="1">IFERROR(__xludf.DUMMYFUNCTION("""COMPUTED_VALUE"""),"Bernabe")</f>
        <v>Bernabe</v>
      </c>
      <c r="E2602" s="1" t="str">
        <f ca="1">IFERROR(__xludf.DUMMYFUNCTION("""COMPUTED_VALUE"""),"Ebeth Quinto dahil simula nong naging VP palang peke na")</f>
        <v>Ebeth Quinto dahil simula nong naging VP palang peke na</v>
      </c>
      <c r="F2602" s="1">
        <f ca="1">IFERROR(__xludf.DUMMYFUNCTION("""COMPUTED_VALUE"""),3)</f>
        <v>3</v>
      </c>
      <c r="G2602" s="1" t="str">
        <f ca="1">IFERROR(__xludf.DUMMYFUNCTION("""COMPUTED_VALUE"""),"3 mos")</f>
        <v>3 mos</v>
      </c>
      <c r="H2602" s="1" t="str">
        <f ca="1">IFERROR(__xludf.DUMMYFUNCTION("""COMPUTED_VALUE"""),"reply")</f>
        <v>reply</v>
      </c>
      <c r="I2602" s="2" t="str">
        <f ca="1">IFERROR(__xludf.DUMMYFUNCTION("""COMPUTED_VALUE"""),"https://www.facebook.com/rapplerdotcom/photos/a.317154781638645/5594264657260938/")</f>
        <v>https://www.facebook.com/rapplerdotcom/photos/a.317154781638645/5594264657260938/</v>
      </c>
      <c r="J2602" s="1" t="str">
        <f ca="1">IFERROR(__xludf.DUMMYFUNCTION("""COMPUTED_VALUE"""),"2022-07-04T15:51:46.029Z")</f>
        <v>2022-07-04T15:51:46.029Z</v>
      </c>
    </row>
    <row r="2603" spans="1:10" x14ac:dyDescent="0.2">
      <c r="A2603" s="2" t="str">
        <f ca="1">IFERROR(__xludf.DUMMYFUNCTION("""COMPUTED_VALUE"""),"https://www.facebook.com/dhailyn.serrano")</f>
        <v>https://www.facebook.com/dhailyn.serrano</v>
      </c>
      <c r="B2603" s="1" t="str">
        <f ca="1">IFERROR(__xludf.DUMMYFUNCTION("""COMPUTED_VALUE"""),"Lyn Serrano")</f>
        <v>Lyn Serrano</v>
      </c>
      <c r="C2603" s="1" t="str">
        <f ca="1">IFERROR(__xludf.DUMMYFUNCTION("""COMPUTED_VALUE"""),"Lyn")</f>
        <v>Lyn</v>
      </c>
      <c r="D2603" s="1" t="str">
        <f ca="1">IFERROR(__xludf.DUMMYFUNCTION("""COMPUTED_VALUE"""),"Serrano")</f>
        <v>Serrano</v>
      </c>
      <c r="E2603" s="1" t="str">
        <f ca="1">IFERROR(__xludf.DUMMYFUNCTION("""COMPUTED_VALUE"""),"Cydrex Bernabe true")</f>
        <v>Cydrex Bernabe true</v>
      </c>
      <c r="F2603" s="1">
        <f ca="1">IFERROR(__xludf.DUMMYFUNCTION("""COMPUTED_VALUE"""),1)</f>
        <v>1</v>
      </c>
      <c r="G2603" s="1" t="str">
        <f ca="1">IFERROR(__xludf.DUMMYFUNCTION("""COMPUTED_VALUE"""),"3 mos")</f>
        <v>3 mos</v>
      </c>
      <c r="H2603" s="1" t="str">
        <f ca="1">IFERROR(__xludf.DUMMYFUNCTION("""COMPUTED_VALUE"""),"reply")</f>
        <v>reply</v>
      </c>
      <c r="I2603" s="2" t="str">
        <f ca="1">IFERROR(__xludf.DUMMYFUNCTION("""COMPUTED_VALUE"""),"https://www.facebook.com/rapplerdotcom/photos/a.317154781638645/5594264657260938/")</f>
        <v>https://www.facebook.com/rapplerdotcom/photos/a.317154781638645/5594264657260938/</v>
      </c>
      <c r="J2603" s="1" t="str">
        <f ca="1">IFERROR(__xludf.DUMMYFUNCTION("""COMPUTED_VALUE"""),"2022-07-04T15:51:46.029Z")</f>
        <v>2022-07-04T15:51:46.029Z</v>
      </c>
    </row>
    <row r="2604" spans="1:10" x14ac:dyDescent="0.2">
      <c r="A2604" s="2" t="str">
        <f ca="1">IFERROR(__xludf.DUMMYFUNCTION("""COMPUTED_VALUE"""),"https://www.facebook.com/profile.php?id=100057086594248")</f>
        <v>https://www.facebook.com/profile.php?id=100057086594248</v>
      </c>
      <c r="B2604" s="1" t="str">
        <f ca="1">IFERROR(__xludf.DUMMYFUNCTION("""COMPUTED_VALUE"""),"Jay Riofrio Alvarez")</f>
        <v>Jay Riofrio Alvarez</v>
      </c>
      <c r="C2604" s="1" t="str">
        <f ca="1">IFERROR(__xludf.DUMMYFUNCTION("""COMPUTED_VALUE"""),"Jay")</f>
        <v>Jay</v>
      </c>
      <c r="D2604" s="1" t="str">
        <f ca="1">IFERROR(__xludf.DUMMYFUNCTION("""COMPUTED_VALUE"""),"Riofrio Alvarez")</f>
        <v>Riofrio Alvarez</v>
      </c>
      <c r="E2604" s="1" t="str">
        <f ca="1">IFERROR(__xludf.DUMMYFUNCTION("""COMPUTED_VALUE"""),"Cydrex Bernabe burn haha")</f>
        <v>Cydrex Bernabe burn haha</v>
      </c>
      <c r="F2604" s="1"/>
      <c r="G2604" s="1" t="str">
        <f ca="1">IFERROR(__xludf.DUMMYFUNCTION("""COMPUTED_VALUE"""),"3 mos")</f>
        <v>3 mos</v>
      </c>
      <c r="H2604" s="1" t="str">
        <f ca="1">IFERROR(__xludf.DUMMYFUNCTION("""COMPUTED_VALUE"""),"reply")</f>
        <v>reply</v>
      </c>
      <c r="I2604" s="2" t="str">
        <f ca="1">IFERROR(__xludf.DUMMYFUNCTION("""COMPUTED_VALUE"""),"https://www.facebook.com/rapplerdotcom/photos/a.317154781638645/5594264657260938/")</f>
        <v>https://www.facebook.com/rapplerdotcom/photos/a.317154781638645/5594264657260938/</v>
      </c>
      <c r="J2604" s="1" t="str">
        <f ca="1">IFERROR(__xludf.DUMMYFUNCTION("""COMPUTED_VALUE"""),"2022-07-04T15:51:46.029Z")</f>
        <v>2022-07-04T15:51:46.029Z</v>
      </c>
    </row>
    <row r="2605" spans="1:10" x14ac:dyDescent="0.2">
      <c r="A2605" s="2" t="str">
        <f ca="1">IFERROR(__xludf.DUMMYFUNCTION("""COMPUTED_VALUE"""),"https://www.facebook.com/lorenza.ito.33")</f>
        <v>https://www.facebook.com/lorenza.ito.33</v>
      </c>
      <c r="B2605" s="1" t="str">
        <f ca="1">IFERROR(__xludf.DUMMYFUNCTION("""COMPUTED_VALUE"""),"Lorenza Ito")</f>
        <v>Lorenza Ito</v>
      </c>
      <c r="C2605" s="1" t="str">
        <f ca="1">IFERROR(__xludf.DUMMYFUNCTION("""COMPUTED_VALUE"""),"Lorenza")</f>
        <v>Lorenza</v>
      </c>
      <c r="D2605" s="1" t="str">
        <f ca="1">IFERROR(__xludf.DUMMYFUNCTION("""COMPUTED_VALUE"""),"Ito")</f>
        <v>Ito</v>
      </c>
      <c r="E2605" s="1" t="str">
        <f ca="1">IFERROR(__xludf.DUMMYFUNCTION("""COMPUTED_VALUE"""),"Suporter sya hindi sya ang sound track ng team..bagong bayan ang sound track.")</f>
        <v>Suporter sya hindi sya ang sound track ng team..bagong bayan ang sound track.</v>
      </c>
      <c r="F2605" s="1"/>
      <c r="G2605" s="1" t="str">
        <f ca="1">IFERROR(__xludf.DUMMYFUNCTION("""COMPUTED_VALUE"""),"3 mos")</f>
        <v>3 mos</v>
      </c>
      <c r="H2605" s="1" t="str">
        <f ca="1">IFERROR(__xludf.DUMMYFUNCTION("""COMPUTED_VALUE"""),"comment")</f>
        <v>comment</v>
      </c>
      <c r="I2605" s="2" t="str">
        <f ca="1">IFERROR(__xludf.DUMMYFUNCTION("""COMPUTED_VALUE"""),"https://www.facebook.com/rapplerdotcom/photos/a.317154781638645/5594264657260938/")</f>
        <v>https://www.facebook.com/rapplerdotcom/photos/a.317154781638645/5594264657260938/</v>
      </c>
      <c r="J2605" s="1" t="str">
        <f ca="1">IFERROR(__xludf.DUMMYFUNCTION("""COMPUTED_VALUE"""),"2022-07-04T15:51:46.029Z")</f>
        <v>2022-07-04T15:51:46.029Z</v>
      </c>
    </row>
    <row r="2606" spans="1:10" x14ac:dyDescent="0.2">
      <c r="A2606" s="2" t="str">
        <f ca="1">IFERROR(__xludf.DUMMYFUNCTION("""COMPUTED_VALUE"""),"https://www.facebook.com/vivien.griego")</f>
        <v>https://www.facebook.com/vivien.griego</v>
      </c>
      <c r="B2606" s="1" t="str">
        <f ca="1">IFERROR(__xludf.DUMMYFUNCTION("""COMPUTED_VALUE"""),"Rachel Vivien Griego")</f>
        <v>Rachel Vivien Griego</v>
      </c>
      <c r="C2606" s="1" t="str">
        <f ca="1">IFERROR(__xludf.DUMMYFUNCTION("""COMPUTED_VALUE"""),"Rachel")</f>
        <v>Rachel</v>
      </c>
      <c r="D2606" s="1" t="str">
        <f ca="1">IFERROR(__xludf.DUMMYFUNCTION("""COMPUTED_VALUE"""),"Vivien Griego")</f>
        <v>Vivien Griego</v>
      </c>
      <c r="E2606" s="1" t="str">
        <f ca="1">IFERROR(__xludf.DUMMYFUNCTION("""COMPUTED_VALUE"""),"Bakit gan’yan ang mga supporter ng UniTeam?")</f>
        <v>Bakit gan’yan ang mga supporter ng UniTeam?</v>
      </c>
      <c r="F2606" s="1">
        <f ca="1">IFERROR(__xludf.DUMMYFUNCTION("""COMPUTED_VALUE"""),3)</f>
        <v>3</v>
      </c>
      <c r="G2606" s="1" t="str">
        <f ca="1">IFERROR(__xludf.DUMMYFUNCTION("""COMPUTED_VALUE"""),"3 mos")</f>
        <v>3 mos</v>
      </c>
      <c r="H2606" s="1" t="str">
        <f ca="1">IFERROR(__xludf.DUMMYFUNCTION("""COMPUTED_VALUE"""),"comment")</f>
        <v>comment</v>
      </c>
      <c r="I2606" s="2" t="str">
        <f ca="1">IFERROR(__xludf.DUMMYFUNCTION("""COMPUTED_VALUE"""),"https://www.facebook.com/rapplerdotcom/photos/a.317154781638645/5594264657260938/")</f>
        <v>https://www.facebook.com/rapplerdotcom/photos/a.317154781638645/5594264657260938/</v>
      </c>
      <c r="J2606" s="1" t="str">
        <f ca="1">IFERROR(__xludf.DUMMYFUNCTION("""COMPUTED_VALUE"""),"2022-07-04T15:51:46.029Z")</f>
        <v>2022-07-04T15:51:46.029Z</v>
      </c>
    </row>
    <row r="2607" spans="1:10" x14ac:dyDescent="0.2">
      <c r="A2607" s="2" t="str">
        <f ca="1">IFERROR(__xludf.DUMMYFUNCTION("""COMPUTED_VALUE"""),"https://www.facebook.com/nick.codico.5")</f>
        <v>https://www.facebook.com/nick.codico.5</v>
      </c>
      <c r="B2607" s="1" t="str">
        <f ca="1">IFERROR(__xludf.DUMMYFUNCTION("""COMPUTED_VALUE"""),"Nick Codico")</f>
        <v>Nick Codico</v>
      </c>
      <c r="C2607" s="1" t="str">
        <f ca="1">IFERROR(__xludf.DUMMYFUNCTION("""COMPUTED_VALUE"""),"Nick")</f>
        <v>Nick</v>
      </c>
      <c r="D2607" s="1" t="str">
        <f ca="1">IFERROR(__xludf.DUMMYFUNCTION("""COMPUTED_VALUE"""),"Codico")</f>
        <v>Codico</v>
      </c>
      <c r="E2607" s="1" t="str">
        <f ca="1">IFERROR(__xludf.DUMMYFUNCTION("""COMPUTED_VALUE"""),"Mahigpit ang pangangailangan ni Andrew...")</f>
        <v>Mahigpit ang pangangailangan ni Andrew...</v>
      </c>
      <c r="F2607" s="1">
        <f ca="1">IFERROR(__xludf.DUMMYFUNCTION("""COMPUTED_VALUE"""),5)</f>
        <v>5</v>
      </c>
      <c r="G2607" s="1" t="str">
        <f ca="1">IFERROR(__xludf.DUMMYFUNCTION("""COMPUTED_VALUE"""),"3 mos")</f>
        <v>3 mos</v>
      </c>
      <c r="H2607" s="1" t="str">
        <f ca="1">IFERROR(__xludf.DUMMYFUNCTION("""COMPUTED_VALUE"""),"comment")</f>
        <v>comment</v>
      </c>
      <c r="I2607" s="2" t="str">
        <f ca="1">IFERROR(__xludf.DUMMYFUNCTION("""COMPUTED_VALUE"""),"https://www.facebook.com/rapplerdotcom/photos/a.317154781638645/5594264657260938/")</f>
        <v>https://www.facebook.com/rapplerdotcom/photos/a.317154781638645/5594264657260938/</v>
      </c>
      <c r="J2607" s="1" t="str">
        <f ca="1">IFERROR(__xludf.DUMMYFUNCTION("""COMPUTED_VALUE"""),"2022-07-04T15:51:46.029Z")</f>
        <v>2022-07-04T15:51:46.029Z</v>
      </c>
    </row>
    <row r="2608" spans="1:10" x14ac:dyDescent="0.2">
      <c r="A2608" s="2" t="str">
        <f ca="1">IFERROR(__xludf.DUMMYFUNCTION("""COMPUTED_VALUE"""),"https://www.facebook.com/profile.php?id=100078311490623")</f>
        <v>https://www.facebook.com/profile.php?id=100078311490623</v>
      </c>
      <c r="B2608" s="1" t="str">
        <f ca="1">IFERROR(__xludf.DUMMYFUNCTION("""COMPUTED_VALUE"""),"Graciano P Sales")</f>
        <v>Graciano P Sales</v>
      </c>
      <c r="C2608" s="1" t="str">
        <f ca="1">IFERROR(__xludf.DUMMYFUNCTION("""COMPUTED_VALUE"""),"Graciano")</f>
        <v>Graciano</v>
      </c>
      <c r="D2608" s="1" t="str">
        <f ca="1">IFERROR(__xludf.DUMMYFUNCTION("""COMPUTED_VALUE"""),"P Sales")</f>
        <v>P Sales</v>
      </c>
      <c r="E2608" s="1" t="str">
        <f ca="1">IFERROR(__xludf.DUMMYFUNCTION("""COMPUTED_VALUE"""),"Baka kilusang bagong lipunan Ang ibig sabihin")</f>
        <v>Baka kilusang bagong lipunan Ang ibig sabihin</v>
      </c>
      <c r="F2608" s="1">
        <f ca="1">IFERROR(__xludf.DUMMYFUNCTION("""COMPUTED_VALUE"""),1)</f>
        <v>1</v>
      </c>
      <c r="G2608" s="1" t="str">
        <f ca="1">IFERROR(__xludf.DUMMYFUNCTION("""COMPUTED_VALUE"""),"3 mos")</f>
        <v>3 mos</v>
      </c>
      <c r="H2608" s="1" t="str">
        <f ca="1">IFERROR(__xludf.DUMMYFUNCTION("""COMPUTED_VALUE"""),"comment")</f>
        <v>comment</v>
      </c>
      <c r="I2608" s="2" t="str">
        <f ca="1">IFERROR(__xludf.DUMMYFUNCTION("""COMPUTED_VALUE"""),"https://www.facebook.com/rapplerdotcom/photos/a.317154781638645/5594264657260938/")</f>
        <v>https://www.facebook.com/rapplerdotcom/photos/a.317154781638645/5594264657260938/</v>
      </c>
      <c r="J2608" s="1" t="str">
        <f ca="1">IFERROR(__xludf.DUMMYFUNCTION("""COMPUTED_VALUE"""),"2022-07-04T15:51:46.029Z")</f>
        <v>2022-07-04T15:51:46.029Z</v>
      </c>
    </row>
    <row r="2609" spans="1:10" x14ac:dyDescent="0.2">
      <c r="A2609" s="2" t="str">
        <f ca="1">IFERROR(__xludf.DUMMYFUNCTION("""COMPUTED_VALUE"""),"https://www.facebook.com/jenessa.dano.1")</f>
        <v>https://www.facebook.com/jenessa.dano.1</v>
      </c>
      <c r="B2609" s="1" t="str">
        <f ca="1">IFERROR(__xludf.DUMMYFUNCTION("""COMPUTED_VALUE"""),"Jenessa Daño")</f>
        <v>Jenessa Daño</v>
      </c>
      <c r="C2609" s="1" t="str">
        <f ca="1">IFERROR(__xludf.DUMMYFUNCTION("""COMPUTED_VALUE"""),"Jenessa")</f>
        <v>Jenessa</v>
      </c>
      <c r="D2609" s="1" t="str">
        <f ca="1">IFERROR(__xludf.DUMMYFUNCTION("""COMPUTED_VALUE"""),"Daño")</f>
        <v>Daño</v>
      </c>
      <c r="E2609" s="1" t="str">
        <f ca="1">IFERROR(__xludf.DUMMYFUNCTION("""COMPUTED_VALUE"""),"Ba yan pati yang kanta pag iintiresan mopa")</f>
        <v>Ba yan pati yang kanta pag iintiresan mopa</v>
      </c>
      <c r="F2609" s="1">
        <f ca="1">IFERROR(__xludf.DUMMYFUNCTION("""COMPUTED_VALUE"""),2)</f>
        <v>2</v>
      </c>
      <c r="G2609" s="1" t="str">
        <f ca="1">IFERROR(__xludf.DUMMYFUNCTION("""COMPUTED_VALUE"""),"3 mos")</f>
        <v>3 mos</v>
      </c>
      <c r="H2609" s="1" t="str">
        <f ca="1">IFERROR(__xludf.DUMMYFUNCTION("""COMPUTED_VALUE"""),"comment")</f>
        <v>comment</v>
      </c>
      <c r="I2609" s="2" t="str">
        <f ca="1">IFERROR(__xludf.DUMMYFUNCTION("""COMPUTED_VALUE"""),"https://www.facebook.com/rapplerdotcom/photos/a.317154781638645/5594264657260938/")</f>
        <v>https://www.facebook.com/rapplerdotcom/photos/a.317154781638645/5594264657260938/</v>
      </c>
      <c r="J2609" s="1" t="str">
        <f ca="1">IFERROR(__xludf.DUMMYFUNCTION("""COMPUTED_VALUE"""),"2022-07-04T15:51:46.029Z")</f>
        <v>2022-07-04T15:51:46.029Z</v>
      </c>
    </row>
    <row r="2610" spans="1:10" x14ac:dyDescent="0.2">
      <c r="A2610" s="2" t="str">
        <f ca="1">IFERROR(__xludf.DUMMYFUNCTION("""COMPUTED_VALUE"""),"https://www.facebook.com/leysillote")</f>
        <v>https://www.facebook.com/leysillote</v>
      </c>
      <c r="B2610" s="1" t="str">
        <f ca="1">IFERROR(__xludf.DUMMYFUNCTION("""COMPUTED_VALUE"""),"Ley Sillote")</f>
        <v>Ley Sillote</v>
      </c>
      <c r="C2610" s="1" t="str">
        <f ca="1">IFERROR(__xludf.DUMMYFUNCTION("""COMPUTED_VALUE"""),"Ley")</f>
        <v>Ley</v>
      </c>
      <c r="D2610" s="1" t="str">
        <f ca="1">IFERROR(__xludf.DUMMYFUNCTION("""COMPUTED_VALUE"""),"Sillote")</f>
        <v>Sillote</v>
      </c>
      <c r="E2610" s="1" t="str">
        <f ca="1">IFERROR(__xludf.DUMMYFUNCTION("""COMPUTED_VALUE"""),"Jenessa Daño FYI this is called ""FACT"" checking.")</f>
        <v>Jenessa Daño FYI this is called "FACT" checking.</v>
      </c>
      <c r="F2610" s="1">
        <f ca="1">IFERROR(__xludf.DUMMYFUNCTION("""COMPUTED_VALUE"""),2)</f>
        <v>2</v>
      </c>
      <c r="G2610" s="1" t="str">
        <f ca="1">IFERROR(__xludf.DUMMYFUNCTION("""COMPUTED_VALUE"""),"3 mos")</f>
        <v>3 mos</v>
      </c>
      <c r="H2610" s="1" t="str">
        <f ca="1">IFERROR(__xludf.DUMMYFUNCTION("""COMPUTED_VALUE"""),"reply")</f>
        <v>reply</v>
      </c>
      <c r="I2610" s="2" t="str">
        <f ca="1">IFERROR(__xludf.DUMMYFUNCTION("""COMPUTED_VALUE"""),"https://www.facebook.com/rapplerdotcom/photos/a.317154781638645/5594264657260938/")</f>
        <v>https://www.facebook.com/rapplerdotcom/photos/a.317154781638645/5594264657260938/</v>
      </c>
      <c r="J2610" s="1" t="str">
        <f ca="1">IFERROR(__xludf.DUMMYFUNCTION("""COMPUTED_VALUE"""),"2022-07-04T15:51:46.029Z")</f>
        <v>2022-07-04T15:51:46.029Z</v>
      </c>
    </row>
    <row r="2611" spans="1:10" x14ac:dyDescent="0.2">
      <c r="A2611" s="2" t="str">
        <f ca="1">IFERROR(__xludf.DUMMYFUNCTION("""COMPUTED_VALUE"""),"https://www.facebook.com/ramondexter.tuason")</f>
        <v>https://www.facebook.com/ramondexter.tuason</v>
      </c>
      <c r="B2611" s="1" t="str">
        <f ca="1">IFERROR(__xludf.DUMMYFUNCTION("""COMPUTED_VALUE"""),"Ramon Dexter Tuason")</f>
        <v>Ramon Dexter Tuason</v>
      </c>
      <c r="C2611" s="1" t="str">
        <f ca="1">IFERROR(__xludf.DUMMYFUNCTION("""COMPUTED_VALUE"""),"Ramon")</f>
        <v>Ramon</v>
      </c>
      <c r="D2611" s="1" t="str">
        <f ca="1">IFERROR(__xludf.DUMMYFUNCTION("""COMPUTED_VALUE"""),"Dexter Tuason")</f>
        <v>Dexter Tuason</v>
      </c>
      <c r="E2611" s="1" t="str">
        <f ca="1">IFERROR(__xludf.DUMMYFUNCTION("""COMPUTED_VALUE"""),"As usual kalokohan pa rin magbago na kayo mga troll ni Jr. wala na kayo pagbabago puro pangloloko ginagawa ninyo")</f>
        <v>As usual kalokohan pa rin magbago na kayo mga troll ni Jr. wala na kayo pagbabago puro pangloloko ginagawa ninyo</v>
      </c>
      <c r="F2611" s="1">
        <f ca="1">IFERROR(__xludf.DUMMYFUNCTION("""COMPUTED_VALUE"""),2)</f>
        <v>2</v>
      </c>
      <c r="G2611" s="1" t="str">
        <f ca="1">IFERROR(__xludf.DUMMYFUNCTION("""COMPUTED_VALUE"""),"3 mos")</f>
        <v>3 mos</v>
      </c>
      <c r="H2611" s="1" t="str">
        <f ca="1">IFERROR(__xludf.DUMMYFUNCTION("""COMPUTED_VALUE"""),"comment")</f>
        <v>comment</v>
      </c>
      <c r="I2611" s="2" t="str">
        <f ca="1">IFERROR(__xludf.DUMMYFUNCTION("""COMPUTED_VALUE"""),"https://www.facebook.com/rapplerdotcom/photos/a.317154781638645/5594264657260938/")</f>
        <v>https://www.facebook.com/rapplerdotcom/photos/a.317154781638645/5594264657260938/</v>
      </c>
      <c r="J2611" s="1" t="str">
        <f ca="1">IFERROR(__xludf.DUMMYFUNCTION("""COMPUTED_VALUE"""),"2022-07-04T15:51:46.029Z")</f>
        <v>2022-07-04T15:51:46.029Z</v>
      </c>
    </row>
    <row r="2612" spans="1:10" x14ac:dyDescent="0.2">
      <c r="A2612" s="2" t="str">
        <f ca="1">IFERROR(__xludf.DUMMYFUNCTION("""COMPUTED_VALUE"""),"https://www.facebook.com/emman.bantad")</f>
        <v>https://www.facebook.com/emman.bantad</v>
      </c>
      <c r="B2612" s="1" t="str">
        <f ca="1">IFERROR(__xludf.DUMMYFUNCTION("""COMPUTED_VALUE"""),"Eman Bantad")</f>
        <v>Eman Bantad</v>
      </c>
      <c r="C2612" s="1" t="str">
        <f ca="1">IFERROR(__xludf.DUMMYFUNCTION("""COMPUTED_VALUE"""),"Eman")</f>
        <v>Eman</v>
      </c>
      <c r="D2612" s="1" t="str">
        <f ca="1">IFERROR(__xludf.DUMMYFUNCTION("""COMPUTED_VALUE"""),"Bantad")</f>
        <v>Bantad</v>
      </c>
      <c r="E2612" s="1" t="str">
        <f ca="1">IFERROR(__xludf.DUMMYFUNCTION("""COMPUTED_VALUE"""),"Babaw nyo mag fact check, napaka tatanga talaga 😂😂😂")</f>
        <v>Babaw nyo mag fact check, napaka tatanga talaga 😂😂😂</v>
      </c>
      <c r="F2612" s="1"/>
      <c r="G2612" s="1" t="str">
        <f ca="1">IFERROR(__xludf.DUMMYFUNCTION("""COMPUTED_VALUE"""),"3 mos")</f>
        <v>3 mos</v>
      </c>
      <c r="H2612" s="1" t="str">
        <f ca="1">IFERROR(__xludf.DUMMYFUNCTION("""COMPUTED_VALUE"""),"comment")</f>
        <v>comment</v>
      </c>
      <c r="I2612" s="2" t="str">
        <f ca="1">IFERROR(__xludf.DUMMYFUNCTION("""COMPUTED_VALUE"""),"https://www.facebook.com/rapplerdotcom/photos/a.317154781638645/5594264657260938/")</f>
        <v>https://www.facebook.com/rapplerdotcom/photos/a.317154781638645/5594264657260938/</v>
      </c>
      <c r="J2612" s="1" t="str">
        <f ca="1">IFERROR(__xludf.DUMMYFUNCTION("""COMPUTED_VALUE"""),"2022-07-04T15:51:46.029Z")</f>
        <v>2022-07-04T15:51:46.029Z</v>
      </c>
    </row>
    <row r="2613" spans="1:10" x14ac:dyDescent="0.2">
      <c r="A2613" s="2" t="str">
        <f ca="1">IFERROR(__xludf.DUMMYFUNCTION("""COMPUTED_VALUE"""),"https://www.facebook.com/DBTunacao")</f>
        <v>https://www.facebook.com/DBTunacao</v>
      </c>
      <c r="B2613" s="1" t="str">
        <f ca="1">IFERROR(__xludf.DUMMYFUNCTION("""COMPUTED_VALUE"""),"DB Tunacao")</f>
        <v>DB Tunacao</v>
      </c>
      <c r="C2613" s="1" t="str">
        <f ca="1">IFERROR(__xludf.DUMMYFUNCTION("""COMPUTED_VALUE"""),"DB")</f>
        <v>DB</v>
      </c>
      <c r="D2613" s="1" t="str">
        <f ca="1">IFERROR(__xludf.DUMMYFUNCTION("""COMPUTED_VALUE"""),"Tunacao")</f>
        <v>Tunacao</v>
      </c>
      <c r="E2613" s="1" t="str">
        <f ca="1">IFERROR(__xludf.DUMMYFUNCTION("""COMPUTED_VALUE"""),"Totoo talaga money is the root of all evil.")</f>
        <v>Totoo talaga money is the root of all evil.</v>
      </c>
      <c r="F2613" s="1">
        <f ca="1">IFERROR(__xludf.DUMMYFUNCTION("""COMPUTED_VALUE"""),2)</f>
        <v>2</v>
      </c>
      <c r="G2613" s="1" t="str">
        <f ca="1">IFERROR(__xludf.DUMMYFUNCTION("""COMPUTED_VALUE"""),"3 mos")</f>
        <v>3 mos</v>
      </c>
      <c r="H2613" s="1" t="str">
        <f ca="1">IFERROR(__xludf.DUMMYFUNCTION("""COMPUTED_VALUE"""),"comment")</f>
        <v>comment</v>
      </c>
      <c r="I2613" s="2" t="str">
        <f ca="1">IFERROR(__xludf.DUMMYFUNCTION("""COMPUTED_VALUE"""),"https://www.facebook.com/rapplerdotcom/photos/a.317154781638645/5594264657260938/")</f>
        <v>https://www.facebook.com/rapplerdotcom/photos/a.317154781638645/5594264657260938/</v>
      </c>
      <c r="J2613" s="1" t="str">
        <f ca="1">IFERROR(__xludf.DUMMYFUNCTION("""COMPUTED_VALUE"""),"2022-07-04T15:51:46.029Z")</f>
        <v>2022-07-04T15:51:46.029Z</v>
      </c>
    </row>
    <row r="2614" spans="1:10" x14ac:dyDescent="0.2">
      <c r="A2614" s="2" t="str">
        <f ca="1">IFERROR(__xludf.DUMMYFUNCTION("""COMPUTED_VALUE"""),"https://www.facebook.com/estherlyn1")</f>
        <v>https://www.facebook.com/estherlyn1</v>
      </c>
      <c r="B2614" s="1" t="str">
        <f ca="1">IFERROR(__xludf.DUMMYFUNCTION("""COMPUTED_VALUE"""),"Esther Lyn Anonuevo")</f>
        <v>Esther Lyn Anonuevo</v>
      </c>
      <c r="C2614" s="1" t="str">
        <f ca="1">IFERROR(__xludf.DUMMYFUNCTION("""COMPUTED_VALUE"""),"Esther")</f>
        <v>Esther</v>
      </c>
      <c r="D2614" s="1" t="str">
        <f ca="1">IFERROR(__xludf.DUMMYFUNCTION("""COMPUTED_VALUE"""),"Lyn Anonuevo")</f>
        <v>Lyn Anonuevo</v>
      </c>
      <c r="E2614" s="1" t="str">
        <f ca="1">IFERROR(__xludf.DUMMYFUNCTION("""COMPUTED_VALUE"""),"レオンから で アンジェロウ jan sila nabubuhay sa balita. At ung gumawa ng manipuladong video don din kumikita kaya parehas lang cla.")</f>
        <v>レオンから で アンジェロウ jan sila nabubuhay sa balita. At ung gumawa ng manipuladong video don din kumikita kaya parehas lang cla.</v>
      </c>
      <c r="F2614" s="1"/>
      <c r="G2614" s="1" t="str">
        <f ca="1">IFERROR(__xludf.DUMMYFUNCTION("""COMPUTED_VALUE"""),"3 mos")</f>
        <v>3 mos</v>
      </c>
      <c r="H2614" s="1" t="str">
        <f ca="1">IFERROR(__xludf.DUMMYFUNCTION("""COMPUTED_VALUE"""),"comment")</f>
        <v>comment</v>
      </c>
      <c r="I2614" s="2" t="str">
        <f ca="1">IFERROR(__xludf.DUMMYFUNCTION("""COMPUTED_VALUE"""),"https://www.facebook.com/rapplerdotcom/photos/a.317154781638645/5594264657260938/")</f>
        <v>https://www.facebook.com/rapplerdotcom/photos/a.317154781638645/5594264657260938/</v>
      </c>
      <c r="J2614" s="1" t="str">
        <f ca="1">IFERROR(__xludf.DUMMYFUNCTION("""COMPUTED_VALUE"""),"2022-07-04T15:51:46.029Z")</f>
        <v>2022-07-04T15:51:46.029Z</v>
      </c>
    </row>
    <row r="2615" spans="1:10" x14ac:dyDescent="0.2">
      <c r="A2615" s="2" t="str">
        <f ca="1">IFERROR(__xludf.DUMMYFUNCTION("""COMPUTED_VALUE"""),"https://www.facebook.com/markela.kamama")</f>
        <v>https://www.facebook.com/markela.kamama</v>
      </c>
      <c r="B2615" s="1" t="str">
        <f ca="1">IFERROR(__xludf.DUMMYFUNCTION("""COMPUTED_VALUE"""),"MarkEla Kamama")</f>
        <v>MarkEla Kamama</v>
      </c>
      <c r="C2615" s="1" t="str">
        <f ca="1">IFERROR(__xludf.DUMMYFUNCTION("""COMPUTED_VALUE"""),"MarkEla")</f>
        <v>MarkEla</v>
      </c>
      <c r="D2615" s="1" t="str">
        <f ca="1">IFERROR(__xludf.DUMMYFUNCTION("""COMPUTED_VALUE"""),"Kamama")</f>
        <v>Kamama</v>
      </c>
      <c r="E2615" s="1" t="str">
        <f ca="1">IFERROR(__xludf.DUMMYFUNCTION("""COMPUTED_VALUE"""),",nkakasawa n s 2wing mlapit ag halalan sasabihin""bagong Pilipinas,Bangon Pilipinas.ahahaha")</f>
        <v>,nkakasawa n s 2wing mlapit ag halalan sasabihin"bagong Pilipinas,Bangon Pilipinas.ahahaha</v>
      </c>
      <c r="F2615" s="1"/>
      <c r="G2615" s="1" t="str">
        <f ca="1">IFERROR(__xludf.DUMMYFUNCTION("""COMPUTED_VALUE"""),"3 mos")</f>
        <v>3 mos</v>
      </c>
      <c r="H2615" s="1" t="str">
        <f ca="1">IFERROR(__xludf.DUMMYFUNCTION("""COMPUTED_VALUE"""),"comment")</f>
        <v>comment</v>
      </c>
      <c r="I2615" s="2" t="str">
        <f ca="1">IFERROR(__xludf.DUMMYFUNCTION("""COMPUTED_VALUE"""),"https://www.facebook.com/rapplerdotcom/photos/a.317154781638645/5594264657260938/")</f>
        <v>https://www.facebook.com/rapplerdotcom/photos/a.317154781638645/5594264657260938/</v>
      </c>
      <c r="J2615" s="1" t="str">
        <f ca="1">IFERROR(__xludf.DUMMYFUNCTION("""COMPUTED_VALUE"""),"2022-07-04T15:51:46.029Z")</f>
        <v>2022-07-04T15:51:46.029Z</v>
      </c>
    </row>
    <row r="2616" spans="1:10" x14ac:dyDescent="0.2">
      <c r="A2616" s="2" t="str">
        <f ca="1">IFERROR(__xludf.DUMMYFUNCTION("""COMPUTED_VALUE"""),"https://www.facebook.com/layf.lacatango.3")</f>
        <v>https://www.facebook.com/layf.lacatango.3</v>
      </c>
      <c r="B2616" s="1" t="str">
        <f ca="1">IFERROR(__xludf.DUMMYFUNCTION("""COMPUTED_VALUE"""),"Lacky Tango")</f>
        <v>Lacky Tango</v>
      </c>
      <c r="C2616" s="1" t="str">
        <f ca="1">IFERROR(__xludf.DUMMYFUNCTION("""COMPUTED_VALUE"""),"Lacky")</f>
        <v>Lacky</v>
      </c>
      <c r="D2616" s="1" t="str">
        <f ca="1">IFERROR(__xludf.DUMMYFUNCTION("""COMPUTED_VALUE"""),"Tango")</f>
        <v>Tango</v>
      </c>
      <c r="E2616" s="1" t="str">
        <f ca="1">IFERROR(__xludf.DUMMYFUNCTION("""COMPUTED_VALUE"""),"Disperado n ang mga tanso kht bts tinatahe ung vedio")</f>
        <v>Disperado n ang mga tanso kht bts tinatahe ung vedio</v>
      </c>
      <c r="F2616" s="1"/>
      <c r="G2616" s="1" t="str">
        <f ca="1">IFERROR(__xludf.DUMMYFUNCTION("""COMPUTED_VALUE"""),"3 mos")</f>
        <v>3 mos</v>
      </c>
      <c r="H2616" s="1" t="str">
        <f ca="1">IFERROR(__xludf.DUMMYFUNCTION("""COMPUTED_VALUE"""),"comment")</f>
        <v>comment</v>
      </c>
      <c r="I2616" s="2" t="str">
        <f ca="1">IFERROR(__xludf.DUMMYFUNCTION("""COMPUTED_VALUE"""),"https://www.facebook.com/rapplerdotcom/photos/a.317154781638645/5594264657260938/")</f>
        <v>https://www.facebook.com/rapplerdotcom/photos/a.317154781638645/5594264657260938/</v>
      </c>
      <c r="J2616" s="1" t="str">
        <f ca="1">IFERROR(__xludf.DUMMYFUNCTION("""COMPUTED_VALUE"""),"2022-07-04T15:51:46.029Z")</f>
        <v>2022-07-04T15:51:46.029Z</v>
      </c>
    </row>
    <row r="2617" spans="1:10" x14ac:dyDescent="0.2">
      <c r="A2617" s="2" t="str">
        <f ca="1">IFERROR(__xludf.DUMMYFUNCTION("""COMPUTED_VALUE"""),"https://www.facebook.com/jon.eleria")</f>
        <v>https://www.facebook.com/jon.eleria</v>
      </c>
      <c r="B2617" s="1" t="str">
        <f ca="1">IFERROR(__xludf.DUMMYFUNCTION("""COMPUTED_VALUE"""),"Jon-perry Eleria")</f>
        <v>Jon-perry Eleria</v>
      </c>
      <c r="C2617" s="1" t="str">
        <f ca="1">IFERROR(__xludf.DUMMYFUNCTION("""COMPUTED_VALUE"""),"Jon-perry")</f>
        <v>Jon-perry</v>
      </c>
      <c r="D2617" s="1" t="str">
        <f ca="1">IFERROR(__xludf.DUMMYFUNCTION("""COMPUTED_VALUE"""),"Eleria")</f>
        <v>Eleria</v>
      </c>
      <c r="E2617" s="1" t="str">
        <f ca="1">IFERROR(__xludf.DUMMYFUNCTION("""COMPUTED_VALUE"""),"Haha.. pati ba naman BTS? walang patawad..")</f>
        <v>Haha.. pati ba naman BTS? walang patawad..</v>
      </c>
      <c r="F2617" s="1"/>
      <c r="G2617" s="1" t="str">
        <f ca="1">IFERROR(__xludf.DUMMYFUNCTION("""COMPUTED_VALUE"""),"3 mos")</f>
        <v>3 mos</v>
      </c>
      <c r="H2617" s="1" t="str">
        <f ca="1">IFERROR(__xludf.DUMMYFUNCTION("""COMPUTED_VALUE"""),"comment")</f>
        <v>comment</v>
      </c>
      <c r="I2617" s="2" t="str">
        <f ca="1">IFERROR(__xludf.DUMMYFUNCTION("""COMPUTED_VALUE"""),"https://www.facebook.com/rapplerdotcom/photos/a.317154781638645/5594264657260938/")</f>
        <v>https://www.facebook.com/rapplerdotcom/photos/a.317154781638645/5594264657260938/</v>
      </c>
      <c r="J2617" s="1" t="str">
        <f ca="1">IFERROR(__xludf.DUMMYFUNCTION("""COMPUTED_VALUE"""),"2022-07-04T15:51:46.029Z")</f>
        <v>2022-07-04T15:51:46.029Z</v>
      </c>
    </row>
    <row r="2618" spans="1:10" x14ac:dyDescent="0.2">
      <c r="A2618" s="2" t="str">
        <f ca="1">IFERROR(__xludf.DUMMYFUNCTION("""COMPUTED_VALUE"""),"https://www.facebook.com/toto.sanpedro")</f>
        <v>https://www.facebook.com/toto.sanpedro</v>
      </c>
      <c r="B2618" s="1" t="str">
        <f ca="1">IFERROR(__xludf.DUMMYFUNCTION("""COMPUTED_VALUE"""),"Toto San Pedro")</f>
        <v>Toto San Pedro</v>
      </c>
      <c r="C2618" s="1" t="str">
        <f ca="1">IFERROR(__xludf.DUMMYFUNCTION("""COMPUTED_VALUE"""),"Toto")</f>
        <v>Toto</v>
      </c>
      <c r="D2618" s="1" t="str">
        <f ca="1">IFERROR(__xludf.DUMMYFUNCTION("""COMPUTED_VALUE"""),"San Pedro")</f>
        <v>San Pedro</v>
      </c>
      <c r="E2618" s="1" t="str">
        <f ca="1">IFERROR(__xludf.DUMMYFUNCTION("""COMPUTED_VALUE"""),"Lahat na lang Daya😂")</f>
        <v>Lahat na lang Daya😂</v>
      </c>
      <c r="F2618" s="1"/>
      <c r="G2618" s="1" t="str">
        <f ca="1">IFERROR(__xludf.DUMMYFUNCTION("""COMPUTED_VALUE"""),"3 mos")</f>
        <v>3 mos</v>
      </c>
      <c r="H2618" s="1" t="str">
        <f ca="1">IFERROR(__xludf.DUMMYFUNCTION("""COMPUTED_VALUE"""),"comment")</f>
        <v>comment</v>
      </c>
      <c r="I2618" s="2" t="str">
        <f ca="1">IFERROR(__xludf.DUMMYFUNCTION("""COMPUTED_VALUE"""),"https://www.facebook.com/rapplerdotcom/photos/a.317154781638645/5594264657260938/")</f>
        <v>https://www.facebook.com/rapplerdotcom/photos/a.317154781638645/5594264657260938/</v>
      </c>
      <c r="J2618" s="1" t="str">
        <f ca="1">IFERROR(__xludf.DUMMYFUNCTION("""COMPUTED_VALUE"""),"2022-07-04T15:51:46.029Z")</f>
        <v>2022-07-04T15:51:46.029Z</v>
      </c>
    </row>
    <row r="2619" spans="1:10" x14ac:dyDescent="0.2">
      <c r="A2619" s="2" t="str">
        <f ca="1">IFERROR(__xludf.DUMMYFUNCTION("""COMPUTED_VALUE"""),"https://www.facebook.com/penn.adbiz")</f>
        <v>https://www.facebook.com/penn.adbiz</v>
      </c>
      <c r="B2619" s="1" t="str">
        <f ca="1">IFERROR(__xludf.DUMMYFUNCTION("""COMPUTED_VALUE"""),"Penn Adver Biz")</f>
        <v>Penn Adver Biz</v>
      </c>
      <c r="C2619" s="1" t="str">
        <f ca="1">IFERROR(__xludf.DUMMYFUNCTION("""COMPUTED_VALUE"""),"Penn")</f>
        <v>Penn</v>
      </c>
      <c r="D2619" s="1" t="str">
        <f ca="1">IFERROR(__xludf.DUMMYFUNCTION("""COMPUTED_VALUE"""),"Adver Biz")</f>
        <v>Adver Biz</v>
      </c>
      <c r="E2619" s="1" t="str">
        <f ca="1">IFERROR(__xludf.DUMMYFUNCTION("""COMPUTED_VALUE"""),"grabe sila maka gawa hahahhaa kakantahin ba naman ng BTS 🤣🤣🤣")</f>
        <v>grabe sila maka gawa hahahhaa kakantahin ba naman ng BTS 🤣🤣🤣</v>
      </c>
      <c r="F2619" s="1"/>
      <c r="G2619" s="1" t="str">
        <f ca="1">IFERROR(__xludf.DUMMYFUNCTION("""COMPUTED_VALUE"""),"3 mos")</f>
        <v>3 mos</v>
      </c>
      <c r="H2619" s="1" t="str">
        <f ca="1">IFERROR(__xludf.DUMMYFUNCTION("""COMPUTED_VALUE"""),"comment")</f>
        <v>comment</v>
      </c>
      <c r="I2619" s="2" t="str">
        <f ca="1">IFERROR(__xludf.DUMMYFUNCTION("""COMPUTED_VALUE"""),"https://www.facebook.com/rapplerdotcom/photos/a.317154781638645/5594264657260938/")</f>
        <v>https://www.facebook.com/rapplerdotcom/photos/a.317154781638645/5594264657260938/</v>
      </c>
      <c r="J2619" s="1" t="str">
        <f ca="1">IFERROR(__xludf.DUMMYFUNCTION("""COMPUTED_VALUE"""),"2022-07-04T15:51:46.029Z")</f>
        <v>2022-07-04T15:51:46.029Z</v>
      </c>
    </row>
    <row r="2620" spans="1:10" x14ac:dyDescent="0.2">
      <c r="A2620" s="2" t="str">
        <f ca="1">IFERROR(__xludf.DUMMYFUNCTION("""COMPUTED_VALUE"""),"https://www.facebook.com/gectojennieca")</f>
        <v>https://www.facebook.com/gectojennieca</v>
      </c>
      <c r="B2620" s="1" t="str">
        <f ca="1">IFERROR(__xludf.DUMMYFUNCTION("""COMPUTED_VALUE"""),"Jennieca Bayani Gecto")</f>
        <v>Jennieca Bayani Gecto</v>
      </c>
      <c r="C2620" s="1" t="str">
        <f ca="1">IFERROR(__xludf.DUMMYFUNCTION("""COMPUTED_VALUE"""),"Jennieca")</f>
        <v>Jennieca</v>
      </c>
      <c r="D2620" s="1" t="str">
        <f ca="1">IFERROR(__xludf.DUMMYFUNCTION("""COMPUTED_VALUE"""),"Bayani Gecto")</f>
        <v>Bayani Gecto</v>
      </c>
      <c r="E2620" s="1" t="str">
        <f ca="1">IFERROR(__xludf.DUMMYFUNCTION("""COMPUTED_VALUE"""),"Double time na kayo? Hahahahaha")</f>
        <v>Double time na kayo? Hahahahaha</v>
      </c>
      <c r="F2620" s="1">
        <f ca="1">IFERROR(__xludf.DUMMYFUNCTION("""COMPUTED_VALUE"""),3)</f>
        <v>3</v>
      </c>
      <c r="G2620" s="1" t="str">
        <f ca="1">IFERROR(__xludf.DUMMYFUNCTION("""COMPUTED_VALUE"""),"3 mos")</f>
        <v>3 mos</v>
      </c>
      <c r="H2620" s="1" t="str">
        <f ca="1">IFERROR(__xludf.DUMMYFUNCTION("""COMPUTED_VALUE"""),"comment")</f>
        <v>comment</v>
      </c>
      <c r="I2620" s="2" t="str">
        <f ca="1">IFERROR(__xludf.DUMMYFUNCTION("""COMPUTED_VALUE"""),"https://www.facebook.com/rapplerdotcom/photos/a.317154781638645/5594264657260938/")</f>
        <v>https://www.facebook.com/rapplerdotcom/photos/a.317154781638645/5594264657260938/</v>
      </c>
      <c r="J2620" s="1" t="str">
        <f ca="1">IFERROR(__xludf.DUMMYFUNCTION("""COMPUTED_VALUE"""),"2022-07-04T15:51:46.029Z")</f>
        <v>2022-07-04T15:51:46.029Z</v>
      </c>
    </row>
    <row r="2621" spans="1:10" x14ac:dyDescent="0.2">
      <c r="A2621" s="2" t="str">
        <f ca="1">IFERROR(__xludf.DUMMYFUNCTION("""COMPUTED_VALUE"""),"https://www.facebook.com/claryssebea.sana")</f>
        <v>https://www.facebook.com/claryssebea.sana</v>
      </c>
      <c r="B2621" s="1" t="str">
        <f ca="1">IFERROR(__xludf.DUMMYFUNCTION("""COMPUTED_VALUE"""),"Clarysse Sana-Abutazil")</f>
        <v>Clarysse Sana-Abutazil</v>
      </c>
      <c r="C2621" s="1" t="str">
        <f ca="1">IFERROR(__xludf.DUMMYFUNCTION("""COMPUTED_VALUE"""),"Clarysse")</f>
        <v>Clarysse</v>
      </c>
      <c r="D2621" s="1" t="str">
        <f ca="1">IFERROR(__xludf.DUMMYFUNCTION("""COMPUTED_VALUE"""),"Sana-Abutazil")</f>
        <v>Sana-Abutazil</v>
      </c>
      <c r="E2621" s="1" t="str">
        <f ca="1">IFERROR(__xludf.DUMMYFUNCTION("""COMPUTED_VALUE"""),"Jennieca Bayani Gecto d siya nakaktulong para magdouble time.. nakakalok to")</f>
        <v>Jennieca Bayani Gecto d siya nakaktulong para magdouble time.. nakakalok to</v>
      </c>
      <c r="F2621" s="1"/>
      <c r="G2621" s="1" t="str">
        <f ca="1">IFERROR(__xludf.DUMMYFUNCTION("""COMPUTED_VALUE"""),"3 mos")</f>
        <v>3 mos</v>
      </c>
      <c r="H2621" s="1" t="str">
        <f ca="1">IFERROR(__xludf.DUMMYFUNCTION("""COMPUTED_VALUE"""),"reply")</f>
        <v>reply</v>
      </c>
      <c r="I2621" s="2" t="str">
        <f ca="1">IFERROR(__xludf.DUMMYFUNCTION("""COMPUTED_VALUE"""),"https://www.facebook.com/rapplerdotcom/photos/a.317154781638645/5594264657260938/")</f>
        <v>https://www.facebook.com/rapplerdotcom/photos/a.317154781638645/5594264657260938/</v>
      </c>
      <c r="J2621" s="1" t="str">
        <f ca="1">IFERROR(__xludf.DUMMYFUNCTION("""COMPUTED_VALUE"""),"2022-07-04T15:51:46.029Z")</f>
        <v>2022-07-04T15:51:46.029Z</v>
      </c>
    </row>
    <row r="2622" spans="1:10" x14ac:dyDescent="0.2">
      <c r="A2622" s="2" t="str">
        <f ca="1">IFERROR(__xludf.DUMMYFUNCTION("""COMPUTED_VALUE"""),"https://www.facebook.com/gectojennieca")</f>
        <v>https://www.facebook.com/gectojennieca</v>
      </c>
      <c r="B2622" s="1" t="str">
        <f ca="1">IFERROR(__xludf.DUMMYFUNCTION("""COMPUTED_VALUE"""),"Jennieca Bayani Gecto")</f>
        <v>Jennieca Bayani Gecto</v>
      </c>
      <c r="C2622" s="1" t="str">
        <f ca="1">IFERROR(__xludf.DUMMYFUNCTION("""COMPUTED_VALUE"""),"Jennieca")</f>
        <v>Jennieca</v>
      </c>
      <c r="D2622" s="1" t="str">
        <f ca="1">IFERROR(__xludf.DUMMYFUNCTION("""COMPUTED_VALUE"""),"Bayani Gecto")</f>
        <v>Bayani Gecto</v>
      </c>
      <c r="E2622" s="1" t="str">
        <f ca="1">IFERROR(__xludf.DUMMYFUNCTION("""COMPUTED_VALUE"""),"Ano daw??")</f>
        <v>Ano daw??</v>
      </c>
      <c r="F2622" s="1"/>
      <c r="G2622" s="1" t="str">
        <f ca="1">IFERROR(__xludf.DUMMYFUNCTION("""COMPUTED_VALUE"""),"3 mos")</f>
        <v>3 mos</v>
      </c>
      <c r="H2622" s="1" t="str">
        <f ca="1">IFERROR(__xludf.DUMMYFUNCTION("""COMPUTED_VALUE"""),"reply")</f>
        <v>reply</v>
      </c>
      <c r="I2622" s="2" t="str">
        <f ca="1">IFERROR(__xludf.DUMMYFUNCTION("""COMPUTED_VALUE"""),"https://www.facebook.com/rapplerdotcom/photos/a.317154781638645/5594264657260938/")</f>
        <v>https://www.facebook.com/rapplerdotcom/photos/a.317154781638645/5594264657260938/</v>
      </c>
      <c r="J2622" s="1" t="str">
        <f ca="1">IFERROR(__xludf.DUMMYFUNCTION("""COMPUTED_VALUE"""),"2022-07-04T15:51:46.030Z")</f>
        <v>2022-07-04T15:51:46.030Z</v>
      </c>
    </row>
    <row r="2623" spans="1:10" x14ac:dyDescent="0.2">
      <c r="A2623" s="2" t="str">
        <f ca="1">IFERROR(__xludf.DUMMYFUNCTION("""COMPUTED_VALUE"""),"https://www.facebook.com/mrbentaph/")</f>
        <v>https://www.facebook.com/mrbentaph/</v>
      </c>
      <c r="B2623" s="1" t="str">
        <f ca="1">IFERROR(__xludf.DUMMYFUNCTION("""COMPUTED_VALUE"""),"Mr. Benta PH")</f>
        <v>Mr. Benta PH</v>
      </c>
      <c r="C2623" s="1" t="str">
        <f ca="1">IFERROR(__xludf.DUMMYFUNCTION("""COMPUTED_VALUE"""),"Mr.")</f>
        <v>Mr.</v>
      </c>
      <c r="D2623" s="1" t="str">
        <f ca="1">IFERROR(__xludf.DUMMYFUNCTION("""COMPUTED_VALUE"""),"Benta PH")</f>
        <v>Benta PH</v>
      </c>
      <c r="E2623" s="1" t="str">
        <f ca="1">IFERROR(__xludf.DUMMYFUNCTION("""COMPUTED_VALUE"""),"Jennieca Bayani Gecto EXACTLY. HAHAHHAHAHAH")</f>
        <v>Jennieca Bayani Gecto EXACTLY. HAHAHHAHAHAH</v>
      </c>
      <c r="F2623" s="1"/>
      <c r="G2623" s="1" t="str">
        <f ca="1">IFERROR(__xludf.DUMMYFUNCTION("""COMPUTED_VALUE"""),"3 mos")</f>
        <v>3 mos</v>
      </c>
      <c r="H2623" s="1" t="str">
        <f ca="1">IFERROR(__xludf.DUMMYFUNCTION("""COMPUTED_VALUE"""),"reply")</f>
        <v>reply</v>
      </c>
      <c r="I2623" s="2" t="str">
        <f ca="1">IFERROR(__xludf.DUMMYFUNCTION("""COMPUTED_VALUE"""),"https://www.facebook.com/rapplerdotcom/photos/a.317154781638645/5594264657260938/")</f>
        <v>https://www.facebook.com/rapplerdotcom/photos/a.317154781638645/5594264657260938/</v>
      </c>
      <c r="J2623" s="1" t="str">
        <f ca="1">IFERROR(__xludf.DUMMYFUNCTION("""COMPUTED_VALUE"""),"2022-07-04T15:51:46.030Z")</f>
        <v>2022-07-04T15:51:46.030Z</v>
      </c>
    </row>
    <row r="2624" spans="1:10" x14ac:dyDescent="0.2">
      <c r="A2624" s="2" t="str">
        <f ca="1">IFERROR(__xludf.DUMMYFUNCTION("""COMPUTED_VALUE"""),"https://www.facebook.com/nichi.egg")</f>
        <v>https://www.facebook.com/nichi.egg</v>
      </c>
      <c r="B2624" s="1" t="str">
        <f ca="1">IFERROR(__xludf.DUMMYFUNCTION("""COMPUTED_VALUE"""),"Nico Gabriel Navidad")</f>
        <v>Nico Gabriel Navidad</v>
      </c>
      <c r="C2624" s="1" t="str">
        <f ca="1">IFERROR(__xludf.DUMMYFUNCTION("""COMPUTED_VALUE"""),"Nico")</f>
        <v>Nico</v>
      </c>
      <c r="D2624" s="1" t="str">
        <f ca="1">IFERROR(__xludf.DUMMYFUNCTION("""COMPUTED_VALUE"""),"Gabriel Navidad")</f>
        <v>Gabriel Navidad</v>
      </c>
      <c r="E2624" s="1" t="str">
        <f ca="1">IFERROR(__xludf.DUMMYFUNCTION("""COMPUTED_VALUE"""),"Jennieca Bayani Gecto Hataw na yan maam obvious naman na edited yung video tapos may caption pa na "" Mamppinkon lang tayo ng kakampink "" kinakagat padin netong mga matatalino kuno 😆")</f>
        <v>Jennieca Bayani Gecto Hataw na yan maam obvious naman na edited yung video tapos may caption pa na " Mamppinkon lang tayo ng kakampink " kinakagat padin netong mga matatalino kuno 😆</v>
      </c>
      <c r="F2624" s="1">
        <f ca="1">IFERROR(__xludf.DUMMYFUNCTION("""COMPUTED_VALUE"""),1)</f>
        <v>1</v>
      </c>
      <c r="G2624" s="1" t="str">
        <f ca="1">IFERROR(__xludf.DUMMYFUNCTION("""COMPUTED_VALUE"""),"3 mos")</f>
        <v>3 mos</v>
      </c>
      <c r="H2624" s="1" t="str">
        <f ca="1">IFERROR(__xludf.DUMMYFUNCTION("""COMPUTED_VALUE"""),"reply")</f>
        <v>reply</v>
      </c>
      <c r="I2624" s="2" t="str">
        <f ca="1">IFERROR(__xludf.DUMMYFUNCTION("""COMPUTED_VALUE"""),"https://www.facebook.com/rapplerdotcom/photos/a.317154781638645/5594264657260938/")</f>
        <v>https://www.facebook.com/rapplerdotcom/photos/a.317154781638645/5594264657260938/</v>
      </c>
      <c r="J2624" s="1" t="str">
        <f ca="1">IFERROR(__xludf.DUMMYFUNCTION("""COMPUTED_VALUE"""),"2022-07-04T15:51:46.030Z")</f>
        <v>2022-07-04T15:51:46.030Z</v>
      </c>
    </row>
    <row r="2625" spans="1:10" x14ac:dyDescent="0.2">
      <c r="A2625" s="2" t="str">
        <f ca="1">IFERROR(__xludf.DUMMYFUNCTION("""COMPUTED_VALUE"""),"https://www.facebook.com/john.berango")</f>
        <v>https://www.facebook.com/john.berango</v>
      </c>
      <c r="B2625" s="1" t="str">
        <f ca="1">IFERROR(__xludf.DUMMYFUNCTION("""COMPUTED_VALUE"""),"John Berango")</f>
        <v>John Berango</v>
      </c>
      <c r="C2625" s="1" t="str">
        <f ca="1">IFERROR(__xludf.DUMMYFUNCTION("""COMPUTED_VALUE"""),"John")</f>
        <v>John</v>
      </c>
      <c r="D2625" s="1" t="str">
        <f ca="1">IFERROR(__xludf.DUMMYFUNCTION("""COMPUTED_VALUE"""),"Berango")</f>
        <v>Berango</v>
      </c>
      <c r="E2625" s="1" t="str">
        <f ca="1">IFERROR(__xludf.DUMMYFUNCTION("""COMPUTED_VALUE"""),"Sayang naman yun tig-500 kung kulang sa chant")</f>
        <v>Sayang naman yun tig-500 kung kulang sa chant</v>
      </c>
      <c r="F2625" s="1"/>
      <c r="G2625" s="1" t="str">
        <f ca="1">IFERROR(__xludf.DUMMYFUNCTION("""COMPUTED_VALUE"""),"3 mos")</f>
        <v>3 mos</v>
      </c>
      <c r="H2625" s="1" t="str">
        <f ca="1">IFERROR(__xludf.DUMMYFUNCTION("""COMPUTED_VALUE"""),"comment")</f>
        <v>comment</v>
      </c>
      <c r="I2625" s="2" t="str">
        <f ca="1">IFERROR(__xludf.DUMMYFUNCTION("""COMPUTED_VALUE"""),"https://www.facebook.com/rapplerdotcom/photos/a.317154781638645/5594264657260938/")</f>
        <v>https://www.facebook.com/rapplerdotcom/photos/a.317154781638645/5594264657260938/</v>
      </c>
      <c r="J2625" s="1" t="str">
        <f ca="1">IFERROR(__xludf.DUMMYFUNCTION("""COMPUTED_VALUE"""),"2022-07-04T15:51:46.030Z")</f>
        <v>2022-07-04T15:51:46.030Z</v>
      </c>
    </row>
    <row r="2626" spans="1:10" x14ac:dyDescent="0.2">
      <c r="A2626" s="2" t="str">
        <f ca="1">IFERROR(__xludf.DUMMYFUNCTION("""COMPUTED_VALUE"""),"https://www.facebook.com/maldita.santita")</f>
        <v>https://www.facebook.com/maldita.santita</v>
      </c>
      <c r="B2626" s="1" t="str">
        <f ca="1">IFERROR(__xludf.DUMMYFUNCTION("""COMPUTED_VALUE"""),"Juliet Presto")</f>
        <v>Juliet Presto</v>
      </c>
      <c r="C2626" s="1" t="str">
        <f ca="1">IFERROR(__xludf.DUMMYFUNCTION("""COMPUTED_VALUE"""),"Juliet")</f>
        <v>Juliet</v>
      </c>
      <c r="D2626" s="1" t="str">
        <f ca="1">IFERROR(__xludf.DUMMYFUNCTION("""COMPUTED_VALUE"""),"Presto")</f>
        <v>Presto</v>
      </c>
      <c r="E2626" s="1" t="str">
        <f ca="1">IFERROR(__xludf.DUMMYFUNCTION("""COMPUTED_VALUE"""),"Ampalaya kayo dyan 🤣🤣🤣")</f>
        <v>Ampalaya kayo dyan 🤣🤣🤣</v>
      </c>
      <c r="F2626" s="1"/>
      <c r="G2626" s="1" t="str">
        <f ca="1">IFERROR(__xludf.DUMMYFUNCTION("""COMPUTED_VALUE"""),"3 mos")</f>
        <v>3 mos</v>
      </c>
      <c r="H2626" s="1" t="str">
        <f ca="1">IFERROR(__xludf.DUMMYFUNCTION("""COMPUTED_VALUE"""),"comment")</f>
        <v>comment</v>
      </c>
      <c r="I2626" s="2" t="str">
        <f ca="1">IFERROR(__xludf.DUMMYFUNCTION("""COMPUTED_VALUE"""),"https://www.facebook.com/rapplerdotcom/photos/a.317154781638645/5594264657260938/")</f>
        <v>https://www.facebook.com/rapplerdotcom/photos/a.317154781638645/5594264657260938/</v>
      </c>
      <c r="J2626" s="1" t="str">
        <f ca="1">IFERROR(__xludf.DUMMYFUNCTION("""COMPUTED_VALUE"""),"2022-07-04T15:51:46.030Z")</f>
        <v>2022-07-04T15:51:46.030Z</v>
      </c>
    </row>
    <row r="2627" spans="1:10" x14ac:dyDescent="0.2">
      <c r="A2627" s="2" t="str">
        <f ca="1">IFERROR(__xludf.DUMMYFUNCTION("""COMPUTED_VALUE"""),"https://www.facebook.com/topher.asp.3")</f>
        <v>https://www.facebook.com/topher.asp.3</v>
      </c>
      <c r="B2627" s="1" t="str">
        <f ca="1">IFERROR(__xludf.DUMMYFUNCTION("""COMPUTED_VALUE"""),"Aspuria Chrstophr")</f>
        <v>Aspuria Chrstophr</v>
      </c>
      <c r="C2627" s="1" t="str">
        <f ca="1">IFERROR(__xludf.DUMMYFUNCTION("""COMPUTED_VALUE"""),"Aspuria")</f>
        <v>Aspuria</v>
      </c>
      <c r="D2627" s="1" t="str">
        <f ca="1">IFERROR(__xludf.DUMMYFUNCTION("""COMPUTED_VALUE"""),"Chrstophr")</f>
        <v>Chrstophr</v>
      </c>
      <c r="E2627" s="1" t="str">
        <f ca="1">IFERROR(__xludf.DUMMYFUNCTION("""COMPUTED_VALUE"""),"Kanta lng yan lawakan naman ang utak")</f>
        <v>Kanta lng yan lawakan naman ang utak</v>
      </c>
      <c r="F2627" s="1">
        <f ca="1">IFERROR(__xludf.DUMMYFUNCTION("""COMPUTED_VALUE"""),1)</f>
        <v>1</v>
      </c>
      <c r="G2627" s="1" t="str">
        <f ca="1">IFERROR(__xludf.DUMMYFUNCTION("""COMPUTED_VALUE"""),"3 mos")</f>
        <v>3 mos</v>
      </c>
      <c r="H2627" s="1" t="str">
        <f ca="1">IFERROR(__xludf.DUMMYFUNCTION("""COMPUTED_VALUE"""),"comment")</f>
        <v>comment</v>
      </c>
      <c r="I2627" s="2" t="str">
        <f ca="1">IFERROR(__xludf.DUMMYFUNCTION("""COMPUTED_VALUE"""),"https://www.facebook.com/rapplerdotcom/photos/a.317154781638645/5594264657260938/")</f>
        <v>https://www.facebook.com/rapplerdotcom/photos/a.317154781638645/5594264657260938/</v>
      </c>
      <c r="J2627" s="1" t="str">
        <f ca="1">IFERROR(__xludf.DUMMYFUNCTION("""COMPUTED_VALUE"""),"2022-07-04T15:51:46.030Z")</f>
        <v>2022-07-04T15:51:46.030Z</v>
      </c>
    </row>
    <row r="2628" spans="1:10" x14ac:dyDescent="0.2">
      <c r="A2628" s="2" t="str">
        <f ca="1">IFERROR(__xludf.DUMMYFUNCTION("""COMPUTED_VALUE"""),"https://www.facebook.com/fred.deleon.9")</f>
        <v>https://www.facebook.com/fred.deleon.9</v>
      </c>
      <c r="B2628" s="1" t="str">
        <f ca="1">IFERROR(__xludf.DUMMYFUNCTION("""COMPUTED_VALUE"""),"Fred de Leon")</f>
        <v>Fred de Leon</v>
      </c>
      <c r="C2628" s="1" t="str">
        <f ca="1">IFERROR(__xludf.DUMMYFUNCTION("""COMPUTED_VALUE"""),"Fred")</f>
        <v>Fred</v>
      </c>
      <c r="D2628" s="1" t="str">
        <f ca="1">IFERROR(__xludf.DUMMYFUNCTION("""COMPUTED_VALUE"""),"de Leon")</f>
        <v>de Leon</v>
      </c>
      <c r="E2628" s="1" t="str">
        <f ca="1">IFERROR(__xludf.DUMMYFUNCTION("""COMPUTED_VALUE"""),"Desperate move!")</f>
        <v>Desperate move!</v>
      </c>
      <c r="F2628" s="1">
        <f ca="1">IFERROR(__xludf.DUMMYFUNCTION("""COMPUTED_VALUE"""),5)</f>
        <v>5</v>
      </c>
      <c r="G2628" s="1" t="str">
        <f ca="1">IFERROR(__xludf.DUMMYFUNCTION("""COMPUTED_VALUE"""),"3 mos")</f>
        <v>3 mos</v>
      </c>
      <c r="H2628" s="1" t="str">
        <f ca="1">IFERROR(__xludf.DUMMYFUNCTION("""COMPUTED_VALUE"""),"comment")</f>
        <v>comment</v>
      </c>
      <c r="I2628" s="2" t="str">
        <f ca="1">IFERROR(__xludf.DUMMYFUNCTION("""COMPUTED_VALUE"""),"https://www.facebook.com/rapplerdotcom/photos/a.317154781638645/5594264657260938/")</f>
        <v>https://www.facebook.com/rapplerdotcom/photos/a.317154781638645/5594264657260938/</v>
      </c>
      <c r="J2628" s="1" t="str">
        <f ca="1">IFERROR(__xludf.DUMMYFUNCTION("""COMPUTED_VALUE"""),"2022-07-04T15:51:46.030Z")</f>
        <v>2022-07-04T15:51:46.030Z</v>
      </c>
    </row>
    <row r="2629" spans="1:10" x14ac:dyDescent="0.2">
      <c r="A2629" s="2" t="str">
        <f ca="1">IFERROR(__xludf.DUMMYFUNCTION("""COMPUTED_VALUE"""),"https://www.facebook.com/nivelyn.abella.1")</f>
        <v>https://www.facebook.com/nivelyn.abella.1</v>
      </c>
      <c r="B2629" s="1" t="str">
        <f ca="1">IFERROR(__xludf.DUMMYFUNCTION("""COMPUTED_VALUE"""),"Nibyangski Suarez Anga")</f>
        <v>Nibyangski Suarez Anga</v>
      </c>
      <c r="C2629" s="1" t="str">
        <f ca="1">IFERROR(__xludf.DUMMYFUNCTION("""COMPUTED_VALUE"""),"Nibyangski")</f>
        <v>Nibyangski</v>
      </c>
      <c r="D2629" s="1" t="str">
        <f ca="1">IFERROR(__xludf.DUMMYFUNCTION("""COMPUTED_VALUE"""),"Suarez Anga")</f>
        <v>Suarez Anga</v>
      </c>
      <c r="E2629" s="1" t="str">
        <f ca="1">IFERROR(__xludf.DUMMYFUNCTION("""COMPUTED_VALUE"""),"minarcos ang sariling video.")</f>
        <v>minarcos ang sariling video.</v>
      </c>
      <c r="F2629" s="1">
        <f ca="1">IFERROR(__xludf.DUMMYFUNCTION("""COMPUTED_VALUE"""),1)</f>
        <v>1</v>
      </c>
      <c r="G2629" s="1" t="str">
        <f ca="1">IFERROR(__xludf.DUMMYFUNCTION("""COMPUTED_VALUE"""),"3 mos")</f>
        <v>3 mos</v>
      </c>
      <c r="H2629" s="1" t="str">
        <f ca="1">IFERROR(__xludf.DUMMYFUNCTION("""COMPUTED_VALUE"""),"comment")</f>
        <v>comment</v>
      </c>
      <c r="I2629" s="2" t="str">
        <f ca="1">IFERROR(__xludf.DUMMYFUNCTION("""COMPUTED_VALUE"""),"https://www.facebook.com/rapplerdotcom/photos/a.317154781638645/5594264657260938/")</f>
        <v>https://www.facebook.com/rapplerdotcom/photos/a.317154781638645/5594264657260938/</v>
      </c>
      <c r="J2629" s="1" t="str">
        <f ca="1">IFERROR(__xludf.DUMMYFUNCTION("""COMPUTED_VALUE"""),"2022-07-04T15:51:46.030Z")</f>
        <v>2022-07-04T15:51:46.030Z</v>
      </c>
    </row>
    <row r="2630" spans="1:10" x14ac:dyDescent="0.2">
      <c r="A2630" s="2" t="str">
        <f ca="1">IFERROR(__xludf.DUMMYFUNCTION("""COMPUTED_VALUE"""),"https://www.facebook.com/cjal.valhol")</f>
        <v>https://www.facebook.com/cjal.valhol</v>
      </c>
      <c r="B2630" s="1" t="str">
        <f ca="1">IFERROR(__xludf.DUMMYFUNCTION("""COMPUTED_VALUE"""),"Marcking Estabillo")</f>
        <v>Marcking Estabillo</v>
      </c>
      <c r="C2630" s="1" t="str">
        <f ca="1">IFERROR(__xludf.DUMMYFUNCTION("""COMPUTED_VALUE"""),"Marcking")</f>
        <v>Marcking</v>
      </c>
      <c r="D2630" s="1" t="str">
        <f ca="1">IFERROR(__xludf.DUMMYFUNCTION("""COMPUTED_VALUE"""),"Estabillo")</f>
        <v>Estabillo</v>
      </c>
      <c r="E2630" s="1" t="str">
        <f ca="1">IFERROR(__xludf.DUMMYFUNCTION("""COMPUTED_VALUE"""),"Oo nlng")</f>
        <v>Oo nlng</v>
      </c>
      <c r="F2630" s="1"/>
      <c r="G2630" s="1" t="str">
        <f ca="1">IFERROR(__xludf.DUMMYFUNCTION("""COMPUTED_VALUE"""),"3 mos")</f>
        <v>3 mos</v>
      </c>
      <c r="H2630" s="1" t="str">
        <f ca="1">IFERROR(__xludf.DUMMYFUNCTION("""COMPUTED_VALUE"""),"comment")</f>
        <v>comment</v>
      </c>
      <c r="I2630" s="2" t="str">
        <f ca="1">IFERROR(__xludf.DUMMYFUNCTION("""COMPUTED_VALUE"""),"https://www.facebook.com/rapplerdotcom/photos/a.317154781638645/5594264657260938/")</f>
        <v>https://www.facebook.com/rapplerdotcom/photos/a.317154781638645/5594264657260938/</v>
      </c>
      <c r="J2630" s="1" t="str">
        <f ca="1">IFERROR(__xludf.DUMMYFUNCTION("""COMPUTED_VALUE"""),"2022-07-04T15:51:46.030Z")</f>
        <v>2022-07-04T15:51:46.030Z</v>
      </c>
    </row>
    <row r="2631" spans="1:10" x14ac:dyDescent="0.2">
      <c r="A2631" s="2" t="str">
        <f ca="1">IFERROR(__xludf.DUMMYFUNCTION("""COMPUTED_VALUE"""),"https://www.facebook.com/ryanjay.gil")</f>
        <v>https://www.facebook.com/ryanjay.gil</v>
      </c>
      <c r="B2631" s="1" t="str">
        <f ca="1">IFERROR(__xludf.DUMMYFUNCTION("""COMPUTED_VALUE"""),"Ryan Jay Gil")</f>
        <v>Ryan Jay Gil</v>
      </c>
      <c r="C2631" s="1" t="str">
        <f ca="1">IFERROR(__xludf.DUMMYFUNCTION("""COMPUTED_VALUE"""),"Ryan")</f>
        <v>Ryan</v>
      </c>
      <c r="D2631" s="1" t="str">
        <f ca="1">IFERROR(__xludf.DUMMYFUNCTION("""COMPUTED_VALUE"""),"Jay Gil")</f>
        <v>Jay Gil</v>
      </c>
      <c r="E2631" s="1" t="str">
        <f ca="1">IFERROR(__xludf.DUMMYFUNCTION("""COMPUTED_VALUE"""),"OA niyo")</f>
        <v>OA niyo</v>
      </c>
      <c r="F2631" s="1"/>
      <c r="G2631" s="1" t="str">
        <f ca="1">IFERROR(__xludf.DUMMYFUNCTION("""COMPUTED_VALUE"""),"3 mos")</f>
        <v>3 mos</v>
      </c>
      <c r="H2631" s="1" t="str">
        <f ca="1">IFERROR(__xludf.DUMMYFUNCTION("""COMPUTED_VALUE"""),"comment")</f>
        <v>comment</v>
      </c>
      <c r="I2631" s="2" t="str">
        <f ca="1">IFERROR(__xludf.DUMMYFUNCTION("""COMPUTED_VALUE"""),"https://www.facebook.com/rapplerdotcom/photos/a.317154781638645/5594264657260938/")</f>
        <v>https://www.facebook.com/rapplerdotcom/photos/a.317154781638645/5594264657260938/</v>
      </c>
      <c r="J2631" s="1" t="str">
        <f ca="1">IFERROR(__xludf.DUMMYFUNCTION("""COMPUTED_VALUE"""),"2022-07-04T15:51:46.030Z")</f>
        <v>2022-07-04T15:51:46.030Z</v>
      </c>
    </row>
    <row r="2632" spans="1:10" x14ac:dyDescent="0.2">
      <c r="A2632" s="2" t="str">
        <f ca="1">IFERROR(__xludf.DUMMYFUNCTION("""COMPUTED_VALUE"""),"https://www.facebook.com/rhodora.entera")</f>
        <v>https://www.facebook.com/rhodora.entera</v>
      </c>
      <c r="B2632" s="1" t="str">
        <f ca="1">IFERROR(__xludf.DUMMYFUNCTION("""COMPUTED_VALUE"""),"Rhodora Batillano Entera")</f>
        <v>Rhodora Batillano Entera</v>
      </c>
      <c r="C2632" s="1" t="str">
        <f ca="1">IFERROR(__xludf.DUMMYFUNCTION("""COMPUTED_VALUE"""),"Rhodora")</f>
        <v>Rhodora</v>
      </c>
      <c r="D2632" s="1" t="str">
        <f ca="1">IFERROR(__xludf.DUMMYFUNCTION("""COMPUTED_VALUE"""),"Batillano Entera")</f>
        <v>Batillano Entera</v>
      </c>
      <c r="E2632" s="1" t="str">
        <f ca="1">IFERROR(__xludf.DUMMYFUNCTION("""COMPUTED_VALUE"""),"Ano pa inaasahan nyo 😂")</f>
        <v>Ano pa inaasahan nyo 😂</v>
      </c>
      <c r="F2632" s="1"/>
      <c r="G2632" s="1" t="str">
        <f ca="1">IFERROR(__xludf.DUMMYFUNCTION("""COMPUTED_VALUE"""),"3 mos")</f>
        <v>3 mos</v>
      </c>
      <c r="H2632" s="1" t="str">
        <f ca="1">IFERROR(__xludf.DUMMYFUNCTION("""COMPUTED_VALUE"""),"comment")</f>
        <v>comment</v>
      </c>
      <c r="I2632" s="2" t="str">
        <f ca="1">IFERROR(__xludf.DUMMYFUNCTION("""COMPUTED_VALUE"""),"https://www.facebook.com/rapplerdotcom/photos/a.317154781638645/5594264657260938/")</f>
        <v>https://www.facebook.com/rapplerdotcom/photos/a.317154781638645/5594264657260938/</v>
      </c>
      <c r="J2632" s="1" t="str">
        <f ca="1">IFERROR(__xludf.DUMMYFUNCTION("""COMPUTED_VALUE"""),"2022-07-04T15:51:46.030Z")</f>
        <v>2022-07-04T15:51:46.030Z</v>
      </c>
    </row>
    <row r="2633" spans="1:10" x14ac:dyDescent="0.2">
      <c r="A2633" s="2" t="str">
        <f ca="1">IFERROR(__xludf.DUMMYFUNCTION("""COMPUTED_VALUE"""),"https://www.facebook.com/profile.php?id=100076414760032")</f>
        <v>https://www.facebook.com/profile.php?id=100076414760032</v>
      </c>
      <c r="B2633" s="1" t="str">
        <f ca="1">IFERROR(__xludf.DUMMYFUNCTION("""COMPUTED_VALUE"""),"Gemma G Tamagos")</f>
        <v>Gemma G Tamagos</v>
      </c>
      <c r="C2633" s="1" t="str">
        <f ca="1">IFERROR(__xludf.DUMMYFUNCTION("""COMPUTED_VALUE"""),"Gemma")</f>
        <v>Gemma</v>
      </c>
      <c r="D2633" s="1" t="str">
        <f ca="1">IFERROR(__xludf.DUMMYFUNCTION("""COMPUTED_VALUE"""),"G Tamagos")</f>
        <v>G Tamagos</v>
      </c>
      <c r="E2633" s="1" t="str">
        <f ca="1">IFERROR(__xludf.DUMMYFUNCTION("""COMPUTED_VALUE"""),"Paulit2 na lng...")</f>
        <v>Paulit2 na lng...</v>
      </c>
      <c r="F2633" s="1"/>
      <c r="G2633" s="1" t="str">
        <f ca="1">IFERROR(__xludf.DUMMYFUNCTION("""COMPUTED_VALUE"""),"3 mos")</f>
        <v>3 mos</v>
      </c>
      <c r="H2633" s="1" t="str">
        <f ca="1">IFERROR(__xludf.DUMMYFUNCTION("""COMPUTED_VALUE"""),"comment")</f>
        <v>comment</v>
      </c>
      <c r="I2633" s="2" t="str">
        <f ca="1">IFERROR(__xludf.DUMMYFUNCTION("""COMPUTED_VALUE"""),"https://www.facebook.com/rapplerdotcom/photos/a.317154781638645/5594264657260938/")</f>
        <v>https://www.facebook.com/rapplerdotcom/photos/a.317154781638645/5594264657260938/</v>
      </c>
      <c r="J2633" s="1" t="str">
        <f ca="1">IFERROR(__xludf.DUMMYFUNCTION("""COMPUTED_VALUE"""),"2022-07-04T15:51:46.030Z")</f>
        <v>2022-07-04T15:51:46.030Z</v>
      </c>
    </row>
    <row r="2634" spans="1:10" x14ac:dyDescent="0.2">
      <c r="A2634" s="2" t="str">
        <f ca="1">IFERROR(__xludf.DUMMYFUNCTION("""COMPUTED_VALUE"""),"https://www.facebook.com/eavonnemurielle.baltazar")</f>
        <v>https://www.facebook.com/eavonnemurielle.baltazar</v>
      </c>
      <c r="B2634" s="1" t="str">
        <f ca="1">IFERROR(__xludf.DUMMYFUNCTION("""COMPUTED_VALUE"""),"Em Miras Solleza")</f>
        <v>Em Miras Solleza</v>
      </c>
      <c r="C2634" s="1" t="str">
        <f ca="1">IFERROR(__xludf.DUMMYFUNCTION("""COMPUTED_VALUE"""),"Em")</f>
        <v>Em</v>
      </c>
      <c r="D2634" s="1" t="str">
        <f ca="1">IFERROR(__xludf.DUMMYFUNCTION("""COMPUTED_VALUE"""),"Miras Solleza")</f>
        <v>Miras Solleza</v>
      </c>
      <c r="E2634" s="1" t="str">
        <f ca="1">IFERROR(__xludf.DUMMYFUNCTION("""COMPUTED_VALUE"""),"Namarcos yan HAHAHAHAHAHAHA")</f>
        <v>Namarcos yan HAHAHAHAHAHAHA</v>
      </c>
      <c r="F2634" s="1"/>
      <c r="G2634" s="1" t="str">
        <f ca="1">IFERROR(__xludf.DUMMYFUNCTION("""COMPUTED_VALUE"""),"3 mos")</f>
        <v>3 mos</v>
      </c>
      <c r="H2634" s="1" t="str">
        <f ca="1">IFERROR(__xludf.DUMMYFUNCTION("""COMPUTED_VALUE"""),"comment")</f>
        <v>comment</v>
      </c>
      <c r="I2634" s="2" t="str">
        <f ca="1">IFERROR(__xludf.DUMMYFUNCTION("""COMPUTED_VALUE"""),"https://www.facebook.com/rapplerdotcom/photos/a.317154781638645/5594264657260938/")</f>
        <v>https://www.facebook.com/rapplerdotcom/photos/a.317154781638645/5594264657260938/</v>
      </c>
      <c r="J2634" s="1" t="str">
        <f ca="1">IFERROR(__xludf.DUMMYFUNCTION("""COMPUTED_VALUE"""),"2022-07-04T15:51:46.030Z")</f>
        <v>2022-07-04T15:51:46.030Z</v>
      </c>
    </row>
    <row r="2635" spans="1:10" x14ac:dyDescent="0.2">
      <c r="A2635" s="2" t="str">
        <f ca="1">IFERROR(__xludf.DUMMYFUNCTION("""COMPUTED_VALUE"""),"https://www.facebook.com/melchor.serawom")</f>
        <v>https://www.facebook.com/melchor.serawom</v>
      </c>
      <c r="B2635" s="1" t="str">
        <f ca="1">IFERROR(__xludf.DUMMYFUNCTION("""COMPUTED_VALUE"""),"Melchor Lumacad Serawom")</f>
        <v>Melchor Lumacad Serawom</v>
      </c>
      <c r="C2635" s="1" t="str">
        <f ca="1">IFERROR(__xludf.DUMMYFUNCTION("""COMPUTED_VALUE"""),"Melchor")</f>
        <v>Melchor</v>
      </c>
      <c r="D2635" s="1" t="str">
        <f ca="1">IFERROR(__xludf.DUMMYFUNCTION("""COMPUTED_VALUE"""),"Lumacad Serawom")</f>
        <v>Lumacad Serawom</v>
      </c>
      <c r="E2635" s="1" t="str">
        <f ca="1">IFERROR(__xludf.DUMMYFUNCTION("""COMPUTED_VALUE"""),"Okay po😊😅")</f>
        <v>Okay po😊😅</v>
      </c>
      <c r="F2635" s="1"/>
      <c r="G2635" s="1" t="str">
        <f ca="1">IFERROR(__xludf.DUMMYFUNCTION("""COMPUTED_VALUE"""),"3 mos")</f>
        <v>3 mos</v>
      </c>
      <c r="H2635" s="1" t="str">
        <f ca="1">IFERROR(__xludf.DUMMYFUNCTION("""COMPUTED_VALUE"""),"comment")</f>
        <v>comment</v>
      </c>
      <c r="I2635" s="2" t="str">
        <f ca="1">IFERROR(__xludf.DUMMYFUNCTION("""COMPUTED_VALUE"""),"https://www.facebook.com/rapplerdotcom/photos/a.317154781638645/5594264657260938/")</f>
        <v>https://www.facebook.com/rapplerdotcom/photos/a.317154781638645/5594264657260938/</v>
      </c>
      <c r="J2635" s="1" t="str">
        <f ca="1">IFERROR(__xludf.DUMMYFUNCTION("""COMPUTED_VALUE"""),"2022-07-04T15:51:46.030Z")</f>
        <v>2022-07-04T15:51:46.030Z</v>
      </c>
    </row>
    <row r="2636" spans="1:10" x14ac:dyDescent="0.2">
      <c r="A2636" s="2" t="str">
        <f ca="1">IFERROR(__xludf.DUMMYFUNCTION("""COMPUTED_VALUE"""),"https://www.facebook.com/ETHANAJMARK")</f>
        <v>https://www.facebook.com/ETHANAJMARK</v>
      </c>
      <c r="B2636" s="1" t="str">
        <f ca="1">IFERROR(__xludf.DUMMYFUNCTION("""COMPUTED_VALUE"""),"Benj Dal Ronquillo")</f>
        <v>Benj Dal Ronquillo</v>
      </c>
      <c r="C2636" s="1" t="str">
        <f ca="1">IFERROR(__xludf.DUMMYFUNCTION("""COMPUTED_VALUE"""),"Benj")</f>
        <v>Benj</v>
      </c>
      <c r="D2636" s="1" t="str">
        <f ca="1">IFERROR(__xludf.DUMMYFUNCTION("""COMPUTED_VALUE"""),"Dal Ronquillo")</f>
        <v>Dal Ronquillo</v>
      </c>
      <c r="E2636" s="1" t="str">
        <f ca="1">IFERROR(__xludf.DUMMYFUNCTION("""COMPUTED_VALUE"""),"Trying hard")</f>
        <v>Trying hard</v>
      </c>
      <c r="F2636" s="1"/>
      <c r="G2636" s="1" t="str">
        <f ca="1">IFERROR(__xludf.DUMMYFUNCTION("""COMPUTED_VALUE"""),"3 mos")</f>
        <v>3 mos</v>
      </c>
      <c r="H2636" s="1" t="str">
        <f ca="1">IFERROR(__xludf.DUMMYFUNCTION("""COMPUTED_VALUE"""),"comment")</f>
        <v>comment</v>
      </c>
      <c r="I2636" s="2" t="str">
        <f ca="1">IFERROR(__xludf.DUMMYFUNCTION("""COMPUTED_VALUE"""),"https://www.facebook.com/rapplerdotcom/photos/a.317154781638645/5594264657260938/")</f>
        <v>https://www.facebook.com/rapplerdotcom/photos/a.317154781638645/5594264657260938/</v>
      </c>
      <c r="J2636" s="1" t="str">
        <f ca="1">IFERROR(__xludf.DUMMYFUNCTION("""COMPUTED_VALUE"""),"2022-07-04T15:51:46.030Z")</f>
        <v>2022-07-04T15:51:46.030Z</v>
      </c>
    </row>
    <row r="2637" spans="1:10" x14ac:dyDescent="0.2">
      <c r="A2637" s="2" t="str">
        <f ca="1">IFERROR(__xludf.DUMMYFUNCTION("""COMPUTED_VALUE"""),"https://www.facebook.com/chazper21")</f>
        <v>https://www.facebook.com/chazper21</v>
      </c>
      <c r="B2637" s="1" t="str">
        <f ca="1">IFERROR(__xludf.DUMMYFUNCTION("""COMPUTED_VALUE"""),"Jeffrh Sequito Dela Cerna")</f>
        <v>Jeffrh Sequito Dela Cerna</v>
      </c>
      <c r="C2637" s="1" t="str">
        <f ca="1">IFERROR(__xludf.DUMMYFUNCTION("""COMPUTED_VALUE"""),"Jeffrh")</f>
        <v>Jeffrh</v>
      </c>
      <c r="D2637" s="1" t="str">
        <f ca="1">IFERROR(__xludf.DUMMYFUNCTION("""COMPUTED_VALUE"""),"Sequito Dela Cerna")</f>
        <v>Sequito Dela Cerna</v>
      </c>
      <c r="E2637" s="1" t="str">
        <f ca="1">IFERROR(__xludf.DUMMYFUNCTION("""COMPUTED_VALUE"""),"We don't care")</f>
        <v>We don't care</v>
      </c>
      <c r="F2637" s="1"/>
      <c r="G2637" s="1" t="str">
        <f ca="1">IFERROR(__xludf.DUMMYFUNCTION("""COMPUTED_VALUE"""),"3 mos")</f>
        <v>3 mos</v>
      </c>
      <c r="H2637" s="1" t="str">
        <f ca="1">IFERROR(__xludf.DUMMYFUNCTION("""COMPUTED_VALUE"""),"comment")</f>
        <v>comment</v>
      </c>
      <c r="I2637" s="2" t="str">
        <f ca="1">IFERROR(__xludf.DUMMYFUNCTION("""COMPUTED_VALUE"""),"https://www.facebook.com/rapplerdotcom/photos/a.317154781638645/5594264657260938/")</f>
        <v>https://www.facebook.com/rapplerdotcom/photos/a.317154781638645/5594264657260938/</v>
      </c>
      <c r="J2637" s="1" t="str">
        <f ca="1">IFERROR(__xludf.DUMMYFUNCTION("""COMPUTED_VALUE"""),"2022-07-04T15:51:46.030Z")</f>
        <v>2022-07-04T15:51:46.030Z</v>
      </c>
    </row>
    <row r="2638" spans="1:10" x14ac:dyDescent="0.2">
      <c r="A2638" s="2" t="str">
        <f ca="1">IFERROR(__xludf.DUMMYFUNCTION("""COMPUTED_VALUE"""),"https://www.facebook.com/alectv07")</f>
        <v>https://www.facebook.com/alectv07</v>
      </c>
      <c r="B2638" s="1" t="str">
        <f ca="1">IFERROR(__xludf.DUMMYFUNCTION("""COMPUTED_VALUE"""),"Jonathan Utzurrum")</f>
        <v>Jonathan Utzurrum</v>
      </c>
      <c r="C2638" s="1" t="str">
        <f ca="1">IFERROR(__xludf.DUMMYFUNCTION("""COMPUTED_VALUE"""),"Jonathan")</f>
        <v>Jonathan</v>
      </c>
      <c r="D2638" s="1" t="str">
        <f ca="1">IFERROR(__xludf.DUMMYFUNCTION("""COMPUTED_VALUE"""),"Utzurrum")</f>
        <v>Utzurrum</v>
      </c>
      <c r="E2638" s="1" t="str">
        <f ca="1">IFERROR(__xludf.DUMMYFUNCTION("""COMPUTED_VALUE"""),"Puro kayo fact check peri d pa din umaangat si nanay lenlrn ninyo.")</f>
        <v>Puro kayo fact check peri d pa din umaangat si nanay lenlrn ninyo.</v>
      </c>
      <c r="F2638" s="1"/>
      <c r="G2638" s="1" t="str">
        <f ca="1">IFERROR(__xludf.DUMMYFUNCTION("""COMPUTED_VALUE"""),"3 mos")</f>
        <v>3 mos</v>
      </c>
      <c r="H2638" s="1" t="str">
        <f ca="1">IFERROR(__xludf.DUMMYFUNCTION("""COMPUTED_VALUE"""),"comment")</f>
        <v>comment</v>
      </c>
      <c r="I2638" s="2" t="str">
        <f ca="1">IFERROR(__xludf.DUMMYFUNCTION("""COMPUTED_VALUE"""),"https://www.facebook.com/rapplerdotcom/photos/a.317154781638645/5594264657260938/")</f>
        <v>https://www.facebook.com/rapplerdotcom/photos/a.317154781638645/5594264657260938/</v>
      </c>
      <c r="J2638" s="1" t="str">
        <f ca="1">IFERROR(__xludf.DUMMYFUNCTION("""COMPUTED_VALUE"""),"2022-07-04T15:51:46.030Z")</f>
        <v>2022-07-04T15:51:46.030Z</v>
      </c>
    </row>
    <row r="2639" spans="1:10" x14ac:dyDescent="0.2">
      <c r="A2639" s="2" t="str">
        <f ca="1">IFERROR(__xludf.DUMMYFUNCTION("""COMPUTED_VALUE"""),"https://www.facebook.com/alex.calague")</f>
        <v>https://www.facebook.com/alex.calague</v>
      </c>
      <c r="B2639" s="1" t="str">
        <f ca="1">IFERROR(__xludf.DUMMYFUNCTION("""COMPUTED_VALUE"""),"Alex Calague")</f>
        <v>Alex Calague</v>
      </c>
      <c r="C2639" s="1" t="str">
        <f ca="1">IFERROR(__xludf.DUMMYFUNCTION("""COMPUTED_VALUE"""),"Alex")</f>
        <v>Alex</v>
      </c>
      <c r="D2639" s="1" t="str">
        <f ca="1">IFERROR(__xludf.DUMMYFUNCTION("""COMPUTED_VALUE"""),"Calague")</f>
        <v>Calague</v>
      </c>
      <c r="E2639" s="1" t="str">
        <f ca="1">IFERROR(__xludf.DUMMYFUNCTION("""COMPUTED_VALUE"""),"Nakoh pwede ba hayaan nyo na kung daya ang video nila sa rally... ang importante energetic, buhay na buhay, at masaya ang video sa rally nyo... 😁 hindi naman nila kayang imanipula ang isipan na may discernment...")</f>
        <v>Nakoh pwede ba hayaan nyo na kung daya ang video nila sa rally... ang importante energetic, buhay na buhay, at masaya ang video sa rally nyo... 😁 hindi naman nila kayang imanipula ang isipan na may discernment...</v>
      </c>
      <c r="F2639" s="1">
        <f ca="1">IFERROR(__xludf.DUMMYFUNCTION("""COMPUTED_VALUE"""),1)</f>
        <v>1</v>
      </c>
      <c r="G2639" s="1" t="str">
        <f ca="1">IFERROR(__xludf.DUMMYFUNCTION("""COMPUTED_VALUE"""),"3 mos")</f>
        <v>3 mos</v>
      </c>
      <c r="H2639" s="1" t="str">
        <f ca="1">IFERROR(__xludf.DUMMYFUNCTION("""COMPUTED_VALUE"""),"comment")</f>
        <v>comment</v>
      </c>
      <c r="I2639" s="2" t="str">
        <f ca="1">IFERROR(__xludf.DUMMYFUNCTION("""COMPUTED_VALUE"""),"https://www.facebook.com/rapplerdotcom/photos/a.317154781638645/5594264657260938/")</f>
        <v>https://www.facebook.com/rapplerdotcom/photos/a.317154781638645/5594264657260938/</v>
      </c>
      <c r="J2639" s="1" t="str">
        <f ca="1">IFERROR(__xludf.DUMMYFUNCTION("""COMPUTED_VALUE"""),"2022-07-04T15:51:46.030Z")</f>
        <v>2022-07-04T15:51:46.030Z</v>
      </c>
    </row>
    <row r="2640" spans="1:10" x14ac:dyDescent="0.2">
      <c r="A2640" s="2" t="str">
        <f ca="1">IFERROR(__xludf.DUMMYFUNCTION("""COMPUTED_VALUE"""),"https://www.facebook.com/vcatamisanjr")</f>
        <v>https://www.facebook.com/vcatamisanjr</v>
      </c>
      <c r="B2640" s="1" t="str">
        <f ca="1">IFERROR(__xludf.DUMMYFUNCTION("""COMPUTED_VALUE"""),"Jay Ar")</f>
        <v>Jay Ar</v>
      </c>
      <c r="C2640" s="1" t="str">
        <f ca="1">IFERROR(__xludf.DUMMYFUNCTION("""COMPUTED_VALUE"""),"Jay")</f>
        <v>Jay</v>
      </c>
      <c r="D2640" s="1" t="str">
        <f ca="1">IFERROR(__xludf.DUMMYFUNCTION("""COMPUTED_VALUE"""),"Ar")</f>
        <v>Ar</v>
      </c>
      <c r="E2640" s="1" t="str">
        <f ca="1">IFERROR(__xludf.DUMMYFUNCTION("""COMPUTED_VALUE"""),"Bwahahahhahahahahahhahahahah alam nang lahat na edited yan at pang asar lang na vids yan hahahahahahha. Nai- fact check nyo pa hahahha. Walang wala naba talaga hahahha..")</f>
        <v>Bwahahahhahahahahahhahahahah alam nang lahat na edited yan at pang asar lang na vids yan hahahahahahha. Nai- fact check nyo pa hahahha. Walang wala naba talaga hahahha..</v>
      </c>
      <c r="F2640" s="1">
        <f ca="1">IFERROR(__xludf.DUMMYFUNCTION("""COMPUTED_VALUE"""),1)</f>
        <v>1</v>
      </c>
      <c r="G2640" s="1" t="str">
        <f ca="1">IFERROR(__xludf.DUMMYFUNCTION("""COMPUTED_VALUE"""),"3 mos")</f>
        <v>3 mos</v>
      </c>
      <c r="H2640" s="1" t="str">
        <f ca="1">IFERROR(__xludf.DUMMYFUNCTION("""COMPUTED_VALUE"""),"comment")</f>
        <v>comment</v>
      </c>
      <c r="I2640" s="2" t="str">
        <f ca="1">IFERROR(__xludf.DUMMYFUNCTION("""COMPUTED_VALUE"""),"https://www.facebook.com/rapplerdotcom/photos/a.317154781638645/5594264657260938/")</f>
        <v>https://www.facebook.com/rapplerdotcom/photos/a.317154781638645/5594264657260938/</v>
      </c>
      <c r="J2640" s="1" t="str">
        <f ca="1">IFERROR(__xludf.DUMMYFUNCTION("""COMPUTED_VALUE"""),"2022-07-04T15:51:46.030Z")</f>
        <v>2022-07-04T15:51:46.030Z</v>
      </c>
    </row>
    <row r="2641" spans="1:10" x14ac:dyDescent="0.2">
      <c r="A2641" s="2" t="str">
        <f ca="1">IFERROR(__xludf.DUMMYFUNCTION("""COMPUTED_VALUE"""),"https://www.facebook.com/profile.php?id=100065857924899")</f>
        <v>https://www.facebook.com/profile.php?id=100065857924899</v>
      </c>
      <c r="B2641" s="1" t="str">
        <f ca="1">IFERROR(__xludf.DUMMYFUNCTION("""COMPUTED_VALUE"""),"Kim Tokmol")</f>
        <v>Kim Tokmol</v>
      </c>
      <c r="C2641" s="1" t="str">
        <f ca="1">IFERROR(__xludf.DUMMYFUNCTION("""COMPUTED_VALUE"""),"Kim")</f>
        <v>Kim</v>
      </c>
      <c r="D2641" s="1" t="str">
        <f ca="1">IFERROR(__xludf.DUMMYFUNCTION("""COMPUTED_VALUE"""),"Tokmol")</f>
        <v>Tokmol</v>
      </c>
      <c r="E2641" s="1" t="str">
        <f ca="1">IFERROR(__xludf.DUMMYFUNCTION("""COMPUTED_VALUE"""),"Bakit kaya walang uniteam army ang nag reklamo kung totoo yan ,😅 kc hindi totoo")</f>
        <v>Bakit kaya walang uniteam army ang nag reklamo kung totoo yan ,😅 kc hindi totoo</v>
      </c>
      <c r="F2641" s="1"/>
      <c r="G2641" s="1" t="str">
        <f ca="1">IFERROR(__xludf.DUMMYFUNCTION("""COMPUTED_VALUE"""),"3 mos")</f>
        <v>3 mos</v>
      </c>
      <c r="H2641" s="1" t="str">
        <f ca="1">IFERROR(__xludf.DUMMYFUNCTION("""COMPUTED_VALUE"""),"comment")</f>
        <v>comment</v>
      </c>
      <c r="I2641" s="2" t="str">
        <f ca="1">IFERROR(__xludf.DUMMYFUNCTION("""COMPUTED_VALUE"""),"https://www.facebook.com/rapplerdotcom/photos/a.317154781638645/5594264657260938/")</f>
        <v>https://www.facebook.com/rapplerdotcom/photos/a.317154781638645/5594264657260938/</v>
      </c>
      <c r="J2641" s="1" t="str">
        <f ca="1">IFERROR(__xludf.DUMMYFUNCTION("""COMPUTED_VALUE"""),"2022-07-04T15:51:46.030Z")</f>
        <v>2022-07-04T15:51:46.030Z</v>
      </c>
    </row>
    <row r="2642" spans="1:10" x14ac:dyDescent="0.2">
      <c r="A2642" s="2" t="str">
        <f ca="1">IFERROR(__xludf.DUMMYFUNCTION("""COMPUTED_VALUE"""),"https://www.facebook.com/TANSHAOILING")</f>
        <v>https://www.facebook.com/TANSHAOILING</v>
      </c>
      <c r="B2642" s="1" t="str">
        <f ca="1">IFERROR(__xludf.DUMMYFUNCTION("""COMPUTED_VALUE"""),"Tan Arnel")</f>
        <v>Tan Arnel</v>
      </c>
      <c r="C2642" s="1" t="str">
        <f ca="1">IFERROR(__xludf.DUMMYFUNCTION("""COMPUTED_VALUE"""),"Tan")</f>
        <v>Tan</v>
      </c>
      <c r="D2642" s="1" t="str">
        <f ca="1">IFERROR(__xludf.DUMMYFUNCTION("""COMPUTED_VALUE"""),"Arnel")</f>
        <v>Arnel</v>
      </c>
      <c r="E2642" s="1" t="str">
        <f ca="1">IFERROR(__xludf.DUMMYFUNCTION("""COMPUTED_VALUE"""),"Kapag ingit pikit")</f>
        <v>Kapag ingit pikit</v>
      </c>
      <c r="F2642" s="1"/>
      <c r="G2642" s="1" t="str">
        <f ca="1">IFERROR(__xludf.DUMMYFUNCTION("""COMPUTED_VALUE"""),"3 mos")</f>
        <v>3 mos</v>
      </c>
      <c r="H2642" s="1" t="str">
        <f ca="1">IFERROR(__xludf.DUMMYFUNCTION("""COMPUTED_VALUE"""),"comment")</f>
        <v>comment</v>
      </c>
      <c r="I2642" s="2" t="str">
        <f ca="1">IFERROR(__xludf.DUMMYFUNCTION("""COMPUTED_VALUE"""),"https://www.facebook.com/rapplerdotcom/photos/a.317154781638645/5594264657260938/")</f>
        <v>https://www.facebook.com/rapplerdotcom/photos/a.317154781638645/5594264657260938/</v>
      </c>
      <c r="J2642" s="1" t="str">
        <f ca="1">IFERROR(__xludf.DUMMYFUNCTION("""COMPUTED_VALUE"""),"2022-07-04T15:51:46.030Z")</f>
        <v>2022-07-04T15:51:46.030Z</v>
      </c>
    </row>
    <row r="2643" spans="1:10" x14ac:dyDescent="0.2">
      <c r="A2643" s="2" t="str">
        <f ca="1">IFERROR(__xludf.DUMMYFUNCTION("""COMPUTED_VALUE"""),"https://www.facebook.com/renato.visitacion")</f>
        <v>https://www.facebook.com/renato.visitacion</v>
      </c>
      <c r="B2643" s="1" t="str">
        <f ca="1">IFERROR(__xludf.DUMMYFUNCTION("""COMPUTED_VALUE"""),"Visitacion Renato")</f>
        <v>Visitacion Renato</v>
      </c>
      <c r="C2643" s="1" t="str">
        <f ca="1">IFERROR(__xludf.DUMMYFUNCTION("""COMPUTED_VALUE"""),"Visitacion")</f>
        <v>Visitacion</v>
      </c>
      <c r="D2643" s="1" t="str">
        <f ca="1">IFERROR(__xludf.DUMMYFUNCTION("""COMPUTED_VALUE"""),"Renato")</f>
        <v>Renato</v>
      </c>
      <c r="E2643" s="1" t="str">
        <f ca="1">IFERROR(__xludf.DUMMYFUNCTION("""COMPUTED_VALUE"""),"Lostlost malapit na kayo mag signoff")</f>
        <v>Lostlost malapit na kayo mag signoff</v>
      </c>
      <c r="F2643" s="1"/>
      <c r="G2643" s="1" t="str">
        <f ca="1">IFERROR(__xludf.DUMMYFUNCTION("""COMPUTED_VALUE"""),"3 mos")</f>
        <v>3 mos</v>
      </c>
      <c r="H2643" s="1" t="str">
        <f ca="1">IFERROR(__xludf.DUMMYFUNCTION("""COMPUTED_VALUE"""),"comment")</f>
        <v>comment</v>
      </c>
      <c r="I2643" s="2" t="str">
        <f ca="1">IFERROR(__xludf.DUMMYFUNCTION("""COMPUTED_VALUE"""),"https://www.facebook.com/rapplerdotcom/photos/a.317154781638645/5594264657260938/")</f>
        <v>https://www.facebook.com/rapplerdotcom/photos/a.317154781638645/5594264657260938/</v>
      </c>
      <c r="J2643" s="1" t="str">
        <f ca="1">IFERROR(__xludf.DUMMYFUNCTION("""COMPUTED_VALUE"""),"2022-07-04T15:51:46.030Z")</f>
        <v>2022-07-04T15:51:46.030Z</v>
      </c>
    </row>
    <row r="2644" spans="1:10" x14ac:dyDescent="0.2">
      <c r="A2644" s="2" t="str">
        <f ca="1">IFERROR(__xludf.DUMMYFUNCTION("""COMPUTED_VALUE"""),"https://www.facebook.com/virgiliobeau.marvida")</f>
        <v>https://www.facebook.com/virgiliobeau.marvida</v>
      </c>
      <c r="B2644" s="1" t="str">
        <f ca="1">IFERROR(__xludf.DUMMYFUNCTION("""COMPUTED_VALUE"""),"Virgilio Marvida")</f>
        <v>Virgilio Marvida</v>
      </c>
      <c r="C2644" s="1" t="str">
        <f ca="1">IFERROR(__xludf.DUMMYFUNCTION("""COMPUTED_VALUE"""),"Virgilio")</f>
        <v>Virgilio</v>
      </c>
      <c r="D2644" s="1" t="str">
        <f ca="1">IFERROR(__xludf.DUMMYFUNCTION("""COMPUTED_VALUE"""),"Marvida")</f>
        <v>Marvida</v>
      </c>
      <c r="E2644" s="1" t="str">
        <f ca="1">IFERROR(__xludf.DUMMYFUNCTION("""COMPUTED_VALUE"""),"Kaumay na issue na yan")</f>
        <v>Kaumay na issue na yan</v>
      </c>
      <c r="F2644" s="1"/>
      <c r="G2644" s="1" t="str">
        <f ca="1">IFERROR(__xludf.DUMMYFUNCTION("""COMPUTED_VALUE"""),"3 mos")</f>
        <v>3 mos</v>
      </c>
      <c r="H2644" s="1" t="str">
        <f ca="1">IFERROR(__xludf.DUMMYFUNCTION("""COMPUTED_VALUE"""),"comment")</f>
        <v>comment</v>
      </c>
      <c r="I2644" s="2" t="str">
        <f ca="1">IFERROR(__xludf.DUMMYFUNCTION("""COMPUTED_VALUE"""),"https://www.facebook.com/rapplerdotcom/photos/a.317154781638645/5594264657260938/")</f>
        <v>https://www.facebook.com/rapplerdotcom/photos/a.317154781638645/5594264657260938/</v>
      </c>
      <c r="J2644" s="1" t="str">
        <f ca="1">IFERROR(__xludf.DUMMYFUNCTION("""COMPUTED_VALUE"""),"2022-07-04T15:51:46.030Z")</f>
        <v>2022-07-04T15:51:46.030Z</v>
      </c>
    </row>
    <row r="2645" spans="1:10" x14ac:dyDescent="0.2">
      <c r="A2645" s="2" t="str">
        <f ca="1">IFERROR(__xludf.DUMMYFUNCTION("""COMPUTED_VALUE"""),"https://www.facebook.com/danilo.bergonio.9")</f>
        <v>https://www.facebook.com/danilo.bergonio.9</v>
      </c>
      <c r="B2645" s="1" t="str">
        <f ca="1">IFERROR(__xludf.DUMMYFUNCTION("""COMPUTED_VALUE"""),"Danilo Bergonio")</f>
        <v>Danilo Bergonio</v>
      </c>
      <c r="C2645" s="1" t="str">
        <f ca="1">IFERROR(__xludf.DUMMYFUNCTION("""COMPUTED_VALUE"""),"Danilo")</f>
        <v>Danilo</v>
      </c>
      <c r="D2645" s="1" t="str">
        <f ca="1">IFERROR(__xludf.DUMMYFUNCTION("""COMPUTED_VALUE"""),"Bergonio")</f>
        <v>Bergonio</v>
      </c>
      <c r="E2645" s="1" t="str">
        <f ca="1">IFERROR(__xludf.DUMMYFUNCTION("""COMPUTED_VALUE"""),"News na ba yan !")</f>
        <v>News na ba yan !</v>
      </c>
      <c r="F2645" s="1"/>
      <c r="G2645" s="1" t="str">
        <f ca="1">IFERROR(__xludf.DUMMYFUNCTION("""COMPUTED_VALUE"""),"3 mos")</f>
        <v>3 mos</v>
      </c>
      <c r="H2645" s="1" t="str">
        <f ca="1">IFERROR(__xludf.DUMMYFUNCTION("""COMPUTED_VALUE"""),"comment")</f>
        <v>comment</v>
      </c>
      <c r="I2645" s="2" t="str">
        <f ca="1">IFERROR(__xludf.DUMMYFUNCTION("""COMPUTED_VALUE"""),"https://www.facebook.com/rapplerdotcom/photos/a.317154781638645/5594264657260938/")</f>
        <v>https://www.facebook.com/rapplerdotcom/photos/a.317154781638645/5594264657260938/</v>
      </c>
      <c r="J2645" s="1" t="str">
        <f ca="1">IFERROR(__xludf.DUMMYFUNCTION("""COMPUTED_VALUE"""),"2022-07-04T15:51:46.030Z")</f>
        <v>2022-07-04T15:51:46.030Z</v>
      </c>
    </row>
    <row r="2646" spans="1:10" x14ac:dyDescent="0.2">
      <c r="A2646" s="2" t="str">
        <f ca="1">IFERROR(__xludf.DUMMYFUNCTION("""COMPUTED_VALUE"""),"https://www.facebook.com/drebpalomata")</f>
        <v>https://www.facebook.com/drebpalomata</v>
      </c>
      <c r="B2646" s="1" t="str">
        <f ca="1">IFERROR(__xludf.DUMMYFUNCTION("""COMPUTED_VALUE"""),"Danreb Palomata")</f>
        <v>Danreb Palomata</v>
      </c>
      <c r="C2646" s="1" t="str">
        <f ca="1">IFERROR(__xludf.DUMMYFUNCTION("""COMPUTED_VALUE"""),"Danreb")</f>
        <v>Danreb</v>
      </c>
      <c r="D2646" s="1" t="str">
        <f ca="1">IFERROR(__xludf.DUMMYFUNCTION("""COMPUTED_VALUE"""),"Palomata")</f>
        <v>Palomata</v>
      </c>
      <c r="E2646" s="1" t="str">
        <f ca="1">IFERROR(__xludf.DUMMYFUNCTION("""COMPUTED_VALUE"""),"Panigurado marami na namang TaBoGo ang nabudol nyan.🤦‍♂️")</f>
        <v>Panigurado marami na namang TaBoGo ang nabudol nyan.🤦‍♂️</v>
      </c>
      <c r="F2646" s="1">
        <f ca="1">IFERROR(__xludf.DUMMYFUNCTION("""COMPUTED_VALUE"""),4)</f>
        <v>4</v>
      </c>
      <c r="G2646" s="1" t="str">
        <f ca="1">IFERROR(__xludf.DUMMYFUNCTION("""COMPUTED_VALUE"""),"3 mos")</f>
        <v>3 mos</v>
      </c>
      <c r="H2646" s="1" t="str">
        <f ca="1">IFERROR(__xludf.DUMMYFUNCTION("""COMPUTED_VALUE"""),"comment")</f>
        <v>comment</v>
      </c>
      <c r="I2646" s="2" t="str">
        <f ca="1">IFERROR(__xludf.DUMMYFUNCTION("""COMPUTED_VALUE"""),"https://www.facebook.com/rapplerdotcom/photos/a.317154781638645/5594264657260938/")</f>
        <v>https://www.facebook.com/rapplerdotcom/photos/a.317154781638645/5594264657260938/</v>
      </c>
      <c r="J2646" s="1" t="str">
        <f ca="1">IFERROR(__xludf.DUMMYFUNCTION("""COMPUTED_VALUE"""),"2022-07-04T15:51:46.030Z")</f>
        <v>2022-07-04T15:51:46.030Z</v>
      </c>
    </row>
    <row r="2647" spans="1:10" x14ac:dyDescent="0.2">
      <c r="A2647" s="2" t="str">
        <f ca="1">IFERROR(__xludf.DUMMYFUNCTION("""COMPUTED_VALUE"""),"https://www.facebook.com/jhayahr.santia")</f>
        <v>https://www.facebook.com/jhayahr.santia</v>
      </c>
      <c r="B2647" s="1" t="str">
        <f ca="1">IFERROR(__xludf.DUMMYFUNCTION("""COMPUTED_VALUE"""),"William Michael Marikit Santia Jr.")</f>
        <v>William Michael Marikit Santia Jr.</v>
      </c>
      <c r="C2647" s="1" t="str">
        <f ca="1">IFERROR(__xludf.DUMMYFUNCTION("""COMPUTED_VALUE"""),"William")</f>
        <v>William</v>
      </c>
      <c r="D2647" s="1" t="str">
        <f ca="1">IFERROR(__xludf.DUMMYFUNCTION("""COMPUTED_VALUE"""),"Michael Marikit Santia Jr.")</f>
        <v>Michael Marikit Santia Jr.</v>
      </c>
      <c r="E2647" s="1" t="str">
        <f ca="1">IFERROR(__xludf.DUMMYFUNCTION("""COMPUTED_VALUE"""),"May bago pa ba sa kanila..🤭😅")</f>
        <v>May bago pa ba sa kanila..🤭😅</v>
      </c>
      <c r="F2647" s="1">
        <f ca="1">IFERROR(__xludf.DUMMYFUNCTION("""COMPUTED_VALUE"""),3)</f>
        <v>3</v>
      </c>
      <c r="G2647" s="1" t="str">
        <f ca="1">IFERROR(__xludf.DUMMYFUNCTION("""COMPUTED_VALUE"""),"3 mos")</f>
        <v>3 mos</v>
      </c>
      <c r="H2647" s="1" t="str">
        <f ca="1">IFERROR(__xludf.DUMMYFUNCTION("""COMPUTED_VALUE"""),"comment")</f>
        <v>comment</v>
      </c>
      <c r="I2647" s="2" t="str">
        <f ca="1">IFERROR(__xludf.DUMMYFUNCTION("""COMPUTED_VALUE"""),"https://www.facebook.com/rapplerdotcom/photos/a.317154781638645/5594264657260938/")</f>
        <v>https://www.facebook.com/rapplerdotcom/photos/a.317154781638645/5594264657260938/</v>
      </c>
      <c r="J2647" s="1" t="str">
        <f ca="1">IFERROR(__xludf.DUMMYFUNCTION("""COMPUTED_VALUE"""),"2022-07-04T15:51:46.030Z")</f>
        <v>2022-07-04T15:51:46.030Z</v>
      </c>
    </row>
    <row r="2648" spans="1:10" x14ac:dyDescent="0.2">
      <c r="A2648" s="2" t="str">
        <f ca="1">IFERROR(__xludf.DUMMYFUNCTION("""COMPUTED_VALUE"""),"https://www.facebook.com/rensoriframos")</f>
        <v>https://www.facebook.com/rensoriframos</v>
      </c>
      <c r="B2648" s="1" t="str">
        <f ca="1">IFERROR(__xludf.DUMMYFUNCTION("""COMPUTED_VALUE"""),"Renso Rif Ramos")</f>
        <v>Renso Rif Ramos</v>
      </c>
      <c r="C2648" s="1" t="str">
        <f ca="1">IFERROR(__xludf.DUMMYFUNCTION("""COMPUTED_VALUE"""),"Renso")</f>
        <v>Renso</v>
      </c>
      <c r="D2648" s="1" t="str">
        <f ca="1">IFERROR(__xludf.DUMMYFUNCTION("""COMPUTED_VALUE"""),"Rif Ramos")</f>
        <v>Rif Ramos</v>
      </c>
      <c r="E2648" s="1" t="str">
        <f ca="1">IFERROR(__xludf.DUMMYFUNCTION("""COMPUTED_VALUE"""),"yes bagong tanggap siguro ng sahod")</f>
        <v>yes bagong tanggap siguro ng sahod</v>
      </c>
      <c r="F2648" s="1"/>
      <c r="G2648" s="1" t="str">
        <f ca="1">IFERROR(__xludf.DUMMYFUNCTION("""COMPUTED_VALUE"""),"3 mos")</f>
        <v>3 mos</v>
      </c>
      <c r="H2648" s="1" t="str">
        <f ca="1">IFERROR(__xludf.DUMMYFUNCTION("""COMPUTED_VALUE"""),"comment")</f>
        <v>comment</v>
      </c>
      <c r="I2648" s="2" t="str">
        <f ca="1">IFERROR(__xludf.DUMMYFUNCTION("""COMPUTED_VALUE"""),"https://www.facebook.com/rapplerdotcom/photos/a.317154781638645/5594264657260938/")</f>
        <v>https://www.facebook.com/rapplerdotcom/photos/a.317154781638645/5594264657260938/</v>
      </c>
      <c r="J2648" s="1" t="str">
        <f ca="1">IFERROR(__xludf.DUMMYFUNCTION("""COMPUTED_VALUE"""),"2022-07-04T15:51:46.030Z")</f>
        <v>2022-07-04T15:51:46.030Z</v>
      </c>
    </row>
    <row r="2649" spans="1:10" x14ac:dyDescent="0.2">
      <c r="A2649" s="2" t="str">
        <f ca="1">IFERROR(__xludf.DUMMYFUNCTION("""COMPUTED_VALUE"""),"https://www.facebook.com/escudero28")</f>
        <v>https://www.facebook.com/escudero28</v>
      </c>
      <c r="B2649" s="1" t="str">
        <f ca="1">IFERROR(__xludf.DUMMYFUNCTION("""COMPUTED_VALUE"""),"Waluigi Vince")</f>
        <v>Waluigi Vince</v>
      </c>
      <c r="C2649" s="1" t="str">
        <f ca="1">IFERROR(__xludf.DUMMYFUNCTION("""COMPUTED_VALUE"""),"Waluigi")</f>
        <v>Waluigi</v>
      </c>
      <c r="D2649" s="1" t="str">
        <f ca="1">IFERROR(__xludf.DUMMYFUNCTION("""COMPUTED_VALUE"""),"Vince")</f>
        <v>Vince</v>
      </c>
      <c r="E2649" s="1" t="str">
        <f ca="1">IFERROR(__xludf.DUMMYFUNCTION("""COMPUTED_VALUE"""),"Yung iba dito, ambilis talaga maniwala juskoooo. Gising hoy. HAHAHA")</f>
        <v>Yung iba dito, ambilis talaga maniwala juskoooo. Gising hoy. HAHAHA</v>
      </c>
      <c r="F2649" s="1"/>
      <c r="G2649" s="1" t="str">
        <f ca="1">IFERROR(__xludf.DUMMYFUNCTION("""COMPUTED_VALUE"""),"3 mos")</f>
        <v>3 mos</v>
      </c>
      <c r="H2649" s="1" t="str">
        <f ca="1">IFERROR(__xludf.DUMMYFUNCTION("""COMPUTED_VALUE"""),"comment")</f>
        <v>comment</v>
      </c>
      <c r="I2649" s="2" t="str">
        <f ca="1">IFERROR(__xludf.DUMMYFUNCTION("""COMPUTED_VALUE"""),"https://www.facebook.com/rapplerdotcom/photos/a.317154781638645/5594264657260938/")</f>
        <v>https://www.facebook.com/rapplerdotcom/photos/a.317154781638645/5594264657260938/</v>
      </c>
      <c r="J2649" s="1" t="str">
        <f ca="1">IFERROR(__xludf.DUMMYFUNCTION("""COMPUTED_VALUE"""),"2022-07-04T15:51:46.030Z")</f>
        <v>2022-07-04T15:51:46.030Z</v>
      </c>
    </row>
    <row r="2650" spans="1:10" x14ac:dyDescent="0.2">
      <c r="A2650" s="2" t="str">
        <f ca="1">IFERROR(__xludf.DUMMYFUNCTION("""COMPUTED_VALUE"""),"https://www.facebook.com/tony.abulencia.1")</f>
        <v>https://www.facebook.com/tony.abulencia.1</v>
      </c>
      <c r="B2650" s="1" t="str">
        <f ca="1">IFERROR(__xludf.DUMMYFUNCTION("""COMPUTED_VALUE"""),"Tony Abulencia")</f>
        <v>Tony Abulencia</v>
      </c>
      <c r="C2650" s="1" t="str">
        <f ca="1">IFERROR(__xludf.DUMMYFUNCTION("""COMPUTED_VALUE"""),"Tony")</f>
        <v>Tony</v>
      </c>
      <c r="D2650" s="1" t="str">
        <f ca="1">IFERROR(__xludf.DUMMYFUNCTION("""COMPUTED_VALUE"""),"Abulencia")</f>
        <v>Abulencia</v>
      </c>
      <c r="E2650" s="1" t="str">
        <f ca="1">IFERROR(__xludf.DUMMYFUNCTION("""COMPUTED_VALUE"""),"#NaMarcos na naman tayo. 🤣 #NeverAgain #NeverForget")</f>
        <v>#NaMarcos na naman tayo. 🤣 #NeverAgain #NeverForget</v>
      </c>
      <c r="F2650" s="1">
        <f ca="1">IFERROR(__xludf.DUMMYFUNCTION("""COMPUTED_VALUE"""),1)</f>
        <v>1</v>
      </c>
      <c r="G2650" s="1" t="str">
        <f ca="1">IFERROR(__xludf.DUMMYFUNCTION("""COMPUTED_VALUE"""),"3 mos")</f>
        <v>3 mos</v>
      </c>
      <c r="H2650" s="1" t="str">
        <f ca="1">IFERROR(__xludf.DUMMYFUNCTION("""COMPUTED_VALUE"""),"comment")</f>
        <v>comment</v>
      </c>
      <c r="I2650" s="2" t="str">
        <f ca="1">IFERROR(__xludf.DUMMYFUNCTION("""COMPUTED_VALUE"""),"https://www.facebook.com/rapplerdotcom/photos/a.317154781638645/5594264657260938/")</f>
        <v>https://www.facebook.com/rapplerdotcom/photos/a.317154781638645/5594264657260938/</v>
      </c>
      <c r="J2650" s="1" t="str">
        <f ca="1">IFERROR(__xludf.DUMMYFUNCTION("""COMPUTED_VALUE"""),"2022-07-04T15:51:46.030Z")</f>
        <v>2022-07-04T15:51:46.030Z</v>
      </c>
    </row>
    <row r="2651" spans="1:10" x14ac:dyDescent="0.2">
      <c r="A2651" s="2" t="str">
        <f ca="1">IFERROR(__xludf.DUMMYFUNCTION("""COMPUTED_VALUE"""),"https://www.facebook.com/ailen.oneva")</f>
        <v>https://www.facebook.com/ailen.oneva</v>
      </c>
      <c r="B2651" s="1" t="str">
        <f ca="1">IFERROR(__xludf.DUMMYFUNCTION("""COMPUTED_VALUE"""),"Ma Aileen Santos")</f>
        <v>Ma Aileen Santos</v>
      </c>
      <c r="C2651" s="1" t="str">
        <f ca="1">IFERROR(__xludf.DUMMYFUNCTION("""COMPUTED_VALUE"""),"Ma")</f>
        <v>Ma</v>
      </c>
      <c r="D2651" s="1" t="str">
        <f ca="1">IFERROR(__xludf.DUMMYFUNCTION("""COMPUTED_VALUE"""),"Aileen Santos")</f>
        <v>Aileen Santos</v>
      </c>
      <c r="E2651" s="1" t="str">
        <f ca="1">IFERROR(__xludf.DUMMYFUNCTION("""COMPUTED_VALUE"""),"Tlgang PULAhan...")</f>
        <v>Tlgang PULAhan...</v>
      </c>
      <c r="F2651" s="1"/>
      <c r="G2651" s="1" t="str">
        <f ca="1">IFERROR(__xludf.DUMMYFUNCTION("""COMPUTED_VALUE"""),"3 mos")</f>
        <v>3 mos</v>
      </c>
      <c r="H2651" s="1" t="str">
        <f ca="1">IFERROR(__xludf.DUMMYFUNCTION("""COMPUTED_VALUE"""),"comment")</f>
        <v>comment</v>
      </c>
      <c r="I2651" s="2" t="str">
        <f ca="1">IFERROR(__xludf.DUMMYFUNCTION("""COMPUTED_VALUE"""),"https://www.facebook.com/rapplerdotcom/photos/a.317154781638645/5594264657260938/")</f>
        <v>https://www.facebook.com/rapplerdotcom/photos/a.317154781638645/5594264657260938/</v>
      </c>
      <c r="J2651" s="1" t="str">
        <f ca="1">IFERROR(__xludf.DUMMYFUNCTION("""COMPUTED_VALUE"""),"2022-07-04T15:51:46.030Z")</f>
        <v>2022-07-04T15:51:46.030Z</v>
      </c>
    </row>
    <row r="2652" spans="1:10" x14ac:dyDescent="0.2">
      <c r="A2652" s="2" t="str">
        <f ca="1">IFERROR(__xludf.DUMMYFUNCTION("""COMPUTED_VALUE"""),"https://www.facebook.com/fortunato.salas.9")</f>
        <v>https://www.facebook.com/fortunato.salas.9</v>
      </c>
      <c r="B2652" s="1" t="str">
        <f ca="1">IFERROR(__xludf.DUMMYFUNCTION("""COMPUTED_VALUE"""),"Leopoldo Mabilangan")</f>
        <v>Leopoldo Mabilangan</v>
      </c>
      <c r="C2652" s="1" t="str">
        <f ca="1">IFERROR(__xludf.DUMMYFUNCTION("""COMPUTED_VALUE"""),"Leopoldo")</f>
        <v>Leopoldo</v>
      </c>
      <c r="D2652" s="1" t="str">
        <f ca="1">IFERROR(__xludf.DUMMYFUNCTION("""COMPUTED_VALUE"""),"Mabilangan")</f>
        <v>Mabilangan</v>
      </c>
      <c r="E2652" s="1" t="str">
        <f ca="1">IFERROR(__xludf.DUMMYFUNCTION("""COMPUTED_VALUE"""),"Si toni lang masaya busog ang bulsa, kayo nganga")</f>
        <v>Si toni lang masaya busog ang bulsa, kayo nganga</v>
      </c>
      <c r="F2652" s="1">
        <f ca="1">IFERROR(__xludf.DUMMYFUNCTION("""COMPUTED_VALUE"""),1)</f>
        <v>1</v>
      </c>
      <c r="G2652" s="1" t="str">
        <f ca="1">IFERROR(__xludf.DUMMYFUNCTION("""COMPUTED_VALUE"""),"3 mos")</f>
        <v>3 mos</v>
      </c>
      <c r="H2652" s="1" t="str">
        <f ca="1">IFERROR(__xludf.DUMMYFUNCTION("""COMPUTED_VALUE"""),"comment")</f>
        <v>comment</v>
      </c>
      <c r="I2652" s="2" t="str">
        <f ca="1">IFERROR(__xludf.DUMMYFUNCTION("""COMPUTED_VALUE"""),"https://www.facebook.com/rapplerdotcom/photos/a.317154781638645/5594264657260938/")</f>
        <v>https://www.facebook.com/rapplerdotcom/photos/a.317154781638645/5594264657260938/</v>
      </c>
      <c r="J2652" s="1" t="str">
        <f ca="1">IFERROR(__xludf.DUMMYFUNCTION("""COMPUTED_VALUE"""),"2022-07-04T15:51:46.030Z")</f>
        <v>2022-07-04T15:51:46.030Z</v>
      </c>
    </row>
    <row r="2653" spans="1:10" x14ac:dyDescent="0.2">
      <c r="A2653" s="2" t="str">
        <f ca="1">IFERROR(__xludf.DUMMYFUNCTION("""COMPUTED_VALUE"""),"https://www.facebook.com/gemrose.rescobactol")</f>
        <v>https://www.facebook.com/gemrose.rescobactol</v>
      </c>
      <c r="B2653" s="1" t="str">
        <f ca="1">IFERROR(__xludf.DUMMYFUNCTION("""COMPUTED_VALUE"""),"Gemrose Resco Bactol")</f>
        <v>Gemrose Resco Bactol</v>
      </c>
      <c r="C2653" s="1" t="str">
        <f ca="1">IFERROR(__xludf.DUMMYFUNCTION("""COMPUTED_VALUE"""),"Gemrose")</f>
        <v>Gemrose</v>
      </c>
      <c r="D2653" s="1" t="str">
        <f ca="1">IFERROR(__xludf.DUMMYFUNCTION("""COMPUTED_VALUE"""),"Resco Bactol")</f>
        <v>Resco Bactol</v>
      </c>
      <c r="E2653" s="1" t="str">
        <f ca="1">IFERROR(__xludf.DUMMYFUNCTION("""COMPUTED_VALUE"""),"Marco Jalgalado Iglesias okay lang parehas Lang naman po kayo")</f>
        <v>Marco Jalgalado Iglesias okay lang parehas Lang naman po kayo</v>
      </c>
      <c r="F2653" s="1"/>
      <c r="G2653" s="1" t="str">
        <f ca="1">IFERROR(__xludf.DUMMYFUNCTION("""COMPUTED_VALUE"""),"3 mos")</f>
        <v>3 mos</v>
      </c>
      <c r="H2653" s="1" t="str">
        <f ca="1">IFERROR(__xludf.DUMMYFUNCTION("""COMPUTED_VALUE"""),"reply")</f>
        <v>reply</v>
      </c>
      <c r="I2653" s="2" t="str">
        <f ca="1">IFERROR(__xludf.DUMMYFUNCTION("""COMPUTED_VALUE"""),"https://www.facebook.com/rapplerdotcom/photos/a.317154781638645/5594264657260938/")</f>
        <v>https://www.facebook.com/rapplerdotcom/photos/a.317154781638645/5594264657260938/</v>
      </c>
      <c r="J2653" s="1" t="str">
        <f ca="1">IFERROR(__xludf.DUMMYFUNCTION("""COMPUTED_VALUE"""),"2022-07-04T15:51:46.030Z")</f>
        <v>2022-07-04T15:51:46.030Z</v>
      </c>
    </row>
    <row r="2654" spans="1:10" x14ac:dyDescent="0.2">
      <c r="A2654" s="2" t="str">
        <f ca="1">IFERROR(__xludf.DUMMYFUNCTION("""COMPUTED_VALUE"""),"https://www.facebook.com/tochie.gray.5")</f>
        <v>https://www.facebook.com/tochie.gray.5</v>
      </c>
      <c r="B2654" s="1" t="str">
        <f ca="1">IFERROR(__xludf.DUMMYFUNCTION("""COMPUTED_VALUE"""),"Tochie Gray")</f>
        <v>Tochie Gray</v>
      </c>
      <c r="C2654" s="1" t="str">
        <f ca="1">IFERROR(__xludf.DUMMYFUNCTION("""COMPUTED_VALUE"""),"Tochie")</f>
        <v>Tochie</v>
      </c>
      <c r="D2654" s="1" t="str">
        <f ca="1">IFERROR(__xludf.DUMMYFUNCTION("""COMPUTED_VALUE"""),"Gray")</f>
        <v>Gray</v>
      </c>
      <c r="E2654" s="1" t="str">
        <f ca="1">IFERROR(__xludf.DUMMYFUNCTION("""COMPUTED_VALUE"""),"BUTATA na nman ang Truth Evasion tactics ng mga Budoleros...😂😅")</f>
        <v>BUTATA na nman ang Truth Evasion tactics ng mga Budoleros...😂😅</v>
      </c>
      <c r="F2654" s="1">
        <f ca="1">IFERROR(__xludf.DUMMYFUNCTION("""COMPUTED_VALUE"""),5)</f>
        <v>5</v>
      </c>
      <c r="G2654" s="1" t="str">
        <f ca="1">IFERROR(__xludf.DUMMYFUNCTION("""COMPUTED_VALUE"""),"3 mos")</f>
        <v>3 mos</v>
      </c>
      <c r="H2654" s="1" t="str">
        <f ca="1">IFERROR(__xludf.DUMMYFUNCTION("""COMPUTED_VALUE"""),"comment")</f>
        <v>comment</v>
      </c>
      <c r="I2654" s="2" t="str">
        <f ca="1">IFERROR(__xludf.DUMMYFUNCTION("""COMPUTED_VALUE"""),"https://www.facebook.com/rapplerdotcom/photos/a.317154781638645/5594264657260938/")</f>
        <v>https://www.facebook.com/rapplerdotcom/photos/a.317154781638645/5594264657260938/</v>
      </c>
      <c r="J2654" s="1" t="str">
        <f ca="1">IFERROR(__xludf.DUMMYFUNCTION("""COMPUTED_VALUE"""),"2022-07-04T15:51:46.030Z")</f>
        <v>2022-07-04T15:51:46.030Z</v>
      </c>
    </row>
    <row r="2655" spans="1:10" x14ac:dyDescent="0.2">
      <c r="A2655" s="2" t="str">
        <f ca="1">IFERROR(__xludf.DUMMYFUNCTION("""COMPUTED_VALUE"""),"https://www.facebook.com/ariel.alcantaraofficial.09")</f>
        <v>https://www.facebook.com/ariel.alcantaraofficial.09</v>
      </c>
      <c r="B2655" s="1" t="str">
        <f ca="1">IFERROR(__xludf.DUMMYFUNCTION("""COMPUTED_VALUE"""),"Ariel Alcantara")</f>
        <v>Ariel Alcantara</v>
      </c>
      <c r="C2655" s="1" t="str">
        <f ca="1">IFERROR(__xludf.DUMMYFUNCTION("""COMPUTED_VALUE"""),"Ariel")</f>
        <v>Ariel</v>
      </c>
      <c r="D2655" s="1" t="str">
        <f ca="1">IFERROR(__xludf.DUMMYFUNCTION("""COMPUTED_VALUE"""),"Alcantara")</f>
        <v>Alcantara</v>
      </c>
      <c r="E2655" s="1" t="str">
        <f ca="1">IFERROR(__xludf.DUMMYFUNCTION("""COMPUTED_VALUE"""),"Grabe ang sipag ng social media team nila. Lahat na lang ba talaga nakaw? 😂")</f>
        <v>Grabe ang sipag ng social media team nila. Lahat na lang ba talaga nakaw? 😂</v>
      </c>
      <c r="F2655" s="1"/>
      <c r="G2655" s="1" t="str">
        <f ca="1">IFERROR(__xludf.DUMMYFUNCTION("""COMPUTED_VALUE"""),"3 mos")</f>
        <v>3 mos</v>
      </c>
      <c r="H2655" s="1" t="str">
        <f ca="1">IFERROR(__xludf.DUMMYFUNCTION("""COMPUTED_VALUE"""),"comment")</f>
        <v>comment</v>
      </c>
      <c r="I2655" s="2" t="str">
        <f ca="1">IFERROR(__xludf.DUMMYFUNCTION("""COMPUTED_VALUE"""),"https://www.facebook.com/rapplerdotcom/photos/a.317154781638645/5594264657260938/")</f>
        <v>https://www.facebook.com/rapplerdotcom/photos/a.317154781638645/5594264657260938/</v>
      </c>
      <c r="J2655" s="1" t="str">
        <f ca="1">IFERROR(__xludf.DUMMYFUNCTION("""COMPUTED_VALUE"""),"2022-07-04T15:51:46.030Z")</f>
        <v>2022-07-04T15:51:46.030Z</v>
      </c>
    </row>
    <row r="2656" spans="1:10" x14ac:dyDescent="0.2">
      <c r="A2656" s="2" t="str">
        <f ca="1">IFERROR(__xludf.DUMMYFUNCTION("""COMPUTED_VALUE"""),"https://www.facebook.com/khrix.mirasol")</f>
        <v>https://www.facebook.com/khrix.mirasol</v>
      </c>
      <c r="B2656" s="1" t="str">
        <f ca="1">IFERROR(__xludf.DUMMYFUNCTION("""COMPUTED_VALUE"""),"Khrix Mirasol")</f>
        <v>Khrix Mirasol</v>
      </c>
      <c r="C2656" s="1" t="str">
        <f ca="1">IFERROR(__xludf.DUMMYFUNCTION("""COMPUTED_VALUE"""),"Khrix")</f>
        <v>Khrix</v>
      </c>
      <c r="D2656" s="1" t="str">
        <f ca="1">IFERROR(__xludf.DUMMYFUNCTION("""COMPUTED_VALUE"""),"Mirasol")</f>
        <v>Mirasol</v>
      </c>
      <c r="E2656" s="1" t="str">
        <f ca="1">IFERROR(__xludf.DUMMYFUNCTION("""COMPUTED_VALUE"""),"Pag inggitpikit🤣🤣🤣🤣")</f>
        <v>Pag inggitpikit🤣🤣🤣🤣</v>
      </c>
      <c r="F2656" s="1">
        <f ca="1">IFERROR(__xludf.DUMMYFUNCTION("""COMPUTED_VALUE"""),1)</f>
        <v>1</v>
      </c>
      <c r="G2656" s="1" t="str">
        <f ca="1">IFERROR(__xludf.DUMMYFUNCTION("""COMPUTED_VALUE"""),"3 mos")</f>
        <v>3 mos</v>
      </c>
      <c r="H2656" s="1" t="str">
        <f ca="1">IFERROR(__xludf.DUMMYFUNCTION("""COMPUTED_VALUE"""),"comment")</f>
        <v>comment</v>
      </c>
      <c r="I2656" s="2" t="str">
        <f ca="1">IFERROR(__xludf.DUMMYFUNCTION("""COMPUTED_VALUE"""),"https://www.facebook.com/rapplerdotcom/photos/a.317154781638645/5594264657260938/")</f>
        <v>https://www.facebook.com/rapplerdotcom/photos/a.317154781638645/5594264657260938/</v>
      </c>
      <c r="J2656" s="1" t="str">
        <f ca="1">IFERROR(__xludf.DUMMYFUNCTION("""COMPUTED_VALUE"""),"2022-07-04T15:51:46.030Z")</f>
        <v>2022-07-04T15:51:46.030Z</v>
      </c>
    </row>
    <row r="2657" spans="1:10" x14ac:dyDescent="0.2">
      <c r="A2657" s="2" t="str">
        <f ca="1">IFERROR(__xludf.DUMMYFUNCTION("""COMPUTED_VALUE"""),"https://www.facebook.com/anniedane.alfonso")</f>
        <v>https://www.facebook.com/anniedane.alfonso</v>
      </c>
      <c r="B2657" s="1" t="str">
        <f ca="1">IFERROR(__xludf.DUMMYFUNCTION("""COMPUTED_VALUE"""),"AN AN")</f>
        <v>AN AN</v>
      </c>
      <c r="C2657" s="1" t="str">
        <f ca="1">IFERROR(__xludf.DUMMYFUNCTION("""COMPUTED_VALUE"""),"AN")</f>
        <v>AN</v>
      </c>
      <c r="D2657" s="1" t="str">
        <f ca="1">IFERROR(__xludf.DUMMYFUNCTION("""COMPUTED_VALUE"""),"AN")</f>
        <v>AN</v>
      </c>
      <c r="E2657" s="1" t="str">
        <f ca="1">IFERROR(__xludf.DUMMYFUNCTION("""COMPUTED_VALUE"""),"pati ba naman chant issue nila🤣🤣🤣")</f>
        <v>pati ba naman chant issue nila🤣🤣🤣</v>
      </c>
      <c r="F2657" s="1">
        <f ca="1">IFERROR(__xludf.DUMMYFUNCTION("""COMPUTED_VALUE"""),1)</f>
        <v>1</v>
      </c>
      <c r="G2657" s="1" t="str">
        <f ca="1">IFERROR(__xludf.DUMMYFUNCTION("""COMPUTED_VALUE"""),"3 mos")</f>
        <v>3 mos</v>
      </c>
      <c r="H2657" s="1" t="str">
        <f ca="1">IFERROR(__xludf.DUMMYFUNCTION("""COMPUTED_VALUE"""),"comment")</f>
        <v>comment</v>
      </c>
      <c r="I2657" s="2" t="str">
        <f ca="1">IFERROR(__xludf.DUMMYFUNCTION("""COMPUTED_VALUE"""),"https://www.facebook.com/rapplerdotcom/photos/a.317154781638645/5594264657260938/")</f>
        <v>https://www.facebook.com/rapplerdotcom/photos/a.317154781638645/5594264657260938/</v>
      </c>
      <c r="J2657" s="1" t="str">
        <f ca="1">IFERROR(__xludf.DUMMYFUNCTION("""COMPUTED_VALUE"""),"2022-07-04T15:51:46.030Z")</f>
        <v>2022-07-04T15:51:46.030Z</v>
      </c>
    </row>
    <row r="2658" spans="1:10" x14ac:dyDescent="0.2">
      <c r="A2658" s="2" t="str">
        <f ca="1">IFERROR(__xludf.DUMMYFUNCTION("""COMPUTED_VALUE"""),"https://www.facebook.com/profile.php?id=100077657222039")</f>
        <v>https://www.facebook.com/profile.php?id=100077657222039</v>
      </c>
      <c r="B2658" s="1" t="str">
        <f ca="1">IFERROR(__xludf.DUMMYFUNCTION("""COMPUTED_VALUE"""),"Yhan Gabotero")</f>
        <v>Yhan Gabotero</v>
      </c>
      <c r="C2658" s="1" t="str">
        <f ca="1">IFERROR(__xludf.DUMMYFUNCTION("""COMPUTED_VALUE"""),"Yhan")</f>
        <v>Yhan</v>
      </c>
      <c r="D2658" s="1" t="str">
        <f ca="1">IFERROR(__xludf.DUMMYFUNCTION("""COMPUTED_VALUE"""),"Gabotero")</f>
        <v>Gabotero</v>
      </c>
      <c r="E2658" s="1" t="str">
        <f ca="1">IFERROR(__xludf.DUMMYFUNCTION("""COMPUTED_VALUE"""),"AN AN oh diba ganyan sila.")</f>
        <v>AN AN oh diba ganyan sila.</v>
      </c>
      <c r="F2658" s="1">
        <f ca="1">IFERROR(__xludf.DUMMYFUNCTION("""COMPUTED_VALUE"""),1)</f>
        <v>1</v>
      </c>
      <c r="G2658" s="1" t="str">
        <f ca="1">IFERROR(__xludf.DUMMYFUNCTION("""COMPUTED_VALUE"""),"3 mos")</f>
        <v>3 mos</v>
      </c>
      <c r="H2658" s="1" t="str">
        <f ca="1">IFERROR(__xludf.DUMMYFUNCTION("""COMPUTED_VALUE"""),"reply")</f>
        <v>reply</v>
      </c>
      <c r="I2658" s="2" t="str">
        <f ca="1">IFERROR(__xludf.DUMMYFUNCTION("""COMPUTED_VALUE"""),"https://www.facebook.com/rapplerdotcom/photos/a.317154781638645/5594264657260938/")</f>
        <v>https://www.facebook.com/rapplerdotcom/photos/a.317154781638645/5594264657260938/</v>
      </c>
      <c r="J2658" s="1" t="str">
        <f ca="1">IFERROR(__xludf.DUMMYFUNCTION("""COMPUTED_VALUE"""),"2022-07-04T15:51:46.030Z")</f>
        <v>2022-07-04T15:51:46.030Z</v>
      </c>
    </row>
    <row r="2659" spans="1:10" x14ac:dyDescent="0.2">
      <c r="A2659" s="2" t="str">
        <f ca="1">IFERROR(__xludf.DUMMYFUNCTION("""COMPUTED_VALUE"""),"https://www.facebook.com/anniedane.alfonso")</f>
        <v>https://www.facebook.com/anniedane.alfonso</v>
      </c>
      <c r="B2659" s="1" t="str">
        <f ca="1">IFERROR(__xludf.DUMMYFUNCTION("""COMPUTED_VALUE"""),"AN AN")</f>
        <v>AN AN</v>
      </c>
      <c r="C2659" s="1" t="str">
        <f ca="1">IFERROR(__xludf.DUMMYFUNCTION("""COMPUTED_VALUE"""),"AN")</f>
        <v>AN</v>
      </c>
      <c r="D2659" s="1" t="str">
        <f ca="1">IFERROR(__xludf.DUMMYFUNCTION("""COMPUTED_VALUE"""),"AN")</f>
        <v>AN</v>
      </c>
      <c r="E2659" s="1" t="str">
        <f ca="1">IFERROR(__xludf.DUMMYFUNCTION("""COMPUTED_VALUE"""),"Yhan Gabotero may maipanira lang.🤣🤣")</f>
        <v>Yhan Gabotero may maipanira lang.🤣🤣</v>
      </c>
      <c r="F2659" s="1"/>
      <c r="G2659" s="1" t="str">
        <f ca="1">IFERROR(__xludf.DUMMYFUNCTION("""COMPUTED_VALUE"""),"3 mos")</f>
        <v>3 mos</v>
      </c>
      <c r="H2659" s="1" t="str">
        <f ca="1">IFERROR(__xludf.DUMMYFUNCTION("""COMPUTED_VALUE"""),"reply")</f>
        <v>reply</v>
      </c>
      <c r="I2659" s="2" t="str">
        <f ca="1">IFERROR(__xludf.DUMMYFUNCTION("""COMPUTED_VALUE"""),"https://www.facebook.com/rapplerdotcom/photos/a.317154781638645/5594264657260938/")</f>
        <v>https://www.facebook.com/rapplerdotcom/photos/a.317154781638645/5594264657260938/</v>
      </c>
      <c r="J2659" s="1" t="str">
        <f ca="1">IFERROR(__xludf.DUMMYFUNCTION("""COMPUTED_VALUE"""),"2022-07-04T15:51:46.030Z")</f>
        <v>2022-07-04T15:51:46.030Z</v>
      </c>
    </row>
    <row r="2660" spans="1:10" x14ac:dyDescent="0.2">
      <c r="A2660" s="2" t="str">
        <f ca="1">IFERROR(__xludf.DUMMYFUNCTION("""COMPUTED_VALUE"""),"https://www.facebook.com/profile.php?id=100077657222039")</f>
        <v>https://www.facebook.com/profile.php?id=100077657222039</v>
      </c>
      <c r="B2660" s="1" t="str">
        <f ca="1">IFERROR(__xludf.DUMMYFUNCTION("""COMPUTED_VALUE"""),"Yhan Gabotero")</f>
        <v>Yhan Gabotero</v>
      </c>
      <c r="C2660" s="1" t="str">
        <f ca="1">IFERROR(__xludf.DUMMYFUNCTION("""COMPUTED_VALUE"""),"Yhan")</f>
        <v>Yhan</v>
      </c>
      <c r="D2660" s="1" t="str">
        <f ca="1">IFERROR(__xludf.DUMMYFUNCTION("""COMPUTED_VALUE"""),"Gabotero")</f>
        <v>Gabotero</v>
      </c>
      <c r="E2660" s="1" t="str">
        <f ca="1">IFERROR(__xludf.DUMMYFUNCTION("""COMPUTED_VALUE"""),"AN AN kaya nga. Lahat na lang ginagwan issue.")</f>
        <v>AN AN kaya nga. Lahat na lang ginagwan issue.</v>
      </c>
      <c r="F2660" s="1">
        <f ca="1">IFERROR(__xludf.DUMMYFUNCTION("""COMPUTED_VALUE"""),1)</f>
        <v>1</v>
      </c>
      <c r="G2660" s="1" t="str">
        <f ca="1">IFERROR(__xludf.DUMMYFUNCTION("""COMPUTED_VALUE"""),"3 mos")</f>
        <v>3 mos</v>
      </c>
      <c r="H2660" s="1" t="str">
        <f ca="1">IFERROR(__xludf.DUMMYFUNCTION("""COMPUTED_VALUE"""),"reply")</f>
        <v>reply</v>
      </c>
      <c r="I2660" s="2" t="str">
        <f ca="1">IFERROR(__xludf.DUMMYFUNCTION("""COMPUTED_VALUE"""),"https://www.facebook.com/rapplerdotcom/photos/a.317154781638645/5594264657260938/")</f>
        <v>https://www.facebook.com/rapplerdotcom/photos/a.317154781638645/5594264657260938/</v>
      </c>
      <c r="J2660" s="1" t="str">
        <f ca="1">IFERROR(__xludf.DUMMYFUNCTION("""COMPUTED_VALUE"""),"2022-07-04T15:51:46.030Z")</f>
        <v>2022-07-04T15:51:46.030Z</v>
      </c>
    </row>
    <row r="2661" spans="1:10" x14ac:dyDescent="0.2">
      <c r="A2661" s="2" t="str">
        <f ca="1">IFERROR(__xludf.DUMMYFUNCTION("""COMPUTED_VALUE"""),"https://www.facebook.com/rodrigoduterteismypwesident")</f>
        <v>https://www.facebook.com/rodrigoduterteismypwesident</v>
      </c>
      <c r="B2661" s="1" t="str">
        <f ca="1">IFERROR(__xludf.DUMMYFUNCTION("""COMPUTED_VALUE"""),"Marlon Dizon")</f>
        <v>Marlon Dizon</v>
      </c>
      <c r="C2661" s="1" t="str">
        <f ca="1">IFERROR(__xludf.DUMMYFUNCTION("""COMPUTED_VALUE"""),"Marlon")</f>
        <v>Marlon</v>
      </c>
      <c r="D2661" s="1" t="str">
        <f ca="1">IFERROR(__xludf.DUMMYFUNCTION("""COMPUTED_VALUE"""),"Dizon")</f>
        <v>Dizon</v>
      </c>
      <c r="E2661" s="1" t="str">
        <f ca="1">IFERROR(__xludf.DUMMYFUNCTION("""COMPUTED_VALUE"""),"sila lang ang may drone na umaabot ng Indonesia 😂")</f>
        <v>sila lang ang may drone na umaabot ng Indonesia 😂</v>
      </c>
      <c r="F2661" s="1">
        <f ca="1">IFERROR(__xludf.DUMMYFUNCTION("""COMPUTED_VALUE"""),8)</f>
        <v>8</v>
      </c>
      <c r="G2661" s="1" t="str">
        <f ca="1">IFERROR(__xludf.DUMMYFUNCTION("""COMPUTED_VALUE"""),"3 mos")</f>
        <v>3 mos</v>
      </c>
      <c r="H2661" s="1" t="str">
        <f ca="1">IFERROR(__xludf.DUMMYFUNCTION("""COMPUTED_VALUE"""),"comment")</f>
        <v>comment</v>
      </c>
      <c r="I2661" s="2" t="str">
        <f ca="1">IFERROR(__xludf.DUMMYFUNCTION("""COMPUTED_VALUE"""),"https://www.facebook.com/rapplerdotcom/photos/a.317154781638645/5594264657260938/")</f>
        <v>https://www.facebook.com/rapplerdotcom/photos/a.317154781638645/5594264657260938/</v>
      </c>
      <c r="J2661" s="1" t="str">
        <f ca="1">IFERROR(__xludf.DUMMYFUNCTION("""COMPUTED_VALUE"""),"2022-07-04T15:51:46.030Z")</f>
        <v>2022-07-04T15:51:46.030Z</v>
      </c>
    </row>
    <row r="2662" spans="1:10" x14ac:dyDescent="0.2">
      <c r="A2662" s="2" t="str">
        <f ca="1">IFERROR(__xludf.DUMMYFUNCTION("""COMPUTED_VALUE"""),"https://www.facebook.com/drea.parcon")</f>
        <v>https://www.facebook.com/drea.parcon</v>
      </c>
      <c r="B2662" s="1" t="str">
        <f ca="1">IFERROR(__xludf.DUMMYFUNCTION("""COMPUTED_VALUE"""),"Drea Parcon")</f>
        <v>Drea Parcon</v>
      </c>
      <c r="C2662" s="1" t="str">
        <f ca="1">IFERROR(__xludf.DUMMYFUNCTION("""COMPUTED_VALUE"""),"Drea")</f>
        <v>Drea</v>
      </c>
      <c r="D2662" s="1" t="str">
        <f ca="1">IFERROR(__xludf.DUMMYFUNCTION("""COMPUTED_VALUE"""),"Parcon")</f>
        <v>Parcon</v>
      </c>
      <c r="E2662" s="1" t="str">
        <f ca="1">IFERROR(__xludf.DUMMYFUNCTION("""COMPUTED_VALUE"""),"Paulit2?")</f>
        <v>Paulit2?</v>
      </c>
      <c r="F2662" s="1">
        <f ca="1">IFERROR(__xludf.DUMMYFUNCTION("""COMPUTED_VALUE"""),1)</f>
        <v>1</v>
      </c>
      <c r="G2662" s="1" t="str">
        <f ca="1">IFERROR(__xludf.DUMMYFUNCTION("""COMPUTED_VALUE"""),"3 mos")</f>
        <v>3 mos</v>
      </c>
      <c r="H2662" s="1" t="str">
        <f ca="1">IFERROR(__xludf.DUMMYFUNCTION("""COMPUTED_VALUE"""),"comment")</f>
        <v>comment</v>
      </c>
      <c r="I2662" s="2" t="str">
        <f ca="1">IFERROR(__xludf.DUMMYFUNCTION("""COMPUTED_VALUE"""),"https://www.facebook.com/rapplerdotcom/photos/a.317154781638645/5594264657260938/")</f>
        <v>https://www.facebook.com/rapplerdotcom/photos/a.317154781638645/5594264657260938/</v>
      </c>
      <c r="J2662" s="1" t="str">
        <f ca="1">IFERROR(__xludf.DUMMYFUNCTION("""COMPUTED_VALUE"""),"2022-07-04T15:51:46.030Z")</f>
        <v>2022-07-04T15:51:46.030Z</v>
      </c>
    </row>
    <row r="2663" spans="1:10" x14ac:dyDescent="0.2">
      <c r="A2663" s="2" t="str">
        <f ca="1">IFERROR(__xludf.DUMMYFUNCTION("""COMPUTED_VALUE"""),"https://www.facebook.com/rene.panganiban.31")</f>
        <v>https://www.facebook.com/rene.panganiban.31</v>
      </c>
      <c r="B2663" s="1" t="str">
        <f ca="1">IFERROR(__xludf.DUMMYFUNCTION("""COMPUTED_VALUE"""),"Rene Panganiban")</f>
        <v>Rene Panganiban</v>
      </c>
      <c r="C2663" s="1" t="str">
        <f ca="1">IFERROR(__xludf.DUMMYFUNCTION("""COMPUTED_VALUE"""),"Rene")</f>
        <v>Rene</v>
      </c>
      <c r="D2663" s="1" t="str">
        <f ca="1">IFERROR(__xludf.DUMMYFUNCTION("""COMPUTED_VALUE"""),"Panganiban")</f>
        <v>Panganiban</v>
      </c>
      <c r="E2663" s="1" t="str">
        <f ca="1">IFERROR(__xludf.DUMMYFUNCTION("""COMPUTED_VALUE"""),"bawal ang drone tas biglang may shot na hahahahahaha")</f>
        <v>bawal ang drone tas biglang may shot na hahahahahaha</v>
      </c>
      <c r="F2663" s="1">
        <f ca="1">IFERROR(__xludf.DUMMYFUNCTION("""COMPUTED_VALUE"""),2)</f>
        <v>2</v>
      </c>
      <c r="G2663" s="1" t="str">
        <f ca="1">IFERROR(__xludf.DUMMYFUNCTION("""COMPUTED_VALUE"""),"3 mos")</f>
        <v>3 mos</v>
      </c>
      <c r="H2663" s="1" t="str">
        <f ca="1">IFERROR(__xludf.DUMMYFUNCTION("""COMPUTED_VALUE"""),"comment")</f>
        <v>comment</v>
      </c>
      <c r="I2663" s="2" t="str">
        <f ca="1">IFERROR(__xludf.DUMMYFUNCTION("""COMPUTED_VALUE"""),"https://www.facebook.com/rapplerdotcom/photos/a.317154781638645/5594264657260938/")</f>
        <v>https://www.facebook.com/rapplerdotcom/photos/a.317154781638645/5594264657260938/</v>
      </c>
      <c r="J2663" s="1" t="str">
        <f ca="1">IFERROR(__xludf.DUMMYFUNCTION("""COMPUTED_VALUE"""),"2022-07-04T15:51:46.030Z")</f>
        <v>2022-07-04T15:51:46.030Z</v>
      </c>
    </row>
    <row r="2664" spans="1:10" x14ac:dyDescent="0.2">
      <c r="A2664" s="2" t="str">
        <f ca="1">IFERROR(__xludf.DUMMYFUNCTION("""COMPUTED_VALUE"""),"https://www.facebook.com/essieangcaya")</f>
        <v>https://www.facebook.com/essieangcaya</v>
      </c>
      <c r="B2664" s="1" t="str">
        <f ca="1">IFERROR(__xludf.DUMMYFUNCTION("""COMPUTED_VALUE"""),"Essie Baybay Angcaya")</f>
        <v>Essie Baybay Angcaya</v>
      </c>
      <c r="C2664" s="1" t="str">
        <f ca="1">IFERROR(__xludf.DUMMYFUNCTION("""COMPUTED_VALUE"""),"Essie")</f>
        <v>Essie</v>
      </c>
      <c r="D2664" s="1" t="str">
        <f ca="1">IFERROR(__xludf.DUMMYFUNCTION("""COMPUTED_VALUE"""),"Baybay Angcaya")</f>
        <v>Baybay Angcaya</v>
      </c>
      <c r="E2664" s="1" t="str">
        <f ca="1">IFERROR(__xludf.DUMMYFUNCTION("""COMPUTED_VALUE"""),"Asa pa!! 😂")</f>
        <v>Asa pa!! 😂</v>
      </c>
      <c r="F2664" s="1"/>
      <c r="G2664" s="1" t="str">
        <f ca="1">IFERROR(__xludf.DUMMYFUNCTION("""COMPUTED_VALUE"""),"3 mos")</f>
        <v>3 mos</v>
      </c>
      <c r="H2664" s="1" t="str">
        <f ca="1">IFERROR(__xludf.DUMMYFUNCTION("""COMPUTED_VALUE"""),"comment")</f>
        <v>comment</v>
      </c>
      <c r="I2664" s="2" t="str">
        <f ca="1">IFERROR(__xludf.DUMMYFUNCTION("""COMPUTED_VALUE"""),"https://www.facebook.com/rapplerdotcom/photos/a.317154781638645/5594264657260938/")</f>
        <v>https://www.facebook.com/rapplerdotcom/photos/a.317154781638645/5594264657260938/</v>
      </c>
      <c r="J2664" s="1" t="str">
        <f ca="1">IFERROR(__xludf.DUMMYFUNCTION("""COMPUTED_VALUE"""),"2022-07-04T15:51:46.030Z")</f>
        <v>2022-07-04T15:51:46.030Z</v>
      </c>
    </row>
    <row r="2665" spans="1:10" x14ac:dyDescent="0.2">
      <c r="A2665" s="2" t="str">
        <f ca="1">IFERROR(__xludf.DUMMYFUNCTION("""COMPUTED_VALUE"""),"https://www.facebook.com/rafaeljr.romano")</f>
        <v>https://www.facebook.com/rafaeljr.romano</v>
      </c>
      <c r="B2665" s="1" t="str">
        <f ca="1">IFERROR(__xludf.DUMMYFUNCTION("""COMPUTED_VALUE"""),"제이제이")</f>
        <v>제이제이</v>
      </c>
      <c r="C2665" s="1" t="str">
        <f ca="1">IFERROR(__xludf.DUMMYFUNCTION("""COMPUTED_VALUE"""),"제이제이")</f>
        <v>제이제이</v>
      </c>
      <c r="D2665" s="1"/>
      <c r="E2665" s="1" t="str">
        <f ca="1">IFERROR(__xludf.DUMMYFUNCTION("""COMPUTED_VALUE"""),"Minarcos yung video amp")</f>
        <v>Minarcos yung video amp</v>
      </c>
      <c r="F2665" s="1"/>
      <c r="G2665" s="1" t="str">
        <f ca="1">IFERROR(__xludf.DUMMYFUNCTION("""COMPUTED_VALUE"""),"3 mos")</f>
        <v>3 mos</v>
      </c>
      <c r="H2665" s="1" t="str">
        <f ca="1">IFERROR(__xludf.DUMMYFUNCTION("""COMPUTED_VALUE"""),"comment")</f>
        <v>comment</v>
      </c>
      <c r="I2665" s="2" t="str">
        <f ca="1">IFERROR(__xludf.DUMMYFUNCTION("""COMPUTED_VALUE"""),"https://www.facebook.com/rapplerdotcom/photos/a.317154781638645/5594264657260938/")</f>
        <v>https://www.facebook.com/rapplerdotcom/photos/a.317154781638645/5594264657260938/</v>
      </c>
      <c r="J2665" s="1" t="str">
        <f ca="1">IFERROR(__xludf.DUMMYFUNCTION("""COMPUTED_VALUE"""),"2022-07-04T15:51:46.030Z")</f>
        <v>2022-07-04T15:51:46.030Z</v>
      </c>
    </row>
    <row r="2666" spans="1:10" x14ac:dyDescent="0.2">
      <c r="A2666" s="2" t="str">
        <f ca="1">IFERROR(__xludf.DUMMYFUNCTION("""COMPUTED_VALUE"""),"https://www.facebook.com/herbert.timbre")</f>
        <v>https://www.facebook.com/herbert.timbre</v>
      </c>
      <c r="B2666" s="1" t="str">
        <f ca="1">IFERROR(__xludf.DUMMYFUNCTION("""COMPUTED_VALUE"""),"Budee Timbre")</f>
        <v>Budee Timbre</v>
      </c>
      <c r="C2666" s="1" t="str">
        <f ca="1">IFERROR(__xludf.DUMMYFUNCTION("""COMPUTED_VALUE"""),"Budee")</f>
        <v>Budee</v>
      </c>
      <c r="D2666" s="1" t="str">
        <f ca="1">IFERROR(__xludf.DUMMYFUNCTION("""COMPUTED_VALUE"""),"Timbre")</f>
        <v>Timbre</v>
      </c>
      <c r="E2666" s="1" t="str">
        <f ca="1">IFERROR(__xludf.DUMMYFUNCTION("""COMPUTED_VALUE"""),"Dyan lang naman sila magaling eh.. Hahaha")</f>
        <v>Dyan lang naman sila magaling eh.. Hahaha</v>
      </c>
      <c r="F2666" s="1"/>
      <c r="G2666" s="1" t="str">
        <f ca="1">IFERROR(__xludf.DUMMYFUNCTION("""COMPUTED_VALUE"""),"3 mos")</f>
        <v>3 mos</v>
      </c>
      <c r="H2666" s="1" t="str">
        <f ca="1">IFERROR(__xludf.DUMMYFUNCTION("""COMPUTED_VALUE"""),"comment")</f>
        <v>comment</v>
      </c>
      <c r="I2666" s="2" t="str">
        <f ca="1">IFERROR(__xludf.DUMMYFUNCTION("""COMPUTED_VALUE"""),"https://www.facebook.com/rapplerdotcom/photos/a.317154781638645/5594264657260938/")</f>
        <v>https://www.facebook.com/rapplerdotcom/photos/a.317154781638645/5594264657260938/</v>
      </c>
      <c r="J2666" s="1" t="str">
        <f ca="1">IFERROR(__xludf.DUMMYFUNCTION("""COMPUTED_VALUE"""),"2022-07-04T15:51:46.030Z")</f>
        <v>2022-07-04T15:51:46.030Z</v>
      </c>
    </row>
    <row r="2667" spans="1:10" x14ac:dyDescent="0.2">
      <c r="A2667" s="2" t="str">
        <f ca="1">IFERROR(__xludf.DUMMYFUNCTION("""COMPUTED_VALUE"""),"https://www.facebook.com/profile.php?id=100070343109589")</f>
        <v>https://www.facebook.com/profile.php?id=100070343109589</v>
      </c>
      <c r="B2667" s="1" t="str">
        <f ca="1">IFERROR(__xludf.DUMMYFUNCTION("""COMPUTED_VALUE"""),"Lpzes Enj")</f>
        <v>Lpzes Enj</v>
      </c>
      <c r="C2667" s="1" t="str">
        <f ca="1">IFERROR(__xludf.DUMMYFUNCTION("""COMPUTED_VALUE"""),"Lpzes")</f>
        <v>Lpzes</v>
      </c>
      <c r="D2667" s="1" t="str">
        <f ca="1">IFERROR(__xludf.DUMMYFUNCTION("""COMPUTED_VALUE"""),"Enj")</f>
        <v>Enj</v>
      </c>
      <c r="E2667" s="1" t="str">
        <f ca="1">IFERROR(__xludf.DUMMYFUNCTION("""COMPUTED_VALUE"""),"DYAN SILA MAGALING MANGDAYA 🤣🤣🤣🤣🤣🤣🤣🤣🤣🤣")</f>
        <v>DYAN SILA MAGALING MANGDAYA 🤣🤣🤣🤣🤣🤣🤣🤣🤣🤣</v>
      </c>
      <c r="F2667" s="1"/>
      <c r="G2667" s="1" t="str">
        <f ca="1">IFERROR(__xludf.DUMMYFUNCTION("""COMPUTED_VALUE"""),"3 mos")</f>
        <v>3 mos</v>
      </c>
      <c r="H2667" s="1" t="str">
        <f ca="1">IFERROR(__xludf.DUMMYFUNCTION("""COMPUTED_VALUE"""),"comment")</f>
        <v>comment</v>
      </c>
      <c r="I2667" s="2" t="str">
        <f ca="1">IFERROR(__xludf.DUMMYFUNCTION("""COMPUTED_VALUE"""),"https://www.facebook.com/rapplerdotcom/photos/a.317154781638645/5594264657260938/")</f>
        <v>https://www.facebook.com/rapplerdotcom/photos/a.317154781638645/5594264657260938/</v>
      </c>
      <c r="J2667" s="1" t="str">
        <f ca="1">IFERROR(__xludf.DUMMYFUNCTION("""COMPUTED_VALUE"""),"2022-07-04T15:51:46.030Z")</f>
        <v>2022-07-04T15:51:46.030Z</v>
      </c>
    </row>
    <row r="2668" spans="1:10" x14ac:dyDescent="0.2">
      <c r="A2668" s="2" t="str">
        <f ca="1">IFERROR(__xludf.DUMMYFUNCTION("""COMPUTED_VALUE"""),"https://www.facebook.com/johncalamba.saguimpa")</f>
        <v>https://www.facebook.com/johncalamba.saguimpa</v>
      </c>
      <c r="B2668" s="1" t="str">
        <f ca="1">IFERROR(__xludf.DUMMYFUNCTION("""COMPUTED_VALUE"""),"John Calamba Saguimpa")</f>
        <v>John Calamba Saguimpa</v>
      </c>
      <c r="C2668" s="1" t="str">
        <f ca="1">IFERROR(__xludf.DUMMYFUNCTION("""COMPUTED_VALUE"""),"John")</f>
        <v>John</v>
      </c>
      <c r="D2668" s="1" t="str">
        <f ca="1">IFERROR(__xludf.DUMMYFUNCTION("""COMPUTED_VALUE"""),"Calamba Saguimpa")</f>
        <v>Calamba Saguimpa</v>
      </c>
      <c r="E2668" s="1" t="str">
        <f ca="1">IFERROR(__xludf.DUMMYFUNCTION("""COMPUTED_VALUE"""),"lahat na lang Minarcos.")</f>
        <v>lahat na lang Minarcos.</v>
      </c>
      <c r="F2668" s="1">
        <f ca="1">IFERROR(__xludf.DUMMYFUNCTION("""COMPUTED_VALUE"""),4)</f>
        <v>4</v>
      </c>
      <c r="G2668" s="1" t="str">
        <f ca="1">IFERROR(__xludf.DUMMYFUNCTION("""COMPUTED_VALUE"""),"3 mos")</f>
        <v>3 mos</v>
      </c>
      <c r="H2668" s="1" t="str">
        <f ca="1">IFERROR(__xludf.DUMMYFUNCTION("""COMPUTED_VALUE"""),"comment")</f>
        <v>comment</v>
      </c>
      <c r="I2668" s="2" t="str">
        <f ca="1">IFERROR(__xludf.DUMMYFUNCTION("""COMPUTED_VALUE"""),"https://www.facebook.com/rapplerdotcom/photos/a.317154781638645/5594264657260938/")</f>
        <v>https://www.facebook.com/rapplerdotcom/photos/a.317154781638645/5594264657260938/</v>
      </c>
      <c r="J2668" s="1" t="str">
        <f ca="1">IFERROR(__xludf.DUMMYFUNCTION("""COMPUTED_VALUE"""),"2022-07-04T15:51:46.030Z")</f>
        <v>2022-07-04T15:51:46.030Z</v>
      </c>
    </row>
    <row r="2669" spans="1:10" x14ac:dyDescent="0.2">
      <c r="A2669" s="2" t="str">
        <f ca="1">IFERROR(__xludf.DUMMYFUNCTION("""COMPUTED_VALUE"""),"https://www.facebook.com/aqoucii.makmak")</f>
        <v>https://www.facebook.com/aqoucii.makmak</v>
      </c>
      <c r="B2669" s="1" t="str">
        <f ca="1">IFERROR(__xludf.DUMMYFUNCTION("""COMPUTED_VALUE"""),"Makmak Sepi Panalunsong")</f>
        <v>Makmak Sepi Panalunsong</v>
      </c>
      <c r="C2669" s="1" t="str">
        <f ca="1">IFERROR(__xludf.DUMMYFUNCTION("""COMPUTED_VALUE"""),"Makmak")</f>
        <v>Makmak</v>
      </c>
      <c r="D2669" s="1" t="str">
        <f ca="1">IFERROR(__xludf.DUMMYFUNCTION("""COMPUTED_VALUE"""),"Sepi Panalunsong")</f>
        <v>Sepi Panalunsong</v>
      </c>
      <c r="E2669" s="1" t="str">
        <f ca="1">IFERROR(__xludf.DUMMYFUNCTION("""COMPUTED_VALUE"""),"Tama nga c toni ang puso ng iba ay punong puno ng galit habang sila sa rally ay sobrang saya at puno ng pagmamahal ang puso nila..")</f>
        <v>Tama nga c toni ang puso ng iba ay punong puno ng galit habang sila sa rally ay sobrang saya at puno ng pagmamahal ang puso nila..</v>
      </c>
      <c r="F2669" s="1">
        <f ca="1">IFERROR(__xludf.DUMMYFUNCTION("""COMPUTED_VALUE"""),7)</f>
        <v>7</v>
      </c>
      <c r="G2669" s="1" t="str">
        <f ca="1">IFERROR(__xludf.DUMMYFUNCTION("""COMPUTED_VALUE"""),"3 mos")</f>
        <v>3 mos</v>
      </c>
      <c r="H2669" s="1" t="str">
        <f ca="1">IFERROR(__xludf.DUMMYFUNCTION("""COMPUTED_VALUE"""),"comment")</f>
        <v>comment</v>
      </c>
      <c r="I2669" s="2" t="str">
        <f ca="1">IFERROR(__xludf.DUMMYFUNCTION("""COMPUTED_VALUE"""),"https://www.facebook.com/rapplerdotcom/photos/a.317154781638645/5594264657260938/")</f>
        <v>https://www.facebook.com/rapplerdotcom/photos/a.317154781638645/5594264657260938/</v>
      </c>
      <c r="J2669" s="1" t="str">
        <f ca="1">IFERROR(__xludf.DUMMYFUNCTION("""COMPUTED_VALUE"""),"2022-07-04T15:51:46.030Z")</f>
        <v>2022-07-04T15:51:46.030Z</v>
      </c>
    </row>
    <row r="2670" spans="1:10" x14ac:dyDescent="0.2">
      <c r="A2670" s="2" t="str">
        <f ca="1">IFERROR(__xludf.DUMMYFUNCTION("""COMPUTED_VALUE"""),"https://www.facebook.com/lucius.allan")</f>
        <v>https://www.facebook.com/lucius.allan</v>
      </c>
      <c r="B2670" s="1" t="str">
        <f ca="1">IFERROR(__xludf.DUMMYFUNCTION("""COMPUTED_VALUE"""),"Allan")</f>
        <v>Allan</v>
      </c>
      <c r="C2670" s="1" t="str">
        <f ca="1">IFERROR(__xludf.DUMMYFUNCTION("""COMPUTED_VALUE"""),"Allan")</f>
        <v>Allan</v>
      </c>
      <c r="D2670" s="1"/>
      <c r="E2670" s="1" t="str">
        <f ca="1">IFERROR(__xludf.DUMMYFUNCTION("""COMPUTED_VALUE"""),"Lahat na lang talaga ng panggagago ginagawa para ibida ang idol nila 🤣🤣🤣")</f>
        <v>Lahat na lang talaga ng panggagago ginagawa para ibida ang idol nila 🤣🤣🤣</v>
      </c>
      <c r="F2670" s="1">
        <f ca="1">IFERROR(__xludf.DUMMYFUNCTION("""COMPUTED_VALUE"""),10)</f>
        <v>10</v>
      </c>
      <c r="G2670" s="1" t="str">
        <f ca="1">IFERROR(__xludf.DUMMYFUNCTION("""COMPUTED_VALUE"""),"3 mos")</f>
        <v>3 mos</v>
      </c>
      <c r="H2670" s="1" t="str">
        <f ca="1">IFERROR(__xludf.DUMMYFUNCTION("""COMPUTED_VALUE"""),"comment")</f>
        <v>comment</v>
      </c>
      <c r="I2670" s="2" t="str">
        <f ca="1">IFERROR(__xludf.DUMMYFUNCTION("""COMPUTED_VALUE"""),"https://www.facebook.com/rapplerdotcom/photos/a.317154781638645/5594264657260938/")</f>
        <v>https://www.facebook.com/rapplerdotcom/photos/a.317154781638645/5594264657260938/</v>
      </c>
      <c r="J2670" s="1" t="str">
        <f ca="1">IFERROR(__xludf.DUMMYFUNCTION("""COMPUTED_VALUE"""),"2022-07-04T15:51:46.030Z")</f>
        <v>2022-07-04T15:51:46.030Z</v>
      </c>
    </row>
    <row r="2671" spans="1:10" x14ac:dyDescent="0.2">
      <c r="A2671" s="2" t="str">
        <f ca="1">IFERROR(__xludf.DUMMYFUNCTION("""COMPUTED_VALUE"""),"https://www.facebook.com/initials.jt")</f>
        <v>https://www.facebook.com/initials.jt</v>
      </c>
      <c r="B2671" s="1" t="str">
        <f ca="1">IFERROR(__xludf.DUMMYFUNCTION("""COMPUTED_VALUE"""),"Brader Jaafar")</f>
        <v>Brader Jaafar</v>
      </c>
      <c r="C2671" s="1" t="str">
        <f ca="1">IFERROR(__xludf.DUMMYFUNCTION("""COMPUTED_VALUE"""),"Brader")</f>
        <v>Brader</v>
      </c>
      <c r="D2671" s="1" t="str">
        <f ca="1">IFERROR(__xludf.DUMMYFUNCTION("""COMPUTED_VALUE"""),"Jaafar")</f>
        <v>Jaafar</v>
      </c>
      <c r="E2671" s="1" t="str">
        <f ca="1">IFERROR(__xludf.DUMMYFUNCTION("""COMPUTED_VALUE"""),"Allan https://www.facebook.com/1483983471/posts/10226530538558075/?app=fbl")</f>
        <v>Allan https://www.facebook.com/1483983471/posts/10226530538558075/?app=fbl</v>
      </c>
      <c r="F2671" s="1">
        <f ca="1">IFERROR(__xludf.DUMMYFUNCTION("""COMPUTED_VALUE"""),1)</f>
        <v>1</v>
      </c>
      <c r="G2671" s="1" t="str">
        <f ca="1">IFERROR(__xludf.DUMMYFUNCTION("""COMPUTED_VALUE"""),"October 25, 2021 at 3:35 AM")</f>
        <v>October 25, 2021 at 3:35 AM</v>
      </c>
      <c r="H2671" s="1" t="str">
        <f ca="1">IFERROR(__xludf.DUMMYFUNCTION("""COMPUTED_VALUE"""),"reply")</f>
        <v>reply</v>
      </c>
      <c r="I2671" s="2" t="str">
        <f ca="1">IFERROR(__xludf.DUMMYFUNCTION("""COMPUTED_VALUE"""),"https://www.facebook.com/rapplerdotcom/photos/a.317154781638645/5594264657260938/")</f>
        <v>https://www.facebook.com/rapplerdotcom/photos/a.317154781638645/5594264657260938/</v>
      </c>
      <c r="J2671" s="1" t="str">
        <f ca="1">IFERROR(__xludf.DUMMYFUNCTION("""COMPUTED_VALUE"""),"2022-07-04T15:51:46.031Z")</f>
        <v>2022-07-04T15:51:46.031Z</v>
      </c>
    </row>
    <row r="2672" spans="1:10" x14ac:dyDescent="0.2">
      <c r="A2672" s="2" t="str">
        <f ca="1">IFERROR(__xludf.DUMMYFUNCTION("""COMPUTED_VALUE"""),"https://www.facebook.com/zion.poliquit.54")</f>
        <v>https://www.facebook.com/zion.poliquit.54</v>
      </c>
      <c r="B2672" s="1" t="str">
        <f ca="1">IFERROR(__xludf.DUMMYFUNCTION("""COMPUTED_VALUE"""),"Zion Zion")</f>
        <v>Zion Zion</v>
      </c>
      <c r="C2672" s="1" t="str">
        <f ca="1">IFERROR(__xludf.DUMMYFUNCTION("""COMPUTED_VALUE"""),"Zion")</f>
        <v>Zion</v>
      </c>
      <c r="D2672" s="1" t="str">
        <f ca="1">IFERROR(__xludf.DUMMYFUNCTION("""COMPUTED_VALUE"""),"Zion")</f>
        <v>Zion</v>
      </c>
      <c r="E2672" s="1" t="str">
        <f ca="1">IFERROR(__xludf.DUMMYFUNCTION("""COMPUTED_VALUE"""),"Allan OO LAHAG NG PANGGAGAGO GINAGAWA NI LENIDORO. DI MO NAPANSIN LAHAT NG RALLY NYA, PURO BAYAD ANG PUMUNTA?")</f>
        <v>Allan OO LAHAG NG PANGGAGAGO GINAGAWA NI LENIDORO. DI MO NAPANSIN LAHAT NG RALLY NYA, PURO BAYAD ANG PUMUNTA?</v>
      </c>
      <c r="F2672" s="1"/>
      <c r="G2672" s="1" t="str">
        <f ca="1">IFERROR(__xludf.DUMMYFUNCTION("""COMPUTED_VALUE"""),"3 mos")</f>
        <v>3 mos</v>
      </c>
      <c r="H2672" s="1" t="str">
        <f ca="1">IFERROR(__xludf.DUMMYFUNCTION("""COMPUTED_VALUE"""),"reply")</f>
        <v>reply</v>
      </c>
      <c r="I2672" s="2" t="str">
        <f ca="1">IFERROR(__xludf.DUMMYFUNCTION("""COMPUTED_VALUE"""),"https://www.facebook.com/rapplerdotcom/photos/a.317154781638645/5594264657260938/")</f>
        <v>https://www.facebook.com/rapplerdotcom/photos/a.317154781638645/5594264657260938/</v>
      </c>
      <c r="J2672" s="1" t="str">
        <f ca="1">IFERROR(__xludf.DUMMYFUNCTION("""COMPUTED_VALUE"""),"2022-07-04T15:51:46.031Z")</f>
        <v>2022-07-04T15:51:46.031Z</v>
      </c>
    </row>
    <row r="2673" spans="1:10" x14ac:dyDescent="0.2">
      <c r="A2673" s="2" t="str">
        <f ca="1">IFERROR(__xludf.DUMMYFUNCTION("""COMPUTED_VALUE"""),"https://www.facebook.com/jhanemomtenegro")</f>
        <v>https://www.facebook.com/jhanemomtenegro</v>
      </c>
      <c r="B2673" s="1" t="str">
        <f ca="1">IFERROR(__xludf.DUMMYFUNCTION("""COMPUTED_VALUE"""),"Jhane Qiuatchon Montenegro")</f>
        <v>Jhane Qiuatchon Montenegro</v>
      </c>
      <c r="C2673" s="1" t="str">
        <f ca="1">IFERROR(__xludf.DUMMYFUNCTION("""COMPUTED_VALUE"""),"Jhane")</f>
        <v>Jhane</v>
      </c>
      <c r="D2673" s="1" t="str">
        <f ca="1">IFERROR(__xludf.DUMMYFUNCTION("""COMPUTED_VALUE"""),"Qiuatchon Montenegro")</f>
        <v>Qiuatchon Montenegro</v>
      </c>
      <c r="E2673" s="1" t="str">
        <f ca="1">IFERROR(__xludf.DUMMYFUNCTION("""COMPUTED_VALUE"""),"Lahat n LNG basta INGGIT PIKIT N LNG KC....")</f>
        <v>Lahat n LNG basta INGGIT PIKIT N LNG KC....</v>
      </c>
      <c r="F2673" s="1"/>
      <c r="G2673" s="1" t="str">
        <f ca="1">IFERROR(__xludf.DUMMYFUNCTION("""COMPUTED_VALUE"""),"3 mos")</f>
        <v>3 mos</v>
      </c>
      <c r="H2673" s="1" t="str">
        <f ca="1">IFERROR(__xludf.DUMMYFUNCTION("""COMPUTED_VALUE"""),"comment")</f>
        <v>comment</v>
      </c>
      <c r="I2673" s="2" t="str">
        <f ca="1">IFERROR(__xludf.DUMMYFUNCTION("""COMPUTED_VALUE"""),"https://www.facebook.com/rapplerdotcom/photos/a.317154781638645/5594264657260938/")</f>
        <v>https://www.facebook.com/rapplerdotcom/photos/a.317154781638645/5594264657260938/</v>
      </c>
      <c r="J2673" s="1" t="str">
        <f ca="1">IFERROR(__xludf.DUMMYFUNCTION("""COMPUTED_VALUE"""),"2022-07-04T15:51:46.031Z")</f>
        <v>2022-07-04T15:51:46.031Z</v>
      </c>
    </row>
    <row r="2674" spans="1:10" x14ac:dyDescent="0.2">
      <c r="A2674" s="2" t="str">
        <f ca="1">IFERROR(__xludf.DUMMYFUNCTION("""COMPUTED_VALUE"""),"https://www.facebook.com/jo.talisaysay")</f>
        <v>https://www.facebook.com/jo.talisaysay</v>
      </c>
      <c r="B2674" s="1" t="str">
        <f ca="1">IFERROR(__xludf.DUMMYFUNCTION("""COMPUTED_VALUE"""),"Jhoriex Jorry Talisaysay")</f>
        <v>Jhoriex Jorry Talisaysay</v>
      </c>
      <c r="C2674" s="1" t="str">
        <f ca="1">IFERROR(__xludf.DUMMYFUNCTION("""COMPUTED_VALUE"""),"Jhoriex")</f>
        <v>Jhoriex</v>
      </c>
      <c r="D2674" s="1" t="str">
        <f ca="1">IFERROR(__xludf.DUMMYFUNCTION("""COMPUTED_VALUE"""),"Jorry Talisaysay")</f>
        <v>Jorry Talisaysay</v>
      </c>
      <c r="E2674" s="1" t="str">
        <f ca="1">IFERROR(__xludf.DUMMYFUNCTION("""COMPUTED_VALUE"""),"Yung NAGA LEAK naman")</f>
        <v>Yung NAGA LEAK naman</v>
      </c>
      <c r="F2674" s="1"/>
      <c r="G2674" s="1" t="str">
        <f ca="1">IFERROR(__xludf.DUMMYFUNCTION("""COMPUTED_VALUE"""),"3 mos")</f>
        <v>3 mos</v>
      </c>
      <c r="H2674" s="1" t="str">
        <f ca="1">IFERROR(__xludf.DUMMYFUNCTION("""COMPUTED_VALUE"""),"comment")</f>
        <v>comment</v>
      </c>
      <c r="I2674" s="2" t="str">
        <f ca="1">IFERROR(__xludf.DUMMYFUNCTION("""COMPUTED_VALUE"""),"https://www.facebook.com/rapplerdotcom/photos/a.317154781638645/5594264657260938/")</f>
        <v>https://www.facebook.com/rapplerdotcom/photos/a.317154781638645/5594264657260938/</v>
      </c>
      <c r="J2674" s="1" t="str">
        <f ca="1">IFERROR(__xludf.DUMMYFUNCTION("""COMPUTED_VALUE"""),"2022-07-04T15:51:46.031Z")</f>
        <v>2022-07-04T15:51:46.031Z</v>
      </c>
    </row>
    <row r="2675" spans="1:10" x14ac:dyDescent="0.2">
      <c r="A2675" s="2" t="str">
        <f ca="1">IFERROR(__xludf.DUMMYFUNCTION("""COMPUTED_VALUE"""),"https://www.facebook.com/profile.php?id=100012422146329")</f>
        <v>https://www.facebook.com/profile.php?id=100012422146329</v>
      </c>
      <c r="B2675" s="1" t="str">
        <f ca="1">IFERROR(__xludf.DUMMYFUNCTION("""COMPUTED_VALUE"""),"Lloyd Day")</f>
        <v>Lloyd Day</v>
      </c>
      <c r="C2675" s="1" t="str">
        <f ca="1">IFERROR(__xludf.DUMMYFUNCTION("""COMPUTED_VALUE"""),"Lloyd")</f>
        <v>Lloyd</v>
      </c>
      <c r="D2675" s="1" t="str">
        <f ca="1">IFERROR(__xludf.DUMMYFUNCTION("""COMPUTED_VALUE"""),"Day")</f>
        <v>Day</v>
      </c>
      <c r="E2675" s="1" t="str">
        <f ca="1">IFERROR(__xludf.DUMMYFUNCTION("""COMPUTED_VALUE"""),"Minarcos?!")</f>
        <v>Minarcos?!</v>
      </c>
      <c r="F2675" s="1"/>
      <c r="G2675" s="1" t="str">
        <f ca="1">IFERROR(__xludf.DUMMYFUNCTION("""COMPUTED_VALUE"""),"3 mos")</f>
        <v>3 mos</v>
      </c>
      <c r="H2675" s="1" t="str">
        <f ca="1">IFERROR(__xludf.DUMMYFUNCTION("""COMPUTED_VALUE"""),"comment")</f>
        <v>comment</v>
      </c>
      <c r="I2675" s="2" t="str">
        <f ca="1">IFERROR(__xludf.DUMMYFUNCTION("""COMPUTED_VALUE"""),"https://www.facebook.com/rapplerdotcom/photos/a.317154781638645/5594264657260938/")</f>
        <v>https://www.facebook.com/rapplerdotcom/photos/a.317154781638645/5594264657260938/</v>
      </c>
      <c r="J2675" s="1" t="str">
        <f ca="1">IFERROR(__xludf.DUMMYFUNCTION("""COMPUTED_VALUE"""),"2022-07-04T15:51:46.031Z")</f>
        <v>2022-07-04T15:51:46.031Z</v>
      </c>
    </row>
    <row r="2676" spans="1:10" x14ac:dyDescent="0.2">
      <c r="A2676" s="2" t="str">
        <f ca="1">IFERROR(__xludf.DUMMYFUNCTION("""COMPUTED_VALUE"""),"https://www.facebook.com/kharen.salazar.37")</f>
        <v>https://www.facebook.com/kharen.salazar.37</v>
      </c>
      <c r="B2676" s="1" t="str">
        <f ca="1">IFERROR(__xludf.DUMMYFUNCTION("""COMPUTED_VALUE"""),"Kharen Berlon Sarza Salazar")</f>
        <v>Kharen Berlon Sarza Salazar</v>
      </c>
      <c r="C2676" s="1" t="str">
        <f ca="1">IFERROR(__xludf.DUMMYFUNCTION("""COMPUTED_VALUE"""),"Kharen")</f>
        <v>Kharen</v>
      </c>
      <c r="D2676" s="1" t="str">
        <f ca="1">IFERROR(__xludf.DUMMYFUNCTION("""COMPUTED_VALUE"""),"Berlon Sarza Salazar")</f>
        <v>Berlon Sarza Salazar</v>
      </c>
      <c r="E2676" s="1" t="str">
        <f ca="1">IFERROR(__xludf.DUMMYFUNCTION("""COMPUTED_VALUE"""),"Kharen Berlon Sarza Salazar")</f>
        <v>Kharen Berlon Sarza Salazar</v>
      </c>
      <c r="F2676" s="1"/>
      <c r="G2676" s="1" t="str">
        <f ca="1">IFERROR(__xludf.DUMMYFUNCTION("""COMPUTED_VALUE"""),"3 mos")</f>
        <v>3 mos</v>
      </c>
      <c r="H2676" s="1" t="str">
        <f ca="1">IFERROR(__xludf.DUMMYFUNCTION("""COMPUTED_VALUE"""),"comment")</f>
        <v>comment</v>
      </c>
      <c r="I2676" s="2" t="str">
        <f ca="1">IFERROR(__xludf.DUMMYFUNCTION("""COMPUTED_VALUE"""),"https://www.facebook.com/rapplerdotcom/photos/a.317154781638645/5594264657260938/")</f>
        <v>https://www.facebook.com/rapplerdotcom/photos/a.317154781638645/5594264657260938/</v>
      </c>
      <c r="J2676" s="1" t="str">
        <f ca="1">IFERROR(__xludf.DUMMYFUNCTION("""COMPUTED_VALUE"""),"2022-07-04T15:51:46.031Z")</f>
        <v>2022-07-04T15:51:46.031Z</v>
      </c>
    </row>
    <row r="2677" spans="1:10" x14ac:dyDescent="0.2">
      <c r="A2677" s="2" t="str">
        <f ca="1">IFERROR(__xludf.DUMMYFUNCTION("""COMPUTED_VALUE"""),"https://www.facebook.com/ScarfaceNinja13")</f>
        <v>https://www.facebook.com/ScarfaceNinja13</v>
      </c>
      <c r="B2677" s="1" t="str">
        <f ca="1">IFERROR(__xludf.DUMMYFUNCTION("""COMPUTED_VALUE"""),"Jigfred Cecilio Palma")</f>
        <v>Jigfred Cecilio Palma</v>
      </c>
      <c r="C2677" s="1" t="str">
        <f ca="1">IFERROR(__xludf.DUMMYFUNCTION("""COMPUTED_VALUE"""),"Jigfred")</f>
        <v>Jigfred</v>
      </c>
      <c r="D2677" s="1" t="str">
        <f ca="1">IFERROR(__xludf.DUMMYFUNCTION("""COMPUTED_VALUE"""),"Cecilio Palma")</f>
        <v>Cecilio Palma</v>
      </c>
      <c r="E2677" s="1" t="str">
        <f ca="1">IFERROR(__xludf.DUMMYFUNCTION("""COMPUTED_VALUE"""),"Jigfred Cecilio Palma")</f>
        <v>Jigfred Cecilio Palma</v>
      </c>
      <c r="F2677" s="1"/>
      <c r="G2677" s="1" t="str">
        <f ca="1">IFERROR(__xludf.DUMMYFUNCTION("""COMPUTED_VALUE"""),"3 mos")</f>
        <v>3 mos</v>
      </c>
      <c r="H2677" s="1" t="str">
        <f ca="1">IFERROR(__xludf.DUMMYFUNCTION("""COMPUTED_VALUE"""),"comment")</f>
        <v>comment</v>
      </c>
      <c r="I2677" s="2" t="str">
        <f ca="1">IFERROR(__xludf.DUMMYFUNCTION("""COMPUTED_VALUE"""),"https://www.facebook.com/rapplerdotcom/photos/a.317154781638645/5594264657260938/")</f>
        <v>https://www.facebook.com/rapplerdotcom/photos/a.317154781638645/5594264657260938/</v>
      </c>
      <c r="J2677" s="1" t="str">
        <f ca="1">IFERROR(__xludf.DUMMYFUNCTION("""COMPUTED_VALUE"""),"2022-07-04T15:51:46.031Z")</f>
        <v>2022-07-04T15:51:46.031Z</v>
      </c>
    </row>
    <row r="2678" spans="1:10" x14ac:dyDescent="0.2">
      <c r="A2678" s="2" t="str">
        <f ca="1">IFERROR(__xludf.DUMMYFUNCTION("""COMPUTED_VALUE"""),"https://www.facebook.com/nonoigwen")</f>
        <v>https://www.facebook.com/nonoigwen</v>
      </c>
      <c r="B2678" s="1" t="str">
        <f ca="1">IFERROR(__xludf.DUMMYFUNCTION("""COMPUTED_VALUE"""),"Noibonoi Go")</f>
        <v>Noibonoi Go</v>
      </c>
      <c r="C2678" s="1" t="str">
        <f ca="1">IFERROR(__xludf.DUMMYFUNCTION("""COMPUTED_VALUE"""),"Noibonoi")</f>
        <v>Noibonoi</v>
      </c>
      <c r="D2678" s="1" t="str">
        <f ca="1">IFERROR(__xludf.DUMMYFUNCTION("""COMPUTED_VALUE"""),"Go")</f>
        <v>Go</v>
      </c>
      <c r="E2678" s="1" t="str">
        <f ca="1">IFERROR(__xludf.DUMMYFUNCTION("""COMPUTED_VALUE"""),"Noibonoi Go")</f>
        <v>Noibonoi Go</v>
      </c>
      <c r="F2678" s="1"/>
      <c r="G2678" s="1" t="str">
        <f ca="1">IFERROR(__xludf.DUMMYFUNCTION("""COMPUTED_VALUE"""),"3 mos")</f>
        <v>3 mos</v>
      </c>
      <c r="H2678" s="1" t="str">
        <f ca="1">IFERROR(__xludf.DUMMYFUNCTION("""COMPUTED_VALUE"""),"comment")</f>
        <v>comment</v>
      </c>
      <c r="I2678" s="2" t="str">
        <f ca="1">IFERROR(__xludf.DUMMYFUNCTION("""COMPUTED_VALUE"""),"https://www.facebook.com/rapplerdotcom/photos/a.317154781638645/5594264657260938/")</f>
        <v>https://www.facebook.com/rapplerdotcom/photos/a.317154781638645/5594264657260938/</v>
      </c>
      <c r="J2678" s="1" t="str">
        <f ca="1">IFERROR(__xludf.DUMMYFUNCTION("""COMPUTED_VALUE"""),"2022-07-04T15:51:46.031Z")</f>
        <v>2022-07-04T15:51:46.031Z</v>
      </c>
    </row>
    <row r="2679" spans="1:10" x14ac:dyDescent="0.2">
      <c r="A2679" s="2" t="str">
        <f ca="1">IFERROR(__xludf.DUMMYFUNCTION("""COMPUTED_VALUE"""),"https://www.facebook.com/lyn.cobajada")</f>
        <v>https://www.facebook.com/lyn.cobajada</v>
      </c>
      <c r="B2679" s="1" t="str">
        <f ca="1">IFERROR(__xludf.DUMMYFUNCTION("""COMPUTED_VALUE"""),"Lyn Co-Bajada")</f>
        <v>Lyn Co-Bajada</v>
      </c>
      <c r="C2679" s="1" t="str">
        <f ca="1">IFERROR(__xludf.DUMMYFUNCTION("""COMPUTED_VALUE"""),"Lyn")</f>
        <v>Lyn</v>
      </c>
      <c r="D2679" s="1" t="str">
        <f ca="1">IFERROR(__xludf.DUMMYFUNCTION("""COMPUTED_VALUE"""),"Co-Bajada")</f>
        <v>Co-Bajada</v>
      </c>
      <c r="E2679" s="1" t="str">
        <f ca="1">IFERROR(__xludf.DUMMYFUNCTION("""COMPUTED_VALUE"""),"Lyn Co-Bajada")</f>
        <v>Lyn Co-Bajada</v>
      </c>
      <c r="F2679" s="1"/>
      <c r="G2679" s="1" t="str">
        <f ca="1">IFERROR(__xludf.DUMMYFUNCTION("""COMPUTED_VALUE"""),"3 mos")</f>
        <v>3 mos</v>
      </c>
      <c r="H2679" s="1" t="str">
        <f ca="1">IFERROR(__xludf.DUMMYFUNCTION("""COMPUTED_VALUE"""),"comment")</f>
        <v>comment</v>
      </c>
      <c r="I2679" s="2" t="str">
        <f ca="1">IFERROR(__xludf.DUMMYFUNCTION("""COMPUTED_VALUE"""),"https://www.facebook.com/rapplerdotcom/photos/a.317154781638645/5594264657260938/")</f>
        <v>https://www.facebook.com/rapplerdotcom/photos/a.317154781638645/5594264657260938/</v>
      </c>
      <c r="J2679" s="1" t="str">
        <f ca="1">IFERROR(__xludf.DUMMYFUNCTION("""COMPUTED_VALUE"""),"2022-07-04T15:51:46.031Z")</f>
        <v>2022-07-04T15:51:46.031Z</v>
      </c>
    </row>
    <row r="2680" spans="1:10" x14ac:dyDescent="0.2">
      <c r="A2680" s="2" t="str">
        <f ca="1">IFERROR(__xludf.DUMMYFUNCTION("""COMPUTED_VALUE"""),"https://www.facebook.com/iamowenoliveros")</f>
        <v>https://www.facebook.com/iamowenoliveros</v>
      </c>
      <c r="B2680" s="1" t="str">
        <f ca="1">IFERROR(__xludf.DUMMYFUNCTION("""COMPUTED_VALUE"""),"Owen Oliveros")</f>
        <v>Owen Oliveros</v>
      </c>
      <c r="C2680" s="1" t="str">
        <f ca="1">IFERROR(__xludf.DUMMYFUNCTION("""COMPUTED_VALUE"""),"Owen")</f>
        <v>Owen</v>
      </c>
      <c r="D2680" s="1" t="str">
        <f ca="1">IFERROR(__xludf.DUMMYFUNCTION("""COMPUTED_VALUE"""),"Oliveros")</f>
        <v>Oliveros</v>
      </c>
      <c r="E2680" s="1" t="str">
        <f ca="1">IFERROR(__xludf.DUMMYFUNCTION("""COMPUTED_VALUE"""),"Arnold Santiago")</f>
        <v>Arnold Santiago</v>
      </c>
      <c r="F2680" s="1"/>
      <c r="G2680" s="1" t="str">
        <f ca="1">IFERROR(__xludf.DUMMYFUNCTION("""COMPUTED_VALUE"""),"3 mos")</f>
        <v>3 mos</v>
      </c>
      <c r="H2680" s="1" t="str">
        <f ca="1">IFERROR(__xludf.DUMMYFUNCTION("""COMPUTED_VALUE"""),"comment")</f>
        <v>comment</v>
      </c>
      <c r="I2680" s="2" t="str">
        <f ca="1">IFERROR(__xludf.DUMMYFUNCTION("""COMPUTED_VALUE"""),"https://www.facebook.com/rapplerdotcom/photos/a.317154781638645/5594264657260938/")</f>
        <v>https://www.facebook.com/rapplerdotcom/photos/a.317154781638645/5594264657260938/</v>
      </c>
      <c r="J2680" s="1" t="str">
        <f ca="1">IFERROR(__xludf.DUMMYFUNCTION("""COMPUTED_VALUE"""),"2022-07-04T15:51:46.031Z")</f>
        <v>2022-07-04T15:51:46.031Z</v>
      </c>
    </row>
    <row r="2681" spans="1:10" x14ac:dyDescent="0.2">
      <c r="A2681" s="2" t="str">
        <f ca="1">IFERROR(__xludf.DUMMYFUNCTION("""COMPUTED_VALUE"""),"https://www.facebook.com/holaissa.jaboneta")</f>
        <v>https://www.facebook.com/holaissa.jaboneta</v>
      </c>
      <c r="B2681" s="1" t="str">
        <f ca="1">IFERROR(__xludf.DUMMYFUNCTION("""COMPUTED_VALUE"""),"Holaissa Jaboneta")</f>
        <v>Holaissa Jaboneta</v>
      </c>
      <c r="C2681" s="1" t="str">
        <f ca="1">IFERROR(__xludf.DUMMYFUNCTION("""COMPUTED_VALUE"""),"Holaissa")</f>
        <v>Holaissa</v>
      </c>
      <c r="D2681" s="1" t="str">
        <f ca="1">IFERROR(__xludf.DUMMYFUNCTION("""COMPUTED_VALUE"""),"Jaboneta")</f>
        <v>Jaboneta</v>
      </c>
      <c r="E2681" s="1" t="str">
        <f ca="1">IFERROR(__xludf.DUMMYFUNCTION("""COMPUTED_VALUE"""),"🤭🤯")</f>
        <v>🤭🤯</v>
      </c>
      <c r="F2681" s="1"/>
      <c r="G2681" s="1" t="str">
        <f ca="1">IFERROR(__xludf.DUMMYFUNCTION("""COMPUTED_VALUE"""),"3 mos")</f>
        <v>3 mos</v>
      </c>
      <c r="H2681" s="1" t="str">
        <f ca="1">IFERROR(__xludf.DUMMYFUNCTION("""COMPUTED_VALUE"""),"comment")</f>
        <v>comment</v>
      </c>
      <c r="I2681" s="2" t="str">
        <f ca="1">IFERROR(__xludf.DUMMYFUNCTION("""COMPUTED_VALUE"""),"https://www.facebook.com/rapplerdotcom/photos/a.317154781638645/5594264657260938/")</f>
        <v>https://www.facebook.com/rapplerdotcom/photos/a.317154781638645/5594264657260938/</v>
      </c>
      <c r="J2681" s="1" t="str">
        <f ca="1">IFERROR(__xludf.DUMMYFUNCTION("""COMPUTED_VALUE"""),"2022-07-04T15:51:46.031Z")</f>
        <v>2022-07-04T15:51:46.031Z</v>
      </c>
    </row>
    <row r="2682" spans="1:10" x14ac:dyDescent="0.2">
      <c r="A2682" s="2" t="str">
        <f ca="1">IFERROR(__xludf.DUMMYFUNCTION("""COMPUTED_VALUE"""),"https://www.facebook.com/holaissa.jaboneta")</f>
        <v>https://www.facebook.com/holaissa.jaboneta</v>
      </c>
      <c r="B2682" s="1" t="str">
        <f ca="1">IFERROR(__xludf.DUMMYFUNCTION("""COMPUTED_VALUE"""),"Holaissa Jaboneta")</f>
        <v>Holaissa Jaboneta</v>
      </c>
      <c r="C2682" s="1" t="str">
        <f ca="1">IFERROR(__xludf.DUMMYFUNCTION("""COMPUTED_VALUE"""),"Holaissa")</f>
        <v>Holaissa</v>
      </c>
      <c r="D2682" s="1" t="str">
        <f ca="1">IFERROR(__xludf.DUMMYFUNCTION("""COMPUTED_VALUE"""),"Jaboneta")</f>
        <v>Jaboneta</v>
      </c>
      <c r="E2682" s="1" t="str">
        <f ca="1">IFERROR(__xludf.DUMMYFUNCTION("""COMPUTED_VALUE"""),"🤭")</f>
        <v>🤭</v>
      </c>
      <c r="F2682" s="1"/>
      <c r="G2682" s="1" t="str">
        <f ca="1">IFERROR(__xludf.DUMMYFUNCTION("""COMPUTED_VALUE"""),"3 mos")</f>
        <v>3 mos</v>
      </c>
      <c r="H2682" s="1" t="str">
        <f ca="1">IFERROR(__xludf.DUMMYFUNCTION("""COMPUTED_VALUE"""),"comment")</f>
        <v>comment</v>
      </c>
      <c r="I2682" s="2" t="str">
        <f ca="1">IFERROR(__xludf.DUMMYFUNCTION("""COMPUTED_VALUE"""),"https://www.facebook.com/rapplerdotcom/photos/a.317154781638645/5594264657260938/")</f>
        <v>https://www.facebook.com/rapplerdotcom/photos/a.317154781638645/5594264657260938/</v>
      </c>
      <c r="J2682" s="1" t="str">
        <f ca="1">IFERROR(__xludf.DUMMYFUNCTION("""COMPUTED_VALUE"""),"2022-07-04T15:51:46.031Z")</f>
        <v>2022-07-04T15:51:46.031Z</v>
      </c>
    </row>
    <row r="2683" spans="1:10" x14ac:dyDescent="0.2">
      <c r="A2683" s="2" t="str">
        <f ca="1">IFERROR(__xludf.DUMMYFUNCTION("""COMPUTED_VALUE"""),"https://www.facebook.com/yspuj")</f>
        <v>https://www.facebook.com/yspuj</v>
      </c>
      <c r="B2683" s="1" t="str">
        <f ca="1">IFERROR(__xludf.DUMMYFUNCTION("""COMPUTED_VALUE"""),"Jupi Ugalde Gerance")</f>
        <v>Jupi Ugalde Gerance</v>
      </c>
      <c r="C2683" s="1" t="str">
        <f ca="1">IFERROR(__xludf.DUMMYFUNCTION("""COMPUTED_VALUE"""),"Jupi")</f>
        <v>Jupi</v>
      </c>
      <c r="D2683" s="1" t="str">
        <f ca="1">IFERROR(__xludf.DUMMYFUNCTION("""COMPUTED_VALUE"""),"Ugalde Gerance")</f>
        <v>Ugalde Gerance</v>
      </c>
      <c r="E2683" s="1" t="str">
        <f ca="1">IFERROR(__xludf.DUMMYFUNCTION("""COMPUTED_VALUE"""),"#SOLiDBBMSARA✌️👊")</f>
        <v>#SOLiDBBMSARA✌️👊</v>
      </c>
      <c r="F2683" s="1"/>
      <c r="G2683" s="1" t="str">
        <f ca="1">IFERROR(__xludf.DUMMYFUNCTION("""COMPUTED_VALUE"""),"3 mos")</f>
        <v>3 mos</v>
      </c>
      <c r="H2683" s="1" t="str">
        <f ca="1">IFERROR(__xludf.DUMMYFUNCTION("""COMPUTED_VALUE"""),"comment")</f>
        <v>comment</v>
      </c>
      <c r="I2683" s="2" t="str">
        <f ca="1">IFERROR(__xludf.DUMMYFUNCTION("""COMPUTED_VALUE"""),"https://www.facebook.com/rapplerdotcom/photos/a.317154781638645/5594264657260938/")</f>
        <v>https://www.facebook.com/rapplerdotcom/photos/a.317154781638645/5594264657260938/</v>
      </c>
      <c r="J2683" s="1" t="str">
        <f ca="1">IFERROR(__xludf.DUMMYFUNCTION("""COMPUTED_VALUE"""),"2022-07-04T15:51:46.031Z")</f>
        <v>2022-07-04T15:51:46.031Z</v>
      </c>
    </row>
    <row r="2684" spans="1:10" x14ac:dyDescent="0.2">
      <c r="A2684" s="2" t="str">
        <f ca="1">IFERROR(__xludf.DUMMYFUNCTION("""COMPUTED_VALUE"""),"https://www.facebook.com/lorelie.b.bondoc")</f>
        <v>https://www.facebook.com/lorelie.b.bondoc</v>
      </c>
      <c r="B2684" s="1" t="str">
        <f ca="1">IFERROR(__xludf.DUMMYFUNCTION("""COMPUTED_VALUE"""),"Eirol Bondoc")</f>
        <v>Eirol Bondoc</v>
      </c>
      <c r="C2684" s="1" t="str">
        <f ca="1">IFERROR(__xludf.DUMMYFUNCTION("""COMPUTED_VALUE"""),"Eirol")</f>
        <v>Eirol</v>
      </c>
      <c r="D2684" s="1" t="str">
        <f ca="1">IFERROR(__xludf.DUMMYFUNCTION("""COMPUTED_VALUE"""),"Bondoc")</f>
        <v>Bondoc</v>
      </c>
      <c r="E2684" s="1" t="str">
        <f ca="1">IFERROR(__xludf.DUMMYFUNCTION("""COMPUTED_VALUE"""),"😂😂😂😂😂")</f>
        <v>😂😂😂😂😂</v>
      </c>
      <c r="F2684" s="1"/>
      <c r="G2684" s="1" t="str">
        <f ca="1">IFERROR(__xludf.DUMMYFUNCTION("""COMPUTED_VALUE"""),"3 mos")</f>
        <v>3 mos</v>
      </c>
      <c r="H2684" s="1" t="str">
        <f ca="1">IFERROR(__xludf.DUMMYFUNCTION("""COMPUTED_VALUE"""),"comment")</f>
        <v>comment</v>
      </c>
      <c r="I2684" s="2" t="str">
        <f ca="1">IFERROR(__xludf.DUMMYFUNCTION("""COMPUTED_VALUE"""),"https://www.facebook.com/rapplerdotcom/photos/a.317154781638645/5594264657260938/")</f>
        <v>https://www.facebook.com/rapplerdotcom/photos/a.317154781638645/5594264657260938/</v>
      </c>
      <c r="J2684" s="1" t="str">
        <f ca="1">IFERROR(__xludf.DUMMYFUNCTION("""COMPUTED_VALUE"""),"2022-07-04T15:51:46.031Z")</f>
        <v>2022-07-04T15:51:46.031Z</v>
      </c>
    </row>
    <row r="2685" spans="1:10" x14ac:dyDescent="0.2">
      <c r="A2685" s="2" t="str">
        <f ca="1">IFERROR(__xludf.DUMMYFUNCTION("""COMPUTED_VALUE"""),"https://www.facebook.com/ecoroipac")</f>
        <v>https://www.facebook.com/ecoroipac</v>
      </c>
      <c r="B2685" s="1" t="str">
        <f ca="1">IFERROR(__xludf.DUMMYFUNCTION("""COMPUTED_VALUE"""),"Maria Corazon D. Capio")</f>
        <v>Maria Corazon D. Capio</v>
      </c>
      <c r="C2685" s="1" t="str">
        <f ca="1">IFERROR(__xludf.DUMMYFUNCTION("""COMPUTED_VALUE"""),"Maria")</f>
        <v>Maria</v>
      </c>
      <c r="D2685" s="1" t="str">
        <f ca="1">IFERROR(__xludf.DUMMYFUNCTION("""COMPUTED_VALUE"""),"Corazon D. Capio")</f>
        <v>Corazon D. Capio</v>
      </c>
      <c r="E2685" s="1" t="str">
        <f ca="1">IFERROR(__xludf.DUMMYFUNCTION("""COMPUTED_VALUE"""),"💚💚❤️❤️")</f>
        <v>💚💚❤️❤️</v>
      </c>
      <c r="F2685" s="1"/>
      <c r="G2685" s="1" t="str">
        <f ca="1">IFERROR(__xludf.DUMMYFUNCTION("""COMPUTED_VALUE"""),"3 mos")</f>
        <v>3 mos</v>
      </c>
      <c r="H2685" s="1" t="str">
        <f ca="1">IFERROR(__xludf.DUMMYFUNCTION("""COMPUTED_VALUE"""),"comment")</f>
        <v>comment</v>
      </c>
      <c r="I2685" s="2" t="str">
        <f ca="1">IFERROR(__xludf.DUMMYFUNCTION("""COMPUTED_VALUE"""),"https://www.facebook.com/rapplerdotcom/photos/a.317154781638645/5594264657260938/")</f>
        <v>https://www.facebook.com/rapplerdotcom/photos/a.317154781638645/5594264657260938/</v>
      </c>
      <c r="J2685" s="1" t="str">
        <f ca="1">IFERROR(__xludf.DUMMYFUNCTION("""COMPUTED_VALUE"""),"2022-07-04T15:51:46.031Z")</f>
        <v>2022-07-04T15:51:46.031Z</v>
      </c>
    </row>
    <row r="2686" spans="1:10" x14ac:dyDescent="0.2">
      <c r="A2686" s="2" t="str">
        <f ca="1">IFERROR(__xludf.DUMMYFUNCTION("""COMPUTED_VALUE"""),"https://www.facebook.com/gracepenetrante.udarbe")</f>
        <v>https://www.facebook.com/gracepenetrante.udarbe</v>
      </c>
      <c r="B2686" s="1" t="str">
        <f ca="1">IFERROR(__xludf.DUMMYFUNCTION("""COMPUTED_VALUE"""),"Grace Dan Gabriel")</f>
        <v>Grace Dan Gabriel</v>
      </c>
      <c r="C2686" s="1" t="str">
        <f ca="1">IFERROR(__xludf.DUMMYFUNCTION("""COMPUTED_VALUE"""),"Grace")</f>
        <v>Grace</v>
      </c>
      <c r="D2686" s="1" t="str">
        <f ca="1">IFERROR(__xludf.DUMMYFUNCTION("""COMPUTED_VALUE"""),"Dan Gabriel")</f>
        <v>Dan Gabriel</v>
      </c>
      <c r="E2686" s="1" t="str">
        <f ca="1">IFERROR(__xludf.DUMMYFUNCTION("""COMPUTED_VALUE"""),"❤️💚🕊")</f>
        <v>❤️💚🕊</v>
      </c>
      <c r="F2686" s="1"/>
      <c r="G2686" s="1" t="str">
        <f ca="1">IFERROR(__xludf.DUMMYFUNCTION("""COMPUTED_VALUE"""),"3 mos")</f>
        <v>3 mos</v>
      </c>
      <c r="H2686" s="1" t="str">
        <f ca="1">IFERROR(__xludf.DUMMYFUNCTION("""COMPUTED_VALUE"""),"comment")</f>
        <v>comment</v>
      </c>
      <c r="I2686" s="2" t="str">
        <f ca="1">IFERROR(__xludf.DUMMYFUNCTION("""COMPUTED_VALUE"""),"https://www.facebook.com/rapplerdotcom/photos/a.317154781638645/5594264657260938/")</f>
        <v>https://www.facebook.com/rapplerdotcom/photos/a.317154781638645/5594264657260938/</v>
      </c>
      <c r="J2686" s="1" t="str">
        <f ca="1">IFERROR(__xludf.DUMMYFUNCTION("""COMPUTED_VALUE"""),"2022-07-04T15:51:46.031Z")</f>
        <v>2022-07-04T15:51:46.031Z</v>
      </c>
    </row>
    <row r="2687" spans="1:10" x14ac:dyDescent="0.2">
      <c r="A2687" s="2" t="str">
        <f ca="1">IFERROR(__xludf.DUMMYFUNCTION("""COMPUTED_VALUE"""),"https://www.facebook.com/xX.djhoaNn.Xx")</f>
        <v>https://www.facebook.com/xX.djhoaNn.Xx</v>
      </c>
      <c r="B2687" s="1" t="str">
        <f ca="1">IFERROR(__xludf.DUMMYFUNCTION("""COMPUTED_VALUE"""),"Djho AN")</f>
        <v>Djho AN</v>
      </c>
      <c r="C2687" s="1" t="str">
        <f ca="1">IFERROR(__xludf.DUMMYFUNCTION("""COMPUTED_VALUE"""),"Djho")</f>
        <v>Djho</v>
      </c>
      <c r="D2687" s="1" t="str">
        <f ca="1">IFERROR(__xludf.DUMMYFUNCTION("""COMPUTED_VALUE"""),"AN")</f>
        <v>AN</v>
      </c>
      <c r="E2687" s="1" t="str">
        <f ca="1">IFERROR(__xludf.DUMMYFUNCTION("""COMPUTED_VALUE"""),"Hahahha #unithives 😂🤣")</f>
        <v>Hahahha #unithives 😂🤣</v>
      </c>
      <c r="F2687" s="1"/>
      <c r="G2687" s="1" t="str">
        <f ca="1">IFERROR(__xludf.DUMMYFUNCTION("""COMPUTED_VALUE"""),"3 mos")</f>
        <v>3 mos</v>
      </c>
      <c r="H2687" s="1" t="str">
        <f ca="1">IFERROR(__xludf.DUMMYFUNCTION("""COMPUTED_VALUE"""),"comment")</f>
        <v>comment</v>
      </c>
      <c r="I2687" s="2" t="str">
        <f ca="1">IFERROR(__xludf.DUMMYFUNCTION("""COMPUTED_VALUE"""),"https://www.facebook.com/rapplerdotcom/photos/a.317154781638645/5594264657260938/")</f>
        <v>https://www.facebook.com/rapplerdotcom/photos/a.317154781638645/5594264657260938/</v>
      </c>
      <c r="J2687" s="1" t="str">
        <f ca="1">IFERROR(__xludf.DUMMYFUNCTION("""COMPUTED_VALUE"""),"2022-07-04T15:51:46.031Z")</f>
        <v>2022-07-04T15:51:46.031Z</v>
      </c>
    </row>
    <row r="2688" spans="1:10" x14ac:dyDescent="0.2">
      <c r="A2688" s="2" t="str">
        <f ca="1">IFERROR(__xludf.DUMMYFUNCTION("""COMPUTED_VALUE"""),"https://www.facebook.com/stiiiiiben")</f>
        <v>https://www.facebook.com/stiiiiiben</v>
      </c>
      <c r="B2688" s="1" t="str">
        <f ca="1">IFERROR(__xludf.DUMMYFUNCTION("""COMPUTED_VALUE"""),"Steven Rosal")</f>
        <v>Steven Rosal</v>
      </c>
      <c r="C2688" s="1" t="str">
        <f ca="1">IFERROR(__xludf.DUMMYFUNCTION("""COMPUTED_VALUE"""),"Steven")</f>
        <v>Steven</v>
      </c>
      <c r="D2688" s="1" t="str">
        <f ca="1">IFERROR(__xludf.DUMMYFUNCTION("""COMPUTED_VALUE"""),"Rosal")</f>
        <v>Rosal</v>
      </c>
      <c r="E2688" s="1" t="str">
        <f ca="1">IFERROR(__xludf.DUMMYFUNCTION("""COMPUTED_VALUE"""),"Lee-an Rosal hahahaahah")</f>
        <v>Lee-an Rosal hahahaahah</v>
      </c>
      <c r="F2688" s="1"/>
      <c r="G2688" s="1" t="str">
        <f ca="1">IFERROR(__xludf.DUMMYFUNCTION("""COMPUTED_VALUE"""),"3 mos")</f>
        <v>3 mos</v>
      </c>
      <c r="H2688" s="1" t="str">
        <f ca="1">IFERROR(__xludf.DUMMYFUNCTION("""COMPUTED_VALUE"""),"comment")</f>
        <v>comment</v>
      </c>
      <c r="I2688" s="2" t="str">
        <f ca="1">IFERROR(__xludf.DUMMYFUNCTION("""COMPUTED_VALUE"""),"https://www.facebook.com/rapplerdotcom/photos/a.317154781638645/5594264657260938/")</f>
        <v>https://www.facebook.com/rapplerdotcom/photos/a.317154781638645/5594264657260938/</v>
      </c>
      <c r="J2688" s="1" t="str">
        <f ca="1">IFERROR(__xludf.DUMMYFUNCTION("""COMPUTED_VALUE"""),"2022-07-04T15:51:46.031Z")</f>
        <v>2022-07-04T15:51:46.031Z</v>
      </c>
    </row>
    <row r="2689" spans="1:10" x14ac:dyDescent="0.2">
      <c r="A2689" s="2" t="str">
        <f ca="1">IFERROR(__xludf.DUMMYFUNCTION("""COMPUTED_VALUE"""),"https://www.facebook.com/pehyni")</f>
        <v>https://www.facebook.com/pehyni</v>
      </c>
      <c r="B2689" s="1" t="str">
        <f ca="1">IFERROR(__xludf.DUMMYFUNCTION("""COMPUTED_VALUE"""),"Paolo Penalosa")</f>
        <v>Paolo Penalosa</v>
      </c>
      <c r="C2689" s="1" t="str">
        <f ca="1">IFERROR(__xludf.DUMMYFUNCTION("""COMPUTED_VALUE"""),"Paolo")</f>
        <v>Paolo</v>
      </c>
      <c r="D2689" s="1" t="str">
        <f ca="1">IFERROR(__xludf.DUMMYFUNCTION("""COMPUTED_VALUE"""),"Penalosa")</f>
        <v>Penalosa</v>
      </c>
      <c r="E2689" s="1" t="str">
        <f ca="1">IFERROR(__xludf.DUMMYFUNCTION("""COMPUTED_VALUE"""),"#Minarcos")</f>
        <v>#Minarcos</v>
      </c>
      <c r="F2689" s="1"/>
      <c r="G2689" s="1" t="str">
        <f ca="1">IFERROR(__xludf.DUMMYFUNCTION("""COMPUTED_VALUE"""),"3 mos")</f>
        <v>3 mos</v>
      </c>
      <c r="H2689" s="1" t="str">
        <f ca="1">IFERROR(__xludf.DUMMYFUNCTION("""COMPUTED_VALUE"""),"comment")</f>
        <v>comment</v>
      </c>
      <c r="I2689" s="2" t="str">
        <f ca="1">IFERROR(__xludf.DUMMYFUNCTION("""COMPUTED_VALUE"""),"https://www.facebook.com/rapplerdotcom/photos/a.317154781638645/5594264657260938/")</f>
        <v>https://www.facebook.com/rapplerdotcom/photos/a.317154781638645/5594264657260938/</v>
      </c>
      <c r="J2689" s="1" t="str">
        <f ca="1">IFERROR(__xludf.DUMMYFUNCTION("""COMPUTED_VALUE"""),"2022-07-04T15:51:46.031Z")</f>
        <v>2022-07-04T15:51:46.031Z</v>
      </c>
    </row>
    <row r="2690" spans="1:10" x14ac:dyDescent="0.2">
      <c r="A2690" s="2" t="str">
        <f ca="1">IFERROR(__xludf.DUMMYFUNCTION("""COMPUTED_VALUE"""),"https://www.facebook.com/marlone.esperanza.3")</f>
        <v>https://www.facebook.com/marlone.esperanza.3</v>
      </c>
      <c r="B2690" s="1" t="str">
        <f ca="1">IFERROR(__xludf.DUMMYFUNCTION("""COMPUTED_VALUE"""),"Marlone Esperanza")</f>
        <v>Marlone Esperanza</v>
      </c>
      <c r="C2690" s="1" t="str">
        <f ca="1">IFERROR(__xludf.DUMMYFUNCTION("""COMPUTED_VALUE"""),"Marlone")</f>
        <v>Marlone</v>
      </c>
      <c r="D2690" s="1" t="str">
        <f ca="1">IFERROR(__xludf.DUMMYFUNCTION("""COMPUTED_VALUE"""),"Esperanza")</f>
        <v>Esperanza</v>
      </c>
      <c r="E2690" s="1" t="str">
        <f ca="1">IFERROR(__xludf.DUMMYFUNCTION("""COMPUTED_VALUE"""),"Liars and thieves 😎")</f>
        <v>Liars and thieves 😎</v>
      </c>
      <c r="F2690" s="1"/>
      <c r="G2690" s="1" t="str">
        <f ca="1">IFERROR(__xludf.DUMMYFUNCTION("""COMPUTED_VALUE"""),"3 mos")</f>
        <v>3 mos</v>
      </c>
      <c r="H2690" s="1" t="str">
        <f ca="1">IFERROR(__xludf.DUMMYFUNCTION("""COMPUTED_VALUE"""),"comment")</f>
        <v>comment</v>
      </c>
      <c r="I2690" s="2" t="str">
        <f ca="1">IFERROR(__xludf.DUMMYFUNCTION("""COMPUTED_VALUE"""),"https://www.facebook.com/rapplerdotcom/photos/a.317154781638645/5594264657260938/")</f>
        <v>https://www.facebook.com/rapplerdotcom/photos/a.317154781638645/5594264657260938/</v>
      </c>
      <c r="J2690" s="1" t="str">
        <f ca="1">IFERROR(__xludf.DUMMYFUNCTION("""COMPUTED_VALUE"""),"2022-07-04T15:51:46.031Z")</f>
        <v>2022-07-04T15:51:46.031Z</v>
      </c>
    </row>
    <row r="2691" spans="1:10" x14ac:dyDescent="0.2">
      <c r="A2691" s="2" t="str">
        <f ca="1">IFERROR(__xludf.DUMMYFUNCTION("""COMPUTED_VALUE"""),"https://www.facebook.com/ramoncito.delapaz")</f>
        <v>https://www.facebook.com/ramoncito.delapaz</v>
      </c>
      <c r="B2691" s="1" t="str">
        <f ca="1">IFERROR(__xludf.DUMMYFUNCTION("""COMPUTED_VALUE"""),"Ramon Dela Paz Rtrp")</f>
        <v>Ramon Dela Paz Rtrp</v>
      </c>
      <c r="C2691" s="1" t="str">
        <f ca="1">IFERROR(__xludf.DUMMYFUNCTION("""COMPUTED_VALUE"""),"Ramon")</f>
        <v>Ramon</v>
      </c>
      <c r="D2691" s="1" t="str">
        <f ca="1">IFERROR(__xludf.DUMMYFUNCTION("""COMPUTED_VALUE"""),"Dela Paz Rtrp")</f>
        <v>Dela Paz Rtrp</v>
      </c>
      <c r="E2691" s="1" t="str">
        <f ca="1">IFERROR(__xludf.DUMMYFUNCTION("""COMPUTED_VALUE"""),"When a fact checker is sour loser")</f>
        <v>When a fact checker is sour loser</v>
      </c>
      <c r="F2691" s="1"/>
      <c r="G2691" s="1" t="str">
        <f ca="1">IFERROR(__xludf.DUMMYFUNCTION("""COMPUTED_VALUE"""),"3 mos")</f>
        <v>3 mos</v>
      </c>
      <c r="H2691" s="1" t="str">
        <f ca="1">IFERROR(__xludf.DUMMYFUNCTION("""COMPUTED_VALUE"""),"comment")</f>
        <v>comment</v>
      </c>
      <c r="I2691" s="2" t="str">
        <f ca="1">IFERROR(__xludf.DUMMYFUNCTION("""COMPUTED_VALUE"""),"https://www.facebook.com/rapplerdotcom/photos/a.317154781638645/5594264657260938/")</f>
        <v>https://www.facebook.com/rapplerdotcom/photos/a.317154781638645/5594264657260938/</v>
      </c>
      <c r="J2691" s="1" t="str">
        <f ca="1">IFERROR(__xludf.DUMMYFUNCTION("""COMPUTED_VALUE"""),"2022-07-04T15:51:46.031Z")</f>
        <v>2022-07-04T15:51:46.031Z</v>
      </c>
    </row>
    <row r="2692" spans="1:10" x14ac:dyDescent="0.2">
      <c r="A2692" s="2" t="str">
        <f ca="1">IFERROR(__xludf.DUMMYFUNCTION("""COMPUTED_VALUE"""),"https://www.facebook.com/Itz.me.leo.reyes")</f>
        <v>https://www.facebook.com/Itz.me.leo.reyes</v>
      </c>
      <c r="B2692" s="1" t="str">
        <f ca="1">IFERROR(__xludf.DUMMYFUNCTION("""COMPUTED_VALUE"""),"Leo Disio Reyes")</f>
        <v>Leo Disio Reyes</v>
      </c>
      <c r="C2692" s="1" t="str">
        <f ca="1">IFERROR(__xludf.DUMMYFUNCTION("""COMPUTED_VALUE"""),"Leo")</f>
        <v>Leo</v>
      </c>
      <c r="D2692" s="1" t="str">
        <f ca="1">IFERROR(__xludf.DUMMYFUNCTION("""COMPUTED_VALUE"""),"Disio Reyes")</f>
        <v>Disio Reyes</v>
      </c>
      <c r="E2692" s="1" t="str">
        <f ca="1">IFERROR(__xludf.DUMMYFUNCTION("""COMPUTED_VALUE"""),"Ulit ulit yarn???😂😂 bukas ulit😅")</f>
        <v>Ulit ulit yarn???😂😂 bukas ulit😅</v>
      </c>
      <c r="F2692" s="1"/>
      <c r="G2692" s="1" t="str">
        <f ca="1">IFERROR(__xludf.DUMMYFUNCTION("""COMPUTED_VALUE"""),"3 mos")</f>
        <v>3 mos</v>
      </c>
      <c r="H2692" s="1" t="str">
        <f ca="1">IFERROR(__xludf.DUMMYFUNCTION("""COMPUTED_VALUE"""),"comment")</f>
        <v>comment</v>
      </c>
      <c r="I2692" s="2" t="str">
        <f ca="1">IFERROR(__xludf.DUMMYFUNCTION("""COMPUTED_VALUE"""),"https://www.facebook.com/rapplerdotcom/photos/a.317154781638645/5594264657260938/")</f>
        <v>https://www.facebook.com/rapplerdotcom/photos/a.317154781638645/5594264657260938/</v>
      </c>
      <c r="J2692" s="1" t="str">
        <f ca="1">IFERROR(__xludf.DUMMYFUNCTION("""COMPUTED_VALUE"""),"2022-07-04T15:51:46.031Z")</f>
        <v>2022-07-04T15:51:46.031Z</v>
      </c>
    </row>
    <row r="2693" spans="1:10" x14ac:dyDescent="0.2">
      <c r="A2693" s="2" t="str">
        <f ca="1">IFERROR(__xludf.DUMMYFUNCTION("""COMPUTED_VALUE"""),"https://www.facebook.com/lawrence.macadangdang.10")</f>
        <v>https://www.facebook.com/lawrence.macadangdang.10</v>
      </c>
      <c r="B2693" s="1" t="str">
        <f ca="1">IFERROR(__xludf.DUMMYFUNCTION("""COMPUTED_VALUE"""),"レンス ラウ")</f>
        <v>レンス ラウ</v>
      </c>
      <c r="C2693" s="1" t="str">
        <f ca="1">IFERROR(__xludf.DUMMYFUNCTION("""COMPUTED_VALUE"""),"レンス")</f>
        <v>レンス</v>
      </c>
      <c r="D2693" s="1" t="str">
        <f ca="1">IFERROR(__xludf.DUMMYFUNCTION("""COMPUTED_VALUE"""),"ラウ")</f>
        <v>ラウ</v>
      </c>
      <c r="E2693" s="1" t="str">
        <f ca="1">IFERROR(__xludf.DUMMYFUNCTION("""COMPUTED_VALUE"""),"pati ba naman memes patulan mga lutang talaga HAHAHHAHA")</f>
        <v>pati ba naman memes patulan mga lutang talaga HAHAHHAHA</v>
      </c>
      <c r="F2693" s="1">
        <f ca="1">IFERROR(__xludf.DUMMYFUNCTION("""COMPUTED_VALUE"""),1)</f>
        <v>1</v>
      </c>
      <c r="G2693" s="1" t="str">
        <f ca="1">IFERROR(__xludf.DUMMYFUNCTION("""COMPUTED_VALUE"""),"3 mos")</f>
        <v>3 mos</v>
      </c>
      <c r="H2693" s="1" t="str">
        <f ca="1">IFERROR(__xludf.DUMMYFUNCTION("""COMPUTED_VALUE"""),"comment")</f>
        <v>comment</v>
      </c>
      <c r="I2693" s="2" t="str">
        <f ca="1">IFERROR(__xludf.DUMMYFUNCTION("""COMPUTED_VALUE"""),"https://www.facebook.com/rapplerdotcom/photos/a.317154781638645/5594264657260938/")</f>
        <v>https://www.facebook.com/rapplerdotcom/photos/a.317154781638645/5594264657260938/</v>
      </c>
      <c r="J2693" s="1" t="str">
        <f ca="1">IFERROR(__xludf.DUMMYFUNCTION("""COMPUTED_VALUE"""),"2022-07-04T15:51:46.031Z")</f>
        <v>2022-07-04T15:51:46.031Z</v>
      </c>
    </row>
    <row r="2694" spans="1:10" x14ac:dyDescent="0.2">
      <c r="A2694" s="2" t="str">
        <f ca="1">IFERROR(__xludf.DUMMYFUNCTION("""COMPUTED_VALUE"""),"https://www.facebook.com/joyce.jose.10")</f>
        <v>https://www.facebook.com/joyce.jose.10</v>
      </c>
      <c r="B2694" s="1" t="str">
        <f ca="1">IFERROR(__xludf.DUMMYFUNCTION("""COMPUTED_VALUE"""),"Joyce Jose")</f>
        <v>Joyce Jose</v>
      </c>
      <c r="C2694" s="1" t="str">
        <f ca="1">IFERROR(__xludf.DUMMYFUNCTION("""COMPUTED_VALUE"""),"Joyce")</f>
        <v>Joyce</v>
      </c>
      <c r="D2694" s="1" t="str">
        <f ca="1">IFERROR(__xludf.DUMMYFUNCTION("""COMPUTED_VALUE"""),"Jose")</f>
        <v>Jose</v>
      </c>
      <c r="E2694" s="1" t="str">
        <f ca="1">IFERROR(__xludf.DUMMYFUNCTION("""COMPUTED_VALUE"""),"Minarcos yet again🤣🤣🤣#SinungalingKapatidNgMagnanakaw")</f>
        <v>Minarcos yet again🤣🤣🤣#SinungalingKapatidNgMagnanakaw</v>
      </c>
      <c r="F2694" s="1">
        <f ca="1">IFERROR(__xludf.DUMMYFUNCTION("""COMPUTED_VALUE"""),6)</f>
        <v>6</v>
      </c>
      <c r="G2694" s="1" t="str">
        <f ca="1">IFERROR(__xludf.DUMMYFUNCTION("""COMPUTED_VALUE"""),"3 mos")</f>
        <v>3 mos</v>
      </c>
      <c r="H2694" s="1" t="str">
        <f ca="1">IFERROR(__xludf.DUMMYFUNCTION("""COMPUTED_VALUE"""),"comment")</f>
        <v>comment</v>
      </c>
      <c r="I2694" s="2" t="str">
        <f ca="1">IFERROR(__xludf.DUMMYFUNCTION("""COMPUTED_VALUE"""),"https://www.facebook.com/rapplerdotcom/photos/a.317154781638645/5594264657260938/")</f>
        <v>https://www.facebook.com/rapplerdotcom/photos/a.317154781638645/5594264657260938/</v>
      </c>
      <c r="J2694" s="1" t="str">
        <f ca="1">IFERROR(__xludf.DUMMYFUNCTION("""COMPUTED_VALUE"""),"2022-07-04T15:51:46.031Z")</f>
        <v>2022-07-04T15:51:46.031Z</v>
      </c>
    </row>
    <row r="2695" spans="1:10" x14ac:dyDescent="0.2">
      <c r="A2695" s="2" t="str">
        <f ca="1">IFERROR(__xludf.DUMMYFUNCTION("""COMPUTED_VALUE"""),"https://www.facebook.com/melinda.santelices")</f>
        <v>https://www.facebook.com/melinda.santelices</v>
      </c>
      <c r="B2695" s="1" t="str">
        <f ca="1">IFERROR(__xludf.DUMMYFUNCTION("""COMPUTED_VALUE"""),"Melinda Santelices")</f>
        <v>Melinda Santelices</v>
      </c>
      <c r="C2695" s="1" t="str">
        <f ca="1">IFERROR(__xludf.DUMMYFUNCTION("""COMPUTED_VALUE"""),"Melinda")</f>
        <v>Melinda</v>
      </c>
      <c r="D2695" s="1" t="str">
        <f ca="1">IFERROR(__xludf.DUMMYFUNCTION("""COMPUTED_VALUE"""),"Santelices")</f>
        <v>Santelices</v>
      </c>
      <c r="E2695" s="1" t="str">
        <f ca="1">IFERROR(__xludf.DUMMYFUNCTION("""COMPUTED_VALUE"""),"Nahiya tyak")</f>
        <v>Nahiya tyak</v>
      </c>
      <c r="F2695" s="1"/>
      <c r="G2695" s="1" t="str">
        <f ca="1">IFERROR(__xludf.DUMMYFUNCTION("""COMPUTED_VALUE"""),"3 mos")</f>
        <v>3 mos</v>
      </c>
      <c r="H2695" s="1" t="str">
        <f ca="1">IFERROR(__xludf.DUMMYFUNCTION("""COMPUTED_VALUE"""),"comment")</f>
        <v>comment</v>
      </c>
      <c r="I2695" s="2" t="str">
        <f ca="1">IFERROR(__xludf.DUMMYFUNCTION("""COMPUTED_VALUE"""),"https://www.facebook.com/rapplerdotcom/photos/a.317154781638645/5594264657260938/")</f>
        <v>https://www.facebook.com/rapplerdotcom/photos/a.317154781638645/5594264657260938/</v>
      </c>
      <c r="J2695" s="1" t="str">
        <f ca="1">IFERROR(__xludf.DUMMYFUNCTION("""COMPUTED_VALUE"""),"2022-07-04T15:51:46.031Z")</f>
        <v>2022-07-04T15:51:46.031Z</v>
      </c>
    </row>
    <row r="2696" spans="1:10" x14ac:dyDescent="0.2">
      <c r="A2696" s="2" t="str">
        <f ca="1">IFERROR(__xludf.DUMMYFUNCTION("""COMPUTED_VALUE"""),"https://www.facebook.com/tseeeeeeb.18")</f>
        <v>https://www.facebook.com/tseeeeeeb.18</v>
      </c>
      <c r="B2696" s="1" t="str">
        <f ca="1">IFERROR(__xludf.DUMMYFUNCTION("""COMPUTED_VALUE"""),"Snowpy Yar")</f>
        <v>Snowpy Yar</v>
      </c>
      <c r="C2696" s="1" t="str">
        <f ca="1">IFERROR(__xludf.DUMMYFUNCTION("""COMPUTED_VALUE"""),"Snowpy")</f>
        <v>Snowpy</v>
      </c>
      <c r="D2696" s="1" t="str">
        <f ca="1">IFERROR(__xludf.DUMMYFUNCTION("""COMPUTED_VALUE"""),"Yar")</f>
        <v>Yar</v>
      </c>
      <c r="E2696" s="1" t="str">
        <f ca="1">IFERROR(__xludf.DUMMYFUNCTION("""COMPUTED_VALUE"""),"Issue nayan😂😂🤣")</f>
        <v>Issue nayan😂😂🤣</v>
      </c>
      <c r="F2696" s="1"/>
      <c r="G2696" s="1" t="str">
        <f ca="1">IFERROR(__xludf.DUMMYFUNCTION("""COMPUTED_VALUE"""),"3 mos")</f>
        <v>3 mos</v>
      </c>
      <c r="H2696" s="1" t="str">
        <f ca="1">IFERROR(__xludf.DUMMYFUNCTION("""COMPUTED_VALUE"""),"comment")</f>
        <v>comment</v>
      </c>
      <c r="I2696" s="2" t="str">
        <f ca="1">IFERROR(__xludf.DUMMYFUNCTION("""COMPUTED_VALUE"""),"https://www.facebook.com/rapplerdotcom/photos/a.317154781638645/5594264657260938/")</f>
        <v>https://www.facebook.com/rapplerdotcom/photos/a.317154781638645/5594264657260938/</v>
      </c>
      <c r="J2696" s="1" t="str">
        <f ca="1">IFERROR(__xludf.DUMMYFUNCTION("""COMPUTED_VALUE"""),"2022-07-04T15:51:46.031Z")</f>
        <v>2022-07-04T15:51:46.031Z</v>
      </c>
    </row>
    <row r="2697" spans="1:10" x14ac:dyDescent="0.2">
      <c r="A2697" s="2" t="str">
        <f ca="1">IFERROR(__xludf.DUMMYFUNCTION("""COMPUTED_VALUE"""),"https://www.facebook.com/jerald.fradejas")</f>
        <v>https://www.facebook.com/jerald.fradejas</v>
      </c>
      <c r="B2697" s="1" t="str">
        <f ca="1">IFERROR(__xludf.DUMMYFUNCTION("""COMPUTED_VALUE"""),"Jerald Fradejas")</f>
        <v>Jerald Fradejas</v>
      </c>
      <c r="C2697" s="1" t="str">
        <f ca="1">IFERROR(__xludf.DUMMYFUNCTION("""COMPUTED_VALUE"""),"Jerald")</f>
        <v>Jerald</v>
      </c>
      <c r="D2697" s="1" t="str">
        <f ca="1">IFERROR(__xludf.DUMMYFUNCTION("""COMPUTED_VALUE"""),"Fradejas")</f>
        <v>Fradejas</v>
      </c>
      <c r="E2697" s="1" t="str">
        <f ca="1">IFERROR(__xludf.DUMMYFUNCTION("""COMPUTED_VALUE"""),"Desperado😭")</f>
        <v>Desperado😭</v>
      </c>
      <c r="F2697" s="1"/>
      <c r="G2697" s="1" t="str">
        <f ca="1">IFERROR(__xludf.DUMMYFUNCTION("""COMPUTED_VALUE"""),"3 mos")</f>
        <v>3 mos</v>
      </c>
      <c r="H2697" s="1" t="str">
        <f ca="1">IFERROR(__xludf.DUMMYFUNCTION("""COMPUTED_VALUE"""),"comment")</f>
        <v>comment</v>
      </c>
      <c r="I2697" s="2" t="str">
        <f ca="1">IFERROR(__xludf.DUMMYFUNCTION("""COMPUTED_VALUE"""),"https://www.facebook.com/rapplerdotcom/photos/a.317154781638645/5594264657260938/")</f>
        <v>https://www.facebook.com/rapplerdotcom/photos/a.317154781638645/5594264657260938/</v>
      </c>
      <c r="J2697" s="1" t="str">
        <f ca="1">IFERROR(__xludf.DUMMYFUNCTION("""COMPUTED_VALUE"""),"2022-07-04T15:51:46.031Z")</f>
        <v>2022-07-04T15:51:46.031Z</v>
      </c>
    </row>
    <row r="2698" spans="1:10" x14ac:dyDescent="0.2">
      <c r="A2698" s="2" t="str">
        <f ca="1">IFERROR(__xludf.DUMMYFUNCTION("""COMPUTED_VALUE"""),"https://www.facebook.com/danny.casalme")</f>
        <v>https://www.facebook.com/danny.casalme</v>
      </c>
      <c r="B2698" s="1" t="str">
        <f ca="1">IFERROR(__xludf.DUMMYFUNCTION("""COMPUTED_VALUE"""),"Danny Casalme")</f>
        <v>Danny Casalme</v>
      </c>
      <c r="C2698" s="1" t="str">
        <f ca="1">IFERROR(__xludf.DUMMYFUNCTION("""COMPUTED_VALUE"""),"Danny")</f>
        <v>Danny</v>
      </c>
      <c r="D2698" s="1" t="str">
        <f ca="1">IFERROR(__xludf.DUMMYFUNCTION("""COMPUTED_VALUE"""),"Casalme")</f>
        <v>Casalme</v>
      </c>
      <c r="E2698" s="1" t="str">
        <f ca="1">IFERROR(__xludf.DUMMYFUNCTION("""COMPUTED_VALUE"""),"Mga TROLILING kaylangan namin ng pantapal sa bulkan tulad nyo mapurol ang utak talangka yung mga bubo mag isip mag swits na lang kyo para sa mga Lola at lolo nyo at sa mga anak nyo at ng BUONG Bansa...")</f>
        <v>Mga TROLILING kaylangan namin ng pantapal sa bulkan tulad nyo mapurol ang utak talangka yung mga bubo mag isip mag swits na lang kyo para sa mga Lola at lolo nyo at sa mga anak nyo at ng BUONG Bansa...</v>
      </c>
      <c r="F2698" s="1"/>
      <c r="G2698" s="1" t="str">
        <f ca="1">IFERROR(__xludf.DUMMYFUNCTION("""COMPUTED_VALUE"""),"3 mos")</f>
        <v>3 mos</v>
      </c>
      <c r="H2698" s="1" t="str">
        <f ca="1">IFERROR(__xludf.DUMMYFUNCTION("""COMPUTED_VALUE"""),"comment")</f>
        <v>comment</v>
      </c>
      <c r="I2698" s="2" t="str">
        <f ca="1">IFERROR(__xludf.DUMMYFUNCTION("""COMPUTED_VALUE"""),"https://www.facebook.com/watch/live/?ref=watch_permalink&amp;v=312865720941798")</f>
        <v>https://www.facebook.com/watch/live/?ref=watch_permalink&amp;v=312865720941798</v>
      </c>
      <c r="J2698" s="1" t="str">
        <f ca="1">IFERROR(__xludf.DUMMYFUNCTION("""COMPUTED_VALUE"""),"2022-07-04T15:52:23.932Z")</f>
        <v>2022-07-04T15:52:23.932Z</v>
      </c>
    </row>
    <row r="2699" spans="1:10" x14ac:dyDescent="0.2">
      <c r="A2699" s="2" t="str">
        <f ca="1">IFERROR(__xludf.DUMMYFUNCTION("""COMPUTED_VALUE"""),"https://www.facebook.com/zuno.silang")</f>
        <v>https://www.facebook.com/zuno.silang</v>
      </c>
      <c r="B2699" s="1" t="str">
        <f ca="1">IFERROR(__xludf.DUMMYFUNCTION("""COMPUTED_VALUE"""),"Zuno Silang")</f>
        <v>Zuno Silang</v>
      </c>
      <c r="C2699" s="1" t="str">
        <f ca="1">IFERROR(__xludf.DUMMYFUNCTION("""COMPUTED_VALUE"""),"Zuno")</f>
        <v>Zuno</v>
      </c>
      <c r="D2699" s="1" t="str">
        <f ca="1">IFERROR(__xludf.DUMMYFUNCTION("""COMPUTED_VALUE"""),"Silang")</f>
        <v>Silang</v>
      </c>
      <c r="E2699" s="1" t="str">
        <f ca="1">IFERROR(__xludf.DUMMYFUNCTION("""COMPUTED_VALUE"""),"magpapayaman yan ...di yan maglilingkod ng katulad ng paglilingkod ng mga ROBREDO...")</f>
        <v>magpapayaman yan ...di yan maglilingkod ng katulad ng paglilingkod ng mga ROBREDO...</v>
      </c>
      <c r="F2699" s="1">
        <f ca="1">IFERROR(__xludf.DUMMYFUNCTION("""COMPUTED_VALUE"""),5)</f>
        <v>5</v>
      </c>
      <c r="G2699" s="1" t="str">
        <f ca="1">IFERROR(__xludf.DUMMYFUNCTION("""COMPUTED_VALUE"""),"3 mos")</f>
        <v>3 mos</v>
      </c>
      <c r="H2699" s="1" t="str">
        <f ca="1">IFERROR(__xludf.DUMMYFUNCTION("""COMPUTED_VALUE"""),"comment")</f>
        <v>comment</v>
      </c>
      <c r="I2699" s="2" t="str">
        <f ca="1">IFERROR(__xludf.DUMMYFUNCTION("""COMPUTED_VALUE"""),"https://www.facebook.com/watch/live/?ref=watch_permalink&amp;v=312865720941798")</f>
        <v>https://www.facebook.com/watch/live/?ref=watch_permalink&amp;v=312865720941798</v>
      </c>
      <c r="J2699" s="1" t="str">
        <f ca="1">IFERROR(__xludf.DUMMYFUNCTION("""COMPUTED_VALUE"""),"2022-07-04T15:52:23.932Z")</f>
        <v>2022-07-04T15:52:23.932Z</v>
      </c>
    </row>
    <row r="2700" spans="1:10" x14ac:dyDescent="0.2">
      <c r="A2700" s="2" t="str">
        <f ca="1">IFERROR(__xludf.DUMMYFUNCTION("""COMPUTED_VALUE"""),"https://www.facebook.com/luzfcastillo")</f>
        <v>https://www.facebook.com/luzfcastillo</v>
      </c>
      <c r="B2700" s="1" t="str">
        <f ca="1">IFERROR(__xludf.DUMMYFUNCTION("""COMPUTED_VALUE"""),"Luzviminda Agullana Flores Castillo")</f>
        <v>Luzviminda Agullana Flores Castillo</v>
      </c>
      <c r="C2700" s="1" t="str">
        <f ca="1">IFERROR(__xludf.DUMMYFUNCTION("""COMPUTED_VALUE"""),"Luzviminda")</f>
        <v>Luzviminda</v>
      </c>
      <c r="D2700" s="1" t="str">
        <f ca="1">IFERROR(__xludf.DUMMYFUNCTION("""COMPUTED_VALUE"""),"Agullana Flores Castillo")</f>
        <v>Agullana Flores Castillo</v>
      </c>
      <c r="E2700" s="1" t="str">
        <f ca="1">IFERROR(__xludf.DUMMYFUNCTION("""COMPUTED_VALUE"""),"Galing mo🙄")</f>
        <v>Galing mo🙄</v>
      </c>
      <c r="F2700" s="1"/>
      <c r="G2700" s="1" t="str">
        <f ca="1">IFERROR(__xludf.DUMMYFUNCTION("""COMPUTED_VALUE"""),"3 mos")</f>
        <v>3 mos</v>
      </c>
      <c r="H2700" s="1" t="str">
        <f ca="1">IFERROR(__xludf.DUMMYFUNCTION("""COMPUTED_VALUE"""),"reply")</f>
        <v>reply</v>
      </c>
      <c r="I2700" s="2" t="str">
        <f ca="1">IFERROR(__xludf.DUMMYFUNCTION("""COMPUTED_VALUE"""),"https://www.facebook.com/watch/live/?ref=watch_permalink&amp;v=312865720941798")</f>
        <v>https://www.facebook.com/watch/live/?ref=watch_permalink&amp;v=312865720941798</v>
      </c>
      <c r="J2700" s="1" t="str">
        <f ca="1">IFERROR(__xludf.DUMMYFUNCTION("""COMPUTED_VALUE"""),"2022-07-04T15:52:23.932Z")</f>
        <v>2022-07-04T15:52:23.932Z</v>
      </c>
    </row>
    <row r="2701" spans="1:10" x14ac:dyDescent="0.2">
      <c r="A2701" s="2" t="str">
        <f ca="1">IFERROR(__xludf.DUMMYFUNCTION("""COMPUTED_VALUE"""),"https://www.facebook.com/nancy.grageda")</f>
        <v>https://www.facebook.com/nancy.grageda</v>
      </c>
      <c r="B2701" s="1" t="str">
        <f ca="1">IFERROR(__xludf.DUMMYFUNCTION("""COMPUTED_VALUE"""),"Nancy Gatdula Grageda")</f>
        <v>Nancy Gatdula Grageda</v>
      </c>
      <c r="C2701" s="1" t="str">
        <f ca="1">IFERROR(__xludf.DUMMYFUNCTION("""COMPUTED_VALUE"""),"Nancy")</f>
        <v>Nancy</v>
      </c>
      <c r="D2701" s="1" t="str">
        <f ca="1">IFERROR(__xludf.DUMMYFUNCTION("""COMPUTED_VALUE"""),"Gatdula Grageda")</f>
        <v>Gatdula Grageda</v>
      </c>
      <c r="E2701" s="1" t="str">
        <f ca="1">IFERROR(__xludf.DUMMYFUNCTION("""COMPUTED_VALUE"""),"Zuno Silang  True!")</f>
        <v>Zuno Silang  True!</v>
      </c>
      <c r="F2701" s="1"/>
      <c r="G2701" s="1" t="str">
        <f ca="1">IFERROR(__xludf.DUMMYFUNCTION("""COMPUTED_VALUE"""),"3 mos")</f>
        <v>3 mos</v>
      </c>
      <c r="H2701" s="1" t="str">
        <f ca="1">IFERROR(__xludf.DUMMYFUNCTION("""COMPUTED_VALUE"""),"reply")</f>
        <v>reply</v>
      </c>
      <c r="I2701" s="2" t="str">
        <f ca="1">IFERROR(__xludf.DUMMYFUNCTION("""COMPUTED_VALUE"""),"https://www.facebook.com/watch/live/?ref=watch_permalink&amp;v=312865720941798")</f>
        <v>https://www.facebook.com/watch/live/?ref=watch_permalink&amp;v=312865720941798</v>
      </c>
      <c r="J2701" s="1" t="str">
        <f ca="1">IFERROR(__xludf.DUMMYFUNCTION("""COMPUTED_VALUE"""),"2022-07-04T15:52:23.932Z")</f>
        <v>2022-07-04T15:52:23.932Z</v>
      </c>
    </row>
    <row r="2702" spans="1:10" x14ac:dyDescent="0.2">
      <c r="A2702" s="2" t="str">
        <f ca="1">IFERROR(__xludf.DUMMYFUNCTION("""COMPUTED_VALUE"""),"https://www.facebook.com/lanimasangkay")</f>
        <v>https://www.facebook.com/lanimasangkay</v>
      </c>
      <c r="B2702" s="1" t="str">
        <f ca="1">IFERROR(__xludf.DUMMYFUNCTION("""COMPUTED_VALUE"""),"Lani A. Masangkay")</f>
        <v>Lani A. Masangkay</v>
      </c>
      <c r="C2702" s="1" t="str">
        <f ca="1">IFERROR(__xludf.DUMMYFUNCTION("""COMPUTED_VALUE"""),"Lani")</f>
        <v>Lani</v>
      </c>
      <c r="D2702" s="1" t="str">
        <f ca="1">IFERROR(__xludf.DUMMYFUNCTION("""COMPUTED_VALUE"""),"A. Masangkay")</f>
        <v>A. Masangkay</v>
      </c>
      <c r="E2702" s="1" t="str">
        <f ca="1">IFERROR(__xludf.DUMMYFUNCTION("""COMPUTED_VALUE"""),"May God bless your campaign Isko Moreno Domagoso and the whole Aksiyon Demokratiko team. He is a problem solver so I know  Yorme has small and medium enterprises in his priority lists because it's important in our economic recovery.")</f>
        <v>May God bless your campaign Isko Moreno Domagoso and the whole Aksiyon Demokratiko team. He is a problem solver so I know  Yorme has small and medium enterprises in his priority lists because it's important in our economic recovery.</v>
      </c>
      <c r="F2702" s="1"/>
      <c r="G2702" s="1" t="str">
        <f ca="1">IFERROR(__xludf.DUMMYFUNCTION("""COMPUTED_VALUE"""),"3 mos")</f>
        <v>3 mos</v>
      </c>
      <c r="H2702" s="1" t="str">
        <f ca="1">IFERROR(__xludf.DUMMYFUNCTION("""COMPUTED_VALUE"""),"comment")</f>
        <v>comment</v>
      </c>
      <c r="I2702" s="2" t="str">
        <f ca="1">IFERROR(__xludf.DUMMYFUNCTION("""COMPUTED_VALUE"""),"https://www.facebook.com/watch/live/?ref=watch_permalink&amp;v=312865720941798")</f>
        <v>https://www.facebook.com/watch/live/?ref=watch_permalink&amp;v=312865720941798</v>
      </c>
      <c r="J2702" s="1" t="str">
        <f ca="1">IFERROR(__xludf.DUMMYFUNCTION("""COMPUTED_VALUE"""),"2022-07-04T15:52:23.932Z")</f>
        <v>2022-07-04T15:52:23.932Z</v>
      </c>
    </row>
    <row r="2703" spans="1:10" x14ac:dyDescent="0.2">
      <c r="A2703" s="2" t="str">
        <f ca="1">IFERROR(__xludf.DUMMYFUNCTION("""COMPUTED_VALUE"""),"https://www.facebook.com/pepe.jacinto")</f>
        <v>https://www.facebook.com/pepe.jacinto</v>
      </c>
      <c r="B2703" s="1" t="str">
        <f ca="1">IFERROR(__xludf.DUMMYFUNCTION("""COMPUTED_VALUE"""),"Eufemio Jacinto")</f>
        <v>Eufemio Jacinto</v>
      </c>
      <c r="C2703" s="1" t="str">
        <f ca="1">IFERROR(__xludf.DUMMYFUNCTION("""COMPUTED_VALUE"""),"Eufemio")</f>
        <v>Eufemio</v>
      </c>
      <c r="D2703" s="1" t="str">
        <f ca="1">IFERROR(__xludf.DUMMYFUNCTION("""COMPUTED_VALUE"""),"Jacinto")</f>
        <v>Jacinto</v>
      </c>
      <c r="E2703" s="1" t="str">
        <f ca="1">IFERROR(__xludf.DUMMYFUNCTION("""COMPUTED_VALUE"""),"TRACK RECORD,  COMPETENCE, CHARACTER and INTEGRITY ng mga kumakandidato alamin ang totoo bago iboto")</f>
        <v>TRACK RECORD,  COMPETENCE, CHARACTER and INTEGRITY ng mga kumakandidato alamin ang totoo bago iboto</v>
      </c>
      <c r="F2703" s="1">
        <f ca="1">IFERROR(__xludf.DUMMYFUNCTION("""COMPUTED_VALUE"""),1)</f>
        <v>1</v>
      </c>
      <c r="G2703" s="1" t="str">
        <f ca="1">IFERROR(__xludf.DUMMYFUNCTION("""COMPUTED_VALUE"""),"3 mos")</f>
        <v>3 mos</v>
      </c>
      <c r="H2703" s="1" t="str">
        <f ca="1">IFERROR(__xludf.DUMMYFUNCTION("""COMPUTED_VALUE"""),"comment")</f>
        <v>comment</v>
      </c>
      <c r="I2703" s="2" t="str">
        <f ca="1">IFERROR(__xludf.DUMMYFUNCTION("""COMPUTED_VALUE"""),"https://www.facebook.com/watch/live/?ref=watch_permalink&amp;v=312865720941798")</f>
        <v>https://www.facebook.com/watch/live/?ref=watch_permalink&amp;v=312865720941798</v>
      </c>
      <c r="J2703" s="1" t="str">
        <f ca="1">IFERROR(__xludf.DUMMYFUNCTION("""COMPUTED_VALUE"""),"2022-07-04T15:52:23.932Z")</f>
        <v>2022-07-04T15:52:23.932Z</v>
      </c>
    </row>
    <row r="2704" spans="1:10" x14ac:dyDescent="0.2">
      <c r="A2704" s="2" t="str">
        <f ca="1">IFERROR(__xludf.DUMMYFUNCTION("""COMPUTED_VALUE"""),"https://www.facebook.com/salvie.maris.5")</f>
        <v>https://www.facebook.com/salvie.maris.5</v>
      </c>
      <c r="B2704" s="1" t="str">
        <f ca="1">IFERROR(__xludf.DUMMYFUNCTION("""COMPUTED_VALUE"""),"Salvie M. Del Monte")</f>
        <v>Salvie M. Del Monte</v>
      </c>
      <c r="C2704" s="1" t="str">
        <f ca="1">IFERROR(__xludf.DUMMYFUNCTION("""COMPUTED_VALUE"""),"Salvie")</f>
        <v>Salvie</v>
      </c>
      <c r="D2704" s="1" t="str">
        <f ca="1">IFERROR(__xludf.DUMMYFUNCTION("""COMPUTED_VALUE"""),"M. Del Monte")</f>
        <v>M. Del Monte</v>
      </c>
      <c r="E2704" s="1" t="str">
        <f ca="1">IFERROR(__xludf.DUMMYFUNCTION("""COMPUTED_VALUE"""),"Solid mayor isko moreno domagoso God always wth u and ur fmly Laban lng God first from dubai forever 🙏🙏🙏🙏😘😍😍☝️☝️☝️☝️☝️")</f>
        <v>Solid mayor isko moreno domagoso God always wth u and ur fmly Laban lng God first from dubai forever 🙏🙏🙏🙏😘😍😍☝️☝️☝️☝️☝️</v>
      </c>
      <c r="F2704" s="1"/>
      <c r="G2704" s="1" t="str">
        <f ca="1">IFERROR(__xludf.DUMMYFUNCTION("""COMPUTED_VALUE"""),"3 mos")</f>
        <v>3 mos</v>
      </c>
      <c r="H2704" s="1" t="str">
        <f ca="1">IFERROR(__xludf.DUMMYFUNCTION("""COMPUTED_VALUE"""),"comment")</f>
        <v>comment</v>
      </c>
      <c r="I2704" s="2" t="str">
        <f ca="1">IFERROR(__xludf.DUMMYFUNCTION("""COMPUTED_VALUE"""),"https://www.facebook.com/watch/live/?ref=watch_permalink&amp;v=312865720941798")</f>
        <v>https://www.facebook.com/watch/live/?ref=watch_permalink&amp;v=312865720941798</v>
      </c>
      <c r="J2704" s="1" t="str">
        <f ca="1">IFERROR(__xludf.DUMMYFUNCTION("""COMPUTED_VALUE"""),"2022-07-04T15:52:23.932Z")</f>
        <v>2022-07-04T15:52:23.932Z</v>
      </c>
    </row>
    <row r="2705" spans="1:10" x14ac:dyDescent="0.2">
      <c r="A2705" s="2" t="str">
        <f ca="1">IFERROR(__xludf.DUMMYFUNCTION("""COMPUTED_VALUE"""),"https://www.facebook.com/profile.php?id=100007850237098")</f>
        <v>https://www.facebook.com/profile.php?id=100007850237098</v>
      </c>
      <c r="B2705" s="1" t="str">
        <f ca="1">IFERROR(__xludf.DUMMYFUNCTION("""COMPUTED_VALUE"""),"Tonirose Buensuceso")</f>
        <v>Tonirose Buensuceso</v>
      </c>
      <c r="C2705" s="1" t="str">
        <f ca="1">IFERROR(__xludf.DUMMYFUNCTION("""COMPUTED_VALUE"""),"Tonirose")</f>
        <v>Tonirose</v>
      </c>
      <c r="D2705" s="1" t="str">
        <f ca="1">IFERROR(__xludf.DUMMYFUNCTION("""COMPUTED_VALUE"""),"Buensuceso")</f>
        <v>Buensuceso</v>
      </c>
      <c r="E2705" s="1" t="str">
        <f ca="1">IFERROR(__xludf.DUMMYFUNCTION("""COMPUTED_VALUE"""),"Sinasalubong lang naman cla ng Bulkan Taal., wag kayo ganyan., Isko Moreno is good., senyalis yan ng Tagumpay ni Isko 🙏🙏🙏😇😇😇💙💙💙👆👆👆")</f>
        <v>Sinasalubong lang naman cla ng Bulkan Taal., wag kayo ganyan., Isko Moreno is good., senyalis yan ng Tagumpay ni Isko 🙏🙏🙏😇😇😇💙💙💙👆👆👆</v>
      </c>
      <c r="F2705" s="1"/>
      <c r="G2705" s="1" t="str">
        <f ca="1">IFERROR(__xludf.DUMMYFUNCTION("""COMPUTED_VALUE"""),"3 mos")</f>
        <v>3 mos</v>
      </c>
      <c r="H2705" s="1" t="str">
        <f ca="1">IFERROR(__xludf.DUMMYFUNCTION("""COMPUTED_VALUE"""),"comment")</f>
        <v>comment</v>
      </c>
      <c r="I2705" s="2" t="str">
        <f ca="1">IFERROR(__xludf.DUMMYFUNCTION("""COMPUTED_VALUE"""),"https://www.facebook.com/watch/live/?ref=watch_permalink&amp;v=312865720941798")</f>
        <v>https://www.facebook.com/watch/live/?ref=watch_permalink&amp;v=312865720941798</v>
      </c>
      <c r="J2705" s="1" t="str">
        <f ca="1">IFERROR(__xludf.DUMMYFUNCTION("""COMPUTED_VALUE"""),"2022-07-04T15:52:23.933Z")</f>
        <v>2022-07-04T15:52:23.933Z</v>
      </c>
    </row>
    <row r="2706" spans="1:10" x14ac:dyDescent="0.2">
      <c r="A2706" s="2" t="str">
        <f ca="1">IFERROR(__xludf.DUMMYFUNCTION("""COMPUTED_VALUE"""),"https://www.facebook.com/emskie.parreno")</f>
        <v>https://www.facebook.com/emskie.parreno</v>
      </c>
      <c r="B2706" s="1" t="str">
        <f ca="1">IFERROR(__xludf.DUMMYFUNCTION("""COMPUTED_VALUE"""),"Emskie Cabayao Parreño")</f>
        <v>Emskie Cabayao Parreño</v>
      </c>
      <c r="C2706" s="1" t="str">
        <f ca="1">IFERROR(__xludf.DUMMYFUNCTION("""COMPUTED_VALUE"""),"Emskie")</f>
        <v>Emskie</v>
      </c>
      <c r="D2706" s="1" t="str">
        <f ca="1">IFERROR(__xludf.DUMMYFUNCTION("""COMPUTED_VALUE"""),"Cabayao Parreño")</f>
        <v>Cabayao Parreño</v>
      </c>
      <c r="E2706" s="1" t="str">
        <f ca="1">IFERROR(__xludf.DUMMYFUNCTION("""COMPUTED_VALUE"""),"Pilipinas switch to isko for president ☝️💪💪☝️")</f>
        <v>Pilipinas switch to isko for president ☝️💪💪☝️</v>
      </c>
      <c r="F2706" s="1">
        <f ca="1">IFERROR(__xludf.DUMMYFUNCTION("""COMPUTED_VALUE"""),3)</f>
        <v>3</v>
      </c>
      <c r="G2706" s="1" t="str">
        <f ca="1">IFERROR(__xludf.DUMMYFUNCTION("""COMPUTED_VALUE"""),"3 mos")</f>
        <v>3 mos</v>
      </c>
      <c r="H2706" s="1" t="str">
        <f ca="1">IFERROR(__xludf.DUMMYFUNCTION("""COMPUTED_VALUE"""),"comment")</f>
        <v>comment</v>
      </c>
      <c r="I2706" s="2" t="str">
        <f ca="1">IFERROR(__xludf.DUMMYFUNCTION("""COMPUTED_VALUE"""),"https://www.facebook.com/watch/live/?ref=watch_permalink&amp;v=312865720941798")</f>
        <v>https://www.facebook.com/watch/live/?ref=watch_permalink&amp;v=312865720941798</v>
      </c>
      <c r="J2706" s="1" t="str">
        <f ca="1">IFERROR(__xludf.DUMMYFUNCTION("""COMPUTED_VALUE"""),"2022-07-04T15:52:23.933Z")</f>
        <v>2022-07-04T15:52:23.933Z</v>
      </c>
    </row>
    <row r="2707" spans="1:10" x14ac:dyDescent="0.2">
      <c r="A2707" s="2" t="str">
        <f ca="1">IFERROR(__xludf.DUMMYFUNCTION("""COMPUTED_VALUE"""),"https://www.facebook.com/profile.php?id=100079668216766")</f>
        <v>https://www.facebook.com/profile.php?id=100079668216766</v>
      </c>
      <c r="B2707" s="1" t="str">
        <f ca="1">IFERROR(__xludf.DUMMYFUNCTION("""COMPUTED_VALUE"""),"Brent Krueger")</f>
        <v>Brent Krueger</v>
      </c>
      <c r="C2707" s="1" t="str">
        <f ca="1">IFERROR(__xludf.DUMMYFUNCTION("""COMPUTED_VALUE"""),"Brent")</f>
        <v>Brent</v>
      </c>
      <c r="D2707" s="1" t="str">
        <f ca="1">IFERROR(__xludf.DUMMYFUNCTION("""COMPUTED_VALUE"""),"Krueger")</f>
        <v>Krueger</v>
      </c>
      <c r="E2707" s="1" t="str">
        <f ca="1">IFERROR(__xludf.DUMMYFUNCTION("""COMPUTED_VALUE"""),"Emskie Cabayao Parreño yes kuya! perfect! #letlenilead")</f>
        <v>Emskie Cabayao Parreño yes kuya! perfect! #letlenilead</v>
      </c>
      <c r="F2707" s="1"/>
      <c r="G2707" s="1" t="str">
        <f ca="1">IFERROR(__xludf.DUMMYFUNCTION("""COMPUTED_VALUE"""),"3 mos")</f>
        <v>3 mos</v>
      </c>
      <c r="H2707" s="1" t="str">
        <f ca="1">IFERROR(__xludf.DUMMYFUNCTION("""COMPUTED_VALUE"""),"reply")</f>
        <v>reply</v>
      </c>
      <c r="I2707" s="2" t="str">
        <f ca="1">IFERROR(__xludf.DUMMYFUNCTION("""COMPUTED_VALUE"""),"https://www.facebook.com/watch/live/?ref=watch_permalink&amp;v=312865720941798")</f>
        <v>https://www.facebook.com/watch/live/?ref=watch_permalink&amp;v=312865720941798</v>
      </c>
      <c r="J2707" s="1" t="str">
        <f ca="1">IFERROR(__xludf.DUMMYFUNCTION("""COMPUTED_VALUE"""),"2022-07-04T15:52:23.933Z")</f>
        <v>2022-07-04T15:52:23.933Z</v>
      </c>
    </row>
    <row r="2708" spans="1:10" x14ac:dyDescent="0.2">
      <c r="A2708" s="2" t="str">
        <f ca="1">IFERROR(__xludf.DUMMYFUNCTION("""COMPUTED_VALUE"""),"https://www.facebook.com/rhexiesolita")</f>
        <v>https://www.facebook.com/rhexiesolita</v>
      </c>
      <c r="B2708" s="1" t="str">
        <f ca="1">IFERROR(__xludf.DUMMYFUNCTION("""COMPUTED_VALUE"""),"Rhexie Solita Oandasan")</f>
        <v>Rhexie Solita Oandasan</v>
      </c>
      <c r="C2708" s="1" t="str">
        <f ca="1">IFERROR(__xludf.DUMMYFUNCTION("""COMPUTED_VALUE"""),"Rhexie")</f>
        <v>Rhexie</v>
      </c>
      <c r="D2708" s="1" t="str">
        <f ca="1">IFERROR(__xludf.DUMMYFUNCTION("""COMPUTED_VALUE"""),"Solita Oandasan")</f>
        <v>Solita Oandasan</v>
      </c>
      <c r="E2708" s="1" t="str">
        <f ca="1">IFERROR(__xludf.DUMMYFUNCTION("""COMPUTED_VALUE"""),"God bless 🙏😇 Team Isko 💙 Doc Willie Ong 😍 Ingat ☝️☝️☝️")</f>
        <v>God bless 🙏😇 Team Isko 💙 Doc Willie Ong 😍 Ingat ☝️☝️☝️</v>
      </c>
      <c r="F2708" s="1"/>
      <c r="G2708" s="1" t="str">
        <f ca="1">IFERROR(__xludf.DUMMYFUNCTION("""COMPUTED_VALUE"""),"3 mos")</f>
        <v>3 mos</v>
      </c>
      <c r="H2708" s="1" t="str">
        <f ca="1">IFERROR(__xludf.DUMMYFUNCTION("""COMPUTED_VALUE"""),"comment")</f>
        <v>comment</v>
      </c>
      <c r="I2708" s="2" t="str">
        <f ca="1">IFERROR(__xludf.DUMMYFUNCTION("""COMPUTED_VALUE"""),"https://www.facebook.com/watch/live/?ref=watch_permalink&amp;v=312865720941798")</f>
        <v>https://www.facebook.com/watch/live/?ref=watch_permalink&amp;v=312865720941798</v>
      </c>
      <c r="J2708" s="1" t="str">
        <f ca="1">IFERROR(__xludf.DUMMYFUNCTION("""COMPUTED_VALUE"""),"2022-07-04T15:52:23.933Z")</f>
        <v>2022-07-04T15:52:23.933Z</v>
      </c>
    </row>
    <row r="2709" spans="1:10" x14ac:dyDescent="0.2">
      <c r="A2709" s="2" t="str">
        <f ca="1">IFERROR(__xludf.DUMMYFUNCTION("""COMPUTED_VALUE"""),"https://www.facebook.com/profile.php?id=100069901764842")</f>
        <v>https://www.facebook.com/profile.php?id=100069901764842</v>
      </c>
      <c r="B2709" s="1" t="str">
        <f ca="1">IFERROR(__xludf.DUMMYFUNCTION("""COMPUTED_VALUE"""),"Ronarose Fajardo")</f>
        <v>Ronarose Fajardo</v>
      </c>
      <c r="C2709" s="1" t="str">
        <f ca="1">IFERROR(__xludf.DUMMYFUNCTION("""COMPUTED_VALUE"""),"Ronarose")</f>
        <v>Ronarose</v>
      </c>
      <c r="D2709" s="1" t="str">
        <f ca="1">IFERROR(__xludf.DUMMYFUNCTION("""COMPUTED_VALUE"""),"Fajardo")</f>
        <v>Fajardo</v>
      </c>
      <c r="E2709" s="1" t="str">
        <f ca="1">IFERROR(__xludf.DUMMYFUNCTION("""COMPUTED_VALUE"""),"Si iskoy,magaling mang,uto sa mahihirap,pero sa mga negosyanteng mga bilyonaryo sya ang inuuto syempre malaki bigayan.")</f>
        <v>Si iskoy,magaling mang,uto sa mahihirap,pero sa mga negosyanteng mga bilyonaryo sya ang inuuto syempre malaki bigayan.</v>
      </c>
      <c r="F2709" s="1">
        <f ca="1">IFERROR(__xludf.DUMMYFUNCTION("""COMPUTED_VALUE"""),1)</f>
        <v>1</v>
      </c>
      <c r="G2709" s="1" t="str">
        <f ca="1">IFERROR(__xludf.DUMMYFUNCTION("""COMPUTED_VALUE"""),"3 mos")</f>
        <v>3 mos</v>
      </c>
      <c r="H2709" s="1" t="str">
        <f ca="1">IFERROR(__xludf.DUMMYFUNCTION("""COMPUTED_VALUE"""),"comment")</f>
        <v>comment</v>
      </c>
      <c r="I2709" s="2" t="str">
        <f ca="1">IFERROR(__xludf.DUMMYFUNCTION("""COMPUTED_VALUE"""),"https://www.facebook.com/watch/live/?ref=watch_permalink&amp;v=312865720941798")</f>
        <v>https://www.facebook.com/watch/live/?ref=watch_permalink&amp;v=312865720941798</v>
      </c>
      <c r="J2709" s="1" t="str">
        <f ca="1">IFERROR(__xludf.DUMMYFUNCTION("""COMPUTED_VALUE"""),"2022-07-04T15:52:23.933Z")</f>
        <v>2022-07-04T15:52:23.933Z</v>
      </c>
    </row>
    <row r="2710" spans="1:10" x14ac:dyDescent="0.2">
      <c r="A2710" s="2" t="str">
        <f ca="1">IFERROR(__xludf.DUMMYFUNCTION("""COMPUTED_VALUE"""),"https://www.facebook.com/marinaalejandre.enriquez")</f>
        <v>https://www.facebook.com/marinaalejandre.enriquez</v>
      </c>
      <c r="B2710" s="1" t="str">
        <f ca="1">IFERROR(__xludf.DUMMYFUNCTION("""COMPUTED_VALUE"""),"Maria Asuncion Enriquez Buenaflor")</f>
        <v>Maria Asuncion Enriquez Buenaflor</v>
      </c>
      <c r="C2710" s="1" t="str">
        <f ca="1">IFERROR(__xludf.DUMMYFUNCTION("""COMPUTED_VALUE"""),"Maria")</f>
        <v>Maria</v>
      </c>
      <c r="D2710" s="1" t="str">
        <f ca="1">IFERROR(__xludf.DUMMYFUNCTION("""COMPUTED_VALUE"""),"Asuncion Enriquez Buenaflor")</f>
        <v>Asuncion Enriquez Buenaflor</v>
      </c>
      <c r="E2710" s="1" t="str">
        <f ca="1">IFERROR(__xludf.DUMMYFUNCTION("""COMPUTED_VALUE"""),"Wala na ang usok ng bulkan ganyan lang lagi ang bulkan natin mabait si Lord sa ating Batanguino. ✌️🙏")</f>
        <v>Wala na ang usok ng bulkan ganyan lang lagi ang bulkan natin mabait si Lord sa ating Batanguino. ✌️🙏</v>
      </c>
      <c r="F2710" s="1"/>
      <c r="G2710" s="1" t="str">
        <f ca="1">IFERROR(__xludf.DUMMYFUNCTION("""COMPUTED_VALUE"""),"3 mos")</f>
        <v>3 mos</v>
      </c>
      <c r="H2710" s="1" t="str">
        <f ca="1">IFERROR(__xludf.DUMMYFUNCTION("""COMPUTED_VALUE"""),"comment")</f>
        <v>comment</v>
      </c>
      <c r="I2710" s="2" t="str">
        <f ca="1">IFERROR(__xludf.DUMMYFUNCTION("""COMPUTED_VALUE"""),"https://www.facebook.com/watch/live/?ref=watch_permalink&amp;v=312865720941798")</f>
        <v>https://www.facebook.com/watch/live/?ref=watch_permalink&amp;v=312865720941798</v>
      </c>
      <c r="J2710" s="1" t="str">
        <f ca="1">IFERROR(__xludf.DUMMYFUNCTION("""COMPUTED_VALUE"""),"2022-07-04T15:52:23.933Z")</f>
        <v>2022-07-04T15:52:23.933Z</v>
      </c>
    </row>
    <row r="2711" spans="1:10" x14ac:dyDescent="0.2">
      <c r="A2711" s="2" t="str">
        <f ca="1">IFERROR(__xludf.DUMMYFUNCTION("""COMPUTED_VALUE"""),"https://www.facebook.com/karen.enriquez.144181")</f>
        <v>https://www.facebook.com/karen.enriquez.144181</v>
      </c>
      <c r="B2711" s="1" t="str">
        <f ca="1">IFERROR(__xludf.DUMMYFUNCTION("""COMPUTED_VALUE"""),"Karen Enriquez")</f>
        <v>Karen Enriquez</v>
      </c>
      <c r="C2711" s="1" t="str">
        <f ca="1">IFERROR(__xludf.DUMMYFUNCTION("""COMPUTED_VALUE"""),"Karen")</f>
        <v>Karen</v>
      </c>
      <c r="D2711" s="1" t="str">
        <f ca="1">IFERROR(__xludf.DUMMYFUNCTION("""COMPUTED_VALUE"""),"Enriquez")</f>
        <v>Enriquez</v>
      </c>
      <c r="E2711" s="1" t="str">
        <f ca="1">IFERROR(__xludf.DUMMYFUNCTION("""COMPUTED_VALUE"""),"Walang pakialam sa pagsabog ng bulkan e .pulitika pdin inuuna")</f>
        <v>Walang pakialam sa pagsabog ng bulkan e .pulitika pdin inuuna</v>
      </c>
      <c r="F2711" s="1"/>
      <c r="G2711" s="1" t="str">
        <f ca="1">IFERROR(__xludf.DUMMYFUNCTION("""COMPUTED_VALUE"""),"3 mos")</f>
        <v>3 mos</v>
      </c>
      <c r="H2711" s="1" t="str">
        <f ca="1">IFERROR(__xludf.DUMMYFUNCTION("""COMPUTED_VALUE"""),"comment")</f>
        <v>comment</v>
      </c>
      <c r="I2711" s="2" t="str">
        <f ca="1">IFERROR(__xludf.DUMMYFUNCTION("""COMPUTED_VALUE"""),"https://www.facebook.com/watch/live/?ref=watch_permalink&amp;v=312865720941798")</f>
        <v>https://www.facebook.com/watch/live/?ref=watch_permalink&amp;v=312865720941798</v>
      </c>
      <c r="J2711" s="1" t="str">
        <f ca="1">IFERROR(__xludf.DUMMYFUNCTION("""COMPUTED_VALUE"""),"2022-07-04T15:52:23.933Z")</f>
        <v>2022-07-04T15:52:23.933Z</v>
      </c>
    </row>
    <row r="2712" spans="1:10" x14ac:dyDescent="0.2">
      <c r="A2712" s="2" t="str">
        <f ca="1">IFERROR(__xludf.DUMMYFUNCTION("""COMPUTED_VALUE"""),"https://www.facebook.com/jones.davis.1884")</f>
        <v>https://www.facebook.com/jones.davis.1884</v>
      </c>
      <c r="B2712" s="1" t="str">
        <f ca="1">IFERROR(__xludf.DUMMYFUNCTION("""COMPUTED_VALUE"""),"Jones Davis")</f>
        <v>Jones Davis</v>
      </c>
      <c r="C2712" s="1" t="str">
        <f ca="1">IFERROR(__xludf.DUMMYFUNCTION("""COMPUTED_VALUE"""),"Jones")</f>
        <v>Jones</v>
      </c>
      <c r="D2712" s="1" t="str">
        <f ca="1">IFERROR(__xludf.DUMMYFUNCTION("""COMPUTED_VALUE"""),"Davis")</f>
        <v>Davis</v>
      </c>
      <c r="E2712" s="1" t="str">
        <f ca="1">IFERROR(__xludf.DUMMYFUNCTION("""COMPUTED_VALUE"""),"Hello")</f>
        <v>Hello</v>
      </c>
      <c r="F2712" s="1"/>
      <c r="G2712" s="1" t="str">
        <f ca="1">IFERROR(__xludf.DUMMYFUNCTION("""COMPUTED_VALUE"""),"3 mos")</f>
        <v>3 mos</v>
      </c>
      <c r="H2712" s="1" t="str">
        <f ca="1">IFERROR(__xludf.DUMMYFUNCTION("""COMPUTED_VALUE"""),"reply")</f>
        <v>reply</v>
      </c>
      <c r="I2712" s="2" t="str">
        <f ca="1">IFERROR(__xludf.DUMMYFUNCTION("""COMPUTED_VALUE"""),"https://www.facebook.com/watch/live/?ref=watch_permalink&amp;v=312865720941798")</f>
        <v>https://www.facebook.com/watch/live/?ref=watch_permalink&amp;v=312865720941798</v>
      </c>
      <c r="J2712" s="1" t="str">
        <f ca="1">IFERROR(__xludf.DUMMYFUNCTION("""COMPUTED_VALUE"""),"2022-07-04T15:52:23.933Z")</f>
        <v>2022-07-04T15:52:23.933Z</v>
      </c>
    </row>
    <row r="2713" spans="1:10" x14ac:dyDescent="0.2">
      <c r="A2713" s="2" t="str">
        <f ca="1">IFERROR(__xludf.DUMMYFUNCTION("""COMPUTED_VALUE"""),"https://www.facebook.com/TachieBillano")</f>
        <v>https://www.facebook.com/TachieBillano</v>
      </c>
      <c r="B2713" s="1" t="str">
        <f ca="1">IFERROR(__xludf.DUMMYFUNCTION("""COMPUTED_VALUE"""),"Tachie Billano")</f>
        <v>Tachie Billano</v>
      </c>
      <c r="C2713" s="1" t="str">
        <f ca="1">IFERROR(__xludf.DUMMYFUNCTION("""COMPUTED_VALUE"""),"Tachie")</f>
        <v>Tachie</v>
      </c>
      <c r="D2713" s="1" t="str">
        <f ca="1">IFERROR(__xludf.DUMMYFUNCTION("""COMPUTED_VALUE"""),"Billano")</f>
        <v>Billano</v>
      </c>
      <c r="E2713" s="1" t="str">
        <f ca="1">IFERROR(__xludf.DUMMYFUNCTION("""COMPUTED_VALUE"""),"Heads up, guys: ingat lang kayo riyan at alert level 3 ang Bulkang Taal. Ibig sabihin ay maaring bumuga po iyan ng abo sa susunod na 24-48 hours. Baka kailangang maghanda.")</f>
        <v>Heads up, guys: ingat lang kayo riyan at alert level 3 ang Bulkang Taal. Ibig sabihin ay maaring bumuga po iyan ng abo sa susunod na 24-48 hours. Baka kailangang maghanda.</v>
      </c>
      <c r="F2713" s="1"/>
      <c r="G2713" s="1" t="str">
        <f ca="1">IFERROR(__xludf.DUMMYFUNCTION("""COMPUTED_VALUE"""),"3 mos")</f>
        <v>3 mos</v>
      </c>
      <c r="H2713" s="1" t="str">
        <f ca="1">IFERROR(__xludf.DUMMYFUNCTION("""COMPUTED_VALUE"""),"comment")</f>
        <v>comment</v>
      </c>
      <c r="I2713" s="2" t="str">
        <f ca="1">IFERROR(__xludf.DUMMYFUNCTION("""COMPUTED_VALUE"""),"https://www.facebook.com/watch/live/?ref=watch_permalink&amp;v=312865720941798")</f>
        <v>https://www.facebook.com/watch/live/?ref=watch_permalink&amp;v=312865720941798</v>
      </c>
      <c r="J2713" s="1" t="str">
        <f ca="1">IFERROR(__xludf.DUMMYFUNCTION("""COMPUTED_VALUE"""),"2022-07-04T15:52:23.933Z")</f>
        <v>2022-07-04T15:52:23.933Z</v>
      </c>
    </row>
    <row r="2714" spans="1:10" x14ac:dyDescent="0.2">
      <c r="A2714" s="2" t="str">
        <f ca="1">IFERROR(__xludf.DUMMYFUNCTION("""COMPUTED_VALUE"""),"https://www.facebook.com/darryl.francisco123166")</f>
        <v>https://www.facebook.com/darryl.francisco123166</v>
      </c>
      <c r="B2714" s="1" t="str">
        <f ca="1">IFERROR(__xludf.DUMMYFUNCTION("""COMPUTED_VALUE"""),"Darryl Francisco")</f>
        <v>Darryl Francisco</v>
      </c>
      <c r="C2714" s="1" t="str">
        <f ca="1">IFERROR(__xludf.DUMMYFUNCTION("""COMPUTED_VALUE"""),"Darryl")</f>
        <v>Darryl</v>
      </c>
      <c r="D2714" s="1" t="str">
        <f ca="1">IFERROR(__xludf.DUMMYFUNCTION("""COMPUTED_VALUE"""),"Francisco")</f>
        <v>Francisco</v>
      </c>
      <c r="E2714" s="1" t="str">
        <f ca="1">IFERROR(__xludf.DUMMYFUNCTION("""COMPUTED_VALUE"""),"Samira at this point, is a lost cause.")</f>
        <v>Samira at this point, is a lost cause.</v>
      </c>
      <c r="F2714" s="1">
        <f ca="1">IFERROR(__xludf.DUMMYFUNCTION("""COMPUTED_VALUE"""),1)</f>
        <v>1</v>
      </c>
      <c r="G2714" s="1" t="str">
        <f ca="1">IFERROR(__xludf.DUMMYFUNCTION("""COMPUTED_VALUE"""),"3 mos")</f>
        <v>3 mos</v>
      </c>
      <c r="H2714" s="1" t="str">
        <f ca="1">IFERROR(__xludf.DUMMYFUNCTION("""COMPUTED_VALUE"""),"comment")</f>
        <v>comment</v>
      </c>
      <c r="I2714" s="2" t="str">
        <f ca="1">IFERROR(__xludf.DUMMYFUNCTION("""COMPUTED_VALUE"""),"https://www.facebook.com/watch/live/?ref=watch_permalink&amp;v=312865720941798")</f>
        <v>https://www.facebook.com/watch/live/?ref=watch_permalink&amp;v=312865720941798</v>
      </c>
      <c r="J2714" s="1" t="str">
        <f ca="1">IFERROR(__xludf.DUMMYFUNCTION("""COMPUTED_VALUE"""),"2022-07-04T15:52:23.933Z")</f>
        <v>2022-07-04T15:52:23.933Z</v>
      </c>
    </row>
    <row r="2715" spans="1:10" x14ac:dyDescent="0.2">
      <c r="A2715" s="2" t="str">
        <f ca="1">IFERROR(__xludf.DUMMYFUNCTION("""COMPUTED_VALUE"""),"https://www.facebook.com/rosemarie.anzures")</f>
        <v>https://www.facebook.com/rosemarie.anzures</v>
      </c>
      <c r="B2715" s="1" t="str">
        <f ca="1">IFERROR(__xludf.DUMMYFUNCTION("""COMPUTED_VALUE"""),"Rosemarie Sibonga Anzures")</f>
        <v>Rosemarie Sibonga Anzures</v>
      </c>
      <c r="C2715" s="1" t="str">
        <f ca="1">IFERROR(__xludf.DUMMYFUNCTION("""COMPUTED_VALUE"""),"Rosemarie")</f>
        <v>Rosemarie</v>
      </c>
      <c r="D2715" s="1" t="str">
        <f ca="1">IFERROR(__xludf.DUMMYFUNCTION("""COMPUTED_VALUE"""),"Sibonga Anzures")</f>
        <v>Sibonga Anzures</v>
      </c>
      <c r="E2715" s="1" t="str">
        <f ca="1">IFERROR(__xludf.DUMMYFUNCTION("""COMPUTED_VALUE"""),"Pilipinas ipanalo natin si mayor isko para presidente God first 🙏🙏☝️☝️☝️💙🤍💙")</f>
        <v>Pilipinas ipanalo natin si mayor isko para presidente God first 🙏🙏☝️☝️☝️💙🤍💙</v>
      </c>
      <c r="F2715" s="1"/>
      <c r="G2715" s="1" t="str">
        <f ca="1">IFERROR(__xludf.DUMMYFUNCTION("""COMPUTED_VALUE"""),"3 mos")</f>
        <v>3 mos</v>
      </c>
      <c r="H2715" s="1" t="str">
        <f ca="1">IFERROR(__xludf.DUMMYFUNCTION("""COMPUTED_VALUE"""),"comment")</f>
        <v>comment</v>
      </c>
      <c r="I2715" s="2" t="str">
        <f ca="1">IFERROR(__xludf.DUMMYFUNCTION("""COMPUTED_VALUE"""),"https://www.facebook.com/watch/live/?ref=watch_permalink&amp;v=312865720941798")</f>
        <v>https://www.facebook.com/watch/live/?ref=watch_permalink&amp;v=312865720941798</v>
      </c>
      <c r="J2715" s="1" t="str">
        <f ca="1">IFERROR(__xludf.DUMMYFUNCTION("""COMPUTED_VALUE"""),"2022-07-04T15:52:23.933Z")</f>
        <v>2022-07-04T15:52:23.933Z</v>
      </c>
    </row>
    <row r="2716" spans="1:10" x14ac:dyDescent="0.2">
      <c r="A2716" s="2" t="str">
        <f ca="1">IFERROR(__xludf.DUMMYFUNCTION("""COMPUTED_VALUE"""),"https://www.facebook.com/profile.php?id=100069901764842")</f>
        <v>https://www.facebook.com/profile.php?id=100069901764842</v>
      </c>
      <c r="B2716" s="1" t="str">
        <f ca="1">IFERROR(__xludf.DUMMYFUNCTION("""COMPUTED_VALUE"""),"Ronarose Fajardo")</f>
        <v>Ronarose Fajardo</v>
      </c>
      <c r="C2716" s="1" t="str">
        <f ca="1">IFERROR(__xludf.DUMMYFUNCTION("""COMPUTED_VALUE"""),"Ronarose")</f>
        <v>Ronarose</v>
      </c>
      <c r="D2716" s="1" t="str">
        <f ca="1">IFERROR(__xludf.DUMMYFUNCTION("""COMPUTED_VALUE"""),"Fajardo")</f>
        <v>Fajardo</v>
      </c>
      <c r="E2716" s="1" t="str">
        <f ca="1">IFERROR(__xludf.DUMMYFUNCTION("""COMPUTED_VALUE"""),"Ingit daw ano sama kami kay boy tuso boy benta,kng pano nya tuklawin si erap.")</f>
        <v>Ingit daw ano sama kami kay boy tuso boy benta,kng pano nya tuklawin si erap.</v>
      </c>
      <c r="F2716" s="1"/>
      <c r="G2716" s="1" t="str">
        <f ca="1">IFERROR(__xludf.DUMMYFUNCTION("""COMPUTED_VALUE"""),"3 mos")</f>
        <v>3 mos</v>
      </c>
      <c r="H2716" s="1" t="str">
        <f ca="1">IFERROR(__xludf.DUMMYFUNCTION("""COMPUTED_VALUE"""),"comment")</f>
        <v>comment</v>
      </c>
      <c r="I2716" s="2" t="str">
        <f ca="1">IFERROR(__xludf.DUMMYFUNCTION("""COMPUTED_VALUE"""),"https://www.facebook.com/watch/live/?ref=watch_permalink&amp;v=312865720941798")</f>
        <v>https://www.facebook.com/watch/live/?ref=watch_permalink&amp;v=312865720941798</v>
      </c>
      <c r="J2716" s="1" t="str">
        <f ca="1">IFERROR(__xludf.DUMMYFUNCTION("""COMPUTED_VALUE"""),"2022-07-04T15:52:23.933Z")</f>
        <v>2022-07-04T15:52:23.933Z</v>
      </c>
    </row>
    <row r="2717" spans="1:10" x14ac:dyDescent="0.2">
      <c r="A2717" s="2" t="str">
        <f ca="1">IFERROR(__xludf.DUMMYFUNCTION("""COMPUTED_VALUE"""),"https://www.facebook.com/profile.php?id=100069901764842")</f>
        <v>https://www.facebook.com/profile.php?id=100069901764842</v>
      </c>
      <c r="B2717" s="1" t="str">
        <f ca="1">IFERROR(__xludf.DUMMYFUNCTION("""COMPUTED_VALUE"""),"Ronarose Fajardo")</f>
        <v>Ronarose Fajardo</v>
      </c>
      <c r="C2717" s="1" t="str">
        <f ca="1">IFERROR(__xludf.DUMMYFUNCTION("""COMPUTED_VALUE"""),"Ronarose")</f>
        <v>Ronarose</v>
      </c>
      <c r="D2717" s="1" t="str">
        <f ca="1">IFERROR(__xludf.DUMMYFUNCTION("""COMPUTED_VALUE"""),"Fajardo")</f>
        <v>Fajardo</v>
      </c>
      <c r="E2717" s="1" t="str">
        <f ca="1">IFERROR(__xludf.DUMMYFUNCTION("""COMPUTED_VALUE"""),"Solohin nyo isko,nyo si boy tuso,benta,kayo,nyan.")</f>
        <v>Solohin nyo isko,nyo si boy tuso,benta,kayo,nyan.</v>
      </c>
      <c r="F2717" s="1"/>
      <c r="G2717" s="1" t="str">
        <f ca="1">IFERROR(__xludf.DUMMYFUNCTION("""COMPUTED_VALUE"""),"3 mos")</f>
        <v>3 mos</v>
      </c>
      <c r="H2717" s="1" t="str">
        <f ca="1">IFERROR(__xludf.DUMMYFUNCTION("""COMPUTED_VALUE"""),"comment")</f>
        <v>comment</v>
      </c>
      <c r="I2717" s="2" t="str">
        <f ca="1">IFERROR(__xludf.DUMMYFUNCTION("""COMPUTED_VALUE"""),"https://www.facebook.com/watch/live/?ref=watch_permalink&amp;v=312865720941798")</f>
        <v>https://www.facebook.com/watch/live/?ref=watch_permalink&amp;v=312865720941798</v>
      </c>
      <c r="J2717" s="1" t="str">
        <f ca="1">IFERROR(__xludf.DUMMYFUNCTION("""COMPUTED_VALUE"""),"2022-07-04T15:52:23.933Z")</f>
        <v>2022-07-04T15:52:23.933Z</v>
      </c>
    </row>
    <row r="2718" spans="1:10" x14ac:dyDescent="0.2">
      <c r="A2718" s="2" t="str">
        <f ca="1">IFERROR(__xludf.DUMMYFUNCTION("""COMPUTED_VALUE"""),"https://www.facebook.com/angelcried")</f>
        <v>https://www.facebook.com/angelcried</v>
      </c>
      <c r="B2718" s="1" t="str">
        <f ca="1">IFERROR(__xludf.DUMMYFUNCTION("""COMPUTED_VALUE"""),"Jayson Anglo Abello")</f>
        <v>Jayson Anglo Abello</v>
      </c>
      <c r="C2718" s="1" t="str">
        <f ca="1">IFERROR(__xludf.DUMMYFUNCTION("""COMPUTED_VALUE"""),"Jayson")</f>
        <v>Jayson</v>
      </c>
      <c r="D2718" s="1" t="str">
        <f ca="1">IFERROR(__xludf.DUMMYFUNCTION("""COMPUTED_VALUE"""),"Anglo Abello")</f>
        <v>Anglo Abello</v>
      </c>
      <c r="E2718" s="1" t="str">
        <f ca="1">IFERROR(__xludf.DUMMYFUNCTION("""COMPUTED_VALUE"""),"for sale mayor isko moreno bwahahahah")</f>
        <v>for sale mayor isko moreno bwahahahah</v>
      </c>
      <c r="F2718" s="1"/>
      <c r="G2718" s="1" t="str">
        <f ca="1">IFERROR(__xludf.DUMMYFUNCTION("""COMPUTED_VALUE"""),"3 mos")</f>
        <v>3 mos</v>
      </c>
      <c r="H2718" s="1" t="str">
        <f ca="1">IFERROR(__xludf.DUMMYFUNCTION("""COMPUTED_VALUE"""),"comment")</f>
        <v>comment</v>
      </c>
      <c r="I2718" s="2" t="str">
        <f ca="1">IFERROR(__xludf.DUMMYFUNCTION("""COMPUTED_VALUE"""),"https://www.facebook.com/watch/live/?ref=watch_permalink&amp;v=312865720941798")</f>
        <v>https://www.facebook.com/watch/live/?ref=watch_permalink&amp;v=312865720941798</v>
      </c>
      <c r="J2718" s="1" t="str">
        <f ca="1">IFERROR(__xludf.DUMMYFUNCTION("""COMPUTED_VALUE"""),"2022-07-04T15:52:23.934Z")</f>
        <v>2022-07-04T15:52:23.934Z</v>
      </c>
    </row>
    <row r="2719" spans="1:10" x14ac:dyDescent="0.2">
      <c r="A2719" s="2" t="str">
        <f ca="1">IFERROR(__xludf.DUMMYFUNCTION("""COMPUTED_VALUE"""),"https://www.facebook.com/catalina.biticon.12")</f>
        <v>https://www.facebook.com/catalina.biticon.12</v>
      </c>
      <c r="B2719" s="1" t="str">
        <f ca="1">IFERROR(__xludf.DUMMYFUNCTION("""COMPUTED_VALUE"""),"Catalina Biticon")</f>
        <v>Catalina Biticon</v>
      </c>
      <c r="C2719" s="1" t="str">
        <f ca="1">IFERROR(__xludf.DUMMYFUNCTION("""COMPUTED_VALUE"""),"Catalina")</f>
        <v>Catalina</v>
      </c>
      <c r="D2719" s="1" t="str">
        <f ca="1">IFERROR(__xludf.DUMMYFUNCTION("""COMPUTED_VALUE"""),"Biticon")</f>
        <v>Biticon</v>
      </c>
      <c r="E2719" s="1" t="str">
        <f ca="1">IFERROR(__xludf.DUMMYFUNCTION("""COMPUTED_VALUE"""),"D mo ba alam na gagawing ilang storey Ang gagawin d Naman binenta Ang palengke  pagagawan nga pra maraming vendors Ang makapagtunda")</f>
        <v>D mo ba alam na gagawing ilang storey Ang gagawin d Naman binenta Ang palengke  pagagawan nga pra maraming vendors Ang makapagtunda</v>
      </c>
      <c r="F2719" s="1"/>
      <c r="G2719" s="1" t="str">
        <f ca="1">IFERROR(__xludf.DUMMYFUNCTION("""COMPUTED_VALUE"""),"3 mos")</f>
        <v>3 mos</v>
      </c>
      <c r="H2719" s="1" t="str">
        <f ca="1">IFERROR(__xludf.DUMMYFUNCTION("""COMPUTED_VALUE"""),"reply")</f>
        <v>reply</v>
      </c>
      <c r="I2719" s="2" t="str">
        <f ca="1">IFERROR(__xludf.DUMMYFUNCTION("""COMPUTED_VALUE"""),"https://www.facebook.com/watch/live/?ref=watch_permalink&amp;v=312865720941798")</f>
        <v>https://www.facebook.com/watch/live/?ref=watch_permalink&amp;v=312865720941798</v>
      </c>
      <c r="J2719" s="1" t="str">
        <f ca="1">IFERROR(__xludf.DUMMYFUNCTION("""COMPUTED_VALUE"""),"2022-07-04T15:52:23.934Z")</f>
        <v>2022-07-04T15:52:23.934Z</v>
      </c>
    </row>
    <row r="2720" spans="1:10" x14ac:dyDescent="0.2">
      <c r="A2720" s="2" t="str">
        <f ca="1">IFERROR(__xludf.DUMMYFUNCTION("""COMPUTED_VALUE"""),"https://www.facebook.com/jasper.aravi")</f>
        <v>https://www.facebook.com/jasper.aravi</v>
      </c>
      <c r="B2720" s="1" t="str">
        <f ca="1">IFERROR(__xludf.DUMMYFUNCTION("""COMPUTED_VALUE"""),"Jasper Aravi")</f>
        <v>Jasper Aravi</v>
      </c>
      <c r="C2720" s="1" t="str">
        <f ca="1">IFERROR(__xludf.DUMMYFUNCTION("""COMPUTED_VALUE"""),"Jasper")</f>
        <v>Jasper</v>
      </c>
      <c r="D2720" s="1" t="str">
        <f ca="1">IFERROR(__xludf.DUMMYFUNCTION("""COMPUTED_VALUE"""),"Aravi")</f>
        <v>Aravi</v>
      </c>
      <c r="E2720" s="1" t="str">
        <f ca="1">IFERROR(__xludf.DUMMYFUNCTION("""COMPUTED_VALUE"""),"Senator ralph pakitanung nga kay isko bakit galit  na galit sa kanya mga kababayan namin deto sa devisoria at sa mga taga santa crus")</f>
        <v>Senator ralph pakitanung nga kay isko bakit galit  na galit sa kanya mga kababayan namin deto sa devisoria at sa mga taga santa crus</v>
      </c>
      <c r="F2720" s="1"/>
      <c r="G2720" s="1" t="str">
        <f ca="1">IFERROR(__xludf.DUMMYFUNCTION("""COMPUTED_VALUE"""),"3 mos")</f>
        <v>3 mos</v>
      </c>
      <c r="H2720" s="1" t="str">
        <f ca="1">IFERROR(__xludf.DUMMYFUNCTION("""COMPUTED_VALUE"""),"comment")</f>
        <v>comment</v>
      </c>
      <c r="I2720" s="2" t="str">
        <f ca="1">IFERROR(__xludf.DUMMYFUNCTION("""COMPUTED_VALUE"""),"https://www.facebook.com/watch/live/?ref=watch_permalink&amp;v=312865720941798")</f>
        <v>https://www.facebook.com/watch/live/?ref=watch_permalink&amp;v=312865720941798</v>
      </c>
      <c r="J2720" s="1" t="str">
        <f ca="1">IFERROR(__xludf.DUMMYFUNCTION("""COMPUTED_VALUE"""),"2022-07-04T15:52:23.934Z")</f>
        <v>2022-07-04T15:52:23.934Z</v>
      </c>
    </row>
    <row r="2721" spans="1:10" x14ac:dyDescent="0.2">
      <c r="A2721" s="2" t="str">
        <f ca="1">IFERROR(__xludf.DUMMYFUNCTION("""COMPUTED_VALUE"""),"https://www.facebook.com/arnel.atienza.984")</f>
        <v>https://www.facebook.com/arnel.atienza.984</v>
      </c>
      <c r="B2721" s="1" t="str">
        <f ca="1">IFERROR(__xludf.DUMMYFUNCTION("""COMPUTED_VALUE"""),"Atienza Bong")</f>
        <v>Atienza Bong</v>
      </c>
      <c r="C2721" s="1" t="str">
        <f ca="1">IFERROR(__xludf.DUMMYFUNCTION("""COMPUTED_VALUE"""),"Atienza")</f>
        <v>Atienza</v>
      </c>
      <c r="D2721" s="1" t="str">
        <f ca="1">IFERROR(__xludf.DUMMYFUNCTION("""COMPUTED_VALUE"""),"Bong")</f>
        <v>Bong</v>
      </c>
      <c r="E2721" s="1" t="str">
        <f ca="1">IFERROR(__xludf.DUMMYFUNCTION("""COMPUTED_VALUE"""),"Ay husto ka na puro kayo satsat")</f>
        <v>Ay husto ka na puro kayo satsat</v>
      </c>
      <c r="F2721" s="1"/>
      <c r="G2721" s="1" t="str">
        <f ca="1">IFERROR(__xludf.DUMMYFUNCTION("""COMPUTED_VALUE"""),"3 mos")</f>
        <v>3 mos</v>
      </c>
      <c r="H2721" s="1" t="str">
        <f ca="1">IFERROR(__xludf.DUMMYFUNCTION("""COMPUTED_VALUE"""),"comment")</f>
        <v>comment</v>
      </c>
      <c r="I2721" s="2" t="str">
        <f ca="1">IFERROR(__xludf.DUMMYFUNCTION("""COMPUTED_VALUE"""),"https://www.facebook.com/watch/live/?ref=watch_permalink&amp;v=312865720941798")</f>
        <v>https://www.facebook.com/watch/live/?ref=watch_permalink&amp;v=312865720941798</v>
      </c>
      <c r="J2721" s="1" t="str">
        <f ca="1">IFERROR(__xludf.DUMMYFUNCTION("""COMPUTED_VALUE"""),"2022-07-04T15:52:23.934Z")</f>
        <v>2022-07-04T15:52:23.934Z</v>
      </c>
    </row>
    <row r="2722" spans="1:10" x14ac:dyDescent="0.2">
      <c r="A2722" s="2" t="str">
        <f ca="1">IFERROR(__xludf.DUMMYFUNCTION("""COMPUTED_VALUE"""),"https://www.facebook.com/profile.php?id=100002551512347")</f>
        <v>https://www.facebook.com/profile.php?id=100002551512347</v>
      </c>
      <c r="B2722" s="1" t="str">
        <f ca="1">IFERROR(__xludf.DUMMYFUNCTION("""COMPUTED_VALUE"""),"Virgilio Magno")</f>
        <v>Virgilio Magno</v>
      </c>
      <c r="C2722" s="1" t="str">
        <f ca="1">IFERROR(__xludf.DUMMYFUNCTION("""COMPUTED_VALUE"""),"Virgilio")</f>
        <v>Virgilio</v>
      </c>
      <c r="D2722" s="1" t="str">
        <f ca="1">IFERROR(__xludf.DUMMYFUNCTION("""COMPUTED_VALUE"""),"Magno")</f>
        <v>Magno</v>
      </c>
      <c r="E2722" s="1" t="str">
        <f ca="1">IFERROR(__xludf.DUMMYFUNCTION("""COMPUTED_VALUE"""),"Kahit pa botohan ka sa Batanggas di pa rin sapat para manalo, pero kung magkaisa lahat ng oposisyon, may laban pa...")</f>
        <v>Kahit pa botohan ka sa Batanggas di pa rin sapat para manalo, pero kung magkaisa lahat ng oposisyon, may laban pa...</v>
      </c>
      <c r="F2722" s="1"/>
      <c r="G2722" s="1" t="str">
        <f ca="1">IFERROR(__xludf.DUMMYFUNCTION("""COMPUTED_VALUE"""),"3 mos")</f>
        <v>3 mos</v>
      </c>
      <c r="H2722" s="1" t="str">
        <f ca="1">IFERROR(__xludf.DUMMYFUNCTION("""COMPUTED_VALUE"""),"comment")</f>
        <v>comment</v>
      </c>
      <c r="I2722" s="2" t="str">
        <f ca="1">IFERROR(__xludf.DUMMYFUNCTION("""COMPUTED_VALUE"""),"https://www.facebook.com/watch/live/?ref=watch_permalink&amp;v=312865720941798")</f>
        <v>https://www.facebook.com/watch/live/?ref=watch_permalink&amp;v=312865720941798</v>
      </c>
      <c r="J2722" s="1" t="str">
        <f ca="1">IFERROR(__xludf.DUMMYFUNCTION("""COMPUTED_VALUE"""),"2022-07-04T15:52:23.934Z")</f>
        <v>2022-07-04T15:52:23.934Z</v>
      </c>
    </row>
    <row r="2723" spans="1:10" x14ac:dyDescent="0.2">
      <c r="A2723" s="2" t="str">
        <f ca="1">IFERROR(__xludf.DUMMYFUNCTION("""COMPUTED_VALUE"""),"https://www.facebook.com/angelita.magnaye.39")</f>
        <v>https://www.facebook.com/angelita.magnaye.39</v>
      </c>
      <c r="B2723" s="1" t="str">
        <f ca="1">IFERROR(__xludf.DUMMYFUNCTION("""COMPUTED_VALUE"""),"Angelita Magnaye")</f>
        <v>Angelita Magnaye</v>
      </c>
      <c r="C2723" s="1" t="str">
        <f ca="1">IFERROR(__xludf.DUMMYFUNCTION("""COMPUTED_VALUE"""),"Angelita")</f>
        <v>Angelita</v>
      </c>
      <c r="D2723" s="1" t="str">
        <f ca="1">IFERROR(__xludf.DUMMYFUNCTION("""COMPUTED_VALUE"""),"Magnaye")</f>
        <v>Magnaye</v>
      </c>
      <c r="E2723" s="1" t="str">
        <f ca="1">IFERROR(__xludf.DUMMYFUNCTION("""COMPUTED_VALUE"""),"God first  Galit ung mga talonan SA yabang ni isko")</f>
        <v>God first  Galit ung mga talonan SA yabang ni isko</v>
      </c>
      <c r="F2723" s="1"/>
      <c r="G2723" s="1" t="str">
        <f ca="1">IFERROR(__xludf.DUMMYFUNCTION("""COMPUTED_VALUE"""),"3 mos")</f>
        <v>3 mos</v>
      </c>
      <c r="H2723" s="1" t="str">
        <f ca="1">IFERROR(__xludf.DUMMYFUNCTION("""COMPUTED_VALUE"""),"comment")</f>
        <v>comment</v>
      </c>
      <c r="I2723" s="2" t="str">
        <f ca="1">IFERROR(__xludf.DUMMYFUNCTION("""COMPUTED_VALUE"""),"https://www.facebook.com/watch/live/?ref=watch_permalink&amp;v=312865720941798")</f>
        <v>https://www.facebook.com/watch/live/?ref=watch_permalink&amp;v=312865720941798</v>
      </c>
      <c r="J2723" s="1" t="str">
        <f ca="1">IFERROR(__xludf.DUMMYFUNCTION("""COMPUTED_VALUE"""),"2022-07-04T15:52:23.934Z")</f>
        <v>2022-07-04T15:52:23.934Z</v>
      </c>
    </row>
    <row r="2724" spans="1:10" x14ac:dyDescent="0.2">
      <c r="A2724" s="2" t="str">
        <f ca="1">IFERROR(__xludf.DUMMYFUNCTION("""COMPUTED_VALUE"""),"https://www.facebook.com/profile.php?id=100070842512295")</f>
        <v>https://www.facebook.com/profile.php?id=100070842512295</v>
      </c>
      <c r="B2724" s="1" t="str">
        <f ca="1">IFERROR(__xludf.DUMMYFUNCTION("""COMPUTED_VALUE"""),"Hamida Sali")</f>
        <v>Hamida Sali</v>
      </c>
      <c r="C2724" s="1" t="str">
        <f ca="1">IFERROR(__xludf.DUMMYFUNCTION("""COMPUTED_VALUE"""),"Hamida")</f>
        <v>Hamida</v>
      </c>
      <c r="D2724" s="1" t="str">
        <f ca="1">IFERROR(__xludf.DUMMYFUNCTION("""COMPUTED_VALUE"""),"Sali")</f>
        <v>Sali</v>
      </c>
      <c r="E2724" s="1" t="str">
        <f ca="1">IFERROR(__xludf.DUMMYFUNCTION("""COMPUTED_VALUE"""),"Hhh    senyales ngglit ung  bulcan  taal s knya ky binenta niya ung divisoria  kya  yn ng pphiwatig    n  ng alboroto")</f>
        <v>Hhh    senyales ngglit ung  bulcan  taal s knya ky binenta niya ung divisoria  kya  yn ng pphiwatig    n  ng alboroto</v>
      </c>
      <c r="F2724" s="1"/>
      <c r="G2724" s="1" t="str">
        <f ca="1">IFERROR(__xludf.DUMMYFUNCTION("""COMPUTED_VALUE"""),"3 mos")</f>
        <v>3 mos</v>
      </c>
      <c r="H2724" s="1" t="str">
        <f ca="1">IFERROR(__xludf.DUMMYFUNCTION("""COMPUTED_VALUE"""),"comment")</f>
        <v>comment</v>
      </c>
      <c r="I2724" s="2" t="str">
        <f ca="1">IFERROR(__xludf.DUMMYFUNCTION("""COMPUTED_VALUE"""),"https://www.facebook.com/watch/live/?ref=watch_permalink&amp;v=312865720941798")</f>
        <v>https://www.facebook.com/watch/live/?ref=watch_permalink&amp;v=312865720941798</v>
      </c>
      <c r="J2724" s="1" t="str">
        <f ca="1">IFERROR(__xludf.DUMMYFUNCTION("""COMPUTED_VALUE"""),"2022-07-04T15:52:23.934Z")</f>
        <v>2022-07-04T15:52:23.934Z</v>
      </c>
    </row>
    <row r="2725" spans="1:10" x14ac:dyDescent="0.2">
      <c r="A2725" s="2" t="str">
        <f ca="1">IFERROR(__xludf.DUMMYFUNCTION("""COMPUTED_VALUE"""),"https://www.facebook.com/cynthia.estrada.393950")</f>
        <v>https://www.facebook.com/cynthia.estrada.393950</v>
      </c>
      <c r="B2725" s="1" t="str">
        <f ca="1">IFERROR(__xludf.DUMMYFUNCTION("""COMPUTED_VALUE"""),"Cynthia Estrada")</f>
        <v>Cynthia Estrada</v>
      </c>
      <c r="C2725" s="1" t="str">
        <f ca="1">IFERROR(__xludf.DUMMYFUNCTION("""COMPUTED_VALUE"""),"Cynthia")</f>
        <v>Cynthia</v>
      </c>
      <c r="D2725" s="1" t="str">
        <f ca="1">IFERROR(__xludf.DUMMYFUNCTION("""COMPUTED_VALUE"""),"Estrada")</f>
        <v>Estrada</v>
      </c>
      <c r="E2725" s="1" t="str">
        <f ca="1">IFERROR(__xludf.DUMMYFUNCTION("""COMPUTED_VALUE"""),"Sasabog na taal!!!")</f>
        <v>Sasabog na taal!!!</v>
      </c>
      <c r="F2725" s="1"/>
      <c r="G2725" s="1" t="str">
        <f ca="1">IFERROR(__xludf.DUMMYFUNCTION("""COMPUTED_VALUE"""),"3 mos")</f>
        <v>3 mos</v>
      </c>
      <c r="H2725" s="1" t="str">
        <f ca="1">IFERROR(__xludf.DUMMYFUNCTION("""COMPUTED_VALUE"""),"comment")</f>
        <v>comment</v>
      </c>
      <c r="I2725" s="2" t="str">
        <f ca="1">IFERROR(__xludf.DUMMYFUNCTION("""COMPUTED_VALUE"""),"https://www.facebook.com/watch/live/?ref=watch_permalink&amp;v=312865720941798")</f>
        <v>https://www.facebook.com/watch/live/?ref=watch_permalink&amp;v=312865720941798</v>
      </c>
      <c r="J2725" s="1" t="str">
        <f ca="1">IFERROR(__xludf.DUMMYFUNCTION("""COMPUTED_VALUE"""),"2022-07-04T15:52:23.934Z")</f>
        <v>2022-07-04T15:52:23.934Z</v>
      </c>
    </row>
    <row r="2726" spans="1:10" x14ac:dyDescent="0.2">
      <c r="A2726" s="2" t="str">
        <f ca="1">IFERROR(__xludf.DUMMYFUNCTION("""COMPUTED_VALUE"""),"https://www.facebook.com/Big.Jon.Royal")</f>
        <v>https://www.facebook.com/Big.Jon.Royal</v>
      </c>
      <c r="B2726" s="1" t="str">
        <f ca="1">IFERROR(__xludf.DUMMYFUNCTION("""COMPUTED_VALUE"""),"Don Gorio")</f>
        <v>Don Gorio</v>
      </c>
      <c r="C2726" s="1" t="str">
        <f ca="1">IFERROR(__xludf.DUMMYFUNCTION("""COMPUTED_VALUE"""),"Don")</f>
        <v>Don</v>
      </c>
      <c r="D2726" s="1" t="str">
        <f ca="1">IFERROR(__xludf.DUMMYFUNCTION("""COMPUTED_VALUE"""),"Gorio")</f>
        <v>Gorio</v>
      </c>
      <c r="E2726" s="1" t="str">
        <f ca="1">IFERROR(__xludf.DUMMYFUNCTION("""COMPUTED_VALUE"""),"Brod Ralph Recto cannot let go of his vape, hehe.. no more Marlboro Mediums tol? Hehe..")</f>
        <v>Brod Ralph Recto cannot let go of his vape, hehe.. no more Marlboro Mediums tol? Hehe..</v>
      </c>
      <c r="F2726" s="1"/>
      <c r="G2726" s="1" t="str">
        <f ca="1">IFERROR(__xludf.DUMMYFUNCTION("""COMPUTED_VALUE"""),"3 mos")</f>
        <v>3 mos</v>
      </c>
      <c r="H2726" s="1" t="str">
        <f ca="1">IFERROR(__xludf.DUMMYFUNCTION("""COMPUTED_VALUE"""),"comment")</f>
        <v>comment</v>
      </c>
      <c r="I2726" s="2" t="str">
        <f ca="1">IFERROR(__xludf.DUMMYFUNCTION("""COMPUTED_VALUE"""),"https://www.facebook.com/watch/live/?ref=watch_permalink&amp;v=312865720941798")</f>
        <v>https://www.facebook.com/watch/live/?ref=watch_permalink&amp;v=312865720941798</v>
      </c>
      <c r="J2726" s="1" t="str">
        <f ca="1">IFERROR(__xludf.DUMMYFUNCTION("""COMPUTED_VALUE"""),"2022-07-04T15:52:23.934Z")</f>
        <v>2022-07-04T15:52:23.934Z</v>
      </c>
    </row>
    <row r="2727" spans="1:10" x14ac:dyDescent="0.2">
      <c r="A2727" s="2" t="str">
        <f ca="1">IFERROR(__xludf.DUMMYFUNCTION("""COMPUTED_VALUE"""),"https://www.facebook.com/arvin.palomar")</f>
        <v>https://www.facebook.com/arvin.palomar</v>
      </c>
      <c r="B2727" s="1" t="str">
        <f ca="1">IFERROR(__xludf.DUMMYFUNCTION("""COMPUTED_VALUE"""),"Arvin Vincent Palomar")</f>
        <v>Arvin Vincent Palomar</v>
      </c>
      <c r="C2727" s="1" t="str">
        <f ca="1">IFERROR(__xludf.DUMMYFUNCTION("""COMPUTED_VALUE"""),"Arvin")</f>
        <v>Arvin</v>
      </c>
      <c r="D2727" s="1" t="str">
        <f ca="1">IFERROR(__xludf.DUMMYFUNCTION("""COMPUTED_VALUE"""),"Vincent Palomar")</f>
        <v>Vincent Palomar</v>
      </c>
      <c r="E2727" s="1" t="str">
        <f ca="1">IFERROR(__xludf.DUMMYFUNCTION("""COMPUTED_VALUE"""),"Habol lang ISKOmisyon sa proyekto.")</f>
        <v>Habol lang ISKOmisyon sa proyekto.</v>
      </c>
      <c r="F2727" s="1"/>
      <c r="G2727" s="1" t="str">
        <f ca="1">IFERROR(__xludf.DUMMYFUNCTION("""COMPUTED_VALUE"""),"3 mos")</f>
        <v>3 mos</v>
      </c>
      <c r="H2727" s="1" t="str">
        <f ca="1">IFERROR(__xludf.DUMMYFUNCTION("""COMPUTED_VALUE"""),"comment")</f>
        <v>comment</v>
      </c>
      <c r="I2727" s="2" t="str">
        <f ca="1">IFERROR(__xludf.DUMMYFUNCTION("""COMPUTED_VALUE"""),"https://www.facebook.com/watch/live/?ref=watch_permalink&amp;v=312865720941798")</f>
        <v>https://www.facebook.com/watch/live/?ref=watch_permalink&amp;v=312865720941798</v>
      </c>
      <c r="J2727" s="1" t="str">
        <f ca="1">IFERROR(__xludf.DUMMYFUNCTION("""COMPUTED_VALUE"""),"2022-07-04T15:52:23.934Z")</f>
        <v>2022-07-04T15:52:23.934Z</v>
      </c>
    </row>
    <row r="2728" spans="1:10" x14ac:dyDescent="0.2">
      <c r="A2728" s="2" t="str">
        <f ca="1">IFERROR(__xludf.DUMMYFUNCTION("""COMPUTED_VALUE"""),"https://www.facebook.com/gnilojake2")</f>
        <v>https://www.facebook.com/gnilojake2</v>
      </c>
      <c r="B2728" s="1" t="str">
        <f ca="1">IFERROR(__xludf.DUMMYFUNCTION("""COMPUTED_VALUE"""),"Carmelito Gnilo")</f>
        <v>Carmelito Gnilo</v>
      </c>
      <c r="C2728" s="1" t="str">
        <f ca="1">IFERROR(__xludf.DUMMYFUNCTION("""COMPUTED_VALUE"""),"Carmelito")</f>
        <v>Carmelito</v>
      </c>
      <c r="D2728" s="1" t="str">
        <f ca="1">IFERROR(__xludf.DUMMYFUNCTION("""COMPUTED_VALUE"""),"Gnilo")</f>
        <v>Gnilo</v>
      </c>
      <c r="E2728" s="1" t="str">
        <f ca="1">IFERROR(__xludf.DUMMYFUNCTION("""COMPUTED_VALUE"""),"Kanya sasabog  na ang taal, dahil nagsanib sina Recto at Isko. Hahaha.")</f>
        <v>Kanya sasabog  na ang taal, dahil nagsanib sina Recto at Isko. Hahaha.</v>
      </c>
      <c r="F2728" s="1"/>
      <c r="G2728" s="1" t="str">
        <f ca="1">IFERROR(__xludf.DUMMYFUNCTION("""COMPUTED_VALUE"""),"3 mos")</f>
        <v>3 mos</v>
      </c>
      <c r="H2728" s="1" t="str">
        <f ca="1">IFERROR(__xludf.DUMMYFUNCTION("""COMPUTED_VALUE"""),"comment")</f>
        <v>comment</v>
      </c>
      <c r="I2728" s="2" t="str">
        <f ca="1">IFERROR(__xludf.DUMMYFUNCTION("""COMPUTED_VALUE"""),"https://www.facebook.com/watch/live/?ref=watch_permalink&amp;v=312865720941798")</f>
        <v>https://www.facebook.com/watch/live/?ref=watch_permalink&amp;v=312865720941798</v>
      </c>
      <c r="J2728" s="1" t="str">
        <f ca="1">IFERROR(__xludf.DUMMYFUNCTION("""COMPUTED_VALUE"""),"2022-07-04T15:52:23.934Z")</f>
        <v>2022-07-04T15:52:23.934Z</v>
      </c>
    </row>
    <row r="2729" spans="1:10" x14ac:dyDescent="0.2">
      <c r="A2729" s="2" t="str">
        <f ca="1">IFERROR(__xludf.DUMMYFUNCTION("""COMPUTED_VALUE"""),"https://www.facebook.com/wilfredo.perez.581")</f>
        <v>https://www.facebook.com/wilfredo.perez.581</v>
      </c>
      <c r="B2729" s="1" t="str">
        <f ca="1">IFERROR(__xludf.DUMMYFUNCTION("""COMPUTED_VALUE"""),"Wilfredo Perez")</f>
        <v>Wilfredo Perez</v>
      </c>
      <c r="C2729" s="1" t="str">
        <f ca="1">IFERROR(__xludf.DUMMYFUNCTION("""COMPUTED_VALUE"""),"Wilfredo")</f>
        <v>Wilfredo</v>
      </c>
      <c r="D2729" s="1" t="str">
        <f ca="1">IFERROR(__xludf.DUMMYFUNCTION("""COMPUTED_VALUE"""),"Perez")</f>
        <v>Perez</v>
      </c>
      <c r="E2729" s="1" t="str">
        <f ca="1">IFERROR(__xludf.DUMMYFUNCTION("""COMPUTED_VALUE"""),"Kaya yata pumuskat ang taal nariyan si isko🤣🤣🤣")</f>
        <v>Kaya yata pumuskat ang taal nariyan si isko🤣🤣🤣</v>
      </c>
      <c r="F2729" s="1"/>
      <c r="G2729" s="1" t="str">
        <f ca="1">IFERROR(__xludf.DUMMYFUNCTION("""COMPUTED_VALUE"""),"3 mos")</f>
        <v>3 mos</v>
      </c>
      <c r="H2729" s="1" t="str">
        <f ca="1">IFERROR(__xludf.DUMMYFUNCTION("""COMPUTED_VALUE"""),"comment")</f>
        <v>comment</v>
      </c>
      <c r="I2729" s="2" t="str">
        <f ca="1">IFERROR(__xludf.DUMMYFUNCTION("""COMPUTED_VALUE"""),"https://www.facebook.com/watch/live/?ref=watch_permalink&amp;v=312865720941798")</f>
        <v>https://www.facebook.com/watch/live/?ref=watch_permalink&amp;v=312865720941798</v>
      </c>
      <c r="J2729" s="1" t="str">
        <f ca="1">IFERROR(__xludf.DUMMYFUNCTION("""COMPUTED_VALUE"""),"2022-07-04T15:52:23.934Z")</f>
        <v>2022-07-04T15:52:23.934Z</v>
      </c>
    </row>
    <row r="2730" spans="1:10" x14ac:dyDescent="0.2">
      <c r="A2730" s="2" t="str">
        <f ca="1">IFERROR(__xludf.DUMMYFUNCTION("""COMPUTED_VALUE"""),"https://www.facebook.com/zuno.silang")</f>
        <v>https://www.facebook.com/zuno.silang</v>
      </c>
      <c r="B2730" s="1" t="str">
        <f ca="1">IFERROR(__xludf.DUMMYFUNCTION("""COMPUTED_VALUE"""),"Zuno Silang")</f>
        <v>Zuno Silang</v>
      </c>
      <c r="C2730" s="1" t="str">
        <f ca="1">IFERROR(__xludf.DUMMYFUNCTION("""COMPUTED_VALUE"""),"Zuno")</f>
        <v>Zuno</v>
      </c>
      <c r="D2730" s="1" t="str">
        <f ca="1">IFERROR(__xludf.DUMMYFUNCTION("""COMPUTED_VALUE"""),"Silang")</f>
        <v>Silang</v>
      </c>
      <c r="E2730" s="1" t="str">
        <f ca="1">IFERROR(__xludf.DUMMYFUNCTION("""COMPUTED_VALUE"""),"Wilfredo Perez di sumasang ayon ang kalikasan 💗")</f>
        <v>Wilfredo Perez di sumasang ayon ang kalikasan 💗</v>
      </c>
      <c r="F2730" s="1"/>
      <c r="G2730" s="1" t="str">
        <f ca="1">IFERROR(__xludf.DUMMYFUNCTION("""COMPUTED_VALUE"""),"3 mos")</f>
        <v>3 mos</v>
      </c>
      <c r="H2730" s="1" t="str">
        <f ca="1">IFERROR(__xludf.DUMMYFUNCTION("""COMPUTED_VALUE"""),"reply")</f>
        <v>reply</v>
      </c>
      <c r="I2730" s="2" t="str">
        <f ca="1">IFERROR(__xludf.DUMMYFUNCTION("""COMPUTED_VALUE"""),"https://www.facebook.com/watch/live/?ref=watch_permalink&amp;v=312865720941798")</f>
        <v>https://www.facebook.com/watch/live/?ref=watch_permalink&amp;v=312865720941798</v>
      </c>
      <c r="J2730" s="1" t="str">
        <f ca="1">IFERROR(__xludf.DUMMYFUNCTION("""COMPUTED_VALUE"""),"2022-07-04T15:52:23.934Z")</f>
        <v>2022-07-04T15:52:23.934Z</v>
      </c>
    </row>
    <row r="2731" spans="1:10" x14ac:dyDescent="0.2">
      <c r="A2731" s="2" t="str">
        <f ca="1">IFERROR(__xludf.DUMMYFUNCTION("""COMPUTED_VALUE"""),"https://www.facebook.com/mar.salesinap")</f>
        <v>https://www.facebook.com/mar.salesinap</v>
      </c>
      <c r="B2731" s="1" t="str">
        <f ca="1">IFERROR(__xludf.DUMMYFUNCTION("""COMPUTED_VALUE"""),"Belmar Mateo Selasinap")</f>
        <v>Belmar Mateo Selasinap</v>
      </c>
      <c r="C2731" s="1" t="str">
        <f ca="1">IFERROR(__xludf.DUMMYFUNCTION("""COMPUTED_VALUE"""),"Belmar")</f>
        <v>Belmar</v>
      </c>
      <c r="D2731" s="1" t="str">
        <f ca="1">IFERROR(__xludf.DUMMYFUNCTION("""COMPUTED_VALUE"""),"Mateo Selasinap")</f>
        <v>Mateo Selasinap</v>
      </c>
      <c r="E2731" s="1" t="str">
        <f ca="1">IFERROR(__xludf.DUMMYFUNCTION("""COMPUTED_VALUE"""),"Inaantay ko yong magandang plataporma. Iwas sana siraan ng bawat isa dahil lumang style nayan")</f>
        <v>Inaantay ko yong magandang plataporma. Iwas sana siraan ng bawat isa dahil lumang style nayan</v>
      </c>
      <c r="F2731" s="1"/>
      <c r="G2731" s="1" t="str">
        <f ca="1">IFERROR(__xludf.DUMMYFUNCTION("""COMPUTED_VALUE"""),"3 mos")</f>
        <v>3 mos</v>
      </c>
      <c r="H2731" s="1" t="str">
        <f ca="1">IFERROR(__xludf.DUMMYFUNCTION("""COMPUTED_VALUE"""),"comment")</f>
        <v>comment</v>
      </c>
      <c r="I2731" s="2" t="str">
        <f ca="1">IFERROR(__xludf.DUMMYFUNCTION("""COMPUTED_VALUE"""),"https://www.facebook.com/watch/live/?ref=watch_permalink&amp;v=312865720941798")</f>
        <v>https://www.facebook.com/watch/live/?ref=watch_permalink&amp;v=312865720941798</v>
      </c>
      <c r="J2731" s="1" t="str">
        <f ca="1">IFERROR(__xludf.DUMMYFUNCTION("""COMPUTED_VALUE"""),"2022-07-04T15:52:23.934Z")</f>
        <v>2022-07-04T15:52:23.934Z</v>
      </c>
    </row>
    <row r="2732" spans="1:10" x14ac:dyDescent="0.2">
      <c r="A2732" s="2" t="str">
        <f ca="1">IFERROR(__xludf.DUMMYFUNCTION("""COMPUTED_VALUE"""),"https://www.facebook.com/profile.php?id=100074412862665")</f>
        <v>https://www.facebook.com/profile.php?id=100074412862665</v>
      </c>
      <c r="B2732" s="1" t="str">
        <f ca="1">IFERROR(__xludf.DUMMYFUNCTION("""COMPUTED_VALUE"""),"Alejandro Latayan")</f>
        <v>Alejandro Latayan</v>
      </c>
      <c r="C2732" s="1" t="str">
        <f ca="1">IFERROR(__xludf.DUMMYFUNCTION("""COMPUTED_VALUE"""),"Alejandro")</f>
        <v>Alejandro</v>
      </c>
      <c r="D2732" s="1" t="str">
        <f ca="1">IFERROR(__xludf.DUMMYFUNCTION("""COMPUTED_VALUE"""),"Latayan")</f>
        <v>Latayan</v>
      </c>
      <c r="E2732" s="1" t="str">
        <f ca="1">IFERROR(__xludf.DUMMYFUNCTION("""COMPUTED_VALUE"""),"kaya pala pumutok ang taal volcano andyan pala si isko pati volcan taal nagalit")</f>
        <v>kaya pala pumutok ang taal volcano andyan pala si isko pati volcan taal nagalit</v>
      </c>
      <c r="F2732" s="1"/>
      <c r="G2732" s="1" t="str">
        <f ca="1">IFERROR(__xludf.DUMMYFUNCTION("""COMPUTED_VALUE"""),"3 mos")</f>
        <v>3 mos</v>
      </c>
      <c r="H2732" s="1" t="str">
        <f ca="1">IFERROR(__xludf.DUMMYFUNCTION("""COMPUTED_VALUE"""),"comment")</f>
        <v>comment</v>
      </c>
      <c r="I2732" s="2" t="str">
        <f ca="1">IFERROR(__xludf.DUMMYFUNCTION("""COMPUTED_VALUE"""),"https://www.facebook.com/watch/live/?ref=watch_permalink&amp;v=312865720941798")</f>
        <v>https://www.facebook.com/watch/live/?ref=watch_permalink&amp;v=312865720941798</v>
      </c>
      <c r="J2732" s="1" t="str">
        <f ca="1">IFERROR(__xludf.DUMMYFUNCTION("""COMPUTED_VALUE"""),"2022-07-04T15:52:23.934Z")</f>
        <v>2022-07-04T15:52:23.934Z</v>
      </c>
    </row>
    <row r="2733" spans="1:10" x14ac:dyDescent="0.2">
      <c r="A2733" s="2" t="str">
        <f ca="1">IFERROR(__xludf.DUMMYFUNCTION("""COMPUTED_VALUE"""),"https://www.facebook.com/dante.vigo.56")</f>
        <v>https://www.facebook.com/dante.vigo.56</v>
      </c>
      <c r="B2733" s="1" t="str">
        <f ca="1">IFERROR(__xludf.DUMMYFUNCTION("""COMPUTED_VALUE"""),"Dante Vigo")</f>
        <v>Dante Vigo</v>
      </c>
      <c r="C2733" s="1" t="str">
        <f ca="1">IFERROR(__xludf.DUMMYFUNCTION("""COMPUTED_VALUE"""),"Dante")</f>
        <v>Dante</v>
      </c>
      <c r="D2733" s="1" t="str">
        <f ca="1">IFERROR(__xludf.DUMMYFUNCTION("""COMPUTED_VALUE"""),"Vigo")</f>
        <v>Vigo</v>
      </c>
      <c r="E2733" s="1" t="str">
        <f ca="1">IFERROR(__xludf.DUMMYFUNCTION("""COMPUTED_VALUE"""),"Bolero,naawa kayo sa amin")</f>
        <v>Bolero,naawa kayo sa amin</v>
      </c>
      <c r="F2733" s="1"/>
      <c r="G2733" s="1" t="str">
        <f ca="1">IFERROR(__xludf.DUMMYFUNCTION("""COMPUTED_VALUE"""),"3 mos")</f>
        <v>3 mos</v>
      </c>
      <c r="H2733" s="1" t="str">
        <f ca="1">IFERROR(__xludf.DUMMYFUNCTION("""COMPUTED_VALUE"""),"comment")</f>
        <v>comment</v>
      </c>
      <c r="I2733" s="2" t="str">
        <f ca="1">IFERROR(__xludf.DUMMYFUNCTION("""COMPUTED_VALUE"""),"https://www.facebook.com/watch/live/?ref=watch_permalink&amp;v=312865720941798")</f>
        <v>https://www.facebook.com/watch/live/?ref=watch_permalink&amp;v=312865720941798</v>
      </c>
      <c r="J2733" s="1" t="str">
        <f ca="1">IFERROR(__xludf.DUMMYFUNCTION("""COMPUTED_VALUE"""),"2022-07-04T15:52:23.934Z")</f>
        <v>2022-07-04T15:52:23.934Z</v>
      </c>
    </row>
    <row r="2734" spans="1:10" x14ac:dyDescent="0.2">
      <c r="A2734" s="2" t="str">
        <f ca="1">IFERROR(__xludf.DUMMYFUNCTION("""COMPUTED_VALUE"""),"https://www.facebook.com/patriusmark")</f>
        <v>https://www.facebook.com/patriusmark</v>
      </c>
      <c r="B2734" s="1" t="str">
        <f ca="1">IFERROR(__xludf.DUMMYFUNCTION("""COMPUTED_VALUE"""),"McCoy Carpio Casares")</f>
        <v>McCoy Carpio Casares</v>
      </c>
      <c r="C2734" s="1" t="str">
        <f ca="1">IFERROR(__xludf.DUMMYFUNCTION("""COMPUTED_VALUE"""),"McCoy")</f>
        <v>McCoy</v>
      </c>
      <c r="D2734" s="1" t="str">
        <f ca="1">IFERROR(__xludf.DUMMYFUNCTION("""COMPUTED_VALUE"""),"Carpio Casares")</f>
        <v>Carpio Casares</v>
      </c>
      <c r="E2734" s="1" t="str">
        <f ca="1">IFERROR(__xludf.DUMMYFUNCTION("""COMPUTED_VALUE"""),"#IskoDocWillie2022 #TunayNaSolusyonMabilisUmaksyon ☝️💙🇵🇭")</f>
        <v>#IskoDocWillie2022 #TunayNaSolusyonMabilisUmaksyon ☝️💙🇵🇭</v>
      </c>
      <c r="F2734" s="1">
        <f ca="1">IFERROR(__xludf.DUMMYFUNCTION("""COMPUTED_VALUE"""),1)</f>
        <v>1</v>
      </c>
      <c r="G2734" s="1" t="str">
        <f ca="1">IFERROR(__xludf.DUMMYFUNCTION("""COMPUTED_VALUE"""),"3 mos")</f>
        <v>3 mos</v>
      </c>
      <c r="H2734" s="1" t="str">
        <f ca="1">IFERROR(__xludf.DUMMYFUNCTION("""COMPUTED_VALUE"""),"comment")</f>
        <v>comment</v>
      </c>
      <c r="I2734" s="2" t="str">
        <f ca="1">IFERROR(__xludf.DUMMYFUNCTION("""COMPUTED_VALUE"""),"https://www.facebook.com/watch/live/?ref=watch_permalink&amp;v=312865720941798")</f>
        <v>https://www.facebook.com/watch/live/?ref=watch_permalink&amp;v=312865720941798</v>
      </c>
      <c r="J2734" s="1" t="str">
        <f ca="1">IFERROR(__xludf.DUMMYFUNCTION("""COMPUTED_VALUE"""),"2022-07-04T15:52:23.934Z")</f>
        <v>2022-07-04T15:52:23.934Z</v>
      </c>
    </row>
    <row r="2735" spans="1:10" x14ac:dyDescent="0.2">
      <c r="A2735" s="2" t="str">
        <f ca="1">IFERROR(__xludf.DUMMYFUNCTION("""COMPUTED_VALUE"""),"https://www.facebook.com/inmate041908")</f>
        <v>https://www.facebook.com/inmate041908</v>
      </c>
      <c r="B2735" s="1" t="str">
        <f ca="1">IFERROR(__xludf.DUMMYFUNCTION("""COMPUTED_VALUE"""),"Jaime Dela Cuesta")</f>
        <v>Jaime Dela Cuesta</v>
      </c>
      <c r="C2735" s="1" t="str">
        <f ca="1">IFERROR(__xludf.DUMMYFUNCTION("""COMPUTED_VALUE"""),"Jaime")</f>
        <v>Jaime</v>
      </c>
      <c r="D2735" s="1" t="str">
        <f ca="1">IFERROR(__xludf.DUMMYFUNCTION("""COMPUTED_VALUE"""),"Dela Cuesta")</f>
        <v>Dela Cuesta</v>
      </c>
      <c r="E2735" s="1" t="str">
        <f ca="1">IFERROR(__xludf.DUMMYFUNCTION("""COMPUTED_VALUE"""),"Mylene Raymundo")</f>
        <v>Mylene Raymundo</v>
      </c>
      <c r="F2735" s="1"/>
      <c r="G2735" s="1" t="str">
        <f ca="1">IFERROR(__xludf.DUMMYFUNCTION("""COMPUTED_VALUE"""),"3 mos")</f>
        <v>3 mos</v>
      </c>
      <c r="H2735" s="1" t="str">
        <f ca="1">IFERROR(__xludf.DUMMYFUNCTION("""COMPUTED_VALUE"""),"comment")</f>
        <v>comment</v>
      </c>
      <c r="I2735" s="2" t="str">
        <f ca="1">IFERROR(__xludf.DUMMYFUNCTION("""COMPUTED_VALUE"""),"https://www.facebook.com/watch/live/?ref=watch_permalink&amp;v=312865720941798")</f>
        <v>https://www.facebook.com/watch/live/?ref=watch_permalink&amp;v=312865720941798</v>
      </c>
      <c r="J2735" s="1" t="str">
        <f ca="1">IFERROR(__xludf.DUMMYFUNCTION("""COMPUTED_VALUE"""),"2022-07-04T15:52:23.935Z")</f>
        <v>2022-07-04T15:52:23.935Z</v>
      </c>
    </row>
    <row r="2736" spans="1:10" x14ac:dyDescent="0.2">
      <c r="A2736" s="2" t="str">
        <f ca="1">IFERROR(__xludf.DUMMYFUNCTION("""COMPUTED_VALUE"""),"https://www.facebook.com/inmate041908")</f>
        <v>https://www.facebook.com/inmate041908</v>
      </c>
      <c r="B2736" s="1" t="str">
        <f ca="1">IFERROR(__xludf.DUMMYFUNCTION("""COMPUTED_VALUE"""),"Jaime Dela Cuesta")</f>
        <v>Jaime Dela Cuesta</v>
      </c>
      <c r="C2736" s="1" t="str">
        <f ca="1">IFERROR(__xludf.DUMMYFUNCTION("""COMPUTED_VALUE"""),"Jaime")</f>
        <v>Jaime</v>
      </c>
      <c r="D2736" s="1" t="str">
        <f ca="1">IFERROR(__xludf.DUMMYFUNCTION("""COMPUTED_VALUE"""),"Dela Cuesta")</f>
        <v>Dela Cuesta</v>
      </c>
      <c r="E2736" s="1" t="str">
        <f ca="1">IFERROR(__xludf.DUMMYFUNCTION("""COMPUTED_VALUE"""),"Melvin Nicolas")</f>
        <v>Melvin Nicolas</v>
      </c>
      <c r="F2736" s="1"/>
      <c r="G2736" s="1" t="str">
        <f ca="1">IFERROR(__xludf.DUMMYFUNCTION("""COMPUTED_VALUE"""),"3 mos")</f>
        <v>3 mos</v>
      </c>
      <c r="H2736" s="1" t="str">
        <f ca="1">IFERROR(__xludf.DUMMYFUNCTION("""COMPUTED_VALUE"""),"comment")</f>
        <v>comment</v>
      </c>
      <c r="I2736" s="2" t="str">
        <f ca="1">IFERROR(__xludf.DUMMYFUNCTION("""COMPUTED_VALUE"""),"https://www.facebook.com/watch/live/?ref=watch_permalink&amp;v=312865720941798")</f>
        <v>https://www.facebook.com/watch/live/?ref=watch_permalink&amp;v=312865720941798</v>
      </c>
      <c r="J2736" s="1" t="str">
        <f ca="1">IFERROR(__xludf.DUMMYFUNCTION("""COMPUTED_VALUE"""),"2022-07-04T15:52:23.935Z")</f>
        <v>2022-07-04T15:52:23.935Z</v>
      </c>
    </row>
    <row r="2737" spans="1:10" x14ac:dyDescent="0.2">
      <c r="A2737" s="2" t="str">
        <f ca="1">IFERROR(__xludf.DUMMYFUNCTION("""COMPUTED_VALUE"""),"https://www.facebook.com/haniaalonto.orandang")</f>
        <v>https://www.facebook.com/haniaalonto.orandang</v>
      </c>
      <c r="B2737" s="1" t="str">
        <f ca="1">IFERROR(__xludf.DUMMYFUNCTION("""COMPUTED_VALUE"""),"Hania Ali Bansao")</f>
        <v>Hania Ali Bansao</v>
      </c>
      <c r="C2737" s="1" t="str">
        <f ca="1">IFERROR(__xludf.DUMMYFUNCTION("""COMPUTED_VALUE"""),"Hania")</f>
        <v>Hania</v>
      </c>
      <c r="D2737" s="1" t="str">
        <f ca="1">IFERROR(__xludf.DUMMYFUNCTION("""COMPUTED_VALUE"""),"Ali Bansao")</f>
        <v>Ali Bansao</v>
      </c>
      <c r="E2737" s="1" t="str">
        <f ca="1">IFERROR(__xludf.DUMMYFUNCTION("""COMPUTED_VALUE"""),"Hania Ali Bansao")</f>
        <v>Hania Ali Bansao</v>
      </c>
      <c r="F2737" s="1"/>
      <c r="G2737" s="1" t="str">
        <f ca="1">IFERROR(__xludf.DUMMYFUNCTION("""COMPUTED_VALUE"""),"3 mos")</f>
        <v>3 mos</v>
      </c>
      <c r="H2737" s="1" t="str">
        <f ca="1">IFERROR(__xludf.DUMMYFUNCTION("""COMPUTED_VALUE"""),"comment")</f>
        <v>comment</v>
      </c>
      <c r="I2737" s="2" t="str">
        <f ca="1">IFERROR(__xludf.DUMMYFUNCTION("""COMPUTED_VALUE"""),"https://www.facebook.com/watch/live/?ref=watch_permalink&amp;v=312865720941798")</f>
        <v>https://www.facebook.com/watch/live/?ref=watch_permalink&amp;v=312865720941798</v>
      </c>
      <c r="J2737" s="1" t="str">
        <f ca="1">IFERROR(__xludf.DUMMYFUNCTION("""COMPUTED_VALUE"""),"2022-07-04T15:52:23.935Z")</f>
        <v>2022-07-04T15:52:23.935Z</v>
      </c>
    </row>
    <row r="2738" spans="1:10" x14ac:dyDescent="0.2">
      <c r="A2738" s="2" t="str">
        <f ca="1">IFERROR(__xludf.DUMMYFUNCTION("""COMPUTED_VALUE"""),"https://www.facebook.com/haniaalonto.orandang")</f>
        <v>https://www.facebook.com/haniaalonto.orandang</v>
      </c>
      <c r="B2738" s="1" t="str">
        <f ca="1">IFERROR(__xludf.DUMMYFUNCTION("""COMPUTED_VALUE"""),"Hania Ali Bansao")</f>
        <v>Hania Ali Bansao</v>
      </c>
      <c r="C2738" s="1" t="str">
        <f ca="1">IFERROR(__xludf.DUMMYFUNCTION("""COMPUTED_VALUE"""),"Hania")</f>
        <v>Hania</v>
      </c>
      <c r="D2738" s="1" t="str">
        <f ca="1">IFERROR(__xludf.DUMMYFUNCTION("""COMPUTED_VALUE"""),"Ali Bansao")</f>
        <v>Ali Bansao</v>
      </c>
      <c r="E2738" s="1" t="str">
        <f ca="1">IFERROR(__xludf.DUMMYFUNCTION("""COMPUTED_VALUE"""),"☝️☝️☝️")</f>
        <v>☝️☝️☝️</v>
      </c>
      <c r="F2738" s="1"/>
      <c r="G2738" s="1" t="str">
        <f ca="1">IFERROR(__xludf.DUMMYFUNCTION("""COMPUTED_VALUE"""),"3 mos")</f>
        <v>3 mos</v>
      </c>
      <c r="H2738" s="1" t="str">
        <f ca="1">IFERROR(__xludf.DUMMYFUNCTION("""COMPUTED_VALUE"""),"comment")</f>
        <v>comment</v>
      </c>
      <c r="I2738" s="2" t="str">
        <f ca="1">IFERROR(__xludf.DUMMYFUNCTION("""COMPUTED_VALUE"""),"https://www.facebook.com/watch/live/?ref=watch_permalink&amp;v=312865720941798")</f>
        <v>https://www.facebook.com/watch/live/?ref=watch_permalink&amp;v=312865720941798</v>
      </c>
      <c r="J2738" s="1" t="str">
        <f ca="1">IFERROR(__xludf.DUMMYFUNCTION("""COMPUTED_VALUE"""),"2022-07-04T15:52:23.935Z")</f>
        <v>2022-07-04T15:52:23.935Z</v>
      </c>
    </row>
    <row r="2739" spans="1:10" x14ac:dyDescent="0.2">
      <c r="A2739" s="2" t="str">
        <f ca="1">IFERROR(__xludf.DUMMYFUNCTION("""COMPUTED_VALUE"""),"https://www.facebook.com/catalina.biticon.12")</f>
        <v>https://www.facebook.com/catalina.biticon.12</v>
      </c>
      <c r="B2739" s="1" t="str">
        <f ca="1">IFERROR(__xludf.DUMMYFUNCTION("""COMPUTED_VALUE"""),"Catalina Biticon")</f>
        <v>Catalina Biticon</v>
      </c>
      <c r="C2739" s="1" t="str">
        <f ca="1">IFERROR(__xludf.DUMMYFUNCTION("""COMPUTED_VALUE"""),"Catalina")</f>
        <v>Catalina</v>
      </c>
      <c r="D2739" s="1" t="str">
        <f ca="1">IFERROR(__xludf.DUMMYFUNCTION("""COMPUTED_VALUE"""),"Biticon")</f>
        <v>Biticon</v>
      </c>
      <c r="E2739" s="1" t="str">
        <f ca="1">IFERROR(__xludf.DUMMYFUNCTION("""COMPUTED_VALUE"""),"#godfirst")</f>
        <v>#godfirst</v>
      </c>
      <c r="F2739" s="1"/>
      <c r="G2739" s="1" t="str">
        <f ca="1">IFERROR(__xludf.DUMMYFUNCTION("""COMPUTED_VALUE"""),"3 mos")</f>
        <v>3 mos</v>
      </c>
      <c r="H2739" s="1" t="str">
        <f ca="1">IFERROR(__xludf.DUMMYFUNCTION("""COMPUTED_VALUE"""),"comment")</f>
        <v>comment</v>
      </c>
      <c r="I2739" s="2" t="str">
        <f ca="1">IFERROR(__xludf.DUMMYFUNCTION("""COMPUTED_VALUE"""),"https://www.facebook.com/watch/live/?ref=watch_permalink&amp;v=312865720941798")</f>
        <v>https://www.facebook.com/watch/live/?ref=watch_permalink&amp;v=312865720941798</v>
      </c>
      <c r="J2739" s="1" t="str">
        <f ca="1">IFERROR(__xludf.DUMMYFUNCTION("""COMPUTED_VALUE"""),"2022-07-04T15:52:23.935Z")</f>
        <v>2022-07-04T15:52:23.935Z</v>
      </c>
    </row>
    <row r="2740" spans="1:10" x14ac:dyDescent="0.2">
      <c r="A2740" s="2" t="str">
        <f ca="1">IFERROR(__xludf.DUMMYFUNCTION("""COMPUTED_VALUE"""),"https://www.facebook.com/wilhelmina.medrano.3")</f>
        <v>https://www.facebook.com/wilhelmina.medrano.3</v>
      </c>
      <c r="B2740" s="1" t="str">
        <f ca="1">IFERROR(__xludf.DUMMYFUNCTION("""COMPUTED_VALUE"""),"Wilhelmina Medrano")</f>
        <v>Wilhelmina Medrano</v>
      </c>
      <c r="C2740" s="1" t="str">
        <f ca="1">IFERROR(__xludf.DUMMYFUNCTION("""COMPUTED_VALUE"""),"Wilhelmina")</f>
        <v>Wilhelmina</v>
      </c>
      <c r="D2740" s="1" t="str">
        <f ca="1">IFERROR(__xludf.DUMMYFUNCTION("""COMPUTED_VALUE"""),"Medrano")</f>
        <v>Medrano</v>
      </c>
      <c r="E2740" s="1" t="str">
        <f ca="1">IFERROR(__xludf.DUMMYFUNCTION("""COMPUTED_VALUE"""),"Wilhelmina Medrano")</f>
        <v>Wilhelmina Medrano</v>
      </c>
      <c r="F2740" s="1"/>
      <c r="G2740" s="1" t="str">
        <f ca="1">IFERROR(__xludf.DUMMYFUNCTION("""COMPUTED_VALUE"""),"3 mos")</f>
        <v>3 mos</v>
      </c>
      <c r="H2740" s="1" t="str">
        <f ca="1">IFERROR(__xludf.DUMMYFUNCTION("""COMPUTED_VALUE"""),"comment")</f>
        <v>comment</v>
      </c>
      <c r="I2740" s="2" t="str">
        <f ca="1">IFERROR(__xludf.DUMMYFUNCTION("""COMPUTED_VALUE"""),"https://www.facebook.com/watch/live/?ref=watch_permalink&amp;v=312865720941798")</f>
        <v>https://www.facebook.com/watch/live/?ref=watch_permalink&amp;v=312865720941798</v>
      </c>
      <c r="J2740" s="1" t="str">
        <f ca="1">IFERROR(__xludf.DUMMYFUNCTION("""COMPUTED_VALUE"""),"2022-07-04T15:52:23.935Z")</f>
        <v>2022-07-04T15:52:23.935Z</v>
      </c>
    </row>
    <row r="2741" spans="1:10" x14ac:dyDescent="0.2">
      <c r="A2741" s="2" t="str">
        <f ca="1">IFERROR(__xludf.DUMMYFUNCTION("""COMPUTED_VALUE"""),"https://www.facebook.com/micoleizon")</f>
        <v>https://www.facebook.com/micoleizon</v>
      </c>
      <c r="B2741" s="1" t="str">
        <f ca="1">IFERROR(__xludf.DUMMYFUNCTION("""COMPUTED_VALUE"""),"Giane Delos Santos Ilagan")</f>
        <v>Giane Delos Santos Ilagan</v>
      </c>
      <c r="C2741" s="1" t="str">
        <f ca="1">IFERROR(__xludf.DUMMYFUNCTION("""COMPUTED_VALUE"""),"Giane")</f>
        <v>Giane</v>
      </c>
      <c r="D2741" s="1" t="str">
        <f ca="1">IFERROR(__xludf.DUMMYFUNCTION("""COMPUTED_VALUE"""),"Delos Santos Ilagan")</f>
        <v>Delos Santos Ilagan</v>
      </c>
      <c r="E2741" s="1" t="str">
        <f ca="1">IFERROR(__xludf.DUMMYFUNCTION("""COMPUTED_VALUE"""),"Giane Delos Santos Ilagan")</f>
        <v>Giane Delos Santos Ilagan</v>
      </c>
      <c r="F2741" s="1"/>
      <c r="G2741" s="1" t="str">
        <f ca="1">IFERROR(__xludf.DUMMYFUNCTION("""COMPUTED_VALUE"""),"3 mos")</f>
        <v>3 mos</v>
      </c>
      <c r="H2741" s="1" t="str">
        <f ca="1">IFERROR(__xludf.DUMMYFUNCTION("""COMPUTED_VALUE"""),"comment")</f>
        <v>comment</v>
      </c>
      <c r="I2741" s="2" t="str">
        <f ca="1">IFERROR(__xludf.DUMMYFUNCTION("""COMPUTED_VALUE"""),"https://www.facebook.com/watch/live/?ref=watch_permalink&amp;v=312865720941798")</f>
        <v>https://www.facebook.com/watch/live/?ref=watch_permalink&amp;v=312865720941798</v>
      </c>
      <c r="J2741" s="1" t="str">
        <f ca="1">IFERROR(__xludf.DUMMYFUNCTION("""COMPUTED_VALUE"""),"2022-07-04T15:52:23.935Z")</f>
        <v>2022-07-04T15:52:23.935Z</v>
      </c>
    </row>
    <row r="2742" spans="1:10" x14ac:dyDescent="0.2">
      <c r="A2742" s="2" t="str">
        <f ca="1">IFERROR(__xludf.DUMMYFUNCTION("""COMPUTED_VALUE"""),"https://www.facebook.com/micoleizon")</f>
        <v>https://www.facebook.com/micoleizon</v>
      </c>
      <c r="B2742" s="1" t="str">
        <f ca="1">IFERROR(__xludf.DUMMYFUNCTION("""COMPUTED_VALUE"""),"Giane Delos Santos Ilagan")</f>
        <v>Giane Delos Santos Ilagan</v>
      </c>
      <c r="C2742" s="1" t="str">
        <f ca="1">IFERROR(__xludf.DUMMYFUNCTION("""COMPUTED_VALUE"""),"Giane")</f>
        <v>Giane</v>
      </c>
      <c r="D2742" s="1" t="str">
        <f ca="1">IFERROR(__xludf.DUMMYFUNCTION("""COMPUTED_VALUE"""),"Delos Santos Ilagan")</f>
        <v>Delos Santos Ilagan</v>
      </c>
      <c r="E2742" s="1" t="str">
        <f ca="1">IFERROR(__xludf.DUMMYFUNCTION("""COMPUTED_VALUE"""),"Giane Delos Santos Ilagan")</f>
        <v>Giane Delos Santos Ilagan</v>
      </c>
      <c r="F2742" s="1"/>
      <c r="G2742" s="1" t="str">
        <f ca="1">IFERROR(__xludf.DUMMYFUNCTION("""COMPUTED_VALUE"""),"3 mos")</f>
        <v>3 mos</v>
      </c>
      <c r="H2742" s="1" t="str">
        <f ca="1">IFERROR(__xludf.DUMMYFUNCTION("""COMPUTED_VALUE"""),"comment")</f>
        <v>comment</v>
      </c>
      <c r="I2742" s="2" t="str">
        <f ca="1">IFERROR(__xludf.DUMMYFUNCTION("""COMPUTED_VALUE"""),"https://www.facebook.com/watch/live/?ref=watch_permalink&amp;v=312865720941798")</f>
        <v>https://www.facebook.com/watch/live/?ref=watch_permalink&amp;v=312865720941798</v>
      </c>
      <c r="J2742" s="1" t="str">
        <f ca="1">IFERROR(__xludf.DUMMYFUNCTION("""COMPUTED_VALUE"""),"2022-07-04T15:52:23.935Z")</f>
        <v>2022-07-04T15:52:23.935Z</v>
      </c>
    </row>
    <row r="2743" spans="1:10" x14ac:dyDescent="0.2">
      <c r="A2743" s="2" t="str">
        <f ca="1">IFERROR(__xludf.DUMMYFUNCTION("""COMPUTED_VALUE"""),"https://www.facebook.com/arthur.purugganan")</f>
        <v>https://www.facebook.com/arthur.purugganan</v>
      </c>
      <c r="B2743" s="1" t="str">
        <f ca="1">IFERROR(__xludf.DUMMYFUNCTION("""COMPUTED_VALUE"""),"Lantist  Serolf")</f>
        <v>Lantist  Serolf</v>
      </c>
      <c r="C2743" s="1" t="str">
        <f ca="1">IFERROR(__xludf.DUMMYFUNCTION("""COMPUTED_VALUE"""),"Lantist")</f>
        <v>Lantist</v>
      </c>
      <c r="D2743" s="1" t="str">
        <f ca="1">IFERROR(__xludf.DUMMYFUNCTION("""COMPUTED_VALUE"""),"Serolf")</f>
        <v>Serolf</v>
      </c>
      <c r="E2743" s="1" t="str">
        <f ca="1">IFERROR(__xludf.DUMMYFUNCTION("""COMPUTED_VALUE"""),"Lantist  Serolf")</f>
        <v>Lantist  Serolf</v>
      </c>
      <c r="F2743" s="1"/>
      <c r="G2743" s="1" t="str">
        <f ca="1">IFERROR(__xludf.DUMMYFUNCTION("""COMPUTED_VALUE"""),"3 mos")</f>
        <v>3 mos</v>
      </c>
      <c r="H2743" s="1" t="str">
        <f ca="1">IFERROR(__xludf.DUMMYFUNCTION("""COMPUTED_VALUE"""),"comment")</f>
        <v>comment</v>
      </c>
      <c r="I2743" s="2" t="str">
        <f ca="1">IFERROR(__xludf.DUMMYFUNCTION("""COMPUTED_VALUE"""),"https://www.facebook.com/watch/live/?ref=watch_permalink&amp;v=312865720941798")</f>
        <v>https://www.facebook.com/watch/live/?ref=watch_permalink&amp;v=312865720941798</v>
      </c>
      <c r="J2743" s="1" t="str">
        <f ca="1">IFERROR(__xludf.DUMMYFUNCTION("""COMPUTED_VALUE"""),"2022-07-04T15:52:23.935Z")</f>
        <v>2022-07-04T15:52:23.935Z</v>
      </c>
    </row>
    <row r="2744" spans="1:10" x14ac:dyDescent="0.2">
      <c r="A2744" s="2" t="str">
        <f ca="1">IFERROR(__xludf.DUMMYFUNCTION("""COMPUTED_VALUE"""),"https://www.facebook.com/arthur.purugganan")</f>
        <v>https://www.facebook.com/arthur.purugganan</v>
      </c>
      <c r="B2744" s="1" t="str">
        <f ca="1">IFERROR(__xludf.DUMMYFUNCTION("""COMPUTED_VALUE"""),"Lantist  Serolf")</f>
        <v>Lantist  Serolf</v>
      </c>
      <c r="C2744" s="1" t="str">
        <f ca="1">IFERROR(__xludf.DUMMYFUNCTION("""COMPUTED_VALUE"""),"Lantist")</f>
        <v>Lantist</v>
      </c>
      <c r="D2744" s="1" t="str">
        <f ca="1">IFERROR(__xludf.DUMMYFUNCTION("""COMPUTED_VALUE"""),"Serolf")</f>
        <v>Serolf</v>
      </c>
      <c r="E2744" s="1" t="str">
        <f ca="1">IFERROR(__xludf.DUMMYFUNCTION("""COMPUTED_VALUE"""),"Lantist  Serolf")</f>
        <v>Lantist  Serolf</v>
      </c>
      <c r="F2744" s="1"/>
      <c r="G2744" s="1" t="str">
        <f ca="1">IFERROR(__xludf.DUMMYFUNCTION("""COMPUTED_VALUE"""),"3 mos")</f>
        <v>3 mos</v>
      </c>
      <c r="H2744" s="1" t="str">
        <f ca="1">IFERROR(__xludf.DUMMYFUNCTION("""COMPUTED_VALUE"""),"comment")</f>
        <v>comment</v>
      </c>
      <c r="I2744" s="2" t="str">
        <f ca="1">IFERROR(__xludf.DUMMYFUNCTION("""COMPUTED_VALUE"""),"https://www.facebook.com/watch/live/?ref=watch_permalink&amp;v=312865720941798")</f>
        <v>https://www.facebook.com/watch/live/?ref=watch_permalink&amp;v=312865720941798</v>
      </c>
      <c r="J2744" s="1" t="str">
        <f ca="1">IFERROR(__xludf.DUMMYFUNCTION("""COMPUTED_VALUE"""),"2022-07-04T15:52:23.935Z")</f>
        <v>2022-07-04T15:52:23.935Z</v>
      </c>
    </row>
    <row r="2745" spans="1:10" x14ac:dyDescent="0.2">
      <c r="A2745" s="2" t="str">
        <f ca="1">IFERROR(__xludf.DUMMYFUNCTION("""COMPUTED_VALUE"""),"https://www.facebook.com/arthur.purugganan")</f>
        <v>https://www.facebook.com/arthur.purugganan</v>
      </c>
      <c r="B2745" s="1" t="str">
        <f ca="1">IFERROR(__xludf.DUMMYFUNCTION("""COMPUTED_VALUE"""),"Lantist  Serolf")</f>
        <v>Lantist  Serolf</v>
      </c>
      <c r="C2745" s="1" t="str">
        <f ca="1">IFERROR(__xludf.DUMMYFUNCTION("""COMPUTED_VALUE"""),"Lantist")</f>
        <v>Lantist</v>
      </c>
      <c r="D2745" s="1" t="str">
        <f ca="1">IFERROR(__xludf.DUMMYFUNCTION("""COMPUTED_VALUE"""),"Serolf")</f>
        <v>Serolf</v>
      </c>
      <c r="E2745" s="1" t="str">
        <f ca="1">IFERROR(__xludf.DUMMYFUNCTION("""COMPUTED_VALUE"""),"Lantist  Serolf")</f>
        <v>Lantist  Serolf</v>
      </c>
      <c r="F2745" s="1"/>
      <c r="G2745" s="1" t="str">
        <f ca="1">IFERROR(__xludf.DUMMYFUNCTION("""COMPUTED_VALUE"""),"3 mos")</f>
        <v>3 mos</v>
      </c>
      <c r="H2745" s="1" t="str">
        <f ca="1">IFERROR(__xludf.DUMMYFUNCTION("""COMPUTED_VALUE"""),"comment")</f>
        <v>comment</v>
      </c>
      <c r="I2745" s="2" t="str">
        <f ca="1">IFERROR(__xludf.DUMMYFUNCTION("""COMPUTED_VALUE"""),"https://www.facebook.com/watch/live/?ref=watch_permalink&amp;v=312865720941798")</f>
        <v>https://www.facebook.com/watch/live/?ref=watch_permalink&amp;v=312865720941798</v>
      </c>
      <c r="J2745" s="1" t="str">
        <f ca="1">IFERROR(__xludf.DUMMYFUNCTION("""COMPUTED_VALUE"""),"2022-07-04T15:52:23.935Z")</f>
        <v>2022-07-04T15:52:23.935Z</v>
      </c>
    </row>
    <row r="2746" spans="1:10" x14ac:dyDescent="0.2">
      <c r="A2746" s="2" t="str">
        <f ca="1">IFERROR(__xludf.DUMMYFUNCTION("""COMPUTED_VALUE"""),"https://www.facebook.com/arthur.purugganan")</f>
        <v>https://www.facebook.com/arthur.purugganan</v>
      </c>
      <c r="B2746" s="1" t="str">
        <f ca="1">IFERROR(__xludf.DUMMYFUNCTION("""COMPUTED_VALUE"""),"Lantist  Serolf")</f>
        <v>Lantist  Serolf</v>
      </c>
      <c r="C2746" s="1" t="str">
        <f ca="1">IFERROR(__xludf.DUMMYFUNCTION("""COMPUTED_VALUE"""),"Lantist")</f>
        <v>Lantist</v>
      </c>
      <c r="D2746" s="1" t="str">
        <f ca="1">IFERROR(__xludf.DUMMYFUNCTION("""COMPUTED_VALUE"""),"Serolf")</f>
        <v>Serolf</v>
      </c>
      <c r="E2746" s="1" t="str">
        <f ca="1">IFERROR(__xludf.DUMMYFUNCTION("""COMPUTED_VALUE"""),"Lantist  Serolf")</f>
        <v>Lantist  Serolf</v>
      </c>
      <c r="F2746" s="1"/>
      <c r="G2746" s="1" t="str">
        <f ca="1">IFERROR(__xludf.DUMMYFUNCTION("""COMPUTED_VALUE"""),"3 mos")</f>
        <v>3 mos</v>
      </c>
      <c r="H2746" s="1" t="str">
        <f ca="1">IFERROR(__xludf.DUMMYFUNCTION("""COMPUTED_VALUE"""),"comment")</f>
        <v>comment</v>
      </c>
      <c r="I2746" s="2" t="str">
        <f ca="1">IFERROR(__xludf.DUMMYFUNCTION("""COMPUTED_VALUE"""),"https://www.facebook.com/watch/live/?ref=watch_permalink&amp;v=312865720941798")</f>
        <v>https://www.facebook.com/watch/live/?ref=watch_permalink&amp;v=312865720941798</v>
      </c>
      <c r="J2746" s="1" t="str">
        <f ca="1">IFERROR(__xludf.DUMMYFUNCTION("""COMPUTED_VALUE"""),"2022-07-04T15:52:23.935Z")</f>
        <v>2022-07-04T15:52:23.935Z</v>
      </c>
    </row>
    <row r="2747" spans="1:10" x14ac:dyDescent="0.2">
      <c r="A2747" s="2" t="str">
        <f ca="1">IFERROR(__xludf.DUMMYFUNCTION("""COMPUTED_VALUE"""),"https://www.facebook.com/beverly.beverly.7161953")</f>
        <v>https://www.facebook.com/beverly.beverly.7161953</v>
      </c>
      <c r="B2747" s="1" t="str">
        <f ca="1">IFERROR(__xludf.DUMMYFUNCTION("""COMPUTED_VALUE"""),"Beverly Beverly")</f>
        <v>Beverly Beverly</v>
      </c>
      <c r="C2747" s="1" t="str">
        <f ca="1">IFERROR(__xludf.DUMMYFUNCTION("""COMPUTED_VALUE"""),"Beverly")</f>
        <v>Beverly</v>
      </c>
      <c r="D2747" s="1" t="str">
        <f ca="1">IFERROR(__xludf.DUMMYFUNCTION("""COMPUTED_VALUE"""),"Beverly")</f>
        <v>Beverly</v>
      </c>
      <c r="E2747" s="1" t="str">
        <f ca="1">IFERROR(__xludf.DUMMYFUNCTION("""COMPUTED_VALUE"""),"🙏🙏🙏💙💙💙☝️☝️☝️☝️")</f>
        <v>🙏🙏🙏💙💙💙☝️☝️☝️☝️</v>
      </c>
      <c r="F2747" s="1"/>
      <c r="G2747" s="1" t="str">
        <f ca="1">IFERROR(__xludf.DUMMYFUNCTION("""COMPUTED_VALUE"""),"3 mos")</f>
        <v>3 mos</v>
      </c>
      <c r="H2747" s="1" t="str">
        <f ca="1">IFERROR(__xludf.DUMMYFUNCTION("""COMPUTED_VALUE"""),"comment")</f>
        <v>comment</v>
      </c>
      <c r="I2747" s="2" t="str">
        <f ca="1">IFERROR(__xludf.DUMMYFUNCTION("""COMPUTED_VALUE"""),"https://www.facebook.com/watch/live/?ref=watch_permalink&amp;v=312865720941798")</f>
        <v>https://www.facebook.com/watch/live/?ref=watch_permalink&amp;v=312865720941798</v>
      </c>
      <c r="J2747" s="1" t="str">
        <f ca="1">IFERROR(__xludf.DUMMYFUNCTION("""COMPUTED_VALUE"""),"2022-07-04T15:52:23.935Z")</f>
        <v>2022-07-04T15:52:23.935Z</v>
      </c>
    </row>
    <row r="2748" spans="1:10" x14ac:dyDescent="0.2">
      <c r="A2748" s="2" t="str">
        <f ca="1">IFERROR(__xludf.DUMMYFUNCTION("""COMPUTED_VALUE"""),"https://www.facebook.com/phils.alapag")</f>
        <v>https://www.facebook.com/phils.alapag</v>
      </c>
      <c r="B2748" s="1" t="str">
        <f ca="1">IFERROR(__xludf.DUMMYFUNCTION("""COMPUTED_VALUE"""),"Phils Alapag")</f>
        <v>Phils Alapag</v>
      </c>
      <c r="C2748" s="1" t="str">
        <f ca="1">IFERROR(__xludf.DUMMYFUNCTION("""COMPUTED_VALUE"""),"Phils")</f>
        <v>Phils</v>
      </c>
      <c r="D2748" s="1" t="str">
        <f ca="1">IFERROR(__xludf.DUMMYFUNCTION("""COMPUTED_VALUE"""),"Alapag")</f>
        <v>Alapag</v>
      </c>
      <c r="E2748" s="1" t="str">
        <f ca="1">IFERROR(__xludf.DUMMYFUNCTION("""COMPUTED_VALUE"""),"Di yan manalo Ang mga korakot sa bansa coz god watching for all corrupt never again")</f>
        <v>Di yan manalo Ang mga korakot sa bansa coz god watching for all corrupt never again</v>
      </c>
      <c r="F2748" s="1"/>
      <c r="G2748" s="1" t="str">
        <f ca="1">IFERROR(__xludf.DUMMYFUNCTION("""COMPUTED_VALUE"""),"3 mos")</f>
        <v>3 mos</v>
      </c>
      <c r="H2748" s="1" t="str">
        <f ca="1">IFERROR(__xludf.DUMMYFUNCTION("""COMPUTED_VALUE"""),"comment")</f>
        <v>comment</v>
      </c>
      <c r="I2748" s="2" t="str">
        <f ca="1">IFERROR(__xludf.DUMMYFUNCTION("""COMPUTED_VALUE"""),"https://www.facebook.com/watch/live/?ref=watch_permalink&amp;v=312865720941798")</f>
        <v>https://www.facebook.com/watch/live/?ref=watch_permalink&amp;v=312865720941798</v>
      </c>
      <c r="J2748" s="1" t="str">
        <f ca="1">IFERROR(__xludf.DUMMYFUNCTION("""COMPUTED_VALUE"""),"2022-07-04T15:52:23.935Z")</f>
        <v>2022-07-04T15:52:23.935Z</v>
      </c>
    </row>
    <row r="2749" spans="1:10" x14ac:dyDescent="0.2">
      <c r="A2749" s="2" t="str">
        <f ca="1">IFERROR(__xludf.DUMMYFUNCTION("""COMPUTED_VALUE"""),"https://www.facebook.com/soliviocheryl")</f>
        <v>https://www.facebook.com/soliviocheryl</v>
      </c>
      <c r="B2749" s="1" t="str">
        <f ca="1">IFERROR(__xludf.DUMMYFUNCTION("""COMPUTED_VALUE"""),"Chelay Solivio")</f>
        <v>Chelay Solivio</v>
      </c>
      <c r="C2749" s="1" t="str">
        <f ca="1">IFERROR(__xludf.DUMMYFUNCTION("""COMPUTED_VALUE"""),"Chelay")</f>
        <v>Chelay</v>
      </c>
      <c r="D2749" s="1" t="str">
        <f ca="1">IFERROR(__xludf.DUMMYFUNCTION("""COMPUTED_VALUE"""),"Solivio")</f>
        <v>Solivio</v>
      </c>
      <c r="E2749" s="1" t="str">
        <f ca="1">IFERROR(__xludf.DUMMYFUNCTION("""COMPUTED_VALUE"""),"BAKIT IKAW MA NANALO???")</f>
        <v>BAKIT IKAW MA NANALO???</v>
      </c>
      <c r="F2749" s="1"/>
      <c r="G2749" s="1" t="str">
        <f ca="1">IFERROR(__xludf.DUMMYFUNCTION("""COMPUTED_VALUE"""),"3 mos")</f>
        <v>3 mos</v>
      </c>
      <c r="H2749" s="1" t="str">
        <f ca="1">IFERROR(__xludf.DUMMYFUNCTION("""COMPUTED_VALUE"""),"reply")</f>
        <v>reply</v>
      </c>
      <c r="I2749" s="2" t="str">
        <f ca="1">IFERROR(__xludf.DUMMYFUNCTION("""COMPUTED_VALUE"""),"https://www.facebook.com/watch/live/?ref=watch_permalink&amp;v=312865720941798")</f>
        <v>https://www.facebook.com/watch/live/?ref=watch_permalink&amp;v=312865720941798</v>
      </c>
      <c r="J2749" s="1" t="str">
        <f ca="1">IFERROR(__xludf.DUMMYFUNCTION("""COMPUTED_VALUE"""),"2022-07-04T15:52:23.935Z")</f>
        <v>2022-07-04T15:52:23.935Z</v>
      </c>
    </row>
    <row r="2750" spans="1:10" x14ac:dyDescent="0.2">
      <c r="A2750" s="2" t="str">
        <f ca="1">IFERROR(__xludf.DUMMYFUNCTION("""COMPUTED_VALUE"""),"https://www.facebook.com/carlos.marquez.5243")</f>
        <v>https://www.facebook.com/carlos.marquez.5243</v>
      </c>
      <c r="B2750" s="1" t="str">
        <f ca="1">IFERROR(__xludf.DUMMYFUNCTION("""COMPUTED_VALUE"""),"Carlos Marquez")</f>
        <v>Carlos Marquez</v>
      </c>
      <c r="C2750" s="1" t="str">
        <f ca="1">IFERROR(__xludf.DUMMYFUNCTION("""COMPUTED_VALUE"""),"Carlos")</f>
        <v>Carlos</v>
      </c>
      <c r="D2750" s="1" t="str">
        <f ca="1">IFERROR(__xludf.DUMMYFUNCTION("""COMPUTED_VALUE"""),"Marquez")</f>
        <v>Marquez</v>
      </c>
      <c r="E2750" s="1" t="str">
        <f ca="1">IFERROR(__xludf.DUMMYFUNCTION("""COMPUTED_VALUE"""),"SAMIRA .. NASIRA na !!")</f>
        <v>SAMIRA .. NASIRA na !!</v>
      </c>
      <c r="F2750" s="1"/>
      <c r="G2750" s="1" t="str">
        <f ca="1">IFERROR(__xludf.DUMMYFUNCTION("""COMPUTED_VALUE"""),"3 mos")</f>
        <v>3 mos</v>
      </c>
      <c r="H2750" s="1" t="str">
        <f ca="1">IFERROR(__xludf.DUMMYFUNCTION("""COMPUTED_VALUE"""),"comment")</f>
        <v>comment</v>
      </c>
      <c r="I2750" s="2" t="str">
        <f ca="1">IFERROR(__xludf.DUMMYFUNCTION("""COMPUTED_VALUE"""),"https://www.facebook.com/watch/live/?ref=watch_permalink&amp;v=312865720941798")</f>
        <v>https://www.facebook.com/watch/live/?ref=watch_permalink&amp;v=312865720941798</v>
      </c>
      <c r="J2750" s="1" t="str">
        <f ca="1">IFERROR(__xludf.DUMMYFUNCTION("""COMPUTED_VALUE"""),"2022-07-04T15:52:23.935Z")</f>
        <v>2022-07-04T15:52:23.935Z</v>
      </c>
    </row>
    <row r="2751" spans="1:10" x14ac:dyDescent="0.2">
      <c r="A2751" s="2" t="str">
        <f ca="1">IFERROR(__xludf.DUMMYFUNCTION("""COMPUTED_VALUE"""),"https://www.facebook.com/ed.balot")</f>
        <v>https://www.facebook.com/ed.balot</v>
      </c>
      <c r="B2751" s="1" t="str">
        <f ca="1">IFERROR(__xludf.DUMMYFUNCTION("""COMPUTED_VALUE"""),"Ed Balot")</f>
        <v>Ed Balot</v>
      </c>
      <c r="C2751" s="1" t="str">
        <f ca="1">IFERROR(__xludf.DUMMYFUNCTION("""COMPUTED_VALUE"""),"Ed")</f>
        <v>Ed</v>
      </c>
      <c r="D2751" s="1" t="str">
        <f ca="1">IFERROR(__xludf.DUMMYFUNCTION("""COMPUTED_VALUE"""),"Balot")</f>
        <v>Balot</v>
      </c>
      <c r="E2751" s="1" t="str">
        <f ca="1">IFERROR(__xludf.DUMMYFUNCTION("""COMPUTED_VALUE"""),"Voting a dumb presidential candidate is the worst act!")</f>
        <v>Voting a dumb presidential candidate is the worst act!</v>
      </c>
      <c r="F2751" s="1">
        <f ca="1">IFERROR(__xludf.DUMMYFUNCTION("""COMPUTED_VALUE"""),3)</f>
        <v>3</v>
      </c>
      <c r="G2751" s="1" t="str">
        <f ca="1">IFERROR(__xludf.DUMMYFUNCTION("""COMPUTED_VALUE"""),"3 mos")</f>
        <v>3 mos</v>
      </c>
      <c r="H2751" s="1" t="str">
        <f ca="1">IFERROR(__xludf.DUMMYFUNCTION("""COMPUTED_VALUE"""),"comment")</f>
        <v>comment</v>
      </c>
      <c r="I2751" s="2" t="str">
        <f ca="1">IFERROR(__xludf.DUMMYFUNCTION("""COMPUTED_VALUE"""),"https://www.facebook.com/rapplerdotcom/photos/a.317154781638645/5594453700575367/")</f>
        <v>https://www.facebook.com/rapplerdotcom/photos/a.317154781638645/5594453700575367/</v>
      </c>
      <c r="J2751" s="1" t="str">
        <f ca="1">IFERROR(__xludf.DUMMYFUNCTION("""COMPUTED_VALUE"""),"2022-07-04T15:53:36.543Z")</f>
        <v>2022-07-04T15:53:36.543Z</v>
      </c>
    </row>
    <row r="2752" spans="1:10" x14ac:dyDescent="0.2">
      <c r="A2752" s="2" t="str">
        <f ca="1">IFERROR(__xludf.DUMMYFUNCTION("""COMPUTED_VALUE"""),"https://www.facebook.com/bren.bernales")</f>
        <v>https://www.facebook.com/bren.bernales</v>
      </c>
      <c r="B2752" s="1" t="str">
        <f ca="1">IFERROR(__xludf.DUMMYFUNCTION("""COMPUTED_VALUE"""),"Bren Bernales")</f>
        <v>Bren Bernales</v>
      </c>
      <c r="C2752" s="1" t="str">
        <f ca="1">IFERROR(__xludf.DUMMYFUNCTION("""COMPUTED_VALUE"""),"Bren")</f>
        <v>Bren</v>
      </c>
      <c r="D2752" s="1" t="str">
        <f ca="1">IFERROR(__xludf.DUMMYFUNCTION("""COMPUTED_VALUE"""),"Bernales")</f>
        <v>Bernales</v>
      </c>
      <c r="E2752" s="1" t="str">
        <f ca="1">IFERROR(__xludf.DUMMYFUNCTION("""COMPUTED_VALUE"""),"Ed Balot tama po. Wag na natin iboto yung hindi maka graduate tapos pepekein na lang ang diploma kasi di kaya. Ni hindi kaya umattend ng debate kasi mahahalata. Lol")</f>
        <v>Ed Balot tama po. Wag na natin iboto yung hindi maka graduate tapos pepekein na lang ang diploma kasi di kaya. Ni hindi kaya umattend ng debate kasi mahahalata. Lol</v>
      </c>
      <c r="F2752" s="1">
        <f ca="1">IFERROR(__xludf.DUMMYFUNCTION("""COMPUTED_VALUE"""),13)</f>
        <v>13</v>
      </c>
      <c r="G2752" s="1" t="str">
        <f ca="1">IFERROR(__xludf.DUMMYFUNCTION("""COMPUTED_VALUE"""),"3 mos")</f>
        <v>3 mos</v>
      </c>
      <c r="H2752" s="1" t="str">
        <f ca="1">IFERROR(__xludf.DUMMYFUNCTION("""COMPUTED_VALUE"""),"reply")</f>
        <v>reply</v>
      </c>
      <c r="I2752" s="2" t="str">
        <f ca="1">IFERROR(__xludf.DUMMYFUNCTION("""COMPUTED_VALUE"""),"https://www.facebook.com/rapplerdotcom/photos/a.317154781638645/5594453700575367/")</f>
        <v>https://www.facebook.com/rapplerdotcom/photos/a.317154781638645/5594453700575367/</v>
      </c>
      <c r="J2752" s="1" t="str">
        <f ca="1">IFERROR(__xludf.DUMMYFUNCTION("""COMPUTED_VALUE"""),"2022-07-04T15:53:36.543Z")</f>
        <v>2022-07-04T15:53:36.543Z</v>
      </c>
    </row>
    <row r="2753" spans="1:10" x14ac:dyDescent="0.2">
      <c r="A2753" s="2" t="str">
        <f ca="1">IFERROR(__xludf.DUMMYFUNCTION("""COMPUTED_VALUE"""),"https://www.facebook.com/boyiya.david")</f>
        <v>https://www.facebook.com/boyiya.david</v>
      </c>
      <c r="B2753" s="1" t="str">
        <f ca="1">IFERROR(__xludf.DUMMYFUNCTION("""COMPUTED_VALUE"""),"Norbertito Boy David")</f>
        <v>Norbertito Boy David</v>
      </c>
      <c r="C2753" s="1" t="str">
        <f ca="1">IFERROR(__xludf.DUMMYFUNCTION("""COMPUTED_VALUE"""),"Norbertito")</f>
        <v>Norbertito</v>
      </c>
      <c r="D2753" s="1" t="str">
        <f ca="1">IFERROR(__xludf.DUMMYFUNCTION("""COMPUTED_VALUE"""),"Boy David")</f>
        <v>Boy David</v>
      </c>
      <c r="E2753" s="1" t="str">
        <f ca="1">IFERROR(__xludf.DUMMYFUNCTION("""COMPUTED_VALUE"""),"Ask Pacquiao if he collected his salary in Congress as congressman and senator when training abroad in preparation for boxing bout. He was absent for almost 4 months every time he has a fight.")</f>
        <v>Ask Pacquiao if he collected his salary in Congress as congressman and senator when training abroad in preparation for boxing bout. He was absent for almost 4 months every time he has a fight.</v>
      </c>
      <c r="F2753" s="1">
        <f ca="1">IFERROR(__xludf.DUMMYFUNCTION("""COMPUTED_VALUE"""),1)</f>
        <v>1</v>
      </c>
      <c r="G2753" s="1" t="str">
        <f ca="1">IFERROR(__xludf.DUMMYFUNCTION("""COMPUTED_VALUE"""),"3 mos")</f>
        <v>3 mos</v>
      </c>
      <c r="H2753" s="1" t="str">
        <f ca="1">IFERROR(__xludf.DUMMYFUNCTION("""COMPUTED_VALUE"""),"comment")</f>
        <v>comment</v>
      </c>
      <c r="I2753" s="2" t="str">
        <f ca="1">IFERROR(__xludf.DUMMYFUNCTION("""COMPUTED_VALUE"""),"https://www.facebook.com/rapplerdotcom/photos/a.317154781638645/5594453700575367/")</f>
        <v>https://www.facebook.com/rapplerdotcom/photos/a.317154781638645/5594453700575367/</v>
      </c>
      <c r="J2753" s="1" t="str">
        <f ca="1">IFERROR(__xludf.DUMMYFUNCTION("""COMPUTED_VALUE"""),"2022-07-04T15:53:36.543Z")</f>
        <v>2022-07-04T15:53:36.543Z</v>
      </c>
    </row>
    <row r="2754" spans="1:10" x14ac:dyDescent="0.2">
      <c r="A2754" s="2" t="str">
        <f ca="1">IFERROR(__xludf.DUMMYFUNCTION("""COMPUTED_VALUE"""),"https://www.facebook.com/profile.php?id=100075733818877")</f>
        <v>https://www.facebook.com/profile.php?id=100075733818877</v>
      </c>
      <c r="B2754" s="1" t="str">
        <f ca="1">IFERROR(__xludf.DUMMYFUNCTION("""COMPUTED_VALUE"""),"Fu Bu")</f>
        <v>Fu Bu</v>
      </c>
      <c r="C2754" s="1" t="str">
        <f ca="1">IFERROR(__xludf.DUMMYFUNCTION("""COMPUTED_VALUE"""),"Fu")</f>
        <v>Fu</v>
      </c>
      <c r="D2754" s="1" t="str">
        <f ca="1">IFERROR(__xludf.DUMMYFUNCTION("""COMPUTED_VALUE"""),"Bu")</f>
        <v>Bu</v>
      </c>
      <c r="E2754" s="1" t="str">
        <f ca="1">IFERROR(__xludf.DUMMYFUNCTION("""COMPUTED_VALUE"""),"Norbertito Boy David What's the point???")</f>
        <v>Norbertito Boy David What's the point???</v>
      </c>
      <c r="F2754" s="1">
        <f ca="1">IFERROR(__xludf.DUMMYFUNCTION("""COMPUTED_VALUE"""),1)</f>
        <v>1</v>
      </c>
      <c r="G2754" s="1" t="str">
        <f ca="1">IFERROR(__xludf.DUMMYFUNCTION("""COMPUTED_VALUE"""),"3 mos")</f>
        <v>3 mos</v>
      </c>
      <c r="H2754" s="1" t="str">
        <f ca="1">IFERROR(__xludf.DUMMYFUNCTION("""COMPUTED_VALUE"""),"reply")</f>
        <v>reply</v>
      </c>
      <c r="I2754" s="2" t="str">
        <f ca="1">IFERROR(__xludf.DUMMYFUNCTION("""COMPUTED_VALUE"""),"https://www.facebook.com/rapplerdotcom/photos/a.317154781638645/5594453700575367/")</f>
        <v>https://www.facebook.com/rapplerdotcom/photos/a.317154781638645/5594453700575367/</v>
      </c>
      <c r="J2754" s="1" t="str">
        <f ca="1">IFERROR(__xludf.DUMMYFUNCTION("""COMPUTED_VALUE"""),"2022-07-04T15:53:36.543Z")</f>
        <v>2022-07-04T15:53:36.543Z</v>
      </c>
    </row>
    <row r="2755" spans="1:10" x14ac:dyDescent="0.2">
      <c r="A2755" s="2" t="str">
        <f ca="1">IFERROR(__xludf.DUMMYFUNCTION("""COMPUTED_VALUE"""),"https://www.facebook.com/narciso.corvera.549")</f>
        <v>https://www.facebook.com/narciso.corvera.549</v>
      </c>
      <c r="B2755" s="1" t="str">
        <f ca="1">IFERROR(__xludf.DUMMYFUNCTION("""COMPUTED_VALUE"""),"Narciso Corvera")</f>
        <v>Narciso Corvera</v>
      </c>
      <c r="C2755" s="1" t="str">
        <f ca="1">IFERROR(__xludf.DUMMYFUNCTION("""COMPUTED_VALUE"""),"Narciso")</f>
        <v>Narciso</v>
      </c>
      <c r="D2755" s="1" t="str">
        <f ca="1">IFERROR(__xludf.DUMMYFUNCTION("""COMPUTED_VALUE"""),"Corvera")</f>
        <v>Corvera</v>
      </c>
      <c r="E2755" s="1" t="str">
        <f ca="1">IFERROR(__xludf.DUMMYFUNCTION("""COMPUTED_VALUE"""),"Norbertito Boy David tagahanqa at idol ko c,Many  so what  point")</f>
        <v>Norbertito Boy David tagahanqa at idol ko c,Many  so what  point</v>
      </c>
      <c r="F2755" s="1"/>
      <c r="G2755" s="1" t="str">
        <f ca="1">IFERROR(__xludf.DUMMYFUNCTION("""COMPUTED_VALUE"""),"3 mos")</f>
        <v>3 mos</v>
      </c>
      <c r="H2755" s="1" t="str">
        <f ca="1">IFERROR(__xludf.DUMMYFUNCTION("""COMPUTED_VALUE"""),"reply")</f>
        <v>reply</v>
      </c>
      <c r="I2755" s="2" t="str">
        <f ca="1">IFERROR(__xludf.DUMMYFUNCTION("""COMPUTED_VALUE"""),"https://www.facebook.com/rapplerdotcom/photos/a.317154781638645/5594453700575367/")</f>
        <v>https://www.facebook.com/rapplerdotcom/photos/a.317154781638645/5594453700575367/</v>
      </c>
      <c r="J2755" s="1" t="str">
        <f ca="1">IFERROR(__xludf.DUMMYFUNCTION("""COMPUTED_VALUE"""),"2022-07-04T15:53:36.543Z")</f>
        <v>2022-07-04T15:53:36.543Z</v>
      </c>
    </row>
    <row r="2756" spans="1:10" x14ac:dyDescent="0.2">
      <c r="A2756" s="2" t="str">
        <f ca="1">IFERROR(__xludf.DUMMYFUNCTION("""COMPUTED_VALUE"""),"https://www.facebook.com/joshuadolor")</f>
        <v>https://www.facebook.com/joshuadolor</v>
      </c>
      <c r="B2756" s="1" t="str">
        <f ca="1">IFERROR(__xludf.DUMMYFUNCTION("""COMPUTED_VALUE"""),"Joshua Olbes Dolor")</f>
        <v>Joshua Olbes Dolor</v>
      </c>
      <c r="C2756" s="1" t="str">
        <f ca="1">IFERROR(__xludf.DUMMYFUNCTION("""COMPUTED_VALUE"""),"Joshua")</f>
        <v>Joshua</v>
      </c>
      <c r="D2756" s="1" t="str">
        <f ca="1">IFERROR(__xludf.DUMMYFUNCTION("""COMPUTED_VALUE"""),"Olbes Dolor")</f>
        <v>Olbes Dolor</v>
      </c>
      <c r="E2756" s="1" t="str">
        <f ca="1">IFERROR(__xludf.DUMMYFUNCTION("""COMPUTED_VALUE"""),"Norbertito Boy David may mali ba sa sinabi nya tatang?")</f>
        <v>Norbertito Boy David may mali ba sa sinabi nya tatang?</v>
      </c>
      <c r="F2756" s="1"/>
      <c r="G2756" s="1" t="str">
        <f ca="1">IFERROR(__xludf.DUMMYFUNCTION("""COMPUTED_VALUE"""),"3 mos")</f>
        <v>3 mos</v>
      </c>
      <c r="H2756" s="1" t="str">
        <f ca="1">IFERROR(__xludf.DUMMYFUNCTION("""COMPUTED_VALUE"""),"reply")</f>
        <v>reply</v>
      </c>
      <c r="I2756" s="2" t="str">
        <f ca="1">IFERROR(__xludf.DUMMYFUNCTION("""COMPUTED_VALUE"""),"https://www.facebook.com/rapplerdotcom/photos/a.317154781638645/5594453700575367/")</f>
        <v>https://www.facebook.com/rapplerdotcom/photos/a.317154781638645/5594453700575367/</v>
      </c>
      <c r="J2756" s="1" t="str">
        <f ca="1">IFERROR(__xludf.DUMMYFUNCTION("""COMPUTED_VALUE"""),"2022-07-04T15:53:36.543Z")</f>
        <v>2022-07-04T15:53:36.543Z</v>
      </c>
    </row>
    <row r="2757" spans="1:10" x14ac:dyDescent="0.2">
      <c r="A2757" s="2" t="str">
        <f ca="1">IFERROR(__xludf.DUMMYFUNCTION("""COMPUTED_VALUE"""),"https://www.facebook.com/celeste.dietert")</f>
        <v>https://www.facebook.com/celeste.dietert</v>
      </c>
      <c r="B2757" s="1" t="str">
        <f ca="1">IFERROR(__xludf.DUMMYFUNCTION("""COMPUTED_VALUE"""),"Celeste Dietert")</f>
        <v>Celeste Dietert</v>
      </c>
      <c r="C2757" s="1" t="str">
        <f ca="1">IFERROR(__xludf.DUMMYFUNCTION("""COMPUTED_VALUE"""),"Celeste")</f>
        <v>Celeste</v>
      </c>
      <c r="D2757" s="1" t="str">
        <f ca="1">IFERROR(__xludf.DUMMYFUNCTION("""COMPUTED_VALUE"""),"Dietert")</f>
        <v>Dietert</v>
      </c>
      <c r="E2757" s="1" t="str">
        <f ca="1">IFERROR(__xludf.DUMMYFUNCTION("""COMPUTED_VALUE"""),"Look whose talking,absentee law maker!! Pls go back to school, more ""food"" for the brain, hindi tsamba tsamba ang governance...")</f>
        <v>Look whose talking,absentee law maker!! Pls go back to school, more "food" for the brain, hindi tsamba tsamba ang governance...</v>
      </c>
      <c r="F2757" s="1">
        <f ca="1">IFERROR(__xludf.DUMMYFUNCTION("""COMPUTED_VALUE"""),53)</f>
        <v>53</v>
      </c>
      <c r="G2757" s="1" t="str">
        <f ca="1">IFERROR(__xludf.DUMMYFUNCTION("""COMPUTED_VALUE"""),"3 mos")</f>
        <v>3 mos</v>
      </c>
      <c r="H2757" s="1" t="str">
        <f ca="1">IFERROR(__xludf.DUMMYFUNCTION("""COMPUTED_VALUE"""),"comment")</f>
        <v>comment</v>
      </c>
      <c r="I2757" s="2" t="str">
        <f ca="1">IFERROR(__xludf.DUMMYFUNCTION("""COMPUTED_VALUE"""),"https://www.facebook.com/rapplerdotcom/photos/a.317154781638645/5594453700575367/")</f>
        <v>https://www.facebook.com/rapplerdotcom/photos/a.317154781638645/5594453700575367/</v>
      </c>
      <c r="J2757" s="1" t="str">
        <f ca="1">IFERROR(__xludf.DUMMYFUNCTION("""COMPUTED_VALUE"""),"2022-07-04T15:53:36.543Z")</f>
        <v>2022-07-04T15:53:36.543Z</v>
      </c>
    </row>
    <row r="2758" spans="1:10" x14ac:dyDescent="0.2">
      <c r="A2758" s="2" t="str">
        <f ca="1">IFERROR(__xludf.DUMMYFUNCTION("""COMPUTED_VALUE"""),"https://www.facebook.com/ampleidle")</f>
        <v>https://www.facebook.com/ampleidle</v>
      </c>
      <c r="B2758" s="1" t="str">
        <f ca="1">IFERROR(__xludf.DUMMYFUNCTION("""COMPUTED_VALUE"""),"Gerard Joseph Rojano Turiano")</f>
        <v>Gerard Joseph Rojano Turiano</v>
      </c>
      <c r="C2758" s="1" t="str">
        <f ca="1">IFERROR(__xludf.DUMMYFUNCTION("""COMPUTED_VALUE"""),"Gerard")</f>
        <v>Gerard</v>
      </c>
      <c r="D2758" s="1" t="str">
        <f ca="1">IFERROR(__xludf.DUMMYFUNCTION("""COMPUTED_VALUE"""),"Joseph Rojano Turiano")</f>
        <v>Joseph Rojano Turiano</v>
      </c>
      <c r="E2758" s="1" t="str">
        <f ca="1">IFERROR(__xludf.DUMMYFUNCTION("""COMPUTED_VALUE"""),"Celeste Dietert lam ko may degree ho c pacman.. ang ang punto niya.. yung pagpili natin ng mga leaders.. sinasabi niya lang.. na pwde tayong pumili ng leader na me magandang rwcord.. yung walang bahid ng pagnanakaw.. kse sabihin man natin hindi siya exper"&amp;"to sa marming bagay.. pwde siya pumili ng mga taong experto doon.. pro kung ang leader ay corrupt na.. sa simula pa lang.. yung mga pondo para sa taumbayan hindi mapupunta ng lubusan.. laging una yung nakaw..")</f>
        <v>Celeste Dietert lam ko may degree ho c pacman.. ang ang punto niya.. yung pagpili natin ng mga leaders.. sinasabi niya lang.. na pwde tayong pumili ng leader na me magandang rwcord.. yung walang bahid ng pagnanakaw.. kse sabihin man natin hindi siya experto sa marming bagay.. pwde siya pumili ng mga taong experto doon.. pro kung ang leader ay corrupt na.. sa simula pa lang.. yung mga pondo para sa taumbayan hindi mapupunta ng lubusan.. laging una yung nakaw..</v>
      </c>
      <c r="F2758" s="1">
        <f ca="1">IFERROR(__xludf.DUMMYFUNCTION("""COMPUTED_VALUE"""),31)</f>
        <v>31</v>
      </c>
      <c r="G2758" s="1" t="str">
        <f ca="1">IFERROR(__xludf.DUMMYFUNCTION("""COMPUTED_VALUE"""),"3 mos")</f>
        <v>3 mos</v>
      </c>
      <c r="H2758" s="1" t="str">
        <f ca="1">IFERROR(__xludf.DUMMYFUNCTION("""COMPUTED_VALUE"""),"reply")</f>
        <v>reply</v>
      </c>
      <c r="I2758" s="2" t="str">
        <f ca="1">IFERROR(__xludf.DUMMYFUNCTION("""COMPUTED_VALUE"""),"https://www.facebook.com/rapplerdotcom/photos/a.317154781638645/5594453700575367/")</f>
        <v>https://www.facebook.com/rapplerdotcom/photos/a.317154781638645/5594453700575367/</v>
      </c>
      <c r="J2758" s="1" t="str">
        <f ca="1">IFERROR(__xludf.DUMMYFUNCTION("""COMPUTED_VALUE"""),"2022-07-04T15:53:36.543Z")</f>
        <v>2022-07-04T15:53:36.543Z</v>
      </c>
    </row>
    <row r="2759" spans="1:10" x14ac:dyDescent="0.2">
      <c r="A2759" s="2" t="str">
        <f ca="1">IFERROR(__xludf.DUMMYFUNCTION("""COMPUTED_VALUE"""),"https://www.facebook.com/melinda.santelices")</f>
        <v>https://www.facebook.com/melinda.santelices</v>
      </c>
      <c r="B2759" s="1" t="str">
        <f ca="1">IFERROR(__xludf.DUMMYFUNCTION("""COMPUTED_VALUE"""),"Melinda Santelices")</f>
        <v>Melinda Santelices</v>
      </c>
      <c r="C2759" s="1" t="str">
        <f ca="1">IFERROR(__xludf.DUMMYFUNCTION("""COMPUTED_VALUE"""),"Melinda")</f>
        <v>Melinda</v>
      </c>
      <c r="D2759" s="1" t="str">
        <f ca="1">IFERROR(__xludf.DUMMYFUNCTION("""COMPUTED_VALUE"""),"Santelices")</f>
        <v>Santelices</v>
      </c>
      <c r="E2759" s="1" t="str">
        <f ca="1">IFERROR(__xludf.DUMMYFUNCTION("""COMPUTED_VALUE"""),"Kesha Anne Pernia Yes, nonsense comment Ng nagmamagaling Tama c Manny, good job")</f>
        <v>Kesha Anne Pernia Yes, nonsense comment Ng nagmamagaling Tama c Manny, good job</v>
      </c>
      <c r="F2759" s="1">
        <f ca="1">IFERROR(__xludf.DUMMYFUNCTION("""COMPUTED_VALUE"""),1)</f>
        <v>1</v>
      </c>
      <c r="G2759" s="1" t="str">
        <f ca="1">IFERROR(__xludf.DUMMYFUNCTION("""COMPUTED_VALUE"""),"3 mos")</f>
        <v>3 mos</v>
      </c>
      <c r="H2759" s="1" t="str">
        <f ca="1">IFERROR(__xludf.DUMMYFUNCTION("""COMPUTED_VALUE"""),"reply")</f>
        <v>reply</v>
      </c>
      <c r="I2759" s="2" t="str">
        <f ca="1">IFERROR(__xludf.DUMMYFUNCTION("""COMPUTED_VALUE"""),"https://www.facebook.com/rapplerdotcom/photos/a.317154781638645/5594453700575367/")</f>
        <v>https://www.facebook.com/rapplerdotcom/photos/a.317154781638645/5594453700575367/</v>
      </c>
      <c r="J2759" s="1" t="str">
        <f ca="1">IFERROR(__xludf.DUMMYFUNCTION("""COMPUTED_VALUE"""),"2022-07-04T15:53:36.543Z")</f>
        <v>2022-07-04T15:53:36.543Z</v>
      </c>
    </row>
    <row r="2760" spans="1:10" x14ac:dyDescent="0.2">
      <c r="A2760" s="2" t="str">
        <f ca="1">IFERROR(__xludf.DUMMYFUNCTION("""COMPUTED_VALUE"""),"https://www.facebook.com/sunsengnimkarina")</f>
        <v>https://www.facebook.com/sunsengnimkarina</v>
      </c>
      <c r="B2760" s="1" t="str">
        <f ca="1">IFERROR(__xludf.DUMMYFUNCTION("""COMPUTED_VALUE"""),"Sunsengnim Karina")</f>
        <v>Sunsengnim Karina</v>
      </c>
      <c r="C2760" s="1" t="str">
        <f ca="1">IFERROR(__xludf.DUMMYFUNCTION("""COMPUTED_VALUE"""),"Sunsengnim")</f>
        <v>Sunsengnim</v>
      </c>
      <c r="D2760" s="1" t="str">
        <f ca="1">IFERROR(__xludf.DUMMYFUNCTION("""COMPUTED_VALUE"""),"Karina")</f>
        <v>Karina</v>
      </c>
      <c r="E2760" s="1" t="str">
        <f ca="1">IFERROR(__xludf.DUMMYFUNCTION("""COMPUTED_VALUE"""),"Celeste Dietert sa tingin ko ikaw ang dapat bumalik sa pag aaral, wrong grammar ka kasi ✌.")</f>
        <v>Celeste Dietert sa tingin ko ikaw ang dapat bumalik sa pag aaral, wrong grammar ka kasi ✌.</v>
      </c>
      <c r="F2760" s="1">
        <f ca="1">IFERROR(__xludf.DUMMYFUNCTION("""COMPUTED_VALUE"""),1)</f>
        <v>1</v>
      </c>
      <c r="G2760" s="1" t="str">
        <f ca="1">IFERROR(__xludf.DUMMYFUNCTION("""COMPUTED_VALUE"""),"3 mos")</f>
        <v>3 mos</v>
      </c>
      <c r="H2760" s="1" t="str">
        <f ca="1">IFERROR(__xludf.DUMMYFUNCTION("""COMPUTED_VALUE"""),"reply")</f>
        <v>reply</v>
      </c>
      <c r="I2760" s="2" t="str">
        <f ca="1">IFERROR(__xludf.DUMMYFUNCTION("""COMPUTED_VALUE"""),"https://www.facebook.com/rapplerdotcom/photos/a.317154781638645/5594453700575367/")</f>
        <v>https://www.facebook.com/rapplerdotcom/photos/a.317154781638645/5594453700575367/</v>
      </c>
      <c r="J2760" s="1" t="str">
        <f ca="1">IFERROR(__xludf.DUMMYFUNCTION("""COMPUTED_VALUE"""),"2022-07-04T15:53:36.543Z")</f>
        <v>2022-07-04T15:53:36.543Z</v>
      </c>
    </row>
    <row r="2761" spans="1:10" x14ac:dyDescent="0.2">
      <c r="A2761" s="2" t="str">
        <f ca="1">IFERROR(__xludf.DUMMYFUNCTION("""COMPUTED_VALUE"""),"https://www.facebook.com/agnes.sanbuenaventura.9")</f>
        <v>https://www.facebook.com/agnes.sanbuenaventura.9</v>
      </c>
      <c r="B2761" s="1" t="str">
        <f ca="1">IFERROR(__xludf.DUMMYFUNCTION("""COMPUTED_VALUE"""),"Agnes San Buenaventura")</f>
        <v>Agnes San Buenaventura</v>
      </c>
      <c r="C2761" s="1" t="str">
        <f ca="1">IFERROR(__xludf.DUMMYFUNCTION("""COMPUTED_VALUE"""),"Agnes")</f>
        <v>Agnes</v>
      </c>
      <c r="D2761" s="1" t="str">
        <f ca="1">IFERROR(__xludf.DUMMYFUNCTION("""COMPUTED_VALUE"""),"San Buenaventura")</f>
        <v>San Buenaventura</v>
      </c>
      <c r="E2761" s="1" t="str">
        <f ca="1">IFERROR(__xludf.DUMMYFUNCTION("""COMPUTED_VALUE"""),"Celeste Dietert nonsense comment")</f>
        <v>Celeste Dietert nonsense comment</v>
      </c>
      <c r="F2761" s="1"/>
      <c r="G2761" s="1" t="str">
        <f ca="1">IFERROR(__xludf.DUMMYFUNCTION("""COMPUTED_VALUE"""),"3 mos")</f>
        <v>3 mos</v>
      </c>
      <c r="H2761" s="1" t="str">
        <f ca="1">IFERROR(__xludf.DUMMYFUNCTION("""COMPUTED_VALUE"""),"reply")</f>
        <v>reply</v>
      </c>
      <c r="I2761" s="2" t="str">
        <f ca="1">IFERROR(__xludf.DUMMYFUNCTION("""COMPUTED_VALUE"""),"https://www.facebook.com/rapplerdotcom/photos/a.317154781638645/5594453700575367/")</f>
        <v>https://www.facebook.com/rapplerdotcom/photos/a.317154781638645/5594453700575367/</v>
      </c>
      <c r="J2761" s="1" t="str">
        <f ca="1">IFERROR(__xludf.DUMMYFUNCTION("""COMPUTED_VALUE"""),"2022-07-04T15:53:36.543Z")</f>
        <v>2022-07-04T15:53:36.543Z</v>
      </c>
    </row>
    <row r="2762" spans="1:10" x14ac:dyDescent="0.2">
      <c r="A2762" s="2" t="str">
        <f ca="1">IFERROR(__xludf.DUMMYFUNCTION("""COMPUTED_VALUE"""),"https://www.facebook.com/agnes.sanbuenaventura.9")</f>
        <v>https://www.facebook.com/agnes.sanbuenaventura.9</v>
      </c>
      <c r="B2762" s="1" t="str">
        <f ca="1">IFERROR(__xludf.DUMMYFUNCTION("""COMPUTED_VALUE"""),"Agnes San Buenaventura")</f>
        <v>Agnes San Buenaventura</v>
      </c>
      <c r="C2762" s="1" t="str">
        <f ca="1">IFERROR(__xludf.DUMMYFUNCTION("""COMPUTED_VALUE"""),"Agnes")</f>
        <v>Agnes</v>
      </c>
      <c r="D2762" s="1" t="str">
        <f ca="1">IFERROR(__xludf.DUMMYFUNCTION("""COMPUTED_VALUE"""),"San Buenaventura")</f>
        <v>San Buenaventura</v>
      </c>
      <c r="E2762" s="1" t="str">
        <f ca="1">IFERROR(__xludf.DUMMYFUNCTION("""COMPUTED_VALUE"""),"Gerard Joseph Rojano Turiano nakuha mo mo po..mema lng kc iba dyan")</f>
        <v>Gerard Joseph Rojano Turiano nakuha mo mo po..mema lng kc iba dyan</v>
      </c>
      <c r="F2762" s="1"/>
      <c r="G2762" s="1" t="str">
        <f ca="1">IFERROR(__xludf.DUMMYFUNCTION("""COMPUTED_VALUE"""),"3 mos")</f>
        <v>3 mos</v>
      </c>
      <c r="H2762" s="1" t="str">
        <f ca="1">IFERROR(__xludf.DUMMYFUNCTION("""COMPUTED_VALUE"""),"reply")</f>
        <v>reply</v>
      </c>
      <c r="I2762" s="2" t="str">
        <f ca="1">IFERROR(__xludf.DUMMYFUNCTION("""COMPUTED_VALUE"""),"https://www.facebook.com/rapplerdotcom/photos/a.317154781638645/5594453700575367/")</f>
        <v>https://www.facebook.com/rapplerdotcom/photos/a.317154781638645/5594453700575367/</v>
      </c>
      <c r="J2762" s="1" t="str">
        <f ca="1">IFERROR(__xludf.DUMMYFUNCTION("""COMPUTED_VALUE"""),"2022-07-04T15:53:36.543Z")</f>
        <v>2022-07-04T15:53:36.543Z</v>
      </c>
    </row>
    <row r="2763" spans="1:10" x14ac:dyDescent="0.2">
      <c r="A2763" s="2" t="str">
        <f ca="1">IFERROR(__xludf.DUMMYFUNCTION("""COMPUTED_VALUE"""),"https://www.facebook.com/tessie.domingo.7")</f>
        <v>https://www.facebook.com/tessie.domingo.7</v>
      </c>
      <c r="B2763" s="1" t="str">
        <f ca="1">IFERROR(__xludf.DUMMYFUNCTION("""COMPUTED_VALUE"""),"Tessie Domingo")</f>
        <v>Tessie Domingo</v>
      </c>
      <c r="C2763" s="1" t="str">
        <f ca="1">IFERROR(__xludf.DUMMYFUNCTION("""COMPUTED_VALUE"""),"Tessie")</f>
        <v>Tessie</v>
      </c>
      <c r="D2763" s="1" t="str">
        <f ca="1">IFERROR(__xludf.DUMMYFUNCTION("""COMPUTED_VALUE"""),"Domingo")</f>
        <v>Domingo</v>
      </c>
      <c r="E2763" s="1" t="str">
        <f ca="1">IFERROR(__xludf.DUMMYFUNCTION("""COMPUTED_VALUE"""),"Gerard Joseph Rojano Turiano anong degree nya 45 degree?")</f>
        <v>Gerard Joseph Rojano Turiano anong degree nya 45 degree?</v>
      </c>
      <c r="F2763" s="1"/>
      <c r="G2763" s="1" t="str">
        <f ca="1">IFERROR(__xludf.DUMMYFUNCTION("""COMPUTED_VALUE"""),"3 mos")</f>
        <v>3 mos</v>
      </c>
      <c r="H2763" s="1" t="str">
        <f ca="1">IFERROR(__xludf.DUMMYFUNCTION("""COMPUTED_VALUE"""),"reply")</f>
        <v>reply</v>
      </c>
      <c r="I2763" s="2" t="str">
        <f ca="1">IFERROR(__xludf.DUMMYFUNCTION("""COMPUTED_VALUE"""),"https://www.facebook.com/rapplerdotcom/photos/a.317154781638645/5594453700575367/")</f>
        <v>https://www.facebook.com/rapplerdotcom/photos/a.317154781638645/5594453700575367/</v>
      </c>
      <c r="J2763" s="1" t="str">
        <f ca="1">IFERROR(__xludf.DUMMYFUNCTION("""COMPUTED_VALUE"""),"2022-07-04T15:53:36.543Z")</f>
        <v>2022-07-04T15:53:36.543Z</v>
      </c>
    </row>
    <row r="2764" spans="1:10" x14ac:dyDescent="0.2">
      <c r="A2764" s="2" t="str">
        <f ca="1">IFERROR(__xludf.DUMMYFUNCTION("""COMPUTED_VALUE"""),"https://www.facebook.com/jude.romero.14")</f>
        <v>https://www.facebook.com/jude.romero.14</v>
      </c>
      <c r="B2764" s="1" t="str">
        <f ca="1">IFERROR(__xludf.DUMMYFUNCTION("""COMPUTED_VALUE"""),"Jude Romero")</f>
        <v>Jude Romero</v>
      </c>
      <c r="C2764" s="1" t="str">
        <f ca="1">IFERROR(__xludf.DUMMYFUNCTION("""COMPUTED_VALUE"""),"Jude")</f>
        <v>Jude</v>
      </c>
      <c r="D2764" s="1" t="str">
        <f ca="1">IFERROR(__xludf.DUMMYFUNCTION("""COMPUTED_VALUE"""),"Romero")</f>
        <v>Romero</v>
      </c>
      <c r="E2764" s="1" t="str">
        <f ca="1">IFERROR(__xludf.DUMMYFUNCTION("""COMPUTED_VALUE"""),"Kesha Anne Pernia just because???")</f>
        <v>Kesha Anne Pernia just because???</v>
      </c>
      <c r="F2764" s="1"/>
      <c r="G2764" s="1" t="str">
        <f ca="1">IFERROR(__xludf.DUMMYFUNCTION("""COMPUTED_VALUE"""),"3 mos")</f>
        <v>3 mos</v>
      </c>
      <c r="H2764" s="1" t="str">
        <f ca="1">IFERROR(__xludf.DUMMYFUNCTION("""COMPUTED_VALUE"""),"reply")</f>
        <v>reply</v>
      </c>
      <c r="I2764" s="2" t="str">
        <f ca="1">IFERROR(__xludf.DUMMYFUNCTION("""COMPUTED_VALUE"""),"https://www.facebook.com/rapplerdotcom/photos/a.317154781638645/5594453700575367/")</f>
        <v>https://www.facebook.com/rapplerdotcom/photos/a.317154781638645/5594453700575367/</v>
      </c>
      <c r="J2764" s="1" t="str">
        <f ca="1">IFERROR(__xludf.DUMMYFUNCTION("""COMPUTED_VALUE"""),"2022-07-04T15:53:36.543Z")</f>
        <v>2022-07-04T15:53:36.543Z</v>
      </c>
    </row>
    <row r="2765" spans="1:10" x14ac:dyDescent="0.2">
      <c r="A2765" s="2" t="str">
        <f ca="1">IFERROR(__xludf.DUMMYFUNCTION("""COMPUTED_VALUE"""),"https://www.facebook.com/ampleidle")</f>
        <v>https://www.facebook.com/ampleidle</v>
      </c>
      <c r="B2765" s="1" t="str">
        <f ca="1">IFERROR(__xludf.DUMMYFUNCTION("""COMPUTED_VALUE"""),"Gerard Joseph Rojano Turiano")</f>
        <v>Gerard Joseph Rojano Turiano</v>
      </c>
      <c r="C2765" s="1" t="str">
        <f ca="1">IFERROR(__xludf.DUMMYFUNCTION("""COMPUTED_VALUE"""),"Gerard")</f>
        <v>Gerard</v>
      </c>
      <c r="D2765" s="1" t="str">
        <f ca="1">IFERROR(__xludf.DUMMYFUNCTION("""COMPUTED_VALUE"""),"Joseph Rojano Turiano")</f>
        <v>Joseph Rojano Turiano</v>
      </c>
      <c r="E2765" s="1" t="str">
        <f ca="1">IFERROR(__xludf.DUMMYFUNCTION("""COMPUTED_VALUE"""),"Tessie Domingo im not trying to defend pacaman being degree holder or not.. the university though affirmed that he did comply with requirements.. pro ang punto niya kse is yung pagpili natin ng leader.. kung anong dapat natin iconsider..  besides, as far "&amp;"as having a degree is concerned.. e hindi ho siya nagsisinungaling.. pinatunayan paho ng unibersidad na garduate siya..   https://legacy.senate.gov.ph/photo_release/2019/1212_02.asp")</f>
        <v>Tessie Domingo im not trying to defend pacaman being degree holder or not.. the university though affirmed that he did comply with requirements.. pro ang punto niya kse is yung pagpili natin ng leader.. kung anong dapat natin iconsider..  besides, as far as having a degree is concerned.. e hindi ho siya nagsisinungaling.. pinatunayan paho ng unibersidad na garduate siya..   https://legacy.senate.gov.ph/photo_release/2019/1212_02.asp</v>
      </c>
      <c r="F2765" s="1">
        <f ca="1">IFERROR(__xludf.DUMMYFUNCTION("""COMPUTED_VALUE"""),1)</f>
        <v>1</v>
      </c>
      <c r="G2765" s="1" t="str">
        <f ca="1">IFERROR(__xludf.DUMMYFUNCTION("""COMPUTED_VALUE"""),"3 mos")</f>
        <v>3 mos</v>
      </c>
      <c r="H2765" s="1" t="str">
        <f ca="1">IFERROR(__xludf.DUMMYFUNCTION("""COMPUTED_VALUE"""),"reply")</f>
        <v>reply</v>
      </c>
      <c r="I2765" s="2" t="str">
        <f ca="1">IFERROR(__xludf.DUMMYFUNCTION("""COMPUTED_VALUE"""),"https://www.facebook.com/rapplerdotcom/photos/a.317154781638645/5594453700575367/")</f>
        <v>https://www.facebook.com/rapplerdotcom/photos/a.317154781638645/5594453700575367/</v>
      </c>
      <c r="J2765" s="1" t="str">
        <f ca="1">IFERROR(__xludf.DUMMYFUNCTION("""COMPUTED_VALUE"""),"2022-07-04T15:53:36.543Z")</f>
        <v>2022-07-04T15:53:36.543Z</v>
      </c>
    </row>
    <row r="2766" spans="1:10" x14ac:dyDescent="0.2">
      <c r="A2766" s="2" t="str">
        <f ca="1">IFERROR(__xludf.DUMMYFUNCTION("""COMPUTED_VALUE"""),"https://www.facebook.com/augustinatagaste")</f>
        <v>https://www.facebook.com/augustinatagaste</v>
      </c>
      <c r="B2766" s="1" t="str">
        <f ca="1">IFERROR(__xludf.DUMMYFUNCTION("""COMPUTED_VALUE"""),"Srdhorz Suyko")</f>
        <v>Srdhorz Suyko</v>
      </c>
      <c r="C2766" s="1" t="str">
        <f ca="1">IFERROR(__xludf.DUMMYFUNCTION("""COMPUTED_VALUE"""),"Srdhorz")</f>
        <v>Srdhorz</v>
      </c>
      <c r="D2766" s="1" t="str">
        <f ca="1">IFERROR(__xludf.DUMMYFUNCTION("""COMPUTED_VALUE"""),"Suyko")</f>
        <v>Suyko</v>
      </c>
      <c r="E2766" s="1" t="str">
        <f ca="1">IFERROR(__xludf.DUMMYFUNCTION("""COMPUTED_VALUE"""),"Celeste Dietert at least nagbayad ng buwis")</f>
        <v>Celeste Dietert at least nagbayad ng buwis</v>
      </c>
      <c r="F2766" s="1"/>
      <c r="G2766" s="1" t="str">
        <f ca="1">IFERROR(__xludf.DUMMYFUNCTION("""COMPUTED_VALUE"""),"3 mos")</f>
        <v>3 mos</v>
      </c>
      <c r="H2766" s="1" t="str">
        <f ca="1">IFERROR(__xludf.DUMMYFUNCTION("""COMPUTED_VALUE"""),"reply")</f>
        <v>reply</v>
      </c>
      <c r="I2766" s="2" t="str">
        <f ca="1">IFERROR(__xludf.DUMMYFUNCTION("""COMPUTED_VALUE"""),"https://www.facebook.com/rapplerdotcom/photos/a.317154781638645/5594453700575367/")</f>
        <v>https://www.facebook.com/rapplerdotcom/photos/a.317154781638645/5594453700575367/</v>
      </c>
      <c r="J2766" s="1" t="str">
        <f ca="1">IFERROR(__xludf.DUMMYFUNCTION("""COMPUTED_VALUE"""),"2022-07-04T15:53:36.543Z")</f>
        <v>2022-07-04T15:53:36.543Z</v>
      </c>
    </row>
    <row r="2767" spans="1:10" x14ac:dyDescent="0.2">
      <c r="A2767" s="2" t="str">
        <f ca="1">IFERROR(__xludf.DUMMYFUNCTION("""COMPUTED_VALUE"""),"https://www.facebook.com/melbie.carpentero.7")</f>
        <v>https://www.facebook.com/melbie.carpentero.7</v>
      </c>
      <c r="B2767" s="1" t="str">
        <f ca="1">IFERROR(__xludf.DUMMYFUNCTION("""COMPUTED_VALUE"""),"Melbie Carpentero")</f>
        <v>Melbie Carpentero</v>
      </c>
      <c r="C2767" s="1" t="str">
        <f ca="1">IFERROR(__xludf.DUMMYFUNCTION("""COMPUTED_VALUE"""),"Melbie")</f>
        <v>Melbie</v>
      </c>
      <c r="D2767" s="1" t="str">
        <f ca="1">IFERROR(__xludf.DUMMYFUNCTION("""COMPUTED_VALUE"""),"Carpentero")</f>
        <v>Carpentero</v>
      </c>
      <c r="E2767" s="1" t="str">
        <f ca="1">IFERROR(__xludf.DUMMYFUNCTION("""COMPUTED_VALUE"""),"Celeste Dietert tama nman sinabi ni pakyaw bkit masakit pakinggan.or skit sa mata basahin.huwag ng magcomento...")</f>
        <v>Celeste Dietert tama nman sinabi ni pakyaw bkit masakit pakinggan.or skit sa mata basahin.huwag ng magcomento...</v>
      </c>
      <c r="F2767" s="1">
        <f ca="1">IFERROR(__xludf.DUMMYFUNCTION("""COMPUTED_VALUE"""),2)</f>
        <v>2</v>
      </c>
      <c r="G2767" s="1" t="str">
        <f ca="1">IFERROR(__xludf.DUMMYFUNCTION("""COMPUTED_VALUE"""),"3 mos")</f>
        <v>3 mos</v>
      </c>
      <c r="H2767" s="1" t="str">
        <f ca="1">IFERROR(__xludf.DUMMYFUNCTION("""COMPUTED_VALUE"""),"reply")</f>
        <v>reply</v>
      </c>
      <c r="I2767" s="2" t="str">
        <f ca="1">IFERROR(__xludf.DUMMYFUNCTION("""COMPUTED_VALUE"""),"https://www.facebook.com/rapplerdotcom/photos/a.317154781638645/5594453700575367/")</f>
        <v>https://www.facebook.com/rapplerdotcom/photos/a.317154781638645/5594453700575367/</v>
      </c>
      <c r="J2767" s="1" t="str">
        <f ca="1">IFERROR(__xludf.DUMMYFUNCTION("""COMPUTED_VALUE"""),"2022-07-04T15:53:36.543Z")</f>
        <v>2022-07-04T15:53:36.543Z</v>
      </c>
    </row>
    <row r="2768" spans="1:10" x14ac:dyDescent="0.2">
      <c r="A2768" s="2" t="str">
        <f ca="1">IFERROR(__xludf.DUMMYFUNCTION("""COMPUTED_VALUE"""),"https://www.facebook.com/januario.pascua.3")</f>
        <v>https://www.facebook.com/januario.pascua.3</v>
      </c>
      <c r="B2768" s="1" t="str">
        <f ca="1">IFERROR(__xludf.DUMMYFUNCTION("""COMPUTED_VALUE"""),"Januario Pascua")</f>
        <v>Januario Pascua</v>
      </c>
      <c r="C2768" s="1" t="str">
        <f ca="1">IFERROR(__xludf.DUMMYFUNCTION("""COMPUTED_VALUE"""),"Januario")</f>
        <v>Januario</v>
      </c>
      <c r="D2768" s="1" t="str">
        <f ca="1">IFERROR(__xludf.DUMMYFUNCTION("""COMPUTED_VALUE"""),"Pascua")</f>
        <v>Pascua</v>
      </c>
      <c r="E2768" s="1" t="str">
        <f ca="1">IFERROR(__xludf.DUMMYFUNCTION("""COMPUTED_VALUE"""),"Celeste Dietert i agree")</f>
        <v>Celeste Dietert i agree</v>
      </c>
      <c r="F2768" s="1"/>
      <c r="G2768" s="1" t="str">
        <f ca="1">IFERROR(__xludf.DUMMYFUNCTION("""COMPUTED_VALUE"""),"3 mos")</f>
        <v>3 mos</v>
      </c>
      <c r="H2768" s="1" t="str">
        <f ca="1">IFERROR(__xludf.DUMMYFUNCTION("""COMPUTED_VALUE"""),"reply")</f>
        <v>reply</v>
      </c>
      <c r="I2768" s="2" t="str">
        <f ca="1">IFERROR(__xludf.DUMMYFUNCTION("""COMPUTED_VALUE"""),"https://www.facebook.com/rapplerdotcom/photos/a.317154781638645/5594453700575367/")</f>
        <v>https://www.facebook.com/rapplerdotcom/photos/a.317154781638645/5594453700575367/</v>
      </c>
      <c r="J2768" s="1" t="str">
        <f ca="1">IFERROR(__xludf.DUMMYFUNCTION("""COMPUTED_VALUE"""),"2022-07-04T15:53:36.543Z")</f>
        <v>2022-07-04T15:53:36.543Z</v>
      </c>
    </row>
    <row r="2769" spans="1:10" x14ac:dyDescent="0.2">
      <c r="A2769" s="2" t="str">
        <f ca="1">IFERROR(__xludf.DUMMYFUNCTION("""COMPUTED_VALUE"""),"https://www.facebook.com/kimkimmy.bautista")</f>
        <v>https://www.facebook.com/kimkimmy.bautista</v>
      </c>
      <c r="B2769" s="1" t="str">
        <f ca="1">IFERROR(__xludf.DUMMYFUNCTION("""COMPUTED_VALUE"""),"Carlo Sache")</f>
        <v>Carlo Sache</v>
      </c>
      <c r="C2769" s="1" t="str">
        <f ca="1">IFERROR(__xludf.DUMMYFUNCTION("""COMPUTED_VALUE"""),"Carlo")</f>
        <v>Carlo</v>
      </c>
      <c r="D2769" s="1" t="str">
        <f ca="1">IFERROR(__xludf.DUMMYFUNCTION("""COMPUTED_VALUE"""),"Sache")</f>
        <v>Sache</v>
      </c>
      <c r="E2769" s="1" t="str">
        <f ca="1">IFERROR(__xludf.DUMMYFUNCTION("""COMPUTED_VALUE"""),"Celeste Dietert look whose talking too, comment kagad di man lang inintindi.")</f>
        <v>Celeste Dietert look whose talking too, comment kagad di man lang inintindi.</v>
      </c>
      <c r="F2769" s="1"/>
      <c r="G2769" s="1" t="str">
        <f ca="1">IFERROR(__xludf.DUMMYFUNCTION("""COMPUTED_VALUE"""),"3 mos")</f>
        <v>3 mos</v>
      </c>
      <c r="H2769" s="1" t="str">
        <f ca="1">IFERROR(__xludf.DUMMYFUNCTION("""COMPUTED_VALUE"""),"reply")</f>
        <v>reply</v>
      </c>
      <c r="I2769" s="2" t="str">
        <f ca="1">IFERROR(__xludf.DUMMYFUNCTION("""COMPUTED_VALUE"""),"https://www.facebook.com/rapplerdotcom/photos/a.317154781638645/5594453700575367/")</f>
        <v>https://www.facebook.com/rapplerdotcom/photos/a.317154781638645/5594453700575367/</v>
      </c>
      <c r="J2769" s="1" t="str">
        <f ca="1">IFERROR(__xludf.DUMMYFUNCTION("""COMPUTED_VALUE"""),"2022-07-04T15:53:36.543Z")</f>
        <v>2022-07-04T15:53:36.543Z</v>
      </c>
    </row>
    <row r="2770" spans="1:10" x14ac:dyDescent="0.2">
      <c r="A2770" s="2" t="str">
        <f ca="1">IFERROR(__xludf.DUMMYFUNCTION("""COMPUTED_VALUE"""),"https://www.facebook.com/hellbladesxiii")</f>
        <v>https://www.facebook.com/hellbladesxiii</v>
      </c>
      <c r="B2770" s="1" t="str">
        <f ca="1">IFERROR(__xludf.DUMMYFUNCTION("""COMPUTED_VALUE"""),"Diel Monzon")</f>
        <v>Diel Monzon</v>
      </c>
      <c r="C2770" s="1" t="str">
        <f ca="1">IFERROR(__xludf.DUMMYFUNCTION("""COMPUTED_VALUE"""),"Diel")</f>
        <v>Diel</v>
      </c>
      <c r="D2770" s="1" t="str">
        <f ca="1">IFERROR(__xludf.DUMMYFUNCTION("""COMPUTED_VALUE"""),"Monzon")</f>
        <v>Monzon</v>
      </c>
      <c r="E2770" s="1" t="str">
        <f ca="1">IFERROR(__xludf.DUMMYFUNCTION("""COMPUTED_VALUE"""),"yung isa din mahilig sa absent, absentee as governor, absentee as senator, absentee sa debate, absent minded nga din pag tinanong.")</f>
        <v>yung isa din mahilig sa absent, absentee as governor, absentee as senator, absentee sa debate, absent minded nga din pag tinanong.</v>
      </c>
      <c r="F2770" s="1">
        <f ca="1">IFERROR(__xludf.DUMMYFUNCTION("""COMPUTED_VALUE"""),4)</f>
        <v>4</v>
      </c>
      <c r="G2770" s="1" t="str">
        <f ca="1">IFERROR(__xludf.DUMMYFUNCTION("""COMPUTED_VALUE"""),"3 mos")</f>
        <v>3 mos</v>
      </c>
      <c r="H2770" s="1" t="str">
        <f ca="1">IFERROR(__xludf.DUMMYFUNCTION("""COMPUTED_VALUE"""),"reply")</f>
        <v>reply</v>
      </c>
      <c r="I2770" s="2" t="str">
        <f ca="1">IFERROR(__xludf.DUMMYFUNCTION("""COMPUTED_VALUE"""),"https://www.facebook.com/rapplerdotcom/photos/a.317154781638645/5594453700575367/")</f>
        <v>https://www.facebook.com/rapplerdotcom/photos/a.317154781638645/5594453700575367/</v>
      </c>
      <c r="J2770" s="1" t="str">
        <f ca="1">IFERROR(__xludf.DUMMYFUNCTION("""COMPUTED_VALUE"""),"2022-07-04T15:53:36.543Z")</f>
        <v>2022-07-04T15:53:36.543Z</v>
      </c>
    </row>
    <row r="2771" spans="1:10" x14ac:dyDescent="0.2">
      <c r="A2771" s="2" t="str">
        <f ca="1">IFERROR(__xludf.DUMMYFUNCTION("""COMPUTED_VALUE"""),"https://www.facebook.com/escalante.diwata")</f>
        <v>https://www.facebook.com/escalante.diwata</v>
      </c>
      <c r="B2771" s="1" t="str">
        <f ca="1">IFERROR(__xludf.DUMMYFUNCTION("""COMPUTED_VALUE"""),"Diwata Escalante")</f>
        <v>Diwata Escalante</v>
      </c>
      <c r="C2771" s="1" t="str">
        <f ca="1">IFERROR(__xludf.DUMMYFUNCTION("""COMPUTED_VALUE"""),"Diwata")</f>
        <v>Diwata</v>
      </c>
      <c r="D2771" s="1" t="str">
        <f ca="1">IFERROR(__xludf.DUMMYFUNCTION("""COMPUTED_VALUE"""),"Escalante")</f>
        <v>Escalante</v>
      </c>
      <c r="E2771" s="1" t="str">
        <f ca="1">IFERROR(__xludf.DUMMYFUNCTION("""COMPUTED_VALUE"""),"Celeste Dietert can you")</f>
        <v>Celeste Dietert can you</v>
      </c>
      <c r="F2771" s="1"/>
      <c r="G2771" s="1" t="str">
        <f ca="1">IFERROR(__xludf.DUMMYFUNCTION("""COMPUTED_VALUE"""),"3 mos")</f>
        <v>3 mos</v>
      </c>
      <c r="H2771" s="1" t="str">
        <f ca="1">IFERROR(__xludf.DUMMYFUNCTION("""COMPUTED_VALUE"""),"reply")</f>
        <v>reply</v>
      </c>
      <c r="I2771" s="2" t="str">
        <f ca="1">IFERROR(__xludf.DUMMYFUNCTION("""COMPUTED_VALUE"""),"https://www.facebook.com/rapplerdotcom/photos/a.317154781638645/5594453700575367/")</f>
        <v>https://www.facebook.com/rapplerdotcom/photos/a.317154781638645/5594453700575367/</v>
      </c>
      <c r="J2771" s="1" t="str">
        <f ca="1">IFERROR(__xludf.DUMMYFUNCTION("""COMPUTED_VALUE"""),"2022-07-04T15:53:36.543Z")</f>
        <v>2022-07-04T15:53:36.543Z</v>
      </c>
    </row>
    <row r="2772" spans="1:10" x14ac:dyDescent="0.2">
      <c r="A2772" s="2" t="str">
        <f ca="1">IFERROR(__xludf.DUMMYFUNCTION("""COMPUTED_VALUE"""),"https://www.facebook.com/TheWillsanity")</f>
        <v>https://www.facebook.com/TheWillsanity</v>
      </c>
      <c r="B2772" s="1" t="str">
        <f ca="1">IFERROR(__xludf.DUMMYFUNCTION("""COMPUTED_VALUE"""),"Will Santos")</f>
        <v>Will Santos</v>
      </c>
      <c r="C2772" s="1" t="str">
        <f ca="1">IFERROR(__xludf.DUMMYFUNCTION("""COMPUTED_VALUE"""),"Will")</f>
        <v>Will</v>
      </c>
      <c r="D2772" s="1" t="str">
        <f ca="1">IFERROR(__xludf.DUMMYFUNCTION("""COMPUTED_VALUE"""),"Santos")</f>
        <v>Santos</v>
      </c>
      <c r="E2772" s="1" t="str">
        <f ca="1">IFERROR(__xludf.DUMMYFUNCTION("""COMPUTED_VALUE"""),"Celeste Dietert idol mo nga college dropout eh. 🤷‍♂️ stupido")</f>
        <v>Celeste Dietert idol mo nga college dropout eh. 🤷‍♂️ stupido</v>
      </c>
      <c r="F2772" s="1"/>
      <c r="G2772" s="1" t="str">
        <f ca="1">IFERROR(__xludf.DUMMYFUNCTION("""COMPUTED_VALUE"""),"3 mos")</f>
        <v>3 mos</v>
      </c>
      <c r="H2772" s="1" t="str">
        <f ca="1">IFERROR(__xludf.DUMMYFUNCTION("""COMPUTED_VALUE"""),"reply")</f>
        <v>reply</v>
      </c>
      <c r="I2772" s="2" t="str">
        <f ca="1">IFERROR(__xludf.DUMMYFUNCTION("""COMPUTED_VALUE"""),"https://www.facebook.com/rapplerdotcom/photos/a.317154781638645/5594453700575367/")</f>
        <v>https://www.facebook.com/rapplerdotcom/photos/a.317154781638645/5594453700575367/</v>
      </c>
      <c r="J2772" s="1" t="str">
        <f ca="1">IFERROR(__xludf.DUMMYFUNCTION("""COMPUTED_VALUE"""),"2022-07-04T15:53:36.543Z")</f>
        <v>2022-07-04T15:53:36.543Z</v>
      </c>
    </row>
    <row r="2773" spans="1:10" x14ac:dyDescent="0.2">
      <c r="A2773" s="2" t="str">
        <f ca="1">IFERROR(__xludf.DUMMYFUNCTION("""COMPUTED_VALUE"""),"https://www.facebook.com/profile.php?id=100013129274631")</f>
        <v>https://www.facebook.com/profile.php?id=100013129274631</v>
      </c>
      <c r="B2773" s="1" t="str">
        <f ca="1">IFERROR(__xludf.DUMMYFUNCTION("""COMPUTED_VALUE"""),"Pang de Lira")</f>
        <v>Pang de Lira</v>
      </c>
      <c r="C2773" s="1" t="str">
        <f ca="1">IFERROR(__xludf.DUMMYFUNCTION("""COMPUTED_VALUE"""),"Pang")</f>
        <v>Pang</v>
      </c>
      <c r="D2773" s="1" t="str">
        <f ca="1">IFERROR(__xludf.DUMMYFUNCTION("""COMPUTED_VALUE"""),"de Lira")</f>
        <v>de Lira</v>
      </c>
      <c r="E2773" s="1" t="str">
        <f ca="1">IFERROR(__xludf.DUMMYFUNCTION("""COMPUTED_VALUE"""),"Celeste Dietert you need the food for the brain more.")</f>
        <v>Celeste Dietert you need the food for the brain more.</v>
      </c>
      <c r="F2773" s="1"/>
      <c r="G2773" s="1" t="str">
        <f ca="1">IFERROR(__xludf.DUMMYFUNCTION("""COMPUTED_VALUE"""),"3 mos")</f>
        <v>3 mos</v>
      </c>
      <c r="H2773" s="1" t="str">
        <f ca="1">IFERROR(__xludf.DUMMYFUNCTION("""COMPUTED_VALUE"""),"reply")</f>
        <v>reply</v>
      </c>
      <c r="I2773" s="2" t="str">
        <f ca="1">IFERROR(__xludf.DUMMYFUNCTION("""COMPUTED_VALUE"""),"https://www.facebook.com/rapplerdotcom/photos/a.317154781638645/5594453700575367/")</f>
        <v>https://www.facebook.com/rapplerdotcom/photos/a.317154781638645/5594453700575367/</v>
      </c>
      <c r="J2773" s="1" t="str">
        <f ca="1">IFERROR(__xludf.DUMMYFUNCTION("""COMPUTED_VALUE"""),"2022-07-04T15:53:36.543Z")</f>
        <v>2022-07-04T15:53:36.543Z</v>
      </c>
    </row>
    <row r="2774" spans="1:10" x14ac:dyDescent="0.2">
      <c r="A2774" s="2" t="str">
        <f ca="1">IFERROR(__xludf.DUMMYFUNCTION("""COMPUTED_VALUE"""),"https://www.facebook.com/austinmarkmccree")</f>
        <v>https://www.facebook.com/austinmarkmccree</v>
      </c>
      <c r="B2774" s="1" t="str">
        <f ca="1">IFERROR(__xludf.DUMMYFUNCTION("""COMPUTED_VALUE"""),"Austin McCree")</f>
        <v>Austin McCree</v>
      </c>
      <c r="C2774" s="1" t="str">
        <f ca="1">IFERROR(__xludf.DUMMYFUNCTION("""COMPUTED_VALUE"""),"Austin")</f>
        <v>Austin</v>
      </c>
      <c r="D2774" s="1" t="str">
        <f ca="1">IFERROR(__xludf.DUMMYFUNCTION("""COMPUTED_VALUE"""),"McCree")</f>
        <v>McCree</v>
      </c>
      <c r="E2774" s="1" t="str">
        <f ca="1">IFERROR(__xludf.DUMMYFUNCTION("""COMPUTED_VALUE"""),"Celeste Dietert Well it's not like he actually wrote any laws when he WAS there lol. ""Principal author"" signature on some, but he had little to nothing to do with actually writing them.  Still, he's correct here regardless. This is not the time for what"&amp;"aboutisms, this is the time for examining statements to see if they have merit.")</f>
        <v>Celeste Dietert Well it's not like he actually wrote any laws when he WAS there lol. "Principal author" signature on some, but he had little to nothing to do with actually writing them.  Still, he's correct here regardless. This is not the time for whataboutisms, this is the time for examining statements to see if they have merit.</v>
      </c>
      <c r="F2774" s="1"/>
      <c r="G2774" s="1" t="str">
        <f ca="1">IFERROR(__xludf.DUMMYFUNCTION("""COMPUTED_VALUE"""),"3 mos")</f>
        <v>3 mos</v>
      </c>
      <c r="H2774" s="1" t="str">
        <f ca="1">IFERROR(__xludf.DUMMYFUNCTION("""COMPUTED_VALUE"""),"reply")</f>
        <v>reply</v>
      </c>
      <c r="I2774" s="2" t="str">
        <f ca="1">IFERROR(__xludf.DUMMYFUNCTION("""COMPUTED_VALUE"""),"https://www.facebook.com/rapplerdotcom/photos/a.317154781638645/5594453700575367/")</f>
        <v>https://www.facebook.com/rapplerdotcom/photos/a.317154781638645/5594453700575367/</v>
      </c>
      <c r="J2774" s="1" t="str">
        <f ca="1">IFERROR(__xludf.DUMMYFUNCTION("""COMPUTED_VALUE"""),"2022-07-04T15:53:36.543Z")</f>
        <v>2022-07-04T15:53:36.543Z</v>
      </c>
    </row>
    <row r="2775" spans="1:10" x14ac:dyDescent="0.2">
      <c r="A2775" s="2" t="str">
        <f ca="1">IFERROR(__xludf.DUMMYFUNCTION("""COMPUTED_VALUE"""),"https://www.facebook.com/profile.php?id=100075733818877")</f>
        <v>https://www.facebook.com/profile.php?id=100075733818877</v>
      </c>
      <c r="B2775" s="1" t="str">
        <f ca="1">IFERROR(__xludf.DUMMYFUNCTION("""COMPUTED_VALUE"""),"Fu Bu")</f>
        <v>Fu Bu</v>
      </c>
      <c r="C2775" s="1" t="str">
        <f ca="1">IFERROR(__xludf.DUMMYFUNCTION("""COMPUTED_VALUE"""),"Fu")</f>
        <v>Fu</v>
      </c>
      <c r="D2775" s="1" t="str">
        <f ca="1">IFERROR(__xludf.DUMMYFUNCTION("""COMPUTED_VALUE"""),"Bu")</f>
        <v>Bu</v>
      </c>
      <c r="E2775" s="1" t="str">
        <f ca="1">IFERROR(__xludf.DUMMYFUNCTION("""COMPUTED_VALUE"""),"Gerard Joseph Rojano Turiano Sa tingin mo sino ba sa kanila ang malinis, eh halos lahat naman sila puro may bahid eh.")</f>
        <v>Gerard Joseph Rojano Turiano Sa tingin mo sino ba sa kanila ang malinis, eh halos lahat naman sila puro may bahid eh.</v>
      </c>
      <c r="F2775" s="1"/>
      <c r="G2775" s="1" t="str">
        <f ca="1">IFERROR(__xludf.DUMMYFUNCTION("""COMPUTED_VALUE"""),"3 mos")</f>
        <v>3 mos</v>
      </c>
      <c r="H2775" s="1" t="str">
        <f ca="1">IFERROR(__xludf.DUMMYFUNCTION("""COMPUTED_VALUE"""),"reply")</f>
        <v>reply</v>
      </c>
      <c r="I2775" s="2" t="str">
        <f ca="1">IFERROR(__xludf.DUMMYFUNCTION("""COMPUTED_VALUE"""),"https://www.facebook.com/rapplerdotcom/photos/a.317154781638645/5594453700575367/")</f>
        <v>https://www.facebook.com/rapplerdotcom/photos/a.317154781638645/5594453700575367/</v>
      </c>
      <c r="J2775" s="1" t="str">
        <f ca="1">IFERROR(__xludf.DUMMYFUNCTION("""COMPUTED_VALUE"""),"2022-07-04T15:53:36.543Z")</f>
        <v>2022-07-04T15:53:36.543Z</v>
      </c>
    </row>
    <row r="2776" spans="1:10" x14ac:dyDescent="0.2">
      <c r="A2776" s="2" t="str">
        <f ca="1">IFERROR(__xludf.DUMMYFUNCTION("""COMPUTED_VALUE"""),"https://www.facebook.com/gloria.buaron")</f>
        <v>https://www.facebook.com/gloria.buaron</v>
      </c>
      <c r="B2776" s="1" t="str">
        <f ca="1">IFERROR(__xludf.DUMMYFUNCTION("""COMPUTED_VALUE"""),"Gloria Lucerna Zuyco")</f>
        <v>Gloria Lucerna Zuyco</v>
      </c>
      <c r="C2776" s="1" t="str">
        <f ca="1">IFERROR(__xludf.DUMMYFUNCTION("""COMPUTED_VALUE"""),"Gloria")</f>
        <v>Gloria</v>
      </c>
      <c r="D2776" s="1" t="str">
        <f ca="1">IFERROR(__xludf.DUMMYFUNCTION("""COMPUTED_VALUE"""),"Lucerna Zuyco")</f>
        <v>Lucerna Zuyco</v>
      </c>
      <c r="E2776" s="1" t="str">
        <f ca="1">IFERROR(__xludf.DUMMYFUNCTION("""COMPUTED_VALUE"""),"Manny,  please give your support to deserving one. Here, i agree to you personally.")</f>
        <v>Manny,  please give your support to deserving one. Here, i agree to you personally.</v>
      </c>
      <c r="F2776" s="1">
        <f ca="1">IFERROR(__xludf.DUMMYFUNCTION("""COMPUTED_VALUE"""),74)</f>
        <v>74</v>
      </c>
      <c r="G2776" s="1" t="str">
        <f ca="1">IFERROR(__xludf.DUMMYFUNCTION("""COMPUTED_VALUE"""),"3 mos")</f>
        <v>3 mos</v>
      </c>
      <c r="H2776" s="1" t="str">
        <f ca="1">IFERROR(__xludf.DUMMYFUNCTION("""COMPUTED_VALUE"""),"comment")</f>
        <v>comment</v>
      </c>
      <c r="I2776" s="2" t="str">
        <f ca="1">IFERROR(__xludf.DUMMYFUNCTION("""COMPUTED_VALUE"""),"https://www.facebook.com/rapplerdotcom/photos/a.317154781638645/5594453700575367/")</f>
        <v>https://www.facebook.com/rapplerdotcom/photos/a.317154781638645/5594453700575367/</v>
      </c>
      <c r="J2776" s="1" t="str">
        <f ca="1">IFERROR(__xludf.DUMMYFUNCTION("""COMPUTED_VALUE"""),"2022-07-04T15:53:36.543Z")</f>
        <v>2022-07-04T15:53:36.543Z</v>
      </c>
    </row>
    <row r="2777" spans="1:10" x14ac:dyDescent="0.2">
      <c r="A2777" s="2" t="str">
        <f ca="1">IFERROR(__xludf.DUMMYFUNCTION("""COMPUTED_VALUE"""),"https://www.facebook.com/ester.yu.7")</f>
        <v>https://www.facebook.com/ester.yu.7</v>
      </c>
      <c r="B2777" s="1" t="str">
        <f ca="1">IFERROR(__xludf.DUMMYFUNCTION("""COMPUTED_VALUE"""),"Ester Yu")</f>
        <v>Ester Yu</v>
      </c>
      <c r="C2777" s="1" t="str">
        <f ca="1">IFERROR(__xludf.DUMMYFUNCTION("""COMPUTED_VALUE"""),"Ester")</f>
        <v>Ester</v>
      </c>
      <c r="D2777" s="1" t="str">
        <f ca="1">IFERROR(__xludf.DUMMYFUNCTION("""COMPUTED_VALUE"""),"Yu")</f>
        <v>Yu</v>
      </c>
      <c r="E2777" s="1" t="str">
        <f ca="1">IFERROR(__xludf.DUMMYFUNCTION("""COMPUTED_VALUE"""),"Gloria Lucerna Zuyco bakit isko and pacman wala ng ibang agenda at topic puro si bongbong nalang presidentiable ba ang mga yon")</f>
        <v>Gloria Lucerna Zuyco bakit isko and pacman wala ng ibang agenda at topic puro si bongbong nalang presidentiable ba ang mga yon</v>
      </c>
      <c r="F2777" s="1">
        <f ca="1">IFERROR(__xludf.DUMMYFUNCTION("""COMPUTED_VALUE"""),1)</f>
        <v>1</v>
      </c>
      <c r="G2777" s="1" t="str">
        <f ca="1">IFERROR(__xludf.DUMMYFUNCTION("""COMPUTED_VALUE"""),"3 mos")</f>
        <v>3 mos</v>
      </c>
      <c r="H2777" s="1" t="str">
        <f ca="1">IFERROR(__xludf.DUMMYFUNCTION("""COMPUTED_VALUE"""),"reply")</f>
        <v>reply</v>
      </c>
      <c r="I2777" s="2" t="str">
        <f ca="1">IFERROR(__xludf.DUMMYFUNCTION("""COMPUTED_VALUE"""),"https://www.facebook.com/rapplerdotcom/photos/a.317154781638645/5594453700575367/")</f>
        <v>https://www.facebook.com/rapplerdotcom/photos/a.317154781638645/5594453700575367/</v>
      </c>
      <c r="J2777" s="1" t="str">
        <f ca="1">IFERROR(__xludf.DUMMYFUNCTION("""COMPUTED_VALUE"""),"2022-07-04T15:53:36.543Z")</f>
        <v>2022-07-04T15:53:36.543Z</v>
      </c>
    </row>
    <row r="2778" spans="1:10" x14ac:dyDescent="0.2">
      <c r="A2778" s="2" t="str">
        <f ca="1">IFERROR(__xludf.DUMMYFUNCTION("""COMPUTED_VALUE"""),"https://www.facebook.com/zuemelville101")</f>
        <v>https://www.facebook.com/zuemelville101</v>
      </c>
      <c r="B2778" s="1" t="str">
        <f ca="1">IFERROR(__xludf.DUMMYFUNCTION("""COMPUTED_VALUE"""),"Zue Libkaj Delos Reyes")</f>
        <v>Zue Libkaj Delos Reyes</v>
      </c>
      <c r="C2778" s="1" t="str">
        <f ca="1">IFERROR(__xludf.DUMMYFUNCTION("""COMPUTED_VALUE"""),"Zue")</f>
        <v>Zue</v>
      </c>
      <c r="D2778" s="1" t="str">
        <f ca="1">IFERROR(__xludf.DUMMYFUNCTION("""COMPUTED_VALUE"""),"Libkaj Delos Reyes")</f>
        <v>Libkaj Delos Reyes</v>
      </c>
      <c r="E2778" s="1" t="str">
        <f ca="1">IFERROR(__xludf.DUMMYFUNCTION("""COMPUTED_VALUE"""),"Ester Yu wala naman sya sinabi na si Bongbong yan 😂")</f>
        <v>Ester Yu wala naman sya sinabi na si Bongbong yan 😂</v>
      </c>
      <c r="F2778" s="1">
        <f ca="1">IFERROR(__xludf.DUMMYFUNCTION("""COMPUTED_VALUE"""),5)</f>
        <v>5</v>
      </c>
      <c r="G2778" s="1" t="str">
        <f ca="1">IFERROR(__xludf.DUMMYFUNCTION("""COMPUTED_VALUE"""),"3 mos")</f>
        <v>3 mos</v>
      </c>
      <c r="H2778" s="1" t="str">
        <f ca="1">IFERROR(__xludf.DUMMYFUNCTION("""COMPUTED_VALUE"""),"reply")</f>
        <v>reply</v>
      </c>
      <c r="I2778" s="2" t="str">
        <f ca="1">IFERROR(__xludf.DUMMYFUNCTION("""COMPUTED_VALUE"""),"https://www.facebook.com/rapplerdotcom/photos/a.317154781638645/5594453700575367/")</f>
        <v>https://www.facebook.com/rapplerdotcom/photos/a.317154781638645/5594453700575367/</v>
      </c>
      <c r="J2778" s="1" t="str">
        <f ca="1">IFERROR(__xludf.DUMMYFUNCTION("""COMPUTED_VALUE"""),"2022-07-04T15:53:36.543Z")</f>
        <v>2022-07-04T15:53:36.543Z</v>
      </c>
    </row>
    <row r="2779" spans="1:10" x14ac:dyDescent="0.2">
      <c r="A2779" s="2" t="str">
        <f ca="1">IFERROR(__xludf.DUMMYFUNCTION("""COMPUTED_VALUE"""),"https://www.facebook.com/akihiro.sato.940098")</f>
        <v>https://www.facebook.com/akihiro.sato.940098</v>
      </c>
      <c r="B2779" s="1" t="str">
        <f ca="1">IFERROR(__xludf.DUMMYFUNCTION("""COMPUTED_VALUE"""),"Santos Helbert")</f>
        <v>Santos Helbert</v>
      </c>
      <c r="C2779" s="1" t="str">
        <f ca="1">IFERROR(__xludf.DUMMYFUNCTION("""COMPUTED_VALUE"""),"Santos")</f>
        <v>Santos</v>
      </c>
      <c r="D2779" s="1" t="str">
        <f ca="1">IFERROR(__xludf.DUMMYFUNCTION("""COMPUTED_VALUE"""),"Helbert")</f>
        <v>Helbert</v>
      </c>
      <c r="E2779" s="1" t="str">
        <f ca="1">IFERROR(__xludf.DUMMYFUNCTION("""COMPUTED_VALUE"""),"Say Say may nasaktan, umaray si ate 😂")</f>
        <v>Say Say may nasaktan, umaray si ate 😂</v>
      </c>
      <c r="F2779" s="1">
        <f ca="1">IFERROR(__xludf.DUMMYFUNCTION("""COMPUTED_VALUE"""),3)</f>
        <v>3</v>
      </c>
      <c r="G2779" s="1" t="str">
        <f ca="1">IFERROR(__xludf.DUMMYFUNCTION("""COMPUTED_VALUE"""),"3 mos")</f>
        <v>3 mos</v>
      </c>
      <c r="H2779" s="1" t="str">
        <f ca="1">IFERROR(__xludf.DUMMYFUNCTION("""COMPUTED_VALUE"""),"reply")</f>
        <v>reply</v>
      </c>
      <c r="I2779" s="2" t="str">
        <f ca="1">IFERROR(__xludf.DUMMYFUNCTION("""COMPUTED_VALUE"""),"https://www.facebook.com/rapplerdotcom/photos/a.317154781638645/5594453700575367/")</f>
        <v>https://www.facebook.com/rapplerdotcom/photos/a.317154781638645/5594453700575367/</v>
      </c>
      <c r="J2779" s="1" t="str">
        <f ca="1">IFERROR(__xludf.DUMMYFUNCTION("""COMPUTED_VALUE"""),"2022-07-04T15:53:36.543Z")</f>
        <v>2022-07-04T15:53:36.543Z</v>
      </c>
    </row>
    <row r="2780" spans="1:10" x14ac:dyDescent="0.2">
      <c r="A2780" s="2" t="str">
        <f ca="1">IFERROR(__xludf.DUMMYFUNCTION("""COMPUTED_VALUE"""),"https://www.facebook.com/knavejoshuamarquez")</f>
        <v>https://www.facebook.com/knavejoshuamarquez</v>
      </c>
      <c r="B2780" s="1" t="str">
        <f ca="1">IFERROR(__xludf.DUMMYFUNCTION("""COMPUTED_VALUE"""),"Knave Joshua Fabro Marquez")</f>
        <v>Knave Joshua Fabro Marquez</v>
      </c>
      <c r="C2780" s="1" t="str">
        <f ca="1">IFERROR(__xludf.DUMMYFUNCTION("""COMPUTED_VALUE"""),"Knave")</f>
        <v>Knave</v>
      </c>
      <c r="D2780" s="1" t="str">
        <f ca="1">IFERROR(__xludf.DUMMYFUNCTION("""COMPUTED_VALUE"""),"Joshua Fabro Marquez")</f>
        <v>Joshua Fabro Marquez</v>
      </c>
      <c r="E2780" s="1" t="str">
        <f ca="1">IFERROR(__xludf.DUMMYFUNCTION("""COMPUTED_VALUE"""),"Say Say di na nila ma-deny kasi eh 😂🤣")</f>
        <v>Say Say di na nila ma-deny kasi eh 😂🤣</v>
      </c>
      <c r="F2780" s="1">
        <f ca="1">IFERROR(__xludf.DUMMYFUNCTION("""COMPUTED_VALUE"""),2)</f>
        <v>2</v>
      </c>
      <c r="G2780" s="1" t="str">
        <f ca="1">IFERROR(__xludf.DUMMYFUNCTION("""COMPUTED_VALUE"""),"3 mos")</f>
        <v>3 mos</v>
      </c>
      <c r="H2780" s="1" t="str">
        <f ca="1">IFERROR(__xludf.DUMMYFUNCTION("""COMPUTED_VALUE"""),"reply")</f>
        <v>reply</v>
      </c>
      <c r="I2780" s="2" t="str">
        <f ca="1">IFERROR(__xludf.DUMMYFUNCTION("""COMPUTED_VALUE"""),"https://www.facebook.com/rapplerdotcom/photos/a.317154781638645/5594453700575367/")</f>
        <v>https://www.facebook.com/rapplerdotcom/photos/a.317154781638645/5594453700575367/</v>
      </c>
      <c r="J2780" s="1" t="str">
        <f ca="1">IFERROR(__xludf.DUMMYFUNCTION("""COMPUTED_VALUE"""),"2022-07-04T15:53:36.544Z")</f>
        <v>2022-07-04T15:53:36.544Z</v>
      </c>
    </row>
    <row r="2781" spans="1:10" x14ac:dyDescent="0.2">
      <c r="A2781" s="2" t="str">
        <f ca="1">IFERROR(__xludf.DUMMYFUNCTION("""COMPUTED_VALUE"""),"https://www.facebook.com/eg.forondaheydarian")</f>
        <v>https://www.facebook.com/eg.forondaheydarian</v>
      </c>
      <c r="B2781" s="1" t="str">
        <f ca="1">IFERROR(__xludf.DUMMYFUNCTION("""COMPUTED_VALUE"""),"EG Vanch P Foronda")</f>
        <v>EG Vanch P Foronda</v>
      </c>
      <c r="C2781" s="1" t="str">
        <f ca="1">IFERROR(__xludf.DUMMYFUNCTION("""COMPUTED_VALUE"""),"EG")</f>
        <v>EG</v>
      </c>
      <c r="D2781" s="1" t="str">
        <f ca="1">IFERROR(__xludf.DUMMYFUNCTION("""COMPUTED_VALUE"""),"Vanch P Foronda")</f>
        <v>Vanch P Foronda</v>
      </c>
      <c r="E2781" s="1" t="str">
        <f ca="1">IFERROR(__xludf.DUMMYFUNCTION("""COMPUTED_VALUE"""),"God Bless you Manny: you are a truly the soldier of God:keep leading our young generations :they are lost as meek lambs.")</f>
        <v>God Bless you Manny: you are a truly the soldier of God:keep leading our young generations :they are lost as meek lambs.</v>
      </c>
      <c r="F2781" s="1">
        <f ca="1">IFERROR(__xludf.DUMMYFUNCTION("""COMPUTED_VALUE"""),7)</f>
        <v>7</v>
      </c>
      <c r="G2781" s="1" t="str">
        <f ca="1">IFERROR(__xludf.DUMMYFUNCTION("""COMPUTED_VALUE"""),"3 mos")</f>
        <v>3 mos</v>
      </c>
      <c r="H2781" s="1" t="str">
        <f ca="1">IFERROR(__xludf.DUMMYFUNCTION("""COMPUTED_VALUE"""),"comment")</f>
        <v>comment</v>
      </c>
      <c r="I2781" s="2" t="str">
        <f ca="1">IFERROR(__xludf.DUMMYFUNCTION("""COMPUTED_VALUE"""),"https://www.facebook.com/rapplerdotcom/photos/a.317154781638645/5594453700575367/")</f>
        <v>https://www.facebook.com/rapplerdotcom/photos/a.317154781638645/5594453700575367/</v>
      </c>
      <c r="J2781" s="1" t="str">
        <f ca="1">IFERROR(__xludf.DUMMYFUNCTION("""COMPUTED_VALUE"""),"2022-07-04T15:53:36.544Z")</f>
        <v>2022-07-04T15:53:36.544Z</v>
      </c>
    </row>
    <row r="2782" spans="1:10" x14ac:dyDescent="0.2">
      <c r="A2782" s="2" t="str">
        <f ca="1">IFERROR(__xludf.DUMMYFUNCTION("""COMPUTED_VALUE"""),"https://www.facebook.com/bonny.dimayuga")</f>
        <v>https://www.facebook.com/bonny.dimayuga</v>
      </c>
      <c r="B2782" s="1" t="str">
        <f ca="1">IFERROR(__xludf.DUMMYFUNCTION("""COMPUTED_VALUE"""),"Bonny E. Dimayuga")</f>
        <v>Bonny E. Dimayuga</v>
      </c>
      <c r="C2782" s="1" t="str">
        <f ca="1">IFERROR(__xludf.DUMMYFUNCTION("""COMPUTED_VALUE"""),"Bonny")</f>
        <v>Bonny</v>
      </c>
      <c r="D2782" s="1" t="str">
        <f ca="1">IFERROR(__xludf.DUMMYFUNCTION("""COMPUTED_VALUE"""),"E. Dimayuga")</f>
        <v>E. Dimayuga</v>
      </c>
      <c r="E2782" s="1" t="str">
        <f ca="1">IFERROR(__xludf.DUMMYFUNCTION("""COMPUTED_VALUE"""),"I salute Manny for his candor and forthright views. I may not agree with some of his views and will not vote for him but he is being true to himself.")</f>
        <v>I salute Manny for his candor and forthright views. I may not agree with some of his views and will not vote for him but he is being true to himself.</v>
      </c>
      <c r="F2782" s="1">
        <f ca="1">IFERROR(__xludf.DUMMYFUNCTION("""COMPUTED_VALUE"""),2)</f>
        <v>2</v>
      </c>
      <c r="G2782" s="1" t="str">
        <f ca="1">IFERROR(__xludf.DUMMYFUNCTION("""COMPUTED_VALUE"""),"3 mos")</f>
        <v>3 mos</v>
      </c>
      <c r="H2782" s="1" t="str">
        <f ca="1">IFERROR(__xludf.DUMMYFUNCTION("""COMPUTED_VALUE"""),"comment")</f>
        <v>comment</v>
      </c>
      <c r="I2782" s="2" t="str">
        <f ca="1">IFERROR(__xludf.DUMMYFUNCTION("""COMPUTED_VALUE"""),"https://www.facebook.com/rapplerdotcom/photos/a.317154781638645/5594453700575367/")</f>
        <v>https://www.facebook.com/rapplerdotcom/photos/a.317154781638645/5594453700575367/</v>
      </c>
      <c r="J2782" s="1" t="str">
        <f ca="1">IFERROR(__xludf.DUMMYFUNCTION("""COMPUTED_VALUE"""),"2022-07-04T15:53:36.544Z")</f>
        <v>2022-07-04T15:53:36.544Z</v>
      </c>
    </row>
    <row r="2783" spans="1:10" x14ac:dyDescent="0.2">
      <c r="A2783" s="2" t="str">
        <f ca="1">IFERROR(__xludf.DUMMYFUNCTION("""COMPUTED_VALUE"""),"https://www.facebook.com/profile.php?id=100010227300304")</f>
        <v>https://www.facebook.com/profile.php?id=100010227300304</v>
      </c>
      <c r="B2783" s="1" t="str">
        <f ca="1">IFERROR(__xludf.DUMMYFUNCTION("""COMPUTED_VALUE"""),"Ador Cabalbag")</f>
        <v>Ador Cabalbag</v>
      </c>
      <c r="C2783" s="1" t="str">
        <f ca="1">IFERROR(__xludf.DUMMYFUNCTION("""COMPUTED_VALUE"""),"Ador")</f>
        <v>Ador</v>
      </c>
      <c r="D2783" s="1" t="str">
        <f ca="1">IFERROR(__xludf.DUMMYFUNCTION("""COMPUTED_VALUE"""),"Cabalbag")</f>
        <v>Cabalbag</v>
      </c>
      <c r="E2783" s="1" t="str">
        <f ca="1">IFERROR(__xludf.DUMMYFUNCTION("""COMPUTED_VALUE"""),"Totoo naman. We are always given a chance for change, but we always end up creating the mess ourselves.")</f>
        <v>Totoo naman. We are always given a chance for change, but we always end up creating the mess ourselves.</v>
      </c>
      <c r="F2783" s="1">
        <f ca="1">IFERROR(__xludf.DUMMYFUNCTION("""COMPUTED_VALUE"""),130)</f>
        <v>130</v>
      </c>
      <c r="G2783" s="1" t="str">
        <f ca="1">IFERROR(__xludf.DUMMYFUNCTION("""COMPUTED_VALUE"""),"3 mos")</f>
        <v>3 mos</v>
      </c>
      <c r="H2783" s="1" t="str">
        <f ca="1">IFERROR(__xludf.DUMMYFUNCTION("""COMPUTED_VALUE"""),"comment")</f>
        <v>comment</v>
      </c>
      <c r="I2783" s="2" t="str">
        <f ca="1">IFERROR(__xludf.DUMMYFUNCTION("""COMPUTED_VALUE"""),"https://www.facebook.com/rapplerdotcom/photos/a.317154781638645/5594453700575367/")</f>
        <v>https://www.facebook.com/rapplerdotcom/photos/a.317154781638645/5594453700575367/</v>
      </c>
      <c r="J2783" s="1" t="str">
        <f ca="1">IFERROR(__xludf.DUMMYFUNCTION("""COMPUTED_VALUE"""),"2022-07-04T15:53:36.544Z")</f>
        <v>2022-07-04T15:53:36.544Z</v>
      </c>
    </row>
    <row r="2784" spans="1:10" x14ac:dyDescent="0.2">
      <c r="A2784" s="2" t="str">
        <f ca="1">IFERROR(__xludf.DUMMYFUNCTION("""COMPUTED_VALUE"""),"https://www.facebook.com/jessie.villagracia.37")</f>
        <v>https://www.facebook.com/jessie.villagracia.37</v>
      </c>
      <c r="B2784" s="1" t="str">
        <f ca="1">IFERROR(__xludf.DUMMYFUNCTION("""COMPUTED_VALUE"""),"Jessie Villagracia")</f>
        <v>Jessie Villagracia</v>
      </c>
      <c r="C2784" s="1" t="str">
        <f ca="1">IFERROR(__xludf.DUMMYFUNCTION("""COMPUTED_VALUE"""),"Jessie")</f>
        <v>Jessie</v>
      </c>
      <c r="D2784" s="1" t="str">
        <f ca="1">IFERROR(__xludf.DUMMYFUNCTION("""COMPUTED_VALUE"""),"Villagracia")</f>
        <v>Villagracia</v>
      </c>
      <c r="E2784" s="1" t="str">
        <f ca="1">IFERROR(__xludf.DUMMYFUNCTION("""COMPUTED_VALUE"""),"May kanya2 isip tao hayaan nyo kong sino gusto wag nyo ddktahan")</f>
        <v>May kanya2 isip tao hayaan nyo kong sino gusto wag nyo ddktahan</v>
      </c>
      <c r="F2784" s="1">
        <f ca="1">IFERROR(__xludf.DUMMYFUNCTION("""COMPUTED_VALUE"""),6)</f>
        <v>6</v>
      </c>
      <c r="G2784" s="1" t="str">
        <f ca="1">IFERROR(__xludf.DUMMYFUNCTION("""COMPUTED_VALUE"""),"3 mos")</f>
        <v>3 mos</v>
      </c>
      <c r="H2784" s="1" t="str">
        <f ca="1">IFERROR(__xludf.DUMMYFUNCTION("""COMPUTED_VALUE"""),"reply")</f>
        <v>reply</v>
      </c>
      <c r="I2784" s="2" t="str">
        <f ca="1">IFERROR(__xludf.DUMMYFUNCTION("""COMPUTED_VALUE"""),"https://www.facebook.com/rapplerdotcom/photos/a.317154781638645/5594453700575367/")</f>
        <v>https://www.facebook.com/rapplerdotcom/photos/a.317154781638645/5594453700575367/</v>
      </c>
      <c r="J2784" s="1" t="str">
        <f ca="1">IFERROR(__xludf.DUMMYFUNCTION("""COMPUTED_VALUE"""),"2022-07-04T15:53:36.544Z")</f>
        <v>2022-07-04T15:53:36.544Z</v>
      </c>
    </row>
    <row r="2785" spans="1:10" x14ac:dyDescent="0.2">
      <c r="A2785" s="2" t="str">
        <f ca="1">IFERROR(__xludf.DUMMYFUNCTION("""COMPUTED_VALUE"""),"https://www.facebook.com/agnes.sanbuenaventura.9")</f>
        <v>https://www.facebook.com/agnes.sanbuenaventura.9</v>
      </c>
      <c r="B2785" s="1" t="str">
        <f ca="1">IFERROR(__xludf.DUMMYFUNCTION("""COMPUTED_VALUE"""),"Agnes San Buenaventura")</f>
        <v>Agnes San Buenaventura</v>
      </c>
      <c r="C2785" s="1" t="str">
        <f ca="1">IFERROR(__xludf.DUMMYFUNCTION("""COMPUTED_VALUE"""),"Agnes")</f>
        <v>Agnes</v>
      </c>
      <c r="D2785" s="1" t="str">
        <f ca="1">IFERROR(__xludf.DUMMYFUNCTION("""COMPUTED_VALUE"""),"San Buenaventura")</f>
        <v>San Buenaventura</v>
      </c>
      <c r="E2785" s="1" t="str">
        <f ca="1">IFERROR(__xludf.DUMMYFUNCTION("""COMPUTED_VALUE"""),"Jessie Villagracia wlang dumidikta sayo..paalala nya lng yan sa mga tao..haller")</f>
        <v>Jessie Villagracia wlang dumidikta sayo..paalala nya lng yan sa mga tao..haller</v>
      </c>
      <c r="F2785" s="1">
        <f ca="1">IFERROR(__xludf.DUMMYFUNCTION("""COMPUTED_VALUE"""),13)</f>
        <v>13</v>
      </c>
      <c r="G2785" s="1" t="str">
        <f ca="1">IFERROR(__xludf.DUMMYFUNCTION("""COMPUTED_VALUE"""),"3 mos")</f>
        <v>3 mos</v>
      </c>
      <c r="H2785" s="1" t="str">
        <f ca="1">IFERROR(__xludf.DUMMYFUNCTION("""COMPUTED_VALUE"""),"reply")</f>
        <v>reply</v>
      </c>
      <c r="I2785" s="2" t="str">
        <f ca="1">IFERROR(__xludf.DUMMYFUNCTION("""COMPUTED_VALUE"""),"https://www.facebook.com/rapplerdotcom/photos/a.317154781638645/5594453700575367/")</f>
        <v>https://www.facebook.com/rapplerdotcom/photos/a.317154781638645/5594453700575367/</v>
      </c>
      <c r="J2785" s="1" t="str">
        <f ca="1">IFERROR(__xludf.DUMMYFUNCTION("""COMPUTED_VALUE"""),"2022-07-04T15:53:36.544Z")</f>
        <v>2022-07-04T15:53:36.544Z</v>
      </c>
    </row>
    <row r="2786" spans="1:10" x14ac:dyDescent="0.2">
      <c r="A2786" s="2" t="str">
        <f ca="1">IFERROR(__xludf.DUMMYFUNCTION("""COMPUTED_VALUE"""),"https://www.facebook.com/profile.php?id=100079722041118")</f>
        <v>https://www.facebook.com/profile.php?id=100079722041118</v>
      </c>
      <c r="B2786" s="1" t="str">
        <f ca="1">IFERROR(__xludf.DUMMYFUNCTION("""COMPUTED_VALUE"""),"Joel Lim")</f>
        <v>Joel Lim</v>
      </c>
      <c r="C2786" s="1" t="str">
        <f ca="1">IFERROR(__xludf.DUMMYFUNCTION("""COMPUTED_VALUE"""),"Joel")</f>
        <v>Joel</v>
      </c>
      <c r="D2786" s="1" t="str">
        <f ca="1">IFERROR(__xludf.DUMMYFUNCTION("""COMPUTED_VALUE"""),"Lim")</f>
        <v>Lim</v>
      </c>
      <c r="E2786" s="1" t="str">
        <f ca="1">IFERROR(__xludf.DUMMYFUNCTION("""COMPUTED_VALUE"""),"Jessie Villagracia hindi puedeng basta hayaan dahil damay na naman kami kapag nagnakaw ang iboboto mo sana kung kayo lang ang magbabayad ng nanakawin niyan")</f>
        <v>Jessie Villagracia hindi puedeng basta hayaan dahil damay na naman kami kapag nagnakaw ang iboboto mo sana kung kayo lang ang magbabayad ng nanakawin niyan</v>
      </c>
      <c r="F2786" s="1">
        <f ca="1">IFERROR(__xludf.DUMMYFUNCTION("""COMPUTED_VALUE"""),2)</f>
        <v>2</v>
      </c>
      <c r="G2786" s="1" t="str">
        <f ca="1">IFERROR(__xludf.DUMMYFUNCTION("""COMPUTED_VALUE"""),"3 mos")</f>
        <v>3 mos</v>
      </c>
      <c r="H2786" s="1" t="str">
        <f ca="1">IFERROR(__xludf.DUMMYFUNCTION("""COMPUTED_VALUE"""),"reply")</f>
        <v>reply</v>
      </c>
      <c r="I2786" s="2" t="str">
        <f ca="1">IFERROR(__xludf.DUMMYFUNCTION("""COMPUTED_VALUE"""),"https://www.facebook.com/rapplerdotcom/photos/a.317154781638645/5594453700575367/")</f>
        <v>https://www.facebook.com/rapplerdotcom/photos/a.317154781638645/5594453700575367/</v>
      </c>
      <c r="J2786" s="1" t="str">
        <f ca="1">IFERROR(__xludf.DUMMYFUNCTION("""COMPUTED_VALUE"""),"2022-07-04T15:53:36.544Z")</f>
        <v>2022-07-04T15:53:36.544Z</v>
      </c>
    </row>
    <row r="2787" spans="1:10" x14ac:dyDescent="0.2">
      <c r="A2787" s="2" t="str">
        <f ca="1">IFERROR(__xludf.DUMMYFUNCTION("""COMPUTED_VALUE"""),"https://www.facebook.com/czairr")</f>
        <v>https://www.facebook.com/czairr</v>
      </c>
      <c r="B2787" s="1" t="str">
        <f ca="1">IFERROR(__xludf.DUMMYFUNCTION("""COMPUTED_VALUE"""),"Malaya Ellie")</f>
        <v>Malaya Ellie</v>
      </c>
      <c r="C2787" s="1" t="str">
        <f ca="1">IFERROR(__xludf.DUMMYFUNCTION("""COMPUTED_VALUE"""),"Malaya")</f>
        <v>Malaya</v>
      </c>
      <c r="D2787" s="1" t="str">
        <f ca="1">IFERROR(__xludf.DUMMYFUNCTION("""COMPUTED_VALUE"""),"Ellie")</f>
        <v>Ellie</v>
      </c>
      <c r="E2787" s="1" t="str">
        <f ca="1">IFERROR(__xludf.DUMMYFUNCTION("""COMPUTED_VALUE"""),"Jessie Villagracia tama, wag diktahan. Kaya sa eleksyon, wag tayo dun sa ng anak ng diktador!")</f>
        <v>Jessie Villagracia tama, wag diktahan. Kaya sa eleksyon, wag tayo dun sa ng anak ng diktador!</v>
      </c>
      <c r="F2787" s="1"/>
      <c r="G2787" s="1" t="str">
        <f ca="1">IFERROR(__xludf.DUMMYFUNCTION("""COMPUTED_VALUE"""),"3 mos")</f>
        <v>3 mos</v>
      </c>
      <c r="H2787" s="1" t="str">
        <f ca="1">IFERROR(__xludf.DUMMYFUNCTION("""COMPUTED_VALUE"""),"reply")</f>
        <v>reply</v>
      </c>
      <c r="I2787" s="2" t="str">
        <f ca="1">IFERROR(__xludf.DUMMYFUNCTION("""COMPUTED_VALUE"""),"https://www.facebook.com/rapplerdotcom/photos/a.317154781638645/5594453700575367/")</f>
        <v>https://www.facebook.com/rapplerdotcom/photos/a.317154781638645/5594453700575367/</v>
      </c>
      <c r="J2787" s="1" t="str">
        <f ca="1">IFERROR(__xludf.DUMMYFUNCTION("""COMPUTED_VALUE"""),"2022-07-04T15:53:36.544Z")</f>
        <v>2022-07-04T15:53:36.544Z</v>
      </c>
    </row>
    <row r="2788" spans="1:10" x14ac:dyDescent="0.2">
      <c r="A2788" s="2" t="str">
        <f ca="1">IFERROR(__xludf.DUMMYFUNCTION("""COMPUTED_VALUE"""),"https://www.facebook.com/mar.briones.10")</f>
        <v>https://www.facebook.com/mar.briones.10</v>
      </c>
      <c r="B2788" s="1" t="str">
        <f ca="1">IFERROR(__xludf.DUMMYFUNCTION("""COMPUTED_VALUE"""),"Marcelino Briones")</f>
        <v>Marcelino Briones</v>
      </c>
      <c r="C2788" s="1" t="str">
        <f ca="1">IFERROR(__xludf.DUMMYFUNCTION("""COMPUTED_VALUE"""),"Marcelino")</f>
        <v>Marcelino</v>
      </c>
      <c r="D2788" s="1" t="str">
        <f ca="1">IFERROR(__xludf.DUMMYFUNCTION("""COMPUTED_VALUE"""),"Briones")</f>
        <v>Briones</v>
      </c>
      <c r="E2788" s="1" t="str">
        <f ca="1">IFERROR(__xludf.DUMMYFUNCTION("""COMPUTED_VALUE"""),"Educate, educate, educate. Stop the misinformation outlets. Promote civil discourse and debates. It’s the only way we’re going to get out of this awayan, siraan, toxic culture.")</f>
        <v>Educate, educate, educate. Stop the misinformation outlets. Promote civil discourse and debates. It’s the only way we’re going to get out of this awayan, siraan, toxic culture.</v>
      </c>
      <c r="F2788" s="1">
        <f ca="1">IFERROR(__xludf.DUMMYFUNCTION("""COMPUTED_VALUE"""),7)</f>
        <v>7</v>
      </c>
      <c r="G2788" s="1" t="str">
        <f ca="1">IFERROR(__xludf.DUMMYFUNCTION("""COMPUTED_VALUE"""),"3 mos")</f>
        <v>3 mos</v>
      </c>
      <c r="H2788" s="1" t="str">
        <f ca="1">IFERROR(__xludf.DUMMYFUNCTION("""COMPUTED_VALUE"""),"comment")</f>
        <v>comment</v>
      </c>
      <c r="I2788" s="2" t="str">
        <f ca="1">IFERROR(__xludf.DUMMYFUNCTION("""COMPUTED_VALUE"""),"https://www.facebook.com/rapplerdotcom/photos/a.317154781638645/5594453700575367/")</f>
        <v>https://www.facebook.com/rapplerdotcom/photos/a.317154781638645/5594453700575367/</v>
      </c>
      <c r="J2788" s="1" t="str">
        <f ca="1">IFERROR(__xludf.DUMMYFUNCTION("""COMPUTED_VALUE"""),"2022-07-04T15:53:36.544Z")</f>
        <v>2022-07-04T15:53:36.544Z</v>
      </c>
    </row>
    <row r="2789" spans="1:10" x14ac:dyDescent="0.2">
      <c r="A2789" s="2" t="str">
        <f ca="1">IFERROR(__xludf.DUMMYFUNCTION("""COMPUTED_VALUE"""),"https://www.facebook.com/carlos.alivio.5")</f>
        <v>https://www.facebook.com/carlos.alivio.5</v>
      </c>
      <c r="B2789" s="1" t="str">
        <f ca="1">IFERROR(__xludf.DUMMYFUNCTION("""COMPUTED_VALUE"""),"Carlos Alivio")</f>
        <v>Carlos Alivio</v>
      </c>
      <c r="C2789" s="1" t="str">
        <f ca="1">IFERROR(__xludf.DUMMYFUNCTION("""COMPUTED_VALUE"""),"Carlos")</f>
        <v>Carlos</v>
      </c>
      <c r="D2789" s="1" t="str">
        <f ca="1">IFERROR(__xludf.DUMMYFUNCTION("""COMPUTED_VALUE"""),"Alivio")</f>
        <v>Alivio</v>
      </c>
      <c r="E2789" s="1" t="str">
        <f ca="1">IFERROR(__xludf.DUMMYFUNCTION("""COMPUTED_VALUE"""),"Huwag kayong magsabi ng ganyan Manny Wala kayong ebedensiya huwag kang magbentang sa iyong kapwa kung maka diyos ka talaga")</f>
        <v>Huwag kayong magsabi ng ganyan Manny Wala kayong ebedensiya huwag kang magbentang sa iyong kapwa kung maka diyos ka talaga</v>
      </c>
      <c r="F2789" s="1">
        <f ca="1">IFERROR(__xludf.DUMMYFUNCTION("""COMPUTED_VALUE"""),4)</f>
        <v>4</v>
      </c>
      <c r="G2789" s="1" t="str">
        <f ca="1">IFERROR(__xludf.DUMMYFUNCTION("""COMPUTED_VALUE"""),"3 mos")</f>
        <v>3 mos</v>
      </c>
      <c r="H2789" s="1" t="str">
        <f ca="1">IFERROR(__xludf.DUMMYFUNCTION("""COMPUTED_VALUE"""),"comment")</f>
        <v>comment</v>
      </c>
      <c r="I2789" s="2" t="str">
        <f ca="1">IFERROR(__xludf.DUMMYFUNCTION("""COMPUTED_VALUE"""),"https://www.facebook.com/rapplerdotcom/photos/a.317154781638645/5594453700575367/")</f>
        <v>https://www.facebook.com/rapplerdotcom/photos/a.317154781638645/5594453700575367/</v>
      </c>
      <c r="J2789" s="1" t="str">
        <f ca="1">IFERROR(__xludf.DUMMYFUNCTION("""COMPUTED_VALUE"""),"2022-07-04T15:53:36.544Z")</f>
        <v>2022-07-04T15:53:36.544Z</v>
      </c>
    </row>
    <row r="2790" spans="1:10" x14ac:dyDescent="0.2">
      <c r="A2790" s="2" t="str">
        <f ca="1">IFERROR(__xludf.DUMMYFUNCTION("""COMPUTED_VALUE"""),"https://www.facebook.com/markjoseph.vercial")</f>
        <v>https://www.facebook.com/markjoseph.vercial</v>
      </c>
      <c r="B2790" s="1" t="str">
        <f ca="1">IFERROR(__xludf.DUMMYFUNCTION("""COMPUTED_VALUE"""),"Mark Joseph Gerez Vercial")</f>
        <v>Mark Joseph Gerez Vercial</v>
      </c>
      <c r="C2790" s="1" t="str">
        <f ca="1">IFERROR(__xludf.DUMMYFUNCTION("""COMPUTED_VALUE"""),"Mark")</f>
        <v>Mark</v>
      </c>
      <c r="D2790" s="1" t="str">
        <f ca="1">IFERROR(__xludf.DUMMYFUNCTION("""COMPUTED_VALUE"""),"Joseph Gerez Vercial")</f>
        <v>Joseph Gerez Vercial</v>
      </c>
      <c r="E2790" s="1" t="str">
        <f ca="1">IFERROR(__xludf.DUMMYFUNCTION("""COMPUTED_VALUE"""),"Carlos Alivio 😂🤣")</f>
        <v>Carlos Alivio 😂🤣</v>
      </c>
      <c r="F2790" s="1"/>
      <c r="G2790" s="1" t="str">
        <f ca="1">IFERROR(__xludf.DUMMYFUNCTION("""COMPUTED_VALUE"""),"3 mos")</f>
        <v>3 mos</v>
      </c>
      <c r="H2790" s="1" t="str">
        <f ca="1">IFERROR(__xludf.DUMMYFUNCTION("""COMPUTED_VALUE"""),"reply")</f>
        <v>reply</v>
      </c>
      <c r="I2790" s="2" t="str">
        <f ca="1">IFERROR(__xludf.DUMMYFUNCTION("""COMPUTED_VALUE"""),"https://www.facebook.com/rapplerdotcom/photos/a.317154781638645/5594453700575367/")</f>
        <v>https://www.facebook.com/rapplerdotcom/photos/a.317154781638645/5594453700575367/</v>
      </c>
      <c r="J2790" s="1" t="str">
        <f ca="1">IFERROR(__xludf.DUMMYFUNCTION("""COMPUTED_VALUE"""),"2022-07-04T15:53:36.544Z")</f>
        <v>2022-07-04T15:53:36.544Z</v>
      </c>
    </row>
    <row r="2791" spans="1:10" x14ac:dyDescent="0.2">
      <c r="A2791" s="2" t="str">
        <f ca="1">IFERROR(__xludf.DUMMYFUNCTION("""COMPUTED_VALUE"""),"https://www.facebook.com/joshuadolor")</f>
        <v>https://www.facebook.com/joshuadolor</v>
      </c>
      <c r="B2791" s="1" t="str">
        <f ca="1">IFERROR(__xludf.DUMMYFUNCTION("""COMPUTED_VALUE"""),"Joshua Olbes Dolor")</f>
        <v>Joshua Olbes Dolor</v>
      </c>
      <c r="C2791" s="1" t="str">
        <f ca="1">IFERROR(__xludf.DUMMYFUNCTION("""COMPUTED_VALUE"""),"Joshua")</f>
        <v>Joshua</v>
      </c>
      <c r="D2791" s="1" t="str">
        <f ca="1">IFERROR(__xludf.DUMMYFUNCTION("""COMPUTED_VALUE"""),"Olbes Dolor")</f>
        <v>Olbes Dolor</v>
      </c>
      <c r="E2791" s="1" t="str">
        <f ca="1">IFERROR(__xludf.DUMMYFUNCTION("""COMPUTED_VALUE"""),"Carlos Alivio nagname drop ba?")</f>
        <v>Carlos Alivio nagname drop ba?</v>
      </c>
      <c r="F2791" s="1"/>
      <c r="G2791" s="1" t="str">
        <f ca="1">IFERROR(__xludf.DUMMYFUNCTION("""COMPUTED_VALUE"""),"3 mos")</f>
        <v>3 mos</v>
      </c>
      <c r="H2791" s="1" t="str">
        <f ca="1">IFERROR(__xludf.DUMMYFUNCTION("""COMPUTED_VALUE"""),"reply")</f>
        <v>reply</v>
      </c>
      <c r="I2791" s="2" t="str">
        <f ca="1">IFERROR(__xludf.DUMMYFUNCTION("""COMPUTED_VALUE"""),"https://www.facebook.com/rapplerdotcom/photos/a.317154781638645/5594453700575367/")</f>
        <v>https://www.facebook.com/rapplerdotcom/photos/a.317154781638645/5594453700575367/</v>
      </c>
      <c r="J2791" s="1" t="str">
        <f ca="1">IFERROR(__xludf.DUMMYFUNCTION("""COMPUTED_VALUE"""),"2022-07-04T15:53:36.544Z")</f>
        <v>2022-07-04T15:53:36.544Z</v>
      </c>
    </row>
    <row r="2792" spans="1:10" x14ac:dyDescent="0.2">
      <c r="A2792" s="2" t="str">
        <f ca="1">IFERROR(__xludf.DUMMYFUNCTION("""COMPUTED_VALUE"""),"https://www.facebook.com/carlos.alivio.5")</f>
        <v>https://www.facebook.com/carlos.alivio.5</v>
      </c>
      <c r="B2792" s="1" t="str">
        <f ca="1">IFERROR(__xludf.DUMMYFUNCTION("""COMPUTED_VALUE"""),"Carlos Alivio")</f>
        <v>Carlos Alivio</v>
      </c>
      <c r="C2792" s="1" t="str">
        <f ca="1">IFERROR(__xludf.DUMMYFUNCTION("""COMPUTED_VALUE"""),"Carlos")</f>
        <v>Carlos</v>
      </c>
      <c r="D2792" s="1" t="str">
        <f ca="1">IFERROR(__xludf.DUMMYFUNCTION("""COMPUTED_VALUE"""),"Alivio")</f>
        <v>Alivio</v>
      </c>
      <c r="E2792" s="1" t="str">
        <f ca="1">IFERROR(__xludf.DUMMYFUNCTION("""COMPUTED_VALUE"""),"Joshua Olbes Dolor Walang ninamedrop Peru alam ko kung sino Ang kanyang tinutukoy")</f>
        <v>Joshua Olbes Dolor Walang ninamedrop Peru alam ko kung sino Ang kanyang tinutukoy</v>
      </c>
      <c r="F2792" s="1"/>
      <c r="G2792" s="1" t="str">
        <f ca="1">IFERROR(__xludf.DUMMYFUNCTION("""COMPUTED_VALUE"""),"3 mos")</f>
        <v>3 mos</v>
      </c>
      <c r="H2792" s="1" t="str">
        <f ca="1">IFERROR(__xludf.DUMMYFUNCTION("""COMPUTED_VALUE"""),"reply")</f>
        <v>reply</v>
      </c>
      <c r="I2792" s="2" t="str">
        <f ca="1">IFERROR(__xludf.DUMMYFUNCTION("""COMPUTED_VALUE"""),"https://www.facebook.com/rapplerdotcom/photos/a.317154781638645/5594453700575367/")</f>
        <v>https://www.facebook.com/rapplerdotcom/photos/a.317154781638645/5594453700575367/</v>
      </c>
      <c r="J2792" s="1" t="str">
        <f ca="1">IFERROR(__xludf.DUMMYFUNCTION("""COMPUTED_VALUE"""),"2022-07-04T15:53:36.544Z")</f>
        <v>2022-07-04T15:53:36.544Z</v>
      </c>
    </row>
    <row r="2793" spans="1:10" x14ac:dyDescent="0.2">
      <c r="A2793" s="2" t="str">
        <f ca="1">IFERROR(__xludf.DUMMYFUNCTION("""COMPUTED_VALUE"""),"https://www.facebook.com/joshuadolor")</f>
        <v>https://www.facebook.com/joshuadolor</v>
      </c>
      <c r="B2793" s="1" t="str">
        <f ca="1">IFERROR(__xludf.DUMMYFUNCTION("""COMPUTED_VALUE"""),"Joshua Olbes Dolor")</f>
        <v>Joshua Olbes Dolor</v>
      </c>
      <c r="C2793" s="1" t="str">
        <f ca="1">IFERROR(__xludf.DUMMYFUNCTION("""COMPUTED_VALUE"""),"Joshua")</f>
        <v>Joshua</v>
      </c>
      <c r="D2793" s="1" t="str">
        <f ca="1">IFERROR(__xludf.DUMMYFUNCTION("""COMPUTED_VALUE"""),"Olbes Dolor")</f>
        <v>Olbes Dolor</v>
      </c>
      <c r="E2793" s="1" t="str">
        <f ca="1">IFERROR(__xludf.DUMMYFUNCTION("""COMPUTED_VALUE"""),"Carlos Alivio kasi? alam mo na kagad kasi?")</f>
        <v>Carlos Alivio kasi? alam mo na kagad kasi?</v>
      </c>
      <c r="F2793" s="1"/>
      <c r="G2793" s="1" t="str">
        <f ca="1">IFERROR(__xludf.DUMMYFUNCTION("""COMPUTED_VALUE"""),"3 mos")</f>
        <v>3 mos</v>
      </c>
      <c r="H2793" s="1" t="str">
        <f ca="1">IFERROR(__xludf.DUMMYFUNCTION("""COMPUTED_VALUE"""),"reply")</f>
        <v>reply</v>
      </c>
      <c r="I2793" s="2" t="str">
        <f ca="1">IFERROR(__xludf.DUMMYFUNCTION("""COMPUTED_VALUE"""),"https://www.facebook.com/rapplerdotcom/photos/a.317154781638645/5594453700575367/")</f>
        <v>https://www.facebook.com/rapplerdotcom/photos/a.317154781638645/5594453700575367/</v>
      </c>
      <c r="J2793" s="1" t="str">
        <f ca="1">IFERROR(__xludf.DUMMYFUNCTION("""COMPUTED_VALUE"""),"2022-07-04T15:53:36.544Z")</f>
        <v>2022-07-04T15:53:36.544Z</v>
      </c>
    </row>
    <row r="2794" spans="1:10" x14ac:dyDescent="0.2">
      <c r="A2794" s="2" t="str">
        <f ca="1">IFERROR(__xludf.DUMMYFUNCTION("""COMPUTED_VALUE"""),"https://www.facebook.com/azucena.dumaop")</f>
        <v>https://www.facebook.com/azucena.dumaop</v>
      </c>
      <c r="B2794" s="1" t="str">
        <f ca="1">IFERROR(__xludf.DUMMYFUNCTION("""COMPUTED_VALUE"""),"Azucena Dumaop")</f>
        <v>Azucena Dumaop</v>
      </c>
      <c r="C2794" s="1" t="str">
        <f ca="1">IFERROR(__xludf.DUMMYFUNCTION("""COMPUTED_VALUE"""),"Azucena")</f>
        <v>Azucena</v>
      </c>
      <c r="D2794" s="1" t="str">
        <f ca="1">IFERROR(__xludf.DUMMYFUNCTION("""COMPUTED_VALUE"""),"Dumaop")</f>
        <v>Dumaop</v>
      </c>
      <c r="E2794" s="1" t="str">
        <f ca="1">IFERROR(__xludf.DUMMYFUNCTION("""COMPUTED_VALUE"""),"Kahit harapharapan ng ninanakawan sila pinagtatanggol pa nila maaawa kana lng sa mga katwiran nila nakakapagod magpaliwanag")</f>
        <v>Kahit harapharapan ng ninanakawan sila pinagtatanggol pa nila maaawa kana lng sa mga katwiran nila nakakapagod magpaliwanag</v>
      </c>
      <c r="F2794" s="1">
        <f ca="1">IFERROR(__xludf.DUMMYFUNCTION("""COMPUTED_VALUE"""),35)</f>
        <v>35</v>
      </c>
      <c r="G2794" s="1" t="str">
        <f ca="1">IFERROR(__xludf.DUMMYFUNCTION("""COMPUTED_VALUE"""),"3 mos")</f>
        <v>3 mos</v>
      </c>
      <c r="H2794" s="1" t="str">
        <f ca="1">IFERROR(__xludf.DUMMYFUNCTION("""COMPUTED_VALUE"""),"comment")</f>
        <v>comment</v>
      </c>
      <c r="I2794" s="2" t="str">
        <f ca="1">IFERROR(__xludf.DUMMYFUNCTION("""COMPUTED_VALUE"""),"https://www.facebook.com/rapplerdotcom/photos/a.317154781638645/5594453700575367/")</f>
        <v>https://www.facebook.com/rapplerdotcom/photos/a.317154781638645/5594453700575367/</v>
      </c>
      <c r="J2794" s="1" t="str">
        <f ca="1">IFERROR(__xludf.DUMMYFUNCTION("""COMPUTED_VALUE"""),"2022-07-04T15:53:36.544Z")</f>
        <v>2022-07-04T15:53:36.544Z</v>
      </c>
    </row>
    <row r="2795" spans="1:10" x14ac:dyDescent="0.2">
      <c r="A2795" s="2" t="str">
        <f ca="1">IFERROR(__xludf.DUMMYFUNCTION("""COMPUTED_VALUE"""),"https://www.facebook.com/profile.php?id=100008642138032")</f>
        <v>https://www.facebook.com/profile.php?id=100008642138032</v>
      </c>
      <c r="B2795" s="1" t="str">
        <f ca="1">IFERROR(__xludf.DUMMYFUNCTION("""COMPUTED_VALUE"""),"Emelita Maneja")</f>
        <v>Emelita Maneja</v>
      </c>
      <c r="C2795" s="1" t="str">
        <f ca="1">IFERROR(__xludf.DUMMYFUNCTION("""COMPUTED_VALUE"""),"Emelita")</f>
        <v>Emelita</v>
      </c>
      <c r="D2795" s="1" t="str">
        <f ca="1">IFERROR(__xludf.DUMMYFUNCTION("""COMPUTED_VALUE"""),"Maneja")</f>
        <v>Maneja</v>
      </c>
      <c r="E2795" s="1" t="str">
        <f ca="1">IFERROR(__xludf.DUMMYFUNCTION("""COMPUTED_VALUE"""),"Kainam naman ng mga taong mapanghusga akala mo napakahusay na nila wala tayong karapatan mang husga gawin natin magpray tayo sana magkaroon ng presidente na maka dios")</f>
        <v>Kainam naman ng mga taong mapanghusga akala mo napakahusay na nila wala tayong karapatan mang husga gawin natin magpray tayo sana magkaroon ng presidente na maka dios</v>
      </c>
      <c r="F2795" s="1">
        <f ca="1">IFERROR(__xludf.DUMMYFUNCTION("""COMPUTED_VALUE"""),1)</f>
        <v>1</v>
      </c>
      <c r="G2795" s="1" t="str">
        <f ca="1">IFERROR(__xludf.DUMMYFUNCTION("""COMPUTED_VALUE"""),"3 mos")</f>
        <v>3 mos</v>
      </c>
      <c r="H2795" s="1" t="str">
        <f ca="1">IFERROR(__xludf.DUMMYFUNCTION("""COMPUTED_VALUE"""),"comment")</f>
        <v>comment</v>
      </c>
      <c r="I2795" s="2" t="str">
        <f ca="1">IFERROR(__xludf.DUMMYFUNCTION("""COMPUTED_VALUE"""),"https://www.facebook.com/rapplerdotcom/photos/a.317154781638645/5594453700575367/")</f>
        <v>https://www.facebook.com/rapplerdotcom/photos/a.317154781638645/5594453700575367/</v>
      </c>
      <c r="J2795" s="1" t="str">
        <f ca="1">IFERROR(__xludf.DUMMYFUNCTION("""COMPUTED_VALUE"""),"2022-07-04T15:53:36.544Z")</f>
        <v>2022-07-04T15:53:36.544Z</v>
      </c>
    </row>
    <row r="2796" spans="1:10" x14ac:dyDescent="0.2">
      <c r="A2796" s="2" t="str">
        <f ca="1">IFERROR(__xludf.DUMMYFUNCTION("""COMPUTED_VALUE"""),"https://www.facebook.com/joshuadolor")</f>
        <v>https://www.facebook.com/joshuadolor</v>
      </c>
      <c r="B2796" s="1" t="str">
        <f ca="1">IFERROR(__xludf.DUMMYFUNCTION("""COMPUTED_VALUE"""),"Joshua Olbes Dolor")</f>
        <v>Joshua Olbes Dolor</v>
      </c>
      <c r="C2796" s="1" t="str">
        <f ca="1">IFERROR(__xludf.DUMMYFUNCTION("""COMPUTED_VALUE"""),"Joshua")</f>
        <v>Joshua</v>
      </c>
      <c r="D2796" s="1" t="str">
        <f ca="1">IFERROR(__xludf.DUMMYFUNCTION("""COMPUTED_VALUE"""),"Olbes Dolor")</f>
        <v>Olbes Dolor</v>
      </c>
      <c r="E2796" s="1" t="str">
        <f ca="1">IFERROR(__xludf.DUMMYFUNCTION("""COMPUTED_VALUE"""),"Emelita Maneja mapanghusga? Sino?")</f>
        <v>Emelita Maneja mapanghusga? Sino?</v>
      </c>
      <c r="F2796" s="1"/>
      <c r="G2796" s="1" t="str">
        <f ca="1">IFERROR(__xludf.DUMMYFUNCTION("""COMPUTED_VALUE"""),"3 mos")</f>
        <v>3 mos</v>
      </c>
      <c r="H2796" s="1" t="str">
        <f ca="1">IFERROR(__xludf.DUMMYFUNCTION("""COMPUTED_VALUE"""),"reply")</f>
        <v>reply</v>
      </c>
      <c r="I2796" s="2" t="str">
        <f ca="1">IFERROR(__xludf.DUMMYFUNCTION("""COMPUTED_VALUE"""),"https://www.facebook.com/rapplerdotcom/photos/a.317154781638645/5594453700575367/")</f>
        <v>https://www.facebook.com/rapplerdotcom/photos/a.317154781638645/5594453700575367/</v>
      </c>
      <c r="J2796" s="1" t="str">
        <f ca="1">IFERROR(__xludf.DUMMYFUNCTION("""COMPUTED_VALUE"""),"2022-07-04T15:53:36.544Z")</f>
        <v>2022-07-04T15:53:36.544Z</v>
      </c>
    </row>
    <row r="2797" spans="1:10" x14ac:dyDescent="0.2">
      <c r="A2797" s="2" t="str">
        <f ca="1">IFERROR(__xludf.DUMMYFUNCTION("""COMPUTED_VALUE"""),"https://www.facebook.com/rudysalazar61")</f>
        <v>https://www.facebook.com/rudysalazar61</v>
      </c>
      <c r="B2797" s="1" t="str">
        <f ca="1">IFERROR(__xludf.DUMMYFUNCTION("""COMPUTED_VALUE"""),"Rudy Nimer Salazar")</f>
        <v>Rudy Nimer Salazar</v>
      </c>
      <c r="C2797" s="1" t="str">
        <f ca="1">IFERROR(__xludf.DUMMYFUNCTION("""COMPUTED_VALUE"""),"Rudy")</f>
        <v>Rudy</v>
      </c>
      <c r="D2797" s="1" t="str">
        <f ca="1">IFERROR(__xludf.DUMMYFUNCTION("""COMPUTED_VALUE"""),"Nimer Salazar")</f>
        <v>Nimer Salazar</v>
      </c>
      <c r="E2797" s="1" t="str">
        <f ca="1">IFERROR(__xludf.DUMMYFUNCTION("""COMPUTED_VALUE"""),"Walang perpikto idol wag morin isisi bakit ang taong bayan kasi may kanya kanya tayong panlasa may kanya kanya tayong prinsipyo sa ilang dikada na hindi nawala ang korap sa goberno kasi ang pakapalan talaga mas matindi nga korap ngayon kisa noon panahon n"&amp;"g sinasabing diktador at nagnakaw bago tayo mag puna tignan din sana natin sarili nating kong malinis ba o hindi bago humosga sa kapwa")</f>
        <v>Walang perpikto idol wag morin isisi bakit ang taong bayan kasi may kanya kanya tayong panlasa may kanya kanya tayong prinsipyo sa ilang dikada na hindi nawala ang korap sa goberno kasi ang pakapalan talaga mas matindi nga korap ngayon kisa noon panahon ng sinasabing diktador at nagnakaw bago tayo mag puna tignan din sana natin sarili nating kong malinis ba o hindi bago humosga sa kapwa</v>
      </c>
      <c r="F2797" s="1">
        <f ca="1">IFERROR(__xludf.DUMMYFUNCTION("""COMPUTED_VALUE"""),2)</f>
        <v>2</v>
      </c>
      <c r="G2797" s="1" t="str">
        <f ca="1">IFERROR(__xludf.DUMMYFUNCTION("""COMPUTED_VALUE"""),"3 mos")</f>
        <v>3 mos</v>
      </c>
      <c r="H2797" s="1" t="str">
        <f ca="1">IFERROR(__xludf.DUMMYFUNCTION("""COMPUTED_VALUE"""),"comment")</f>
        <v>comment</v>
      </c>
      <c r="I2797" s="2" t="str">
        <f ca="1">IFERROR(__xludf.DUMMYFUNCTION("""COMPUTED_VALUE"""),"https://www.facebook.com/rapplerdotcom/photos/a.317154781638645/5594453700575367/")</f>
        <v>https://www.facebook.com/rapplerdotcom/photos/a.317154781638645/5594453700575367/</v>
      </c>
      <c r="J2797" s="1" t="str">
        <f ca="1">IFERROR(__xludf.DUMMYFUNCTION("""COMPUTED_VALUE"""),"2022-07-04T15:53:36.544Z")</f>
        <v>2022-07-04T15:53:36.544Z</v>
      </c>
    </row>
    <row r="2798" spans="1:10" x14ac:dyDescent="0.2">
      <c r="A2798" s="2" t="str">
        <f ca="1">IFERROR(__xludf.DUMMYFUNCTION("""COMPUTED_VALUE"""),"https://www.facebook.com/carmi.paulino1")</f>
        <v>https://www.facebook.com/carmi.paulino1</v>
      </c>
      <c r="B2798" s="1" t="str">
        <f ca="1">IFERROR(__xludf.DUMMYFUNCTION("""COMPUTED_VALUE"""),"Carmi Paulino")</f>
        <v>Carmi Paulino</v>
      </c>
      <c r="C2798" s="1" t="str">
        <f ca="1">IFERROR(__xludf.DUMMYFUNCTION("""COMPUTED_VALUE"""),"Carmi")</f>
        <v>Carmi</v>
      </c>
      <c r="D2798" s="1" t="str">
        <f ca="1">IFERROR(__xludf.DUMMYFUNCTION("""COMPUTED_VALUE"""),"Paulino")</f>
        <v>Paulino</v>
      </c>
      <c r="E2798" s="1" t="str">
        <f ca="1">IFERROR(__xludf.DUMMYFUNCTION("""COMPUTED_VALUE"""),"Tama naman sinasabi ni Manny , that makes sense to me, kasalanan na natin pg pinikit natin muli mga mata samantalang kita2 na ang totoo, Hes so sincere but still my vote goes for a deserving one, Good luck !❤️🙏")</f>
        <v>Tama naman sinasabi ni Manny , that makes sense to me, kasalanan na natin pg pinikit natin muli mga mata samantalang kita2 na ang totoo, Hes so sincere but still my vote goes for a deserving one, Good luck !❤️🙏</v>
      </c>
      <c r="F2798" s="1">
        <f ca="1">IFERROR(__xludf.DUMMYFUNCTION("""COMPUTED_VALUE"""),7)</f>
        <v>7</v>
      </c>
      <c r="G2798" s="1" t="str">
        <f ca="1">IFERROR(__xludf.DUMMYFUNCTION("""COMPUTED_VALUE"""),"3 mos")</f>
        <v>3 mos</v>
      </c>
      <c r="H2798" s="1" t="str">
        <f ca="1">IFERROR(__xludf.DUMMYFUNCTION("""COMPUTED_VALUE"""),"comment")</f>
        <v>comment</v>
      </c>
      <c r="I2798" s="2" t="str">
        <f ca="1">IFERROR(__xludf.DUMMYFUNCTION("""COMPUTED_VALUE"""),"https://www.facebook.com/rapplerdotcom/photos/a.317154781638645/5594453700575367/")</f>
        <v>https://www.facebook.com/rapplerdotcom/photos/a.317154781638645/5594453700575367/</v>
      </c>
      <c r="J2798" s="1" t="str">
        <f ca="1">IFERROR(__xludf.DUMMYFUNCTION("""COMPUTED_VALUE"""),"2022-07-04T15:53:36.544Z")</f>
        <v>2022-07-04T15:53:36.544Z</v>
      </c>
    </row>
    <row r="2799" spans="1:10" x14ac:dyDescent="0.2">
      <c r="A2799" s="2" t="str">
        <f ca="1">IFERROR(__xludf.DUMMYFUNCTION("""COMPUTED_VALUE"""),"https://www.facebook.com/lorenzo.rianzares.7")</f>
        <v>https://www.facebook.com/lorenzo.rianzares.7</v>
      </c>
      <c r="B2799" s="1" t="str">
        <f ca="1">IFERROR(__xludf.DUMMYFUNCTION("""COMPUTED_VALUE"""),"Lorenzo Rianzares")</f>
        <v>Lorenzo Rianzares</v>
      </c>
      <c r="C2799" s="1" t="str">
        <f ca="1">IFERROR(__xludf.DUMMYFUNCTION("""COMPUTED_VALUE"""),"Lorenzo")</f>
        <v>Lorenzo</v>
      </c>
      <c r="D2799" s="1" t="str">
        <f ca="1">IFERROR(__xludf.DUMMYFUNCTION("""COMPUTED_VALUE"""),"Rianzares")</f>
        <v>Rianzares</v>
      </c>
      <c r="E2799" s="1" t="str">
        <f ca="1">IFERROR(__xludf.DUMMYFUNCTION("""COMPUTED_VALUE"""),"Carmi Paulino oky di iboto mo c many haha")</f>
        <v>Carmi Paulino oky di iboto mo c many haha</v>
      </c>
      <c r="F2799" s="1">
        <f ca="1">IFERROR(__xludf.DUMMYFUNCTION("""COMPUTED_VALUE"""),1)</f>
        <v>1</v>
      </c>
      <c r="G2799" s="1" t="str">
        <f ca="1">IFERROR(__xludf.DUMMYFUNCTION("""COMPUTED_VALUE"""),"3 mos")</f>
        <v>3 mos</v>
      </c>
      <c r="H2799" s="1" t="str">
        <f ca="1">IFERROR(__xludf.DUMMYFUNCTION("""COMPUTED_VALUE"""),"reply")</f>
        <v>reply</v>
      </c>
      <c r="I2799" s="2" t="str">
        <f ca="1">IFERROR(__xludf.DUMMYFUNCTION("""COMPUTED_VALUE"""),"https://www.facebook.com/rapplerdotcom/photos/a.317154781638645/5594453700575367/")</f>
        <v>https://www.facebook.com/rapplerdotcom/photos/a.317154781638645/5594453700575367/</v>
      </c>
      <c r="J2799" s="1" t="str">
        <f ca="1">IFERROR(__xludf.DUMMYFUNCTION("""COMPUTED_VALUE"""),"2022-07-04T15:53:36.544Z")</f>
        <v>2022-07-04T15:53:36.544Z</v>
      </c>
    </row>
    <row r="2800" spans="1:10" x14ac:dyDescent="0.2">
      <c r="A2800" s="2" t="str">
        <f ca="1">IFERROR(__xludf.DUMMYFUNCTION("""COMPUTED_VALUE"""),"https://www.facebook.com/carmi.paulino1")</f>
        <v>https://www.facebook.com/carmi.paulino1</v>
      </c>
      <c r="B2800" s="1" t="str">
        <f ca="1">IFERROR(__xludf.DUMMYFUNCTION("""COMPUTED_VALUE"""),"Carmi Paulino")</f>
        <v>Carmi Paulino</v>
      </c>
      <c r="C2800" s="1" t="str">
        <f ca="1">IFERROR(__xludf.DUMMYFUNCTION("""COMPUTED_VALUE"""),"Carmi")</f>
        <v>Carmi</v>
      </c>
      <c r="D2800" s="1" t="str">
        <f ca="1">IFERROR(__xludf.DUMMYFUNCTION("""COMPUTED_VALUE"""),"Paulino")</f>
        <v>Paulino</v>
      </c>
      <c r="E2800" s="1" t="str">
        <f ca="1">IFERROR(__xludf.DUMMYFUNCTION("""COMPUTED_VALUE"""),"Lorenzo Rianzares may problema b kung gusto ko xa? I dnt mind kung sino gusto mo its youre right, but dnt laugh with whom i want to vote! But anyway i think you have problem with understanding and reading comprehension!")</f>
        <v>Lorenzo Rianzares may problema b kung gusto ko xa? I dnt mind kung sino gusto mo its youre right, but dnt laugh with whom i want to vote! But anyway i think you have problem with understanding and reading comprehension!</v>
      </c>
      <c r="F2800" s="1"/>
      <c r="G2800" s="1" t="str">
        <f ca="1">IFERROR(__xludf.DUMMYFUNCTION("""COMPUTED_VALUE"""),"3 mos")</f>
        <v>3 mos</v>
      </c>
      <c r="H2800" s="1" t="str">
        <f ca="1">IFERROR(__xludf.DUMMYFUNCTION("""COMPUTED_VALUE"""),"reply")</f>
        <v>reply</v>
      </c>
      <c r="I2800" s="2" t="str">
        <f ca="1">IFERROR(__xludf.DUMMYFUNCTION("""COMPUTED_VALUE"""),"https://www.facebook.com/rapplerdotcom/photos/a.317154781638645/5594453700575367/")</f>
        <v>https://www.facebook.com/rapplerdotcom/photos/a.317154781638645/5594453700575367/</v>
      </c>
      <c r="J2800" s="1" t="str">
        <f ca="1">IFERROR(__xludf.DUMMYFUNCTION("""COMPUTED_VALUE"""),"2022-07-04T15:53:36.544Z")</f>
        <v>2022-07-04T15:53:36.544Z</v>
      </c>
    </row>
    <row r="2801" spans="1:10" x14ac:dyDescent="0.2">
      <c r="A2801" s="2" t="str">
        <f ca="1">IFERROR(__xludf.DUMMYFUNCTION("""COMPUTED_VALUE"""),"https://www.facebook.com/lorenzo.rianzares.7")</f>
        <v>https://www.facebook.com/lorenzo.rianzares.7</v>
      </c>
      <c r="B2801" s="1" t="str">
        <f ca="1">IFERROR(__xludf.DUMMYFUNCTION("""COMPUTED_VALUE"""),"Lorenzo Rianzares")</f>
        <v>Lorenzo Rianzares</v>
      </c>
      <c r="C2801" s="1" t="str">
        <f ca="1">IFERROR(__xludf.DUMMYFUNCTION("""COMPUTED_VALUE"""),"Lorenzo")</f>
        <v>Lorenzo</v>
      </c>
      <c r="D2801" s="1" t="str">
        <f ca="1">IFERROR(__xludf.DUMMYFUNCTION("""COMPUTED_VALUE"""),"Rianzares")</f>
        <v>Rianzares</v>
      </c>
      <c r="E2801" s="1" t="str">
        <f ca="1">IFERROR(__xludf.DUMMYFUNCTION("""COMPUTED_VALUE"""),"Carmi Paulino Anung masama sa cnabi ko tita wla naman.")</f>
        <v>Carmi Paulino Anung masama sa cnabi ko tita wla naman.</v>
      </c>
      <c r="F2801" s="1"/>
      <c r="G2801" s="1" t="str">
        <f ca="1">IFERROR(__xludf.DUMMYFUNCTION("""COMPUTED_VALUE"""),"3 mos")</f>
        <v>3 mos</v>
      </c>
      <c r="H2801" s="1" t="str">
        <f ca="1">IFERROR(__xludf.DUMMYFUNCTION("""COMPUTED_VALUE"""),"reply")</f>
        <v>reply</v>
      </c>
      <c r="I2801" s="2" t="str">
        <f ca="1">IFERROR(__xludf.DUMMYFUNCTION("""COMPUTED_VALUE"""),"https://www.facebook.com/rapplerdotcom/photos/a.317154781638645/5594453700575367/")</f>
        <v>https://www.facebook.com/rapplerdotcom/photos/a.317154781638645/5594453700575367/</v>
      </c>
      <c r="J2801" s="1" t="str">
        <f ca="1">IFERROR(__xludf.DUMMYFUNCTION("""COMPUTED_VALUE"""),"2022-07-04T15:53:36.544Z")</f>
        <v>2022-07-04T15:53:36.544Z</v>
      </c>
    </row>
    <row r="2802" spans="1:10" x14ac:dyDescent="0.2">
      <c r="A2802" s="2" t="str">
        <f ca="1">IFERROR(__xludf.DUMMYFUNCTION("""COMPUTED_VALUE"""),"https://www.facebook.com/rosendo.delatorre.50")</f>
        <v>https://www.facebook.com/rosendo.delatorre.50</v>
      </c>
      <c r="B2802" s="1" t="str">
        <f ca="1">IFERROR(__xludf.DUMMYFUNCTION("""COMPUTED_VALUE"""),"Rosendo Dela Torre")</f>
        <v>Rosendo Dela Torre</v>
      </c>
      <c r="C2802" s="1" t="str">
        <f ca="1">IFERROR(__xludf.DUMMYFUNCTION("""COMPUTED_VALUE"""),"Rosendo")</f>
        <v>Rosendo</v>
      </c>
      <c r="D2802" s="1" t="str">
        <f ca="1">IFERROR(__xludf.DUMMYFUNCTION("""COMPUTED_VALUE"""),"Dela Torre")</f>
        <v>Dela Torre</v>
      </c>
      <c r="E2802" s="1" t="str">
        <f ca="1">IFERROR(__xludf.DUMMYFUNCTION("""COMPUTED_VALUE"""),"Carmi Paulino mam napakasama sa harap Ng Dios nag bintang na  hinde nya nakita o nag witness.khit sa batas natin masama mag bintang .subukan nyo Myron ka suspect KC nawala Ang Isang bagày mo tpos mag bintang ka sa suspect mo Kung hinde kba kasuhan hinde b"&amp;"a? Sana nbasa ni idol sa biblia un sitas .")</f>
        <v>Carmi Paulino mam napakasama sa harap Ng Dios nag bintang na  hinde nya nakita o nag witness.khit sa batas natin masama mag bintang .subukan nyo Myron ka suspect KC nawala Ang Isang bagày mo tpos mag bintang ka sa suspect mo Kung hinde kba kasuhan hinde ba? Sana nbasa ni idol sa biblia un sitas .</v>
      </c>
      <c r="F2802" s="1"/>
      <c r="G2802" s="1" t="str">
        <f ca="1">IFERROR(__xludf.DUMMYFUNCTION("""COMPUTED_VALUE"""),"3 mos")</f>
        <v>3 mos</v>
      </c>
      <c r="H2802" s="1" t="str">
        <f ca="1">IFERROR(__xludf.DUMMYFUNCTION("""COMPUTED_VALUE"""),"reply")</f>
        <v>reply</v>
      </c>
      <c r="I2802" s="2" t="str">
        <f ca="1">IFERROR(__xludf.DUMMYFUNCTION("""COMPUTED_VALUE"""),"https://www.facebook.com/rapplerdotcom/photos/a.317154781638645/5594453700575367/")</f>
        <v>https://www.facebook.com/rapplerdotcom/photos/a.317154781638645/5594453700575367/</v>
      </c>
      <c r="J2802" s="1" t="str">
        <f ca="1">IFERROR(__xludf.DUMMYFUNCTION("""COMPUTED_VALUE"""),"2022-07-04T15:53:36.544Z")</f>
        <v>2022-07-04T15:53:36.544Z</v>
      </c>
    </row>
    <row r="2803" spans="1:10" x14ac:dyDescent="0.2">
      <c r="A2803" s="2" t="str">
        <f ca="1">IFERROR(__xludf.DUMMYFUNCTION("""COMPUTED_VALUE"""),"https://www.facebook.com/milanituda")</f>
        <v>https://www.facebook.com/milanituda</v>
      </c>
      <c r="B2803" s="1" t="str">
        <f ca="1">IFERROR(__xludf.DUMMYFUNCTION("""COMPUTED_VALUE"""),"Xsa Xsa")</f>
        <v>Xsa Xsa</v>
      </c>
      <c r="C2803" s="1" t="str">
        <f ca="1">IFERROR(__xludf.DUMMYFUNCTION("""COMPUTED_VALUE"""),"Xsa")</f>
        <v>Xsa</v>
      </c>
      <c r="D2803" s="1" t="str">
        <f ca="1">IFERROR(__xludf.DUMMYFUNCTION("""COMPUTED_VALUE"""),"Xsa")</f>
        <v>Xsa</v>
      </c>
      <c r="E2803" s="1" t="str">
        <f ca="1">IFERROR(__xludf.DUMMYFUNCTION("""COMPUTED_VALUE"""),"mabait ka nga but how can you talk and mingle to foreign president if there is an urgent meeting  and your representing the Philippines")</f>
        <v>mabait ka nga but how can you talk and mingle to foreign president if there is an urgent meeting  and your representing the Philippines</v>
      </c>
      <c r="F2803" s="1">
        <f ca="1">IFERROR(__xludf.DUMMYFUNCTION("""COMPUTED_VALUE"""),2)</f>
        <v>2</v>
      </c>
      <c r="G2803" s="1" t="str">
        <f ca="1">IFERROR(__xludf.DUMMYFUNCTION("""COMPUTED_VALUE"""),"3 mos")</f>
        <v>3 mos</v>
      </c>
      <c r="H2803" s="1" t="str">
        <f ca="1">IFERROR(__xludf.DUMMYFUNCTION("""COMPUTED_VALUE"""),"comment")</f>
        <v>comment</v>
      </c>
      <c r="I2803" s="2" t="str">
        <f ca="1">IFERROR(__xludf.DUMMYFUNCTION("""COMPUTED_VALUE"""),"https://www.facebook.com/rapplerdotcom/photos/a.317154781638645/5594453700575367/")</f>
        <v>https://www.facebook.com/rapplerdotcom/photos/a.317154781638645/5594453700575367/</v>
      </c>
      <c r="J2803" s="1" t="str">
        <f ca="1">IFERROR(__xludf.DUMMYFUNCTION("""COMPUTED_VALUE"""),"2022-07-04T15:53:36.544Z")</f>
        <v>2022-07-04T15:53:36.544Z</v>
      </c>
    </row>
    <row r="2804" spans="1:10" x14ac:dyDescent="0.2">
      <c r="A2804" s="2" t="str">
        <f ca="1">IFERROR(__xludf.DUMMYFUNCTION("""COMPUTED_VALUE"""),"https://www.facebook.com/herbert.jose.mnl")</f>
        <v>https://www.facebook.com/herbert.jose.mnl</v>
      </c>
      <c r="B2804" s="1" t="str">
        <f ca="1">IFERROR(__xludf.DUMMYFUNCTION("""COMPUTED_VALUE"""),"Herbert Jose")</f>
        <v>Herbert Jose</v>
      </c>
      <c r="C2804" s="1" t="str">
        <f ca="1">IFERROR(__xludf.DUMMYFUNCTION("""COMPUTED_VALUE"""),"Herbert")</f>
        <v>Herbert</v>
      </c>
      <c r="D2804" s="1" t="str">
        <f ca="1">IFERROR(__xludf.DUMMYFUNCTION("""COMPUTED_VALUE"""),"Jose")</f>
        <v>Jose</v>
      </c>
      <c r="E2804" s="1" t="str">
        <f ca="1">IFERROR(__xludf.DUMMYFUNCTION("""COMPUTED_VALUE"""),"Moosh Sev baka magpa autograph muna sa kanya yung foreign president bago mag meeting")</f>
        <v>Moosh Sev baka magpa autograph muna sa kanya yung foreign president bago mag meeting</v>
      </c>
      <c r="F2804" s="1"/>
      <c r="G2804" s="1" t="str">
        <f ca="1">IFERROR(__xludf.DUMMYFUNCTION("""COMPUTED_VALUE"""),"3 mos")</f>
        <v>3 mos</v>
      </c>
      <c r="H2804" s="1" t="str">
        <f ca="1">IFERROR(__xludf.DUMMYFUNCTION("""COMPUTED_VALUE"""),"reply")</f>
        <v>reply</v>
      </c>
      <c r="I2804" s="2" t="str">
        <f ca="1">IFERROR(__xludf.DUMMYFUNCTION("""COMPUTED_VALUE"""),"https://www.facebook.com/rapplerdotcom/photos/a.317154781638645/5594453700575367/")</f>
        <v>https://www.facebook.com/rapplerdotcom/photos/a.317154781638645/5594453700575367/</v>
      </c>
      <c r="J2804" s="1" t="str">
        <f ca="1">IFERROR(__xludf.DUMMYFUNCTION("""COMPUTED_VALUE"""),"2022-07-04T15:53:36.544Z")</f>
        <v>2022-07-04T15:53:36.544Z</v>
      </c>
    </row>
    <row r="2805" spans="1:10" x14ac:dyDescent="0.2">
      <c r="A2805" s="2" t="str">
        <f ca="1">IFERROR(__xludf.DUMMYFUNCTION("""COMPUTED_VALUE"""),"https://www.facebook.com/jude.romero.14")</f>
        <v>https://www.facebook.com/jude.romero.14</v>
      </c>
      <c r="B2805" s="1" t="str">
        <f ca="1">IFERROR(__xludf.DUMMYFUNCTION("""COMPUTED_VALUE"""),"Jude Romero")</f>
        <v>Jude Romero</v>
      </c>
      <c r="C2805" s="1" t="str">
        <f ca="1">IFERROR(__xludf.DUMMYFUNCTION("""COMPUTED_VALUE"""),"Jude")</f>
        <v>Jude</v>
      </c>
      <c r="D2805" s="1" t="str">
        <f ca="1">IFERROR(__xludf.DUMMYFUNCTION("""COMPUTED_VALUE"""),"Romero")</f>
        <v>Romero</v>
      </c>
      <c r="E2805" s="1" t="str">
        <f ca="1">IFERROR(__xludf.DUMMYFUNCTION("""COMPUTED_VALUE"""),"Moosh Sev may spokesman naman daw (Pimentel)")</f>
        <v>Moosh Sev may spokesman naman daw (Pimentel)</v>
      </c>
      <c r="F2805" s="1"/>
      <c r="G2805" s="1" t="str">
        <f ca="1">IFERROR(__xludf.DUMMYFUNCTION("""COMPUTED_VALUE"""),"3 mos")</f>
        <v>3 mos</v>
      </c>
      <c r="H2805" s="1" t="str">
        <f ca="1">IFERROR(__xludf.DUMMYFUNCTION("""COMPUTED_VALUE"""),"reply")</f>
        <v>reply</v>
      </c>
      <c r="I2805" s="2" t="str">
        <f ca="1">IFERROR(__xludf.DUMMYFUNCTION("""COMPUTED_VALUE"""),"https://www.facebook.com/rapplerdotcom/photos/a.317154781638645/5594453700575367/")</f>
        <v>https://www.facebook.com/rapplerdotcom/photos/a.317154781638645/5594453700575367/</v>
      </c>
      <c r="J2805" s="1" t="str">
        <f ca="1">IFERROR(__xludf.DUMMYFUNCTION("""COMPUTED_VALUE"""),"2022-07-04T15:53:36.544Z")</f>
        <v>2022-07-04T15:53:36.544Z</v>
      </c>
    </row>
    <row r="2806" spans="1:10" x14ac:dyDescent="0.2">
      <c r="A2806" s="2" t="str">
        <f ca="1">IFERROR(__xludf.DUMMYFUNCTION("""COMPUTED_VALUE"""),"https://www.facebook.com/rocky.romero.1042")</f>
        <v>https://www.facebook.com/rocky.romero.1042</v>
      </c>
      <c r="B2806" s="1" t="str">
        <f ca="1">IFERROR(__xludf.DUMMYFUNCTION("""COMPUTED_VALUE"""),"Rocky Romero")</f>
        <v>Rocky Romero</v>
      </c>
      <c r="C2806" s="1" t="str">
        <f ca="1">IFERROR(__xludf.DUMMYFUNCTION("""COMPUTED_VALUE"""),"Rocky")</f>
        <v>Rocky</v>
      </c>
      <c r="D2806" s="1" t="str">
        <f ca="1">IFERROR(__xludf.DUMMYFUNCTION("""COMPUTED_VALUE"""),"Romero")</f>
        <v>Romero</v>
      </c>
      <c r="E2806" s="1" t="str">
        <f ca="1">IFERROR(__xludf.DUMMYFUNCTION("""COMPUTED_VALUE"""),"Jude Romero may interpreter... nmn Yan... eh")</f>
        <v>Jude Romero may interpreter... nmn Yan... eh</v>
      </c>
      <c r="F2806" s="1"/>
      <c r="G2806" s="1" t="str">
        <f ca="1">IFERROR(__xludf.DUMMYFUNCTION("""COMPUTED_VALUE"""),"3 mos")</f>
        <v>3 mos</v>
      </c>
      <c r="H2806" s="1" t="str">
        <f ca="1">IFERROR(__xludf.DUMMYFUNCTION("""COMPUTED_VALUE"""),"reply")</f>
        <v>reply</v>
      </c>
      <c r="I2806" s="2" t="str">
        <f ca="1">IFERROR(__xludf.DUMMYFUNCTION("""COMPUTED_VALUE"""),"https://www.facebook.com/rapplerdotcom/photos/a.317154781638645/5594453700575367/")</f>
        <v>https://www.facebook.com/rapplerdotcom/photos/a.317154781638645/5594453700575367/</v>
      </c>
      <c r="J2806" s="1" t="str">
        <f ca="1">IFERROR(__xludf.DUMMYFUNCTION("""COMPUTED_VALUE"""),"2022-07-04T15:53:36.544Z")</f>
        <v>2022-07-04T15:53:36.544Z</v>
      </c>
    </row>
    <row r="2807" spans="1:10" x14ac:dyDescent="0.2">
      <c r="A2807" s="2" t="str">
        <f ca="1">IFERROR(__xludf.DUMMYFUNCTION("""COMPUTED_VALUE"""),"https://www.facebook.com/BimBirimBimBim")</f>
        <v>https://www.facebook.com/BimBirimBimBim</v>
      </c>
      <c r="B2807" s="1" t="str">
        <f ca="1">IFERROR(__xludf.DUMMYFUNCTION("""COMPUTED_VALUE"""),"Bim Rodriguez")</f>
        <v>Bim Rodriguez</v>
      </c>
      <c r="C2807" s="1" t="str">
        <f ca="1">IFERROR(__xludf.DUMMYFUNCTION("""COMPUTED_VALUE"""),"Bim")</f>
        <v>Bim</v>
      </c>
      <c r="D2807" s="1" t="str">
        <f ca="1">IFERROR(__xludf.DUMMYFUNCTION("""COMPUTED_VALUE"""),"Rodriguez")</f>
        <v>Rodriguez</v>
      </c>
      <c r="E2807" s="1" t="str">
        <f ca="1">IFERROR(__xludf.DUMMYFUNCTION("""COMPUTED_VALUE"""),"Moosh Sev yan hirap sa inyo eh feeling mataas pinagaralan but did you know na walang kaso sa foreigners ang Di masyado magaling sa English as long as they can understand each other? Also in this quoted statement wala naman syang sinabing ako ang iboto nyo"&amp;". But he encourage not to vote for UNITHIEVES.")</f>
        <v>Moosh Sev yan hirap sa inyo eh feeling mataas pinagaralan but did you know na walang kaso sa foreigners ang Di masyado magaling sa English as long as they can understand each other? Also in this quoted statement wala naman syang sinabing ako ang iboto nyo. But he encourage not to vote for UNITHIEVES.</v>
      </c>
      <c r="F2807" s="1"/>
      <c r="G2807" s="1" t="str">
        <f ca="1">IFERROR(__xludf.DUMMYFUNCTION("""COMPUTED_VALUE"""),"3 mos")</f>
        <v>3 mos</v>
      </c>
      <c r="H2807" s="1" t="str">
        <f ca="1">IFERROR(__xludf.DUMMYFUNCTION("""COMPUTED_VALUE"""),"reply")</f>
        <v>reply</v>
      </c>
      <c r="I2807" s="2" t="str">
        <f ca="1">IFERROR(__xludf.DUMMYFUNCTION("""COMPUTED_VALUE"""),"https://www.facebook.com/rapplerdotcom/photos/a.317154781638645/5594453700575367/")</f>
        <v>https://www.facebook.com/rapplerdotcom/photos/a.317154781638645/5594453700575367/</v>
      </c>
      <c r="J2807" s="1" t="str">
        <f ca="1">IFERROR(__xludf.DUMMYFUNCTION("""COMPUTED_VALUE"""),"2022-07-04T15:53:36.544Z")</f>
        <v>2022-07-04T15:53:36.544Z</v>
      </c>
    </row>
    <row r="2808" spans="1:10" x14ac:dyDescent="0.2">
      <c r="A2808" s="2" t="str">
        <f ca="1">IFERROR(__xludf.DUMMYFUNCTION("""COMPUTED_VALUE"""),"https://www.facebook.com/milanituda")</f>
        <v>https://www.facebook.com/milanituda</v>
      </c>
      <c r="B2808" s="1" t="str">
        <f ca="1">IFERROR(__xludf.DUMMYFUNCTION("""COMPUTED_VALUE"""),"Xsa Xsa")</f>
        <v>Xsa Xsa</v>
      </c>
      <c r="C2808" s="1" t="str">
        <f ca="1">IFERROR(__xludf.DUMMYFUNCTION("""COMPUTED_VALUE"""),"Xsa")</f>
        <v>Xsa</v>
      </c>
      <c r="D2808" s="1" t="str">
        <f ca="1">IFERROR(__xludf.DUMMYFUNCTION("""COMPUTED_VALUE"""),"Xsa")</f>
        <v>Xsa</v>
      </c>
      <c r="E2808" s="1" t="str">
        <f ca="1">IFERROR(__xludf.DUMMYFUNCTION("""COMPUTED_VALUE"""),"Bim Rodriguez do u have evidence  na nagnakaw yan prove it in the court")</f>
        <v>Bim Rodriguez do u have evidence  na nagnakaw yan prove it in the court</v>
      </c>
      <c r="F2808" s="1"/>
      <c r="G2808" s="1" t="str">
        <f ca="1">IFERROR(__xludf.DUMMYFUNCTION("""COMPUTED_VALUE"""),"3 mos")</f>
        <v>3 mos</v>
      </c>
      <c r="H2808" s="1" t="str">
        <f ca="1">IFERROR(__xludf.DUMMYFUNCTION("""COMPUTED_VALUE"""),"reply")</f>
        <v>reply</v>
      </c>
      <c r="I2808" s="2" t="str">
        <f ca="1">IFERROR(__xludf.DUMMYFUNCTION("""COMPUTED_VALUE"""),"https://www.facebook.com/rapplerdotcom/photos/a.317154781638645/5594453700575367/")</f>
        <v>https://www.facebook.com/rapplerdotcom/photos/a.317154781638645/5594453700575367/</v>
      </c>
      <c r="J2808" s="1" t="str">
        <f ca="1">IFERROR(__xludf.DUMMYFUNCTION("""COMPUTED_VALUE"""),"2022-07-04T15:53:36.544Z")</f>
        <v>2022-07-04T15:53:36.544Z</v>
      </c>
    </row>
    <row r="2809" spans="1:10" x14ac:dyDescent="0.2">
      <c r="A2809" s="2" t="str">
        <f ca="1">IFERROR(__xludf.DUMMYFUNCTION("""COMPUTED_VALUE"""),"https://www.facebook.com/BimBirimBimBim")</f>
        <v>https://www.facebook.com/BimBirimBimBim</v>
      </c>
      <c r="B2809" s="1" t="str">
        <f ca="1">IFERROR(__xludf.DUMMYFUNCTION("""COMPUTED_VALUE"""),"Bim Rodriguez")</f>
        <v>Bim Rodriguez</v>
      </c>
      <c r="C2809" s="1" t="str">
        <f ca="1">IFERROR(__xludf.DUMMYFUNCTION("""COMPUTED_VALUE"""),"Bim")</f>
        <v>Bim</v>
      </c>
      <c r="D2809" s="1" t="str">
        <f ca="1">IFERROR(__xludf.DUMMYFUNCTION("""COMPUTED_VALUE"""),"Rodriguez")</f>
        <v>Rodriguez</v>
      </c>
      <c r="E2809" s="1" t="str">
        <f ca="1">IFERROR(__xludf.DUMMYFUNCTION("""COMPUTED_VALUE"""),"Moosh Sev they all have cases. Some are convicted and some are already guilty. Some were pardoned by they ally, and some are on bail.")</f>
        <v>Moosh Sev they all have cases. Some are convicted and some are already guilty. Some were pardoned by they ally, and some are on bail.</v>
      </c>
      <c r="F2809" s="1"/>
      <c r="G2809" s="1" t="str">
        <f ca="1">IFERROR(__xludf.DUMMYFUNCTION("""COMPUTED_VALUE"""),"3 mos")</f>
        <v>3 mos</v>
      </c>
      <c r="H2809" s="1" t="str">
        <f ca="1">IFERROR(__xludf.DUMMYFUNCTION("""COMPUTED_VALUE"""),"reply")</f>
        <v>reply</v>
      </c>
      <c r="I2809" s="2" t="str">
        <f ca="1">IFERROR(__xludf.DUMMYFUNCTION("""COMPUTED_VALUE"""),"https://www.facebook.com/rapplerdotcom/photos/a.317154781638645/5594453700575367/")</f>
        <v>https://www.facebook.com/rapplerdotcom/photos/a.317154781638645/5594453700575367/</v>
      </c>
      <c r="J2809" s="1" t="str">
        <f ca="1">IFERROR(__xludf.DUMMYFUNCTION("""COMPUTED_VALUE"""),"2022-07-04T15:53:36.544Z")</f>
        <v>2022-07-04T15:53:36.544Z</v>
      </c>
    </row>
    <row r="2810" spans="1:10" x14ac:dyDescent="0.2">
      <c r="A2810" s="2" t="str">
        <f ca="1">IFERROR(__xludf.DUMMYFUNCTION("""COMPUTED_VALUE"""),"https://www.facebook.com/milanituda")</f>
        <v>https://www.facebook.com/milanituda</v>
      </c>
      <c r="B2810" s="1" t="str">
        <f ca="1">IFERROR(__xludf.DUMMYFUNCTION("""COMPUTED_VALUE"""),"Xsa Xsa")</f>
        <v>Xsa Xsa</v>
      </c>
      <c r="C2810" s="1" t="str">
        <f ca="1">IFERROR(__xludf.DUMMYFUNCTION("""COMPUTED_VALUE"""),"Xsa")</f>
        <v>Xsa</v>
      </c>
      <c r="D2810" s="1" t="str">
        <f ca="1">IFERROR(__xludf.DUMMYFUNCTION("""COMPUTED_VALUE"""),"Xsa")</f>
        <v>Xsa</v>
      </c>
      <c r="E2810" s="1" t="str">
        <f ca="1">IFERROR(__xludf.DUMMYFUNCTION("""COMPUTED_VALUE"""),"Bim Rodriguezwelk thats my opinion gets mo")</f>
        <v>Bim Rodriguezwelk thats my opinion gets mo</v>
      </c>
      <c r="F2810" s="1"/>
      <c r="G2810" s="1" t="str">
        <f ca="1">IFERROR(__xludf.DUMMYFUNCTION("""COMPUTED_VALUE"""),"3 mos")</f>
        <v>3 mos</v>
      </c>
      <c r="H2810" s="1" t="str">
        <f ca="1">IFERROR(__xludf.DUMMYFUNCTION("""COMPUTED_VALUE"""),"reply")</f>
        <v>reply</v>
      </c>
      <c r="I2810" s="2" t="str">
        <f ca="1">IFERROR(__xludf.DUMMYFUNCTION("""COMPUTED_VALUE"""),"https://www.facebook.com/rapplerdotcom/photos/a.317154781638645/5594453700575367/")</f>
        <v>https://www.facebook.com/rapplerdotcom/photos/a.317154781638645/5594453700575367/</v>
      </c>
      <c r="J2810" s="1" t="str">
        <f ca="1">IFERROR(__xludf.DUMMYFUNCTION("""COMPUTED_VALUE"""),"2022-07-04T15:53:36.544Z")</f>
        <v>2022-07-04T15:53:36.544Z</v>
      </c>
    </row>
    <row r="2811" spans="1:10" x14ac:dyDescent="0.2">
      <c r="A2811" s="2" t="str">
        <f ca="1">IFERROR(__xludf.DUMMYFUNCTION("""COMPUTED_VALUE"""),"https://www.facebook.com/sha.karon")</f>
        <v>https://www.facebook.com/sha.karon</v>
      </c>
      <c r="B2811" s="1" t="str">
        <f ca="1">IFERROR(__xludf.DUMMYFUNCTION("""COMPUTED_VALUE"""),"Shamira KA")</f>
        <v>Shamira KA</v>
      </c>
      <c r="C2811" s="1" t="str">
        <f ca="1">IFERROR(__xludf.DUMMYFUNCTION("""COMPUTED_VALUE"""),"Shamira")</f>
        <v>Shamira</v>
      </c>
      <c r="D2811" s="1" t="str">
        <f ca="1">IFERROR(__xludf.DUMMYFUNCTION("""COMPUTED_VALUE"""),"KA")</f>
        <v>KA</v>
      </c>
      <c r="E2811" s="1" t="str">
        <f ca="1">IFERROR(__xludf.DUMMYFUNCTION("""COMPUTED_VALUE"""),"True we have been disciplined by our parents not to steal but what going on the THEIF is supporting by many Pilipino 👎👎👎")</f>
        <v>True we have been disciplined by our parents not to steal but what going on the THEIF is supporting by many Pilipino 👎👎👎</v>
      </c>
      <c r="F2811" s="1">
        <f ca="1">IFERROR(__xludf.DUMMYFUNCTION("""COMPUTED_VALUE"""),22)</f>
        <v>22</v>
      </c>
      <c r="G2811" s="1" t="str">
        <f ca="1">IFERROR(__xludf.DUMMYFUNCTION("""COMPUTED_VALUE"""),"3 mos")</f>
        <v>3 mos</v>
      </c>
      <c r="H2811" s="1" t="str">
        <f ca="1">IFERROR(__xludf.DUMMYFUNCTION("""COMPUTED_VALUE"""),"comment")</f>
        <v>comment</v>
      </c>
      <c r="I2811" s="2" t="str">
        <f ca="1">IFERROR(__xludf.DUMMYFUNCTION("""COMPUTED_VALUE"""),"https://www.facebook.com/rapplerdotcom/photos/a.317154781638645/5594453700575367/")</f>
        <v>https://www.facebook.com/rapplerdotcom/photos/a.317154781638645/5594453700575367/</v>
      </c>
      <c r="J2811" s="1" t="str">
        <f ca="1">IFERROR(__xludf.DUMMYFUNCTION("""COMPUTED_VALUE"""),"2022-07-04T15:53:36.544Z")</f>
        <v>2022-07-04T15:53:36.544Z</v>
      </c>
    </row>
    <row r="2812" spans="1:10" x14ac:dyDescent="0.2">
      <c r="A2812" s="2" t="str">
        <f ca="1">IFERROR(__xludf.DUMMYFUNCTION("""COMPUTED_VALUE"""),"https://www.facebook.com/minda.amen")</f>
        <v>https://www.facebook.com/minda.amen</v>
      </c>
      <c r="B2812" s="1" t="str">
        <f ca="1">IFERROR(__xludf.DUMMYFUNCTION("""COMPUTED_VALUE"""),"Minda Amen delos Santos")</f>
        <v>Minda Amen delos Santos</v>
      </c>
      <c r="C2812" s="1" t="str">
        <f ca="1">IFERROR(__xludf.DUMMYFUNCTION("""COMPUTED_VALUE"""),"Minda")</f>
        <v>Minda</v>
      </c>
      <c r="D2812" s="1" t="str">
        <f ca="1">IFERROR(__xludf.DUMMYFUNCTION("""COMPUTED_VALUE"""),"Amen delos Santos")</f>
        <v>Amen delos Santos</v>
      </c>
      <c r="E2812" s="1" t="str">
        <f ca="1">IFERROR(__xludf.DUMMYFUNCTION("""COMPUTED_VALUE"""),"Baimoro Karon Silongan KA yn Po nkkalungkot s iba ntng mga kabbayan. Bkt kailangan ntn irisk Ang maging Buhay ntn s loob Ng  anim n taon. Kya bnigyan Tyo Ng Dios utak")</f>
        <v>Baimoro Karon Silongan KA yn Po nkkalungkot s iba ntng mga kabbayan. Bkt kailangan ntn irisk Ang maging Buhay ntn s loob Ng  anim n taon. Kya bnigyan Tyo Ng Dios utak</v>
      </c>
      <c r="F2812" s="1">
        <f ca="1">IFERROR(__xludf.DUMMYFUNCTION("""COMPUTED_VALUE"""),5)</f>
        <v>5</v>
      </c>
      <c r="G2812" s="1" t="str">
        <f ca="1">IFERROR(__xludf.DUMMYFUNCTION("""COMPUTED_VALUE"""),"3 mos")</f>
        <v>3 mos</v>
      </c>
      <c r="H2812" s="1" t="str">
        <f ca="1">IFERROR(__xludf.DUMMYFUNCTION("""COMPUTED_VALUE"""),"reply")</f>
        <v>reply</v>
      </c>
      <c r="I2812" s="2" t="str">
        <f ca="1">IFERROR(__xludf.DUMMYFUNCTION("""COMPUTED_VALUE"""),"https://www.facebook.com/rapplerdotcom/photos/a.317154781638645/5594453700575367/")</f>
        <v>https://www.facebook.com/rapplerdotcom/photos/a.317154781638645/5594453700575367/</v>
      </c>
      <c r="J2812" s="1" t="str">
        <f ca="1">IFERROR(__xludf.DUMMYFUNCTION("""COMPUTED_VALUE"""),"2022-07-04T15:53:36.544Z")</f>
        <v>2022-07-04T15:53:36.544Z</v>
      </c>
    </row>
    <row r="2813" spans="1:10" x14ac:dyDescent="0.2">
      <c r="A2813" s="2" t="str">
        <f ca="1">IFERROR(__xludf.DUMMYFUNCTION("""COMPUTED_VALUE"""),"https://www.facebook.com/carina.constantino.754")</f>
        <v>https://www.facebook.com/carina.constantino.754</v>
      </c>
      <c r="B2813" s="1" t="str">
        <f ca="1">IFERROR(__xludf.DUMMYFUNCTION("""COMPUTED_VALUE"""),"Carina Constantino")</f>
        <v>Carina Constantino</v>
      </c>
      <c r="C2813" s="1" t="str">
        <f ca="1">IFERROR(__xludf.DUMMYFUNCTION("""COMPUTED_VALUE"""),"Carina")</f>
        <v>Carina</v>
      </c>
      <c r="D2813" s="1" t="str">
        <f ca="1">IFERROR(__xludf.DUMMYFUNCTION("""COMPUTED_VALUE"""),"Constantino")</f>
        <v>Constantino</v>
      </c>
      <c r="E2813" s="1" t="str">
        <f ca="1">IFERROR(__xludf.DUMMYFUNCTION("""COMPUTED_VALUE"""),"Minda Amen delos Santos ganoon at pareho lang kayo at tayo na nakalimot na may laman palang utak ang ulo ng bawat tao kaya respect na lang ninyo kung ano gusto ng lahat ng walang utak na botante katulad mo din at ng ibabRESPECT everyones choice peace✌✌✌")</f>
        <v>Minda Amen delos Santos ganoon at pareho lang kayo at tayo na nakalimot na may laman palang utak ang ulo ng bawat tao kaya respect na lang ninyo kung ano gusto ng lahat ng walang utak na botante katulad mo din at ng ibabRESPECT everyones choice peace✌✌✌</v>
      </c>
      <c r="F2813" s="1">
        <f ca="1">IFERROR(__xludf.DUMMYFUNCTION("""COMPUTED_VALUE"""),2)</f>
        <v>2</v>
      </c>
      <c r="G2813" s="1" t="str">
        <f ca="1">IFERROR(__xludf.DUMMYFUNCTION("""COMPUTED_VALUE"""),"3 mos")</f>
        <v>3 mos</v>
      </c>
      <c r="H2813" s="1" t="str">
        <f ca="1">IFERROR(__xludf.DUMMYFUNCTION("""COMPUTED_VALUE"""),"reply")</f>
        <v>reply</v>
      </c>
      <c r="I2813" s="2" t="str">
        <f ca="1">IFERROR(__xludf.DUMMYFUNCTION("""COMPUTED_VALUE"""),"https://www.facebook.com/rapplerdotcom/photos/a.317154781638645/5594453700575367/")</f>
        <v>https://www.facebook.com/rapplerdotcom/photos/a.317154781638645/5594453700575367/</v>
      </c>
      <c r="J2813" s="1" t="str">
        <f ca="1">IFERROR(__xludf.DUMMYFUNCTION("""COMPUTED_VALUE"""),"2022-07-04T15:53:36.544Z")</f>
        <v>2022-07-04T15:53:36.544Z</v>
      </c>
    </row>
    <row r="2814" spans="1:10" x14ac:dyDescent="0.2">
      <c r="A2814" s="2" t="str">
        <f ca="1">IFERROR(__xludf.DUMMYFUNCTION("""COMPUTED_VALUE"""),"https://www.facebook.com/close728/")</f>
        <v>https://www.facebook.com/close728/</v>
      </c>
      <c r="B2814" s="1" t="str">
        <f ca="1">IFERROR(__xludf.DUMMYFUNCTION("""COMPUTED_VALUE"""),"BISCAST Alumni Office")</f>
        <v>BISCAST Alumni Office</v>
      </c>
      <c r="C2814" s="1" t="str">
        <f ca="1">IFERROR(__xludf.DUMMYFUNCTION("""COMPUTED_VALUE"""),"BISCAST")</f>
        <v>BISCAST</v>
      </c>
      <c r="D2814" s="1" t="str">
        <f ca="1">IFERROR(__xludf.DUMMYFUNCTION("""COMPUTED_VALUE"""),"Alumni Office")</f>
        <v>Alumni Office</v>
      </c>
      <c r="E2814" s="1" t="str">
        <f ca="1">IFERROR(__xludf.DUMMYFUNCTION("""COMPUTED_VALUE"""),"Totoo nman po ang sinabi no senator manny. Mga botante lng kasi tayo ang mgluluklok s kanila kaya kung mgkakamali tayo uli,wala ng pg asa tuluyan ng babagsak ang bansa natin..")</f>
        <v>Totoo nman po ang sinabi no senator manny. Mga botante lng kasi tayo ang mgluluklok s kanila kaya kung mgkakamali tayo uli,wala ng pg asa tuluyan ng babagsak ang bansa natin..</v>
      </c>
      <c r="F2814" s="1">
        <f ca="1">IFERROR(__xludf.DUMMYFUNCTION("""COMPUTED_VALUE"""),15)</f>
        <v>15</v>
      </c>
      <c r="G2814" s="1" t="str">
        <f ca="1">IFERROR(__xludf.DUMMYFUNCTION("""COMPUTED_VALUE"""),"3 mos")</f>
        <v>3 mos</v>
      </c>
      <c r="H2814" s="1" t="str">
        <f ca="1">IFERROR(__xludf.DUMMYFUNCTION("""COMPUTED_VALUE"""),"comment")</f>
        <v>comment</v>
      </c>
      <c r="I2814" s="2" t="str">
        <f ca="1">IFERROR(__xludf.DUMMYFUNCTION("""COMPUTED_VALUE"""),"https://www.facebook.com/rapplerdotcom/photos/a.317154781638645/5594453700575367/")</f>
        <v>https://www.facebook.com/rapplerdotcom/photos/a.317154781638645/5594453700575367/</v>
      </c>
      <c r="J2814" s="1" t="str">
        <f ca="1">IFERROR(__xludf.DUMMYFUNCTION("""COMPUTED_VALUE"""),"2022-07-04T15:53:36.544Z")</f>
        <v>2022-07-04T15:53:36.544Z</v>
      </c>
    </row>
    <row r="2815" spans="1:10" x14ac:dyDescent="0.2">
      <c r="A2815" s="2" t="str">
        <f ca="1">IFERROR(__xludf.DUMMYFUNCTION("""COMPUTED_VALUE"""),"https://www.facebook.com/ricky.yanong.37")</f>
        <v>https://www.facebook.com/ricky.yanong.37</v>
      </c>
      <c r="B2815" s="1" t="str">
        <f ca="1">IFERROR(__xludf.DUMMYFUNCTION("""COMPUTED_VALUE"""),"Ricky Yanong")</f>
        <v>Ricky Yanong</v>
      </c>
      <c r="C2815" s="1" t="str">
        <f ca="1">IFERROR(__xludf.DUMMYFUNCTION("""COMPUTED_VALUE"""),"Ricky")</f>
        <v>Ricky</v>
      </c>
      <c r="D2815" s="1" t="str">
        <f ca="1">IFERROR(__xludf.DUMMYFUNCTION("""COMPUTED_VALUE"""),"Yanong")</f>
        <v>Yanong</v>
      </c>
      <c r="E2815" s="1" t="str">
        <f ca="1">IFERROR(__xludf.DUMMYFUNCTION("""COMPUTED_VALUE"""),"OW! pretentious leader")</f>
        <v>OW! pretentious leader</v>
      </c>
      <c r="F2815" s="1">
        <f ca="1">IFERROR(__xludf.DUMMYFUNCTION("""COMPUTED_VALUE"""),2)</f>
        <v>2</v>
      </c>
      <c r="G2815" s="1" t="str">
        <f ca="1">IFERROR(__xludf.DUMMYFUNCTION("""COMPUTED_VALUE"""),"3 mos")</f>
        <v>3 mos</v>
      </c>
      <c r="H2815" s="1" t="str">
        <f ca="1">IFERROR(__xludf.DUMMYFUNCTION("""COMPUTED_VALUE"""),"comment")</f>
        <v>comment</v>
      </c>
      <c r="I2815" s="2" t="str">
        <f ca="1">IFERROR(__xludf.DUMMYFUNCTION("""COMPUTED_VALUE"""),"https://www.facebook.com/rapplerdotcom/photos/a.317154781638645/5594453700575367/")</f>
        <v>https://www.facebook.com/rapplerdotcom/photos/a.317154781638645/5594453700575367/</v>
      </c>
      <c r="J2815" s="1" t="str">
        <f ca="1">IFERROR(__xludf.DUMMYFUNCTION("""COMPUTED_VALUE"""),"2022-07-04T15:53:36.544Z")</f>
        <v>2022-07-04T15:53:36.544Z</v>
      </c>
    </row>
    <row r="2816" spans="1:10" x14ac:dyDescent="0.2">
      <c r="A2816" s="2" t="str">
        <f ca="1">IFERROR(__xludf.DUMMYFUNCTION("""COMPUTED_VALUE"""),"https://www.facebook.com/angelica.magcamit")</f>
        <v>https://www.facebook.com/angelica.magcamit</v>
      </c>
      <c r="B2816" s="1" t="str">
        <f ca="1">IFERROR(__xludf.DUMMYFUNCTION("""COMPUTED_VALUE"""),"Magcamit Gerlie")</f>
        <v>Magcamit Gerlie</v>
      </c>
      <c r="C2816" s="1" t="str">
        <f ca="1">IFERROR(__xludf.DUMMYFUNCTION("""COMPUTED_VALUE"""),"Magcamit")</f>
        <v>Magcamit</v>
      </c>
      <c r="D2816" s="1" t="str">
        <f ca="1">IFERROR(__xludf.DUMMYFUNCTION("""COMPUTED_VALUE"""),"Gerlie")</f>
        <v>Gerlie</v>
      </c>
      <c r="E2816" s="1" t="str">
        <f ca="1">IFERROR(__xludf.DUMMYFUNCTION("""COMPUTED_VALUE"""),"Well, i agree and you’re right Sen Manny! #LetLeniLead2022")</f>
        <v>Well, i agree and you’re right Sen Manny! #LetLeniLead2022</v>
      </c>
      <c r="F2816" s="1">
        <f ca="1">IFERROR(__xludf.DUMMYFUNCTION("""COMPUTED_VALUE"""),2)</f>
        <v>2</v>
      </c>
      <c r="G2816" s="1" t="str">
        <f ca="1">IFERROR(__xludf.DUMMYFUNCTION("""COMPUTED_VALUE"""),"3 mos")</f>
        <v>3 mos</v>
      </c>
      <c r="H2816" s="1" t="str">
        <f ca="1">IFERROR(__xludf.DUMMYFUNCTION("""COMPUTED_VALUE"""),"comment")</f>
        <v>comment</v>
      </c>
      <c r="I2816" s="2" t="str">
        <f ca="1">IFERROR(__xludf.DUMMYFUNCTION("""COMPUTED_VALUE"""),"https://www.facebook.com/rapplerdotcom/photos/a.317154781638645/5594453700575367/")</f>
        <v>https://www.facebook.com/rapplerdotcom/photos/a.317154781638645/5594453700575367/</v>
      </c>
      <c r="J2816" s="1" t="str">
        <f ca="1">IFERROR(__xludf.DUMMYFUNCTION("""COMPUTED_VALUE"""),"2022-07-04T15:53:36.544Z")</f>
        <v>2022-07-04T15:53:36.544Z</v>
      </c>
    </row>
    <row r="2817" spans="1:10" x14ac:dyDescent="0.2">
      <c r="A2817" s="2" t="str">
        <f ca="1">IFERROR(__xludf.DUMMYFUNCTION("""COMPUTED_VALUE"""),"https://www.facebook.com/narciso.corvera.549")</f>
        <v>https://www.facebook.com/narciso.corvera.549</v>
      </c>
      <c r="B2817" s="1" t="str">
        <f ca="1">IFERROR(__xludf.DUMMYFUNCTION("""COMPUTED_VALUE"""),"Narciso Corvera")</f>
        <v>Narciso Corvera</v>
      </c>
      <c r="C2817" s="1" t="str">
        <f ca="1">IFERROR(__xludf.DUMMYFUNCTION("""COMPUTED_VALUE"""),"Narciso")</f>
        <v>Narciso</v>
      </c>
      <c r="D2817" s="1" t="str">
        <f ca="1">IFERROR(__xludf.DUMMYFUNCTION("""COMPUTED_VALUE"""),"Corvera")</f>
        <v>Corvera</v>
      </c>
      <c r="E2817" s="1" t="str">
        <f ca="1">IFERROR(__xludf.DUMMYFUNCTION("""COMPUTED_VALUE"""),"Magcamit Gerlie huu nakisakay  ka  naman  mag icip q,")</f>
        <v>Magcamit Gerlie huu nakisakay  ka  naman  mag icip q,</v>
      </c>
      <c r="F2817" s="1"/>
      <c r="G2817" s="1" t="str">
        <f ca="1">IFERROR(__xludf.DUMMYFUNCTION("""COMPUTED_VALUE"""),"3 mos")</f>
        <v>3 mos</v>
      </c>
      <c r="H2817" s="1" t="str">
        <f ca="1">IFERROR(__xludf.DUMMYFUNCTION("""COMPUTED_VALUE"""),"reply")</f>
        <v>reply</v>
      </c>
      <c r="I2817" s="2" t="str">
        <f ca="1">IFERROR(__xludf.DUMMYFUNCTION("""COMPUTED_VALUE"""),"https://www.facebook.com/rapplerdotcom/photos/a.317154781638645/5594453700575367/")</f>
        <v>https://www.facebook.com/rapplerdotcom/photos/a.317154781638645/5594453700575367/</v>
      </c>
      <c r="J2817" s="1" t="str">
        <f ca="1">IFERROR(__xludf.DUMMYFUNCTION("""COMPUTED_VALUE"""),"2022-07-04T15:53:36.544Z")</f>
        <v>2022-07-04T15:53:36.544Z</v>
      </c>
    </row>
    <row r="2818" spans="1:10" x14ac:dyDescent="0.2">
      <c r="A2818" s="2" t="str">
        <f ca="1">IFERROR(__xludf.DUMMYFUNCTION("""COMPUTED_VALUE"""),"https://www.facebook.com/cornelio.albino1")</f>
        <v>https://www.facebook.com/cornelio.albino1</v>
      </c>
      <c r="B2818" s="1" t="str">
        <f ca="1">IFERROR(__xludf.DUMMYFUNCTION("""COMPUTED_VALUE"""),"Cornelio Albino")</f>
        <v>Cornelio Albino</v>
      </c>
      <c r="C2818" s="1" t="str">
        <f ca="1">IFERROR(__xludf.DUMMYFUNCTION("""COMPUTED_VALUE"""),"Cornelio")</f>
        <v>Cornelio</v>
      </c>
      <c r="D2818" s="1" t="str">
        <f ca="1">IFERROR(__xludf.DUMMYFUNCTION("""COMPUTED_VALUE"""),"Albino")</f>
        <v>Albino</v>
      </c>
      <c r="E2818" s="1" t="str">
        <f ca="1">IFERROR(__xludf.DUMMYFUNCTION("""COMPUTED_VALUE"""),"And who is the thief? You are out of your mind🤬")</f>
        <v>And who is the thief? You are out of your mind🤬</v>
      </c>
      <c r="F2818" s="1">
        <f ca="1">IFERROR(__xludf.DUMMYFUNCTION("""COMPUTED_VALUE"""),1)</f>
        <v>1</v>
      </c>
      <c r="G2818" s="1" t="str">
        <f ca="1">IFERROR(__xludf.DUMMYFUNCTION("""COMPUTED_VALUE"""),"3 mos")</f>
        <v>3 mos</v>
      </c>
      <c r="H2818" s="1" t="str">
        <f ca="1">IFERROR(__xludf.DUMMYFUNCTION("""COMPUTED_VALUE"""),"comment")</f>
        <v>comment</v>
      </c>
      <c r="I2818" s="2" t="str">
        <f ca="1">IFERROR(__xludf.DUMMYFUNCTION("""COMPUTED_VALUE"""),"https://www.facebook.com/rapplerdotcom/photos/a.317154781638645/5594453700575367/")</f>
        <v>https://www.facebook.com/rapplerdotcom/photos/a.317154781638645/5594453700575367/</v>
      </c>
      <c r="J2818" s="1" t="str">
        <f ca="1">IFERROR(__xludf.DUMMYFUNCTION("""COMPUTED_VALUE"""),"2022-07-04T15:53:36.544Z")</f>
        <v>2022-07-04T15:53:36.544Z</v>
      </c>
    </row>
    <row r="2819" spans="1:10" x14ac:dyDescent="0.2">
      <c r="A2819" s="2" t="str">
        <f ca="1">IFERROR(__xludf.DUMMYFUNCTION("""COMPUTED_VALUE"""),"https://www.facebook.com/RichestDad")</f>
        <v>https://www.facebook.com/RichestDad</v>
      </c>
      <c r="B2819" s="1" t="str">
        <f ca="1">IFERROR(__xludf.DUMMYFUNCTION("""COMPUTED_VALUE"""),"Freddie Peteza Base")</f>
        <v>Freddie Peteza Base</v>
      </c>
      <c r="C2819" s="1" t="str">
        <f ca="1">IFERROR(__xludf.DUMMYFUNCTION("""COMPUTED_VALUE"""),"Freddie")</f>
        <v>Freddie</v>
      </c>
      <c r="D2819" s="1" t="str">
        <f ca="1">IFERROR(__xludf.DUMMYFUNCTION("""COMPUTED_VALUE"""),"Peteza Base")</f>
        <v>Peteza Base</v>
      </c>
      <c r="E2819" s="1" t="str">
        <f ca="1">IFERROR(__xludf.DUMMYFUNCTION("""COMPUTED_VALUE"""),"MP is getting smarter Keep jabbing MP")</f>
        <v>MP is getting smarter Keep jabbing MP</v>
      </c>
      <c r="F2819" s="1">
        <f ca="1">IFERROR(__xludf.DUMMYFUNCTION("""COMPUTED_VALUE"""),5)</f>
        <v>5</v>
      </c>
      <c r="G2819" s="1" t="str">
        <f ca="1">IFERROR(__xludf.DUMMYFUNCTION("""COMPUTED_VALUE"""),"3 mos")</f>
        <v>3 mos</v>
      </c>
      <c r="H2819" s="1" t="str">
        <f ca="1">IFERROR(__xludf.DUMMYFUNCTION("""COMPUTED_VALUE"""),"comment")</f>
        <v>comment</v>
      </c>
      <c r="I2819" s="2" t="str">
        <f ca="1">IFERROR(__xludf.DUMMYFUNCTION("""COMPUTED_VALUE"""),"https://www.facebook.com/rapplerdotcom/photos/a.317154781638645/5594453700575367/")</f>
        <v>https://www.facebook.com/rapplerdotcom/photos/a.317154781638645/5594453700575367/</v>
      </c>
      <c r="J2819" s="1" t="str">
        <f ca="1">IFERROR(__xludf.DUMMYFUNCTION("""COMPUTED_VALUE"""),"2022-07-04T15:53:36.544Z")</f>
        <v>2022-07-04T15:53:36.544Z</v>
      </c>
    </row>
    <row r="2820" spans="1:10" x14ac:dyDescent="0.2">
      <c r="A2820" s="2" t="str">
        <f ca="1">IFERROR(__xludf.DUMMYFUNCTION("""COMPUTED_VALUE"""),"https://www.facebook.com/servidadjohnpaul")</f>
        <v>https://www.facebook.com/servidadjohnpaul</v>
      </c>
      <c r="B2820" s="1" t="str">
        <f ca="1">IFERROR(__xludf.DUMMYFUNCTION("""COMPUTED_VALUE"""),"Dadivres Jp")</f>
        <v>Dadivres Jp</v>
      </c>
      <c r="C2820" s="1" t="str">
        <f ca="1">IFERROR(__xludf.DUMMYFUNCTION("""COMPUTED_VALUE"""),"Dadivres")</f>
        <v>Dadivres</v>
      </c>
      <c r="D2820" s="1" t="str">
        <f ca="1">IFERROR(__xludf.DUMMYFUNCTION("""COMPUTED_VALUE"""),"Jp")</f>
        <v>Jp</v>
      </c>
      <c r="E2820" s="1" t="str">
        <f ca="1">IFERROR(__xludf.DUMMYFUNCTION("""COMPUTED_VALUE"""),"Correct ka manny..tapos sila rin unang magrereklamo hindi pa rin tayo nadala ky erap at ate glo!")</f>
        <v>Correct ka manny..tapos sila rin unang magrereklamo hindi pa rin tayo nadala ky erap at ate glo!</v>
      </c>
      <c r="F2820" s="1">
        <f ca="1">IFERROR(__xludf.DUMMYFUNCTION("""COMPUTED_VALUE"""),21)</f>
        <v>21</v>
      </c>
      <c r="G2820" s="1" t="str">
        <f ca="1">IFERROR(__xludf.DUMMYFUNCTION("""COMPUTED_VALUE"""),"3 mos")</f>
        <v>3 mos</v>
      </c>
      <c r="H2820" s="1" t="str">
        <f ca="1">IFERROR(__xludf.DUMMYFUNCTION("""COMPUTED_VALUE"""),"comment")</f>
        <v>comment</v>
      </c>
      <c r="I2820" s="2" t="str">
        <f ca="1">IFERROR(__xludf.DUMMYFUNCTION("""COMPUTED_VALUE"""),"https://www.facebook.com/rapplerdotcom/photos/a.317154781638645/5594453700575367/")</f>
        <v>https://www.facebook.com/rapplerdotcom/photos/a.317154781638645/5594453700575367/</v>
      </c>
      <c r="J2820" s="1" t="str">
        <f ca="1">IFERROR(__xludf.DUMMYFUNCTION("""COMPUTED_VALUE"""),"2022-07-04T15:53:36.544Z")</f>
        <v>2022-07-04T15:53:36.544Z</v>
      </c>
    </row>
    <row r="2821" spans="1:10" x14ac:dyDescent="0.2">
      <c r="A2821" s="2" t="str">
        <f ca="1">IFERROR(__xludf.DUMMYFUNCTION("""COMPUTED_VALUE"""),"https://www.facebook.com/odad.aucsap")</f>
        <v>https://www.facebook.com/odad.aucsap</v>
      </c>
      <c r="B2821" s="1" t="str">
        <f ca="1">IFERROR(__xludf.DUMMYFUNCTION("""COMPUTED_VALUE"""),"Dadz Gacal Pascua")</f>
        <v>Dadz Gacal Pascua</v>
      </c>
      <c r="C2821" s="1" t="str">
        <f ca="1">IFERROR(__xludf.DUMMYFUNCTION("""COMPUTED_VALUE"""),"Dadz")</f>
        <v>Dadz</v>
      </c>
      <c r="D2821" s="1" t="str">
        <f ca="1">IFERROR(__xludf.DUMMYFUNCTION("""COMPUTED_VALUE"""),"Gacal Pascua")</f>
        <v>Gacal Pascua</v>
      </c>
      <c r="E2821" s="1" t="str">
        <f ca="1">IFERROR(__xludf.DUMMYFUNCTION("""COMPUTED_VALUE"""),"Dadivres Jp sinisi pa si erap at ate Glo.")</f>
        <v>Dadivres Jp sinisi pa si erap at ate Glo.</v>
      </c>
      <c r="F2821" s="1"/>
      <c r="G2821" s="1" t="str">
        <f ca="1">IFERROR(__xludf.DUMMYFUNCTION("""COMPUTED_VALUE"""),"3 mos")</f>
        <v>3 mos</v>
      </c>
      <c r="H2821" s="1" t="str">
        <f ca="1">IFERROR(__xludf.DUMMYFUNCTION("""COMPUTED_VALUE"""),"reply")</f>
        <v>reply</v>
      </c>
      <c r="I2821" s="2" t="str">
        <f ca="1">IFERROR(__xludf.DUMMYFUNCTION("""COMPUTED_VALUE"""),"https://www.facebook.com/rapplerdotcom/photos/a.317154781638645/5594453700575367/")</f>
        <v>https://www.facebook.com/rapplerdotcom/photos/a.317154781638645/5594453700575367/</v>
      </c>
      <c r="J2821" s="1" t="str">
        <f ca="1">IFERROR(__xludf.DUMMYFUNCTION("""COMPUTED_VALUE"""),"2022-07-04T15:53:36.544Z")</f>
        <v>2022-07-04T15:53:36.544Z</v>
      </c>
    </row>
    <row r="2822" spans="1:10" x14ac:dyDescent="0.2">
      <c r="A2822" s="2" t="str">
        <f ca="1">IFERROR(__xludf.DUMMYFUNCTION("""COMPUTED_VALUE"""),"https://www.facebook.com/profile.php?id=100010227300304")</f>
        <v>https://www.facebook.com/profile.php?id=100010227300304</v>
      </c>
      <c r="B2822" s="1" t="str">
        <f ca="1">IFERROR(__xludf.DUMMYFUNCTION("""COMPUTED_VALUE"""),"Ador Cabalbag")</f>
        <v>Ador Cabalbag</v>
      </c>
      <c r="C2822" s="1" t="str">
        <f ca="1">IFERROR(__xludf.DUMMYFUNCTION("""COMPUTED_VALUE"""),"Ador")</f>
        <v>Ador</v>
      </c>
      <c r="D2822" s="1" t="str">
        <f ca="1">IFERROR(__xludf.DUMMYFUNCTION("""COMPUTED_VALUE"""),"Cabalbag")</f>
        <v>Cabalbag</v>
      </c>
      <c r="E2822" s="1" t="str">
        <f ca="1">IFERROR(__xludf.DUMMYFUNCTION("""COMPUTED_VALUE"""),"Dadz Gacal Pascua Erap would not be impeached po kung hindi talaga sya nagcommit ng graft and plunder during his presidency.")</f>
        <v>Dadz Gacal Pascua Erap would not be impeached po kung hindi talaga sya nagcommit ng graft and plunder during his presidency.</v>
      </c>
      <c r="F2822" s="1">
        <f ca="1">IFERROR(__xludf.DUMMYFUNCTION("""COMPUTED_VALUE"""),5)</f>
        <v>5</v>
      </c>
      <c r="G2822" s="1" t="str">
        <f ca="1">IFERROR(__xludf.DUMMYFUNCTION("""COMPUTED_VALUE"""),"3 mos")</f>
        <v>3 mos</v>
      </c>
      <c r="H2822" s="1" t="str">
        <f ca="1">IFERROR(__xludf.DUMMYFUNCTION("""COMPUTED_VALUE"""),"reply")</f>
        <v>reply</v>
      </c>
      <c r="I2822" s="2" t="str">
        <f ca="1">IFERROR(__xludf.DUMMYFUNCTION("""COMPUTED_VALUE"""),"https://www.facebook.com/rapplerdotcom/photos/a.317154781638645/5594453700575367/")</f>
        <v>https://www.facebook.com/rapplerdotcom/photos/a.317154781638645/5594453700575367/</v>
      </c>
      <c r="J2822" s="1" t="str">
        <f ca="1">IFERROR(__xludf.DUMMYFUNCTION("""COMPUTED_VALUE"""),"2022-07-04T15:53:36.544Z")</f>
        <v>2022-07-04T15:53:36.544Z</v>
      </c>
    </row>
    <row r="2823" spans="1:10" x14ac:dyDescent="0.2">
      <c r="A2823" s="2" t="str">
        <f ca="1">IFERROR(__xludf.DUMMYFUNCTION("""COMPUTED_VALUE"""),"https://www.facebook.com/marvz.mendoza.5")</f>
        <v>https://www.facebook.com/marvz.mendoza.5</v>
      </c>
      <c r="B2823" s="1" t="str">
        <f ca="1">IFERROR(__xludf.DUMMYFUNCTION("""COMPUTED_VALUE"""),"Matt Vian Mendoza")</f>
        <v>Matt Vian Mendoza</v>
      </c>
      <c r="C2823" s="1" t="str">
        <f ca="1">IFERROR(__xludf.DUMMYFUNCTION("""COMPUTED_VALUE"""),"Matt")</f>
        <v>Matt</v>
      </c>
      <c r="D2823" s="1" t="str">
        <f ca="1">IFERROR(__xludf.DUMMYFUNCTION("""COMPUTED_VALUE"""),"Vian Mendoza")</f>
        <v>Vian Mendoza</v>
      </c>
      <c r="E2823" s="1" t="str">
        <f ca="1">IFERROR(__xludf.DUMMYFUNCTION("""COMPUTED_VALUE"""),"Very well said sen.manny, nagbubulagbulagan lang ang karamihan kht alam ang totoo.parang pag nanliligaw, balewala ang ang pangit na katangian, basta ang alam nya lang gusto nya ung tao. SAD BUT TRUE!!!")</f>
        <v>Very well said sen.manny, nagbubulagbulagan lang ang karamihan kht alam ang totoo.parang pag nanliligaw, balewala ang ang pangit na katangian, basta ang alam nya lang gusto nya ung tao. SAD BUT TRUE!!!</v>
      </c>
      <c r="F2823" s="1">
        <f ca="1">IFERROR(__xludf.DUMMYFUNCTION("""COMPUTED_VALUE"""),2)</f>
        <v>2</v>
      </c>
      <c r="G2823" s="1" t="str">
        <f ca="1">IFERROR(__xludf.DUMMYFUNCTION("""COMPUTED_VALUE"""),"3 mos")</f>
        <v>3 mos</v>
      </c>
      <c r="H2823" s="1" t="str">
        <f ca="1">IFERROR(__xludf.DUMMYFUNCTION("""COMPUTED_VALUE"""),"comment")</f>
        <v>comment</v>
      </c>
      <c r="I2823" s="2" t="str">
        <f ca="1">IFERROR(__xludf.DUMMYFUNCTION("""COMPUTED_VALUE"""),"https://www.facebook.com/rapplerdotcom/photos/a.317154781638645/5594453700575367/")</f>
        <v>https://www.facebook.com/rapplerdotcom/photos/a.317154781638645/5594453700575367/</v>
      </c>
      <c r="J2823" s="1" t="str">
        <f ca="1">IFERROR(__xludf.DUMMYFUNCTION("""COMPUTED_VALUE"""),"2022-07-04T15:53:36.544Z")</f>
        <v>2022-07-04T15:53:36.544Z</v>
      </c>
    </row>
    <row r="2824" spans="1:10" x14ac:dyDescent="0.2">
      <c r="A2824" s="2" t="str">
        <f ca="1">IFERROR(__xludf.DUMMYFUNCTION("""COMPUTED_VALUE"""),"https://www.facebook.com/alex.bacarro")</f>
        <v>https://www.facebook.com/alex.bacarro</v>
      </c>
      <c r="B2824" s="1" t="str">
        <f ca="1">IFERROR(__xludf.DUMMYFUNCTION("""COMPUTED_VALUE"""),"Alex Bacarro")</f>
        <v>Alex Bacarro</v>
      </c>
      <c r="C2824" s="1" t="str">
        <f ca="1">IFERROR(__xludf.DUMMYFUNCTION("""COMPUTED_VALUE"""),"Alex")</f>
        <v>Alex</v>
      </c>
      <c r="D2824" s="1" t="str">
        <f ca="1">IFERROR(__xludf.DUMMYFUNCTION("""COMPUTED_VALUE"""),"Bacarro")</f>
        <v>Bacarro</v>
      </c>
      <c r="E2824" s="1" t="str">
        <f ca="1">IFERROR(__xludf.DUMMYFUNCTION("""COMPUTED_VALUE"""),"Well said Manny. Sana you can guide the misguided.👍🏻🎈")</f>
        <v>Well said Manny. Sana you can guide the misguided.👍🏻🎈</v>
      </c>
      <c r="F2824" s="1">
        <f ca="1">IFERROR(__xludf.DUMMYFUNCTION("""COMPUTED_VALUE"""),24)</f>
        <v>24</v>
      </c>
      <c r="G2824" s="1" t="str">
        <f ca="1">IFERROR(__xludf.DUMMYFUNCTION("""COMPUTED_VALUE"""),"3 mos")</f>
        <v>3 mos</v>
      </c>
      <c r="H2824" s="1" t="str">
        <f ca="1">IFERROR(__xludf.DUMMYFUNCTION("""COMPUTED_VALUE"""),"comment")</f>
        <v>comment</v>
      </c>
      <c r="I2824" s="2" t="str">
        <f ca="1">IFERROR(__xludf.DUMMYFUNCTION("""COMPUTED_VALUE"""),"https://www.facebook.com/rapplerdotcom/photos/a.317154781638645/5594453700575367/")</f>
        <v>https://www.facebook.com/rapplerdotcom/photos/a.317154781638645/5594453700575367/</v>
      </c>
      <c r="J2824" s="1" t="str">
        <f ca="1">IFERROR(__xludf.DUMMYFUNCTION("""COMPUTED_VALUE"""),"2022-07-04T15:53:36.545Z")</f>
        <v>2022-07-04T15:53:36.545Z</v>
      </c>
    </row>
    <row r="2825" spans="1:10" x14ac:dyDescent="0.2">
      <c r="A2825" s="2" t="str">
        <f ca="1">IFERROR(__xludf.DUMMYFUNCTION("""COMPUTED_VALUE"""),"https://www.facebook.com/terense.zingapan")</f>
        <v>https://www.facebook.com/terense.zingapan</v>
      </c>
      <c r="B2825" s="1" t="str">
        <f ca="1">IFERROR(__xludf.DUMMYFUNCTION("""COMPUTED_VALUE"""),"Terense Zingapan")</f>
        <v>Terense Zingapan</v>
      </c>
      <c r="C2825" s="1" t="str">
        <f ca="1">IFERROR(__xludf.DUMMYFUNCTION("""COMPUTED_VALUE"""),"Terense")</f>
        <v>Terense</v>
      </c>
      <c r="D2825" s="1" t="str">
        <f ca="1">IFERROR(__xludf.DUMMYFUNCTION("""COMPUTED_VALUE"""),"Zingapan")</f>
        <v>Zingapan</v>
      </c>
      <c r="E2825" s="1" t="str">
        <f ca="1">IFERROR(__xludf.DUMMYFUNCTION("""COMPUTED_VALUE"""),"Kunga sakaling matupad ni Manny Pacquiao Ang pangako nya na bawat mamayang pilipino ay iaahon nya sa kahirapan at Ang tulong nya ay wag ibigay sa kahit anung opisyal ng mga bayan na kanyang tutulungan sa halip po ibigay nya sa bawat mamayang pilipino pala"&amp;"gay ko makonbinsi na ako na iboboto namin sya 🙏😢👍")</f>
        <v>Kunga sakaling matupad ni Manny Pacquiao Ang pangako nya na bawat mamayang pilipino ay iaahon nya sa kahirapan at Ang tulong nya ay wag ibigay sa kahit anung opisyal ng mga bayan na kanyang tutulungan sa halip po ibigay nya sa bawat mamayang pilipino palagay ko makonbinsi na ako na iboboto namin sya 🙏😢👍</v>
      </c>
      <c r="F2825" s="1"/>
      <c r="G2825" s="1" t="str">
        <f ca="1">IFERROR(__xludf.DUMMYFUNCTION("""COMPUTED_VALUE"""),"3 mos")</f>
        <v>3 mos</v>
      </c>
      <c r="H2825" s="1" t="str">
        <f ca="1">IFERROR(__xludf.DUMMYFUNCTION("""COMPUTED_VALUE"""),"comment")</f>
        <v>comment</v>
      </c>
      <c r="I2825" s="2" t="str">
        <f ca="1">IFERROR(__xludf.DUMMYFUNCTION("""COMPUTED_VALUE"""),"https://www.facebook.com/rapplerdotcom/photos/a.317154781638645/5594453700575367/")</f>
        <v>https://www.facebook.com/rapplerdotcom/photos/a.317154781638645/5594453700575367/</v>
      </c>
      <c r="J2825" s="1" t="str">
        <f ca="1">IFERROR(__xludf.DUMMYFUNCTION("""COMPUTED_VALUE"""),"2022-07-04T15:53:36.545Z")</f>
        <v>2022-07-04T15:53:36.545Z</v>
      </c>
    </row>
    <row r="2826" spans="1:10" x14ac:dyDescent="0.2">
      <c r="A2826" s="2" t="str">
        <f ca="1">IFERROR(__xludf.DUMMYFUNCTION("""COMPUTED_VALUE"""),"https://www.facebook.com/profile.php?id=100009601696045")</f>
        <v>https://www.facebook.com/profile.php?id=100009601696045</v>
      </c>
      <c r="B2826" s="1" t="str">
        <f ca="1">IFERROR(__xludf.DUMMYFUNCTION("""COMPUTED_VALUE"""),"Reng Chin")</f>
        <v>Reng Chin</v>
      </c>
      <c r="C2826" s="1" t="str">
        <f ca="1">IFERROR(__xludf.DUMMYFUNCTION("""COMPUTED_VALUE"""),"Reng")</f>
        <v>Reng</v>
      </c>
      <c r="D2826" s="1" t="str">
        <f ca="1">IFERROR(__xludf.DUMMYFUNCTION("""COMPUTED_VALUE"""),"Chin")</f>
        <v>Chin</v>
      </c>
      <c r="E2826" s="1" t="str">
        <f ca="1">IFERROR(__xludf.DUMMYFUNCTION("""COMPUTED_VALUE"""),"For once I agree with him!")</f>
        <v>For once I agree with him!</v>
      </c>
      <c r="F2826" s="1">
        <f ca="1">IFERROR(__xludf.DUMMYFUNCTION("""COMPUTED_VALUE"""),27)</f>
        <v>27</v>
      </c>
      <c r="G2826" s="1" t="str">
        <f ca="1">IFERROR(__xludf.DUMMYFUNCTION("""COMPUTED_VALUE"""),"3 mos")</f>
        <v>3 mos</v>
      </c>
      <c r="H2826" s="1" t="str">
        <f ca="1">IFERROR(__xludf.DUMMYFUNCTION("""COMPUTED_VALUE"""),"comment")</f>
        <v>comment</v>
      </c>
      <c r="I2826" s="2" t="str">
        <f ca="1">IFERROR(__xludf.DUMMYFUNCTION("""COMPUTED_VALUE"""),"https://www.facebook.com/rapplerdotcom/photos/a.317154781638645/5594453700575367/")</f>
        <v>https://www.facebook.com/rapplerdotcom/photos/a.317154781638645/5594453700575367/</v>
      </c>
      <c r="J2826" s="1" t="str">
        <f ca="1">IFERROR(__xludf.DUMMYFUNCTION("""COMPUTED_VALUE"""),"2022-07-04T15:53:36.545Z")</f>
        <v>2022-07-04T15:53:36.545Z</v>
      </c>
    </row>
    <row r="2827" spans="1:10" x14ac:dyDescent="0.2">
      <c r="A2827" s="2" t="str">
        <f ca="1">IFERROR(__xludf.DUMMYFUNCTION("""COMPUTED_VALUE"""),"https://www.facebook.com/eliseo.calimlim")</f>
        <v>https://www.facebook.com/eliseo.calimlim</v>
      </c>
      <c r="B2827" s="1" t="str">
        <f ca="1">IFERROR(__xludf.DUMMYFUNCTION("""COMPUTED_VALUE"""),"Eliseo Calimlim")</f>
        <v>Eliseo Calimlim</v>
      </c>
      <c r="C2827" s="1" t="str">
        <f ca="1">IFERROR(__xludf.DUMMYFUNCTION("""COMPUTED_VALUE"""),"Eliseo")</f>
        <v>Eliseo</v>
      </c>
      <c r="D2827" s="1" t="str">
        <f ca="1">IFERROR(__xludf.DUMMYFUNCTION("""COMPUTED_VALUE"""),"Calimlim")</f>
        <v>Calimlim</v>
      </c>
      <c r="E2827" s="1" t="str">
        <f ca="1">IFERROR(__xludf.DUMMYFUNCTION("""COMPUTED_VALUE"""),"You are a great pretender your IQ level is bgy tanod")</f>
        <v>You are a great pretender your IQ level is bgy tanod</v>
      </c>
      <c r="F2827" s="1">
        <f ca="1">IFERROR(__xludf.DUMMYFUNCTION("""COMPUTED_VALUE"""),7)</f>
        <v>7</v>
      </c>
      <c r="G2827" s="1" t="str">
        <f ca="1">IFERROR(__xludf.DUMMYFUNCTION("""COMPUTED_VALUE"""),"3 mos")</f>
        <v>3 mos</v>
      </c>
      <c r="H2827" s="1" t="str">
        <f ca="1">IFERROR(__xludf.DUMMYFUNCTION("""COMPUTED_VALUE"""),"comment")</f>
        <v>comment</v>
      </c>
      <c r="I2827" s="2" t="str">
        <f ca="1">IFERROR(__xludf.DUMMYFUNCTION("""COMPUTED_VALUE"""),"https://www.facebook.com/rapplerdotcom/photos/a.317154781638645/5594453700575367/")</f>
        <v>https://www.facebook.com/rapplerdotcom/photos/a.317154781638645/5594453700575367/</v>
      </c>
      <c r="J2827" s="1" t="str">
        <f ca="1">IFERROR(__xludf.DUMMYFUNCTION("""COMPUTED_VALUE"""),"2022-07-04T15:53:36.545Z")</f>
        <v>2022-07-04T15:53:36.545Z</v>
      </c>
    </row>
    <row r="2828" spans="1:10" x14ac:dyDescent="0.2">
      <c r="A2828" s="2" t="str">
        <f ca="1">IFERROR(__xludf.DUMMYFUNCTION("""COMPUTED_VALUE"""),"https://www.facebook.com/rocky.romero.1042")</f>
        <v>https://www.facebook.com/rocky.romero.1042</v>
      </c>
      <c r="B2828" s="1" t="str">
        <f ca="1">IFERROR(__xludf.DUMMYFUNCTION("""COMPUTED_VALUE"""),"Rocky Romero")</f>
        <v>Rocky Romero</v>
      </c>
      <c r="C2828" s="1" t="str">
        <f ca="1">IFERROR(__xludf.DUMMYFUNCTION("""COMPUTED_VALUE"""),"Rocky")</f>
        <v>Rocky</v>
      </c>
      <c r="D2828" s="1" t="str">
        <f ca="1">IFERROR(__xludf.DUMMYFUNCTION("""COMPUTED_VALUE"""),"Romero")</f>
        <v>Romero</v>
      </c>
      <c r="E2828" s="1" t="str">
        <f ca="1">IFERROR(__xludf.DUMMYFUNCTION("""COMPUTED_VALUE"""),"Eliseo Calimlim pno nmn po Ikaw... Anong level Ng IQ m... mkpagslita.... hehe.....")</f>
        <v>Eliseo Calimlim pno nmn po Ikaw... Anong level Ng IQ m... mkpagslita.... hehe.....</v>
      </c>
      <c r="F2828" s="1"/>
      <c r="G2828" s="1" t="str">
        <f ca="1">IFERROR(__xludf.DUMMYFUNCTION("""COMPUTED_VALUE"""),"3 mos")</f>
        <v>3 mos</v>
      </c>
      <c r="H2828" s="1" t="str">
        <f ca="1">IFERROR(__xludf.DUMMYFUNCTION("""COMPUTED_VALUE"""),"reply")</f>
        <v>reply</v>
      </c>
      <c r="I2828" s="2" t="str">
        <f ca="1">IFERROR(__xludf.DUMMYFUNCTION("""COMPUTED_VALUE"""),"https://www.facebook.com/rapplerdotcom/photos/a.317154781638645/5594453700575367/")</f>
        <v>https://www.facebook.com/rapplerdotcom/photos/a.317154781638645/5594453700575367/</v>
      </c>
      <c r="J2828" s="1" t="str">
        <f ca="1">IFERROR(__xludf.DUMMYFUNCTION("""COMPUTED_VALUE"""),"2022-07-04T15:53:36.545Z")</f>
        <v>2022-07-04T15:53:36.545Z</v>
      </c>
    </row>
    <row r="2829" spans="1:10" x14ac:dyDescent="0.2">
      <c r="A2829" s="2" t="str">
        <f ca="1">IFERROR(__xludf.DUMMYFUNCTION("""COMPUTED_VALUE"""),"https://www.facebook.com/susan.sagario.56")</f>
        <v>https://www.facebook.com/susan.sagario.56</v>
      </c>
      <c r="B2829" s="1" t="str">
        <f ca="1">IFERROR(__xludf.DUMMYFUNCTION("""COMPUTED_VALUE"""),"Susan Sagario")</f>
        <v>Susan Sagario</v>
      </c>
      <c r="C2829" s="1" t="str">
        <f ca="1">IFERROR(__xludf.DUMMYFUNCTION("""COMPUTED_VALUE"""),"Susan")</f>
        <v>Susan</v>
      </c>
      <c r="D2829" s="1" t="str">
        <f ca="1">IFERROR(__xludf.DUMMYFUNCTION("""COMPUTED_VALUE"""),"Sagario")</f>
        <v>Sagario</v>
      </c>
      <c r="E2829" s="1" t="str">
        <f ca="1">IFERROR(__xludf.DUMMYFUNCTION("""COMPUTED_VALUE"""),"No I won't blame myself I choose to vote you.")</f>
        <v>No I won't blame myself I choose to vote you.</v>
      </c>
      <c r="F2829" s="1">
        <f ca="1">IFERROR(__xludf.DUMMYFUNCTION("""COMPUTED_VALUE"""),9)</f>
        <v>9</v>
      </c>
      <c r="G2829" s="1" t="str">
        <f ca="1">IFERROR(__xludf.DUMMYFUNCTION("""COMPUTED_VALUE"""),"3 mos")</f>
        <v>3 mos</v>
      </c>
      <c r="H2829" s="1" t="str">
        <f ca="1">IFERROR(__xludf.DUMMYFUNCTION("""COMPUTED_VALUE"""),"comment")</f>
        <v>comment</v>
      </c>
      <c r="I2829" s="2" t="str">
        <f ca="1">IFERROR(__xludf.DUMMYFUNCTION("""COMPUTED_VALUE"""),"https://www.facebook.com/rapplerdotcom/photos/a.317154781638645/5594453700575367/")</f>
        <v>https://www.facebook.com/rapplerdotcom/photos/a.317154781638645/5594453700575367/</v>
      </c>
      <c r="J2829" s="1" t="str">
        <f ca="1">IFERROR(__xludf.DUMMYFUNCTION("""COMPUTED_VALUE"""),"2022-07-04T15:53:36.545Z")</f>
        <v>2022-07-04T15:53:36.545Z</v>
      </c>
    </row>
    <row r="2830" spans="1:10" x14ac:dyDescent="0.2">
      <c r="A2830" s="2" t="str">
        <f ca="1">IFERROR(__xludf.DUMMYFUNCTION("""COMPUTED_VALUE"""),"https://www.facebook.com/bsc41")</f>
        <v>https://www.facebook.com/bsc41</v>
      </c>
      <c r="B2830" s="1" t="str">
        <f ca="1">IFERROR(__xludf.DUMMYFUNCTION("""COMPUTED_VALUE"""),"Bryan Casa")</f>
        <v>Bryan Casa</v>
      </c>
      <c r="C2830" s="1" t="str">
        <f ca="1">IFERROR(__xludf.DUMMYFUNCTION("""COMPUTED_VALUE"""),"Bryan")</f>
        <v>Bryan</v>
      </c>
      <c r="D2830" s="1" t="str">
        <f ca="1">IFERROR(__xludf.DUMMYFUNCTION("""COMPUTED_VALUE"""),"Casa")</f>
        <v>Casa</v>
      </c>
      <c r="E2830" s="1" t="str">
        <f ca="1">IFERROR(__xludf.DUMMYFUNCTION("""COMPUTED_VALUE"""),"Hopeless candidate")</f>
        <v>Hopeless candidate</v>
      </c>
      <c r="F2830" s="1">
        <f ca="1">IFERROR(__xludf.DUMMYFUNCTION("""COMPUTED_VALUE"""),4)</f>
        <v>4</v>
      </c>
      <c r="G2830" s="1" t="str">
        <f ca="1">IFERROR(__xludf.DUMMYFUNCTION("""COMPUTED_VALUE"""),"3 mos")</f>
        <v>3 mos</v>
      </c>
      <c r="H2830" s="1" t="str">
        <f ca="1">IFERROR(__xludf.DUMMYFUNCTION("""COMPUTED_VALUE"""),"comment")</f>
        <v>comment</v>
      </c>
      <c r="I2830" s="2" t="str">
        <f ca="1">IFERROR(__xludf.DUMMYFUNCTION("""COMPUTED_VALUE"""),"https://www.facebook.com/rapplerdotcom/photos/a.317154781638645/5594453700575367/")</f>
        <v>https://www.facebook.com/rapplerdotcom/photos/a.317154781638645/5594453700575367/</v>
      </c>
      <c r="J2830" s="1" t="str">
        <f ca="1">IFERROR(__xludf.DUMMYFUNCTION("""COMPUTED_VALUE"""),"2022-07-04T15:53:36.545Z")</f>
        <v>2022-07-04T15:53:36.545Z</v>
      </c>
    </row>
    <row r="2831" spans="1:10" x14ac:dyDescent="0.2">
      <c r="A2831" s="2" t="str">
        <f ca="1">IFERROR(__xludf.DUMMYFUNCTION("""COMPUTED_VALUE"""),"https://www.facebook.com/fepilia.giron.31")</f>
        <v>https://www.facebook.com/fepilia.giron.31</v>
      </c>
      <c r="B2831" s="1" t="str">
        <f ca="1">IFERROR(__xludf.DUMMYFUNCTION("""COMPUTED_VALUE"""),"Fepilia Giron")</f>
        <v>Fepilia Giron</v>
      </c>
      <c r="C2831" s="1" t="str">
        <f ca="1">IFERROR(__xludf.DUMMYFUNCTION("""COMPUTED_VALUE"""),"Fepilia")</f>
        <v>Fepilia</v>
      </c>
      <c r="D2831" s="1" t="str">
        <f ca="1">IFERROR(__xludf.DUMMYFUNCTION("""COMPUTED_VALUE"""),"Giron")</f>
        <v>Giron</v>
      </c>
      <c r="E2831" s="1" t="str">
        <f ca="1">IFERROR(__xludf.DUMMYFUNCTION("""COMPUTED_VALUE"""),"Bryan Casa Hahaha")</f>
        <v>Bryan Casa Hahaha</v>
      </c>
      <c r="F2831" s="1"/>
      <c r="G2831" s="1" t="str">
        <f ca="1">IFERROR(__xludf.DUMMYFUNCTION("""COMPUTED_VALUE"""),"3 mos")</f>
        <v>3 mos</v>
      </c>
      <c r="H2831" s="1" t="str">
        <f ca="1">IFERROR(__xludf.DUMMYFUNCTION("""COMPUTED_VALUE"""),"reply")</f>
        <v>reply</v>
      </c>
      <c r="I2831" s="2" t="str">
        <f ca="1">IFERROR(__xludf.DUMMYFUNCTION("""COMPUTED_VALUE"""),"https://www.facebook.com/rapplerdotcom/photos/a.317154781638645/5594453700575367/")</f>
        <v>https://www.facebook.com/rapplerdotcom/photos/a.317154781638645/5594453700575367/</v>
      </c>
      <c r="J2831" s="1" t="str">
        <f ca="1">IFERROR(__xludf.DUMMYFUNCTION("""COMPUTED_VALUE"""),"2022-07-04T15:53:36.545Z")</f>
        <v>2022-07-04T15:53:36.545Z</v>
      </c>
    </row>
    <row r="2832" spans="1:10" x14ac:dyDescent="0.2">
      <c r="A2832" s="2" t="str">
        <f ca="1">IFERROR(__xludf.DUMMYFUNCTION("""COMPUTED_VALUE"""),"https://www.facebook.com/juliustigley.perater")</f>
        <v>https://www.facebook.com/juliustigley.perater</v>
      </c>
      <c r="B2832" s="1" t="str">
        <f ca="1">IFERROR(__xludf.DUMMYFUNCTION("""COMPUTED_VALUE"""),"Julius Tigley Perater")</f>
        <v>Julius Tigley Perater</v>
      </c>
      <c r="C2832" s="1" t="str">
        <f ca="1">IFERROR(__xludf.DUMMYFUNCTION("""COMPUTED_VALUE"""),"Julius")</f>
        <v>Julius</v>
      </c>
      <c r="D2832" s="1" t="str">
        <f ca="1">IFERROR(__xludf.DUMMYFUNCTION("""COMPUTED_VALUE"""),"Tigley Perater")</f>
        <v>Tigley Perater</v>
      </c>
      <c r="E2832" s="1" t="str">
        <f ca="1">IFERROR(__xludf.DUMMYFUNCTION("""COMPUTED_VALUE"""),"No vote pakyaw")</f>
        <v>No vote pakyaw</v>
      </c>
      <c r="F2832" s="1">
        <f ca="1">IFERROR(__xludf.DUMMYFUNCTION("""COMPUTED_VALUE"""),19)</f>
        <v>19</v>
      </c>
      <c r="G2832" s="1" t="str">
        <f ca="1">IFERROR(__xludf.DUMMYFUNCTION("""COMPUTED_VALUE"""),"3 mos")</f>
        <v>3 mos</v>
      </c>
      <c r="H2832" s="1" t="str">
        <f ca="1">IFERROR(__xludf.DUMMYFUNCTION("""COMPUTED_VALUE"""),"comment")</f>
        <v>comment</v>
      </c>
      <c r="I2832" s="2" t="str">
        <f ca="1">IFERROR(__xludf.DUMMYFUNCTION("""COMPUTED_VALUE"""),"https://www.facebook.com/rapplerdotcom/photos/a.317154781638645/5594453700575367/")</f>
        <v>https://www.facebook.com/rapplerdotcom/photos/a.317154781638645/5594453700575367/</v>
      </c>
      <c r="J2832" s="1" t="str">
        <f ca="1">IFERROR(__xludf.DUMMYFUNCTION("""COMPUTED_VALUE"""),"2022-07-04T15:53:36.545Z")</f>
        <v>2022-07-04T15:53:36.545Z</v>
      </c>
    </row>
    <row r="2833" spans="1:10" x14ac:dyDescent="0.2">
      <c r="A2833" s="2" t="str">
        <f ca="1">IFERROR(__xludf.DUMMYFUNCTION("""COMPUTED_VALUE"""),"https://www.facebook.com/emviray")</f>
        <v>https://www.facebook.com/emviray</v>
      </c>
      <c r="B2833" s="1" t="str">
        <f ca="1">IFERROR(__xludf.DUMMYFUNCTION("""COMPUTED_VALUE"""),"Emma Montoya-Untalan Viray")</f>
        <v>Emma Montoya-Untalan Viray</v>
      </c>
      <c r="C2833" s="1" t="str">
        <f ca="1">IFERROR(__xludf.DUMMYFUNCTION("""COMPUTED_VALUE"""),"Emma")</f>
        <v>Emma</v>
      </c>
      <c r="D2833" s="1" t="str">
        <f ca="1">IFERROR(__xludf.DUMMYFUNCTION("""COMPUTED_VALUE"""),"Montoya-Untalan Viray")</f>
        <v>Montoya-Untalan Viray</v>
      </c>
      <c r="E2833" s="1" t="str">
        <f ca="1">IFERROR(__xludf.DUMMYFUNCTION("""COMPUTED_VALUE"""),"Julius Tigley Perater BIG N0 to mayabang, arrogant na Pacguiao")</f>
        <v>Julius Tigley Perater BIG N0 to mayabang, arrogant na Pacguiao</v>
      </c>
      <c r="F2833" s="1">
        <f ca="1">IFERROR(__xludf.DUMMYFUNCTION("""COMPUTED_VALUE"""),2)</f>
        <v>2</v>
      </c>
      <c r="G2833" s="1" t="str">
        <f ca="1">IFERROR(__xludf.DUMMYFUNCTION("""COMPUTED_VALUE"""),"3 mos")</f>
        <v>3 mos</v>
      </c>
      <c r="H2833" s="1" t="str">
        <f ca="1">IFERROR(__xludf.DUMMYFUNCTION("""COMPUTED_VALUE"""),"reply")</f>
        <v>reply</v>
      </c>
      <c r="I2833" s="2" t="str">
        <f ca="1">IFERROR(__xludf.DUMMYFUNCTION("""COMPUTED_VALUE"""),"https://www.facebook.com/rapplerdotcom/photos/a.317154781638645/5594453700575367/")</f>
        <v>https://www.facebook.com/rapplerdotcom/photos/a.317154781638645/5594453700575367/</v>
      </c>
      <c r="J2833" s="1" t="str">
        <f ca="1">IFERROR(__xludf.DUMMYFUNCTION("""COMPUTED_VALUE"""),"2022-07-04T15:53:36.545Z")</f>
        <v>2022-07-04T15:53:36.545Z</v>
      </c>
    </row>
    <row r="2834" spans="1:10" x14ac:dyDescent="0.2">
      <c r="A2834" s="2" t="str">
        <f ca="1">IFERROR(__xludf.DUMMYFUNCTION("""COMPUTED_VALUE"""),"https://www.facebook.com/cris.caligtan.5")</f>
        <v>https://www.facebook.com/cris.caligtan.5</v>
      </c>
      <c r="B2834" s="1" t="str">
        <f ca="1">IFERROR(__xludf.DUMMYFUNCTION("""COMPUTED_VALUE"""),"Cris Caligtan")</f>
        <v>Cris Caligtan</v>
      </c>
      <c r="C2834" s="1" t="str">
        <f ca="1">IFERROR(__xludf.DUMMYFUNCTION("""COMPUTED_VALUE"""),"Cris")</f>
        <v>Cris</v>
      </c>
      <c r="D2834" s="1" t="str">
        <f ca="1">IFERROR(__xludf.DUMMYFUNCTION("""COMPUTED_VALUE"""),"Caligtan")</f>
        <v>Caligtan</v>
      </c>
      <c r="E2834" s="1" t="str">
        <f ca="1">IFERROR(__xludf.DUMMYFUNCTION("""COMPUTED_VALUE"""),"Julius Tigley Perater Tama No no no vote pakyaw👎👎👎")</f>
        <v>Julius Tigley Perater Tama No no no vote pakyaw👎👎👎</v>
      </c>
      <c r="F2834" s="1">
        <f ca="1">IFERROR(__xludf.DUMMYFUNCTION("""COMPUTED_VALUE"""),3)</f>
        <v>3</v>
      </c>
      <c r="G2834" s="1" t="str">
        <f ca="1">IFERROR(__xludf.DUMMYFUNCTION("""COMPUTED_VALUE"""),"3 mos")</f>
        <v>3 mos</v>
      </c>
      <c r="H2834" s="1" t="str">
        <f ca="1">IFERROR(__xludf.DUMMYFUNCTION("""COMPUTED_VALUE"""),"reply")</f>
        <v>reply</v>
      </c>
      <c r="I2834" s="2" t="str">
        <f ca="1">IFERROR(__xludf.DUMMYFUNCTION("""COMPUTED_VALUE"""),"https://www.facebook.com/rapplerdotcom/photos/a.317154781638645/5594453700575367/")</f>
        <v>https://www.facebook.com/rapplerdotcom/photos/a.317154781638645/5594453700575367/</v>
      </c>
      <c r="J2834" s="1" t="str">
        <f ca="1">IFERROR(__xludf.DUMMYFUNCTION("""COMPUTED_VALUE"""),"2022-07-04T15:53:36.545Z")</f>
        <v>2022-07-04T15:53:36.545Z</v>
      </c>
    </row>
    <row r="2835" spans="1:10" x14ac:dyDescent="0.2">
      <c r="A2835" s="2" t="str">
        <f ca="1">IFERROR(__xludf.DUMMYFUNCTION("""COMPUTED_VALUE"""),"https://www.facebook.com/sam.zamudio.946")</f>
        <v>https://www.facebook.com/sam.zamudio.946</v>
      </c>
      <c r="B2835" s="1" t="str">
        <f ca="1">IFERROR(__xludf.DUMMYFUNCTION("""COMPUTED_VALUE"""),"Sam Zamudio")</f>
        <v>Sam Zamudio</v>
      </c>
      <c r="C2835" s="1" t="str">
        <f ca="1">IFERROR(__xludf.DUMMYFUNCTION("""COMPUTED_VALUE"""),"Sam")</f>
        <v>Sam</v>
      </c>
      <c r="D2835" s="1" t="str">
        <f ca="1">IFERROR(__xludf.DUMMYFUNCTION("""COMPUTED_VALUE"""),"Zamudio")</f>
        <v>Zamudio</v>
      </c>
      <c r="E2835" s="1" t="str">
        <f ca="1">IFERROR(__xludf.DUMMYFUNCTION("""COMPUTED_VALUE"""),"Very well said Mr.Senator.like the cliche goes,we get the government that we deserve...")</f>
        <v>Very well said Mr.Senator.like the cliche goes,we get the government that we deserve...</v>
      </c>
      <c r="F2835" s="1">
        <f ca="1">IFERROR(__xludf.DUMMYFUNCTION("""COMPUTED_VALUE"""),4)</f>
        <v>4</v>
      </c>
      <c r="G2835" s="1" t="str">
        <f ca="1">IFERROR(__xludf.DUMMYFUNCTION("""COMPUTED_VALUE"""),"3 mos")</f>
        <v>3 mos</v>
      </c>
      <c r="H2835" s="1" t="str">
        <f ca="1">IFERROR(__xludf.DUMMYFUNCTION("""COMPUTED_VALUE"""),"comment")</f>
        <v>comment</v>
      </c>
      <c r="I2835" s="2" t="str">
        <f ca="1">IFERROR(__xludf.DUMMYFUNCTION("""COMPUTED_VALUE"""),"https://www.facebook.com/rapplerdotcom/photos/a.317154781638645/5594453700575367/")</f>
        <v>https://www.facebook.com/rapplerdotcom/photos/a.317154781638645/5594453700575367/</v>
      </c>
      <c r="J2835" s="1" t="str">
        <f ca="1">IFERROR(__xludf.DUMMYFUNCTION("""COMPUTED_VALUE"""),"2022-07-04T15:53:36.545Z")</f>
        <v>2022-07-04T15:53:36.545Z</v>
      </c>
    </row>
    <row r="2836" spans="1:10" x14ac:dyDescent="0.2">
      <c r="A2836" s="2" t="str">
        <f ca="1">IFERROR(__xludf.DUMMYFUNCTION("""COMPUTED_VALUE"""),"https://www.facebook.com/jovito.tamayo.7")</f>
        <v>https://www.facebook.com/jovito.tamayo.7</v>
      </c>
      <c r="B2836" s="1" t="str">
        <f ca="1">IFERROR(__xludf.DUMMYFUNCTION("""COMPUTED_VALUE"""),"Jovito Tamayo")</f>
        <v>Jovito Tamayo</v>
      </c>
      <c r="C2836" s="1" t="str">
        <f ca="1">IFERROR(__xludf.DUMMYFUNCTION("""COMPUTED_VALUE"""),"Jovito")</f>
        <v>Jovito</v>
      </c>
      <c r="D2836" s="1" t="str">
        <f ca="1">IFERROR(__xludf.DUMMYFUNCTION("""COMPUTED_VALUE"""),"Tamayo")</f>
        <v>Tamayo</v>
      </c>
      <c r="E2836" s="1" t="str">
        <f ca="1">IFERROR(__xludf.DUMMYFUNCTION("""COMPUTED_VALUE"""),"A little learning is dangerous thing Punch Drunk Pacquiao")</f>
        <v>A little learning is dangerous thing Punch Drunk Pacquiao</v>
      </c>
      <c r="F2836" s="1"/>
      <c r="G2836" s="1" t="str">
        <f ca="1">IFERROR(__xludf.DUMMYFUNCTION("""COMPUTED_VALUE"""),"3 mos")</f>
        <v>3 mos</v>
      </c>
      <c r="H2836" s="1" t="str">
        <f ca="1">IFERROR(__xludf.DUMMYFUNCTION("""COMPUTED_VALUE"""),"comment")</f>
        <v>comment</v>
      </c>
      <c r="I2836" s="2" t="str">
        <f ca="1">IFERROR(__xludf.DUMMYFUNCTION("""COMPUTED_VALUE"""),"https://www.facebook.com/rapplerdotcom/photos/a.317154781638645/5594453700575367/")</f>
        <v>https://www.facebook.com/rapplerdotcom/photos/a.317154781638645/5594453700575367/</v>
      </c>
      <c r="J2836" s="1" t="str">
        <f ca="1">IFERROR(__xludf.DUMMYFUNCTION("""COMPUTED_VALUE"""),"2022-07-04T15:53:36.545Z")</f>
        <v>2022-07-04T15:53:36.545Z</v>
      </c>
    </row>
    <row r="2837" spans="1:10" x14ac:dyDescent="0.2">
      <c r="A2837" s="2" t="str">
        <f ca="1">IFERROR(__xludf.DUMMYFUNCTION("""COMPUTED_VALUE"""),"https://www.facebook.com/joyteopengco")</f>
        <v>https://www.facebook.com/joyteopengco</v>
      </c>
      <c r="B2837" s="1" t="str">
        <f ca="1">IFERROR(__xludf.DUMMYFUNCTION("""COMPUTED_VALUE"""),"Joy Diohen")</f>
        <v>Joy Diohen</v>
      </c>
      <c r="C2837" s="1" t="str">
        <f ca="1">IFERROR(__xludf.DUMMYFUNCTION("""COMPUTED_VALUE"""),"Joy")</f>
        <v>Joy</v>
      </c>
      <c r="D2837" s="1" t="str">
        <f ca="1">IFERROR(__xludf.DUMMYFUNCTION("""COMPUTED_VALUE"""),"Diohen")</f>
        <v>Diohen</v>
      </c>
      <c r="E2837" s="1" t="str">
        <f ca="1">IFERROR(__xludf.DUMMYFUNCTION("""COMPUTED_VALUE"""),"And the truth will set us free!")</f>
        <v>And the truth will set us free!</v>
      </c>
      <c r="F2837" s="1"/>
      <c r="G2837" s="1" t="str">
        <f ca="1">IFERROR(__xludf.DUMMYFUNCTION("""COMPUTED_VALUE"""),"3 mos")</f>
        <v>3 mos</v>
      </c>
      <c r="H2837" s="1" t="str">
        <f ca="1">IFERROR(__xludf.DUMMYFUNCTION("""COMPUTED_VALUE"""),"comment")</f>
        <v>comment</v>
      </c>
      <c r="I2837" s="2" t="str">
        <f ca="1">IFERROR(__xludf.DUMMYFUNCTION("""COMPUTED_VALUE"""),"https://www.facebook.com/rapplerdotcom/photos/a.317154781638645/5594453700575367/")</f>
        <v>https://www.facebook.com/rapplerdotcom/photos/a.317154781638645/5594453700575367/</v>
      </c>
      <c r="J2837" s="1" t="str">
        <f ca="1">IFERROR(__xludf.DUMMYFUNCTION("""COMPUTED_VALUE"""),"2022-07-04T15:53:36.545Z")</f>
        <v>2022-07-04T15:53:36.545Z</v>
      </c>
    </row>
    <row r="2838" spans="1:10" x14ac:dyDescent="0.2">
      <c r="A2838" s="2" t="str">
        <f ca="1">IFERROR(__xludf.DUMMYFUNCTION("""COMPUTED_VALUE"""),"https://www.facebook.com/dennisdheus")</f>
        <v>https://www.facebook.com/dennisdheus</v>
      </c>
      <c r="B2838" s="1" t="str">
        <f ca="1">IFERROR(__xludf.DUMMYFUNCTION("""COMPUTED_VALUE"""),"Dennis Cayabyab")</f>
        <v>Dennis Cayabyab</v>
      </c>
      <c r="C2838" s="1" t="str">
        <f ca="1">IFERROR(__xludf.DUMMYFUNCTION("""COMPUTED_VALUE"""),"Dennis")</f>
        <v>Dennis</v>
      </c>
      <c r="D2838" s="1" t="str">
        <f ca="1">IFERROR(__xludf.DUMMYFUNCTION("""COMPUTED_VALUE"""),"Cayabyab")</f>
        <v>Cayabyab</v>
      </c>
      <c r="E2838" s="1" t="str">
        <f ca="1">IFERROR(__xludf.DUMMYFUNCTION("""COMPUTED_VALUE"""),"⁷So when they continued asking him, he lifted up himself, and said unto them, He that is without sin among you, let him first cast a stone at her.   John 8:7")</f>
        <v>⁷So when they continued asking him, he lifted up himself, and said unto them, He that is without sin among you, let him first cast a stone at her.   John 8:7</v>
      </c>
      <c r="F2838" s="1">
        <f ca="1">IFERROR(__xludf.DUMMYFUNCTION("""COMPUTED_VALUE"""),4)</f>
        <v>4</v>
      </c>
      <c r="G2838" s="1" t="str">
        <f ca="1">IFERROR(__xludf.DUMMYFUNCTION("""COMPUTED_VALUE"""),"3 mos")</f>
        <v>3 mos</v>
      </c>
      <c r="H2838" s="1" t="str">
        <f ca="1">IFERROR(__xludf.DUMMYFUNCTION("""COMPUTED_VALUE"""),"comment")</f>
        <v>comment</v>
      </c>
      <c r="I2838" s="2" t="str">
        <f ca="1">IFERROR(__xludf.DUMMYFUNCTION("""COMPUTED_VALUE"""),"https://www.facebook.com/rapplerdotcom/photos/a.317154781638645/5594453700575367/")</f>
        <v>https://www.facebook.com/rapplerdotcom/photos/a.317154781638645/5594453700575367/</v>
      </c>
      <c r="J2838" s="1" t="str">
        <f ca="1">IFERROR(__xludf.DUMMYFUNCTION("""COMPUTED_VALUE"""),"2022-07-04T15:53:36.545Z")</f>
        <v>2022-07-04T15:53:36.545Z</v>
      </c>
    </row>
    <row r="2839" spans="1:10" x14ac:dyDescent="0.2">
      <c r="A2839" s="2" t="str">
        <f ca="1">IFERROR(__xludf.DUMMYFUNCTION("""COMPUTED_VALUE"""),"https://www.facebook.com/Ninja.Kugmo")</f>
        <v>https://www.facebook.com/Ninja.Kugmo</v>
      </c>
      <c r="B2839" s="1" t="str">
        <f ca="1">IFERROR(__xludf.DUMMYFUNCTION("""COMPUTED_VALUE"""),"Si Tambok Ni")</f>
        <v>Si Tambok Ni</v>
      </c>
      <c r="C2839" s="1" t="str">
        <f ca="1">IFERROR(__xludf.DUMMYFUNCTION("""COMPUTED_VALUE"""),"Si")</f>
        <v>Si</v>
      </c>
      <c r="D2839" s="1" t="str">
        <f ca="1">IFERROR(__xludf.DUMMYFUNCTION("""COMPUTED_VALUE"""),"Tambok Ni")</f>
        <v>Tambok Ni</v>
      </c>
      <c r="E2839" s="1" t="str">
        <f ca="1">IFERROR(__xludf.DUMMYFUNCTION("""COMPUTED_VALUE"""),"Dennis Cayabyab You're kicken' now Bro glad to hear you man.")</f>
        <v>Dennis Cayabyab You're kicken' now Bro glad to hear you man.</v>
      </c>
      <c r="F2839" s="1"/>
      <c r="G2839" s="1" t="str">
        <f ca="1">IFERROR(__xludf.DUMMYFUNCTION("""COMPUTED_VALUE"""),"3 mos")</f>
        <v>3 mos</v>
      </c>
      <c r="H2839" s="1" t="str">
        <f ca="1">IFERROR(__xludf.DUMMYFUNCTION("""COMPUTED_VALUE"""),"reply")</f>
        <v>reply</v>
      </c>
      <c r="I2839" s="2" t="str">
        <f ca="1">IFERROR(__xludf.DUMMYFUNCTION("""COMPUTED_VALUE"""),"https://www.facebook.com/rapplerdotcom/photos/a.317154781638645/5594453700575367/")</f>
        <v>https://www.facebook.com/rapplerdotcom/photos/a.317154781638645/5594453700575367/</v>
      </c>
      <c r="J2839" s="1" t="str">
        <f ca="1">IFERROR(__xludf.DUMMYFUNCTION("""COMPUTED_VALUE"""),"2022-07-04T15:53:36.545Z")</f>
        <v>2022-07-04T15:53:36.545Z</v>
      </c>
    </row>
    <row r="2840" spans="1:10" x14ac:dyDescent="0.2">
      <c r="A2840" s="2" t="str">
        <f ca="1">IFERROR(__xludf.DUMMYFUNCTION("""COMPUTED_VALUE"""),"https://www.facebook.com/danilo.onggona.16")</f>
        <v>https://www.facebook.com/danilo.onggona.16</v>
      </c>
      <c r="B2840" s="1" t="str">
        <f ca="1">IFERROR(__xludf.DUMMYFUNCTION("""COMPUTED_VALUE"""),"Danny D. Anoggno")</f>
        <v>Danny D. Anoggno</v>
      </c>
      <c r="C2840" s="1" t="str">
        <f ca="1">IFERROR(__xludf.DUMMYFUNCTION("""COMPUTED_VALUE"""),"Danny")</f>
        <v>Danny</v>
      </c>
      <c r="D2840" s="1" t="str">
        <f ca="1">IFERROR(__xludf.DUMMYFUNCTION("""COMPUTED_VALUE"""),"D. Anoggno")</f>
        <v>D. Anoggno</v>
      </c>
      <c r="E2840" s="1" t="str">
        <f ca="1">IFERROR(__xludf.DUMMYFUNCTION("""COMPUTED_VALUE"""),"Dennis Cayabyab AMEN 🙏")</f>
        <v>Dennis Cayabyab AMEN 🙏</v>
      </c>
      <c r="F2840" s="1"/>
      <c r="G2840" s="1" t="str">
        <f ca="1">IFERROR(__xludf.DUMMYFUNCTION("""COMPUTED_VALUE"""),"3 mos")</f>
        <v>3 mos</v>
      </c>
      <c r="H2840" s="1" t="str">
        <f ca="1">IFERROR(__xludf.DUMMYFUNCTION("""COMPUTED_VALUE"""),"reply")</f>
        <v>reply</v>
      </c>
      <c r="I2840" s="2" t="str">
        <f ca="1">IFERROR(__xludf.DUMMYFUNCTION("""COMPUTED_VALUE"""),"https://www.facebook.com/rapplerdotcom/photos/a.317154781638645/5594453700575367/")</f>
        <v>https://www.facebook.com/rapplerdotcom/photos/a.317154781638645/5594453700575367/</v>
      </c>
      <c r="J2840" s="1" t="str">
        <f ca="1">IFERROR(__xludf.DUMMYFUNCTION("""COMPUTED_VALUE"""),"2022-07-04T15:53:36.545Z")</f>
        <v>2022-07-04T15:53:36.545Z</v>
      </c>
    </row>
    <row r="2841" spans="1:10" x14ac:dyDescent="0.2">
      <c r="A2841" s="2" t="str">
        <f ca="1">IFERROR(__xludf.DUMMYFUNCTION("""COMPUTED_VALUE"""),"https://www.facebook.com/austinmarkmccree")</f>
        <v>https://www.facebook.com/austinmarkmccree</v>
      </c>
      <c r="B2841" s="1" t="str">
        <f ca="1">IFERROR(__xludf.DUMMYFUNCTION("""COMPUTED_VALUE"""),"Austin McCree")</f>
        <v>Austin McCree</v>
      </c>
      <c r="C2841" s="1" t="str">
        <f ca="1">IFERROR(__xludf.DUMMYFUNCTION("""COMPUTED_VALUE"""),"Austin")</f>
        <v>Austin</v>
      </c>
      <c r="D2841" s="1" t="str">
        <f ca="1">IFERROR(__xludf.DUMMYFUNCTION("""COMPUTED_VALUE"""),"McCree")</f>
        <v>McCree</v>
      </c>
      <c r="E2841" s="1" t="str">
        <f ca="1">IFERROR(__xludf.DUMMYFUNCTION("""COMPUTED_VALUE"""),"Dennis Cayabyab Funny to hear a Bible verse cited here, because it completely lacks context.  There's a difference between casting a stone and stating facts. The quote comes from Jesus addressing the Pharisees who were more an ancient form of chismosos at"&amp;"tacking an adulteress.  This is not a personal matter such as that, this is the fate of a nation at stake. Manny has made countless mistakes, but they are not a legitimate reason to disregard what he is saying.  Please don't meaninglessly quote the Bible "&amp;"to make yourself look better than others. That is exactly what the Pharisees were doing. Instead, examine the situation at face value and you will see this Biblical verse does not apply.  We are all flawed, so whether religious or not, personally attackin"&amp;"g a single person is a lost cause in terms of making meaningful change. But this is public policy: if you misinterpret that verse, it essentially means no one is allowed to think critically.")</f>
        <v>Dennis Cayabyab Funny to hear a Bible verse cited here, because it completely lacks context.  There's a difference between casting a stone and stating facts. The quote comes from Jesus addressing the Pharisees who were more an ancient form of chismosos attacking an adulteress.  This is not a personal matter such as that, this is the fate of a nation at stake. Manny has made countless mistakes, but they are not a legitimate reason to disregard what he is saying.  Please don't meaninglessly quote the Bible to make yourself look better than others. That is exactly what the Pharisees were doing. Instead, examine the situation at face value and you will see this Biblical verse does not apply.  We are all flawed, so whether religious or not, personally attacking a single person is a lost cause in terms of making meaningful change. But this is public policy: if you misinterpret that verse, it essentially means no one is allowed to think critically.</v>
      </c>
      <c r="F2841" s="1"/>
      <c r="G2841" s="1" t="str">
        <f ca="1">IFERROR(__xludf.DUMMYFUNCTION("""COMPUTED_VALUE"""),"3 mos")</f>
        <v>3 mos</v>
      </c>
      <c r="H2841" s="1" t="str">
        <f ca="1">IFERROR(__xludf.DUMMYFUNCTION("""COMPUTED_VALUE"""),"reply")</f>
        <v>reply</v>
      </c>
      <c r="I2841" s="2" t="str">
        <f ca="1">IFERROR(__xludf.DUMMYFUNCTION("""COMPUTED_VALUE"""),"https://www.facebook.com/rapplerdotcom/photos/a.317154781638645/5594453700575367/")</f>
        <v>https://www.facebook.com/rapplerdotcom/photos/a.317154781638645/5594453700575367/</v>
      </c>
      <c r="J2841" s="1" t="str">
        <f ca="1">IFERROR(__xludf.DUMMYFUNCTION("""COMPUTED_VALUE"""),"2022-07-04T15:53:36.545Z")</f>
        <v>2022-07-04T15:53:36.545Z</v>
      </c>
    </row>
    <row r="2842" spans="1:10" x14ac:dyDescent="0.2">
      <c r="A2842" s="2" t="str">
        <f ca="1">IFERROR(__xludf.DUMMYFUNCTION("""COMPUTED_VALUE"""),"https://www.facebook.com/lalang.uv.3")</f>
        <v>https://www.facebook.com/lalang.uv.3</v>
      </c>
      <c r="B2842" s="1" t="str">
        <f ca="1">IFERROR(__xludf.DUMMYFUNCTION("""COMPUTED_VALUE"""),"Rechell Jane Tinampay Laudit")</f>
        <v>Rechell Jane Tinampay Laudit</v>
      </c>
      <c r="C2842" s="1" t="str">
        <f ca="1">IFERROR(__xludf.DUMMYFUNCTION("""COMPUTED_VALUE"""),"Rechell")</f>
        <v>Rechell</v>
      </c>
      <c r="D2842" s="1" t="str">
        <f ca="1">IFERROR(__xludf.DUMMYFUNCTION("""COMPUTED_VALUE"""),"Jane Tinampay Laudit")</f>
        <v>Jane Tinampay Laudit</v>
      </c>
      <c r="E2842" s="1" t="str">
        <f ca="1">IFERROR(__xludf.DUMMYFUNCTION("""COMPUTED_VALUE"""),"Talk to people who think like you. Harapan niyo Muna c Prof. Carlos and the other panellists let's measure how well informed or educated you are. Then, maybe we might change our minds.")</f>
        <v>Talk to people who think like you. Harapan niyo Muna c Prof. Carlos and the other panellists let's measure how well informed or educated you are. Then, maybe we might change our minds.</v>
      </c>
      <c r="F2842" s="1"/>
      <c r="G2842" s="1" t="str">
        <f ca="1">IFERROR(__xludf.DUMMYFUNCTION("""COMPUTED_VALUE"""),"3 mos")</f>
        <v>3 mos</v>
      </c>
      <c r="H2842" s="1" t="str">
        <f ca="1">IFERROR(__xludf.DUMMYFUNCTION("""COMPUTED_VALUE"""),"comment")</f>
        <v>comment</v>
      </c>
      <c r="I2842" s="2" t="str">
        <f ca="1">IFERROR(__xludf.DUMMYFUNCTION("""COMPUTED_VALUE"""),"https://www.facebook.com/rapplerdotcom/photos/a.317154781638645/5594453700575367/")</f>
        <v>https://www.facebook.com/rapplerdotcom/photos/a.317154781638645/5594453700575367/</v>
      </c>
      <c r="J2842" s="1" t="str">
        <f ca="1">IFERROR(__xludf.DUMMYFUNCTION("""COMPUTED_VALUE"""),"2022-07-04T15:53:36.545Z")</f>
        <v>2022-07-04T15:53:36.545Z</v>
      </c>
    </row>
    <row r="2843" spans="1:10" x14ac:dyDescent="0.2">
      <c r="A2843" s="2" t="str">
        <f ca="1">IFERROR(__xludf.DUMMYFUNCTION("""COMPUTED_VALUE"""),"https://www.facebook.com/dave.padilla.3348")</f>
        <v>https://www.facebook.com/dave.padilla.3348</v>
      </c>
      <c r="B2843" s="1" t="str">
        <f ca="1">IFERROR(__xludf.DUMMYFUNCTION("""COMPUTED_VALUE"""),"Dave Padilla")</f>
        <v>Dave Padilla</v>
      </c>
      <c r="C2843" s="1" t="str">
        <f ca="1">IFERROR(__xludf.DUMMYFUNCTION("""COMPUTED_VALUE"""),"Dave")</f>
        <v>Dave</v>
      </c>
      <c r="D2843" s="1" t="str">
        <f ca="1">IFERROR(__xludf.DUMMYFUNCTION("""COMPUTED_VALUE"""),"Padilla")</f>
        <v>Padilla</v>
      </c>
      <c r="E2843" s="1" t="str">
        <f ca="1">IFERROR(__xludf.DUMMYFUNCTION("""COMPUTED_VALUE"""),"what does the bible says about this..")</f>
        <v>what does the bible says about this..</v>
      </c>
      <c r="F2843" s="1"/>
      <c r="G2843" s="1" t="str">
        <f ca="1">IFERROR(__xludf.DUMMYFUNCTION("""COMPUTED_VALUE"""),"3 mos")</f>
        <v>3 mos</v>
      </c>
      <c r="H2843" s="1" t="str">
        <f ca="1">IFERROR(__xludf.DUMMYFUNCTION("""COMPUTED_VALUE"""),"comment")</f>
        <v>comment</v>
      </c>
      <c r="I2843" s="2" t="str">
        <f ca="1">IFERROR(__xludf.DUMMYFUNCTION("""COMPUTED_VALUE"""),"https://www.facebook.com/rapplerdotcom/photos/a.317154781638645/5594453700575367/")</f>
        <v>https://www.facebook.com/rapplerdotcom/photos/a.317154781638645/5594453700575367/</v>
      </c>
      <c r="J2843" s="1" t="str">
        <f ca="1">IFERROR(__xludf.DUMMYFUNCTION("""COMPUTED_VALUE"""),"2022-07-04T15:53:36.545Z")</f>
        <v>2022-07-04T15:53:36.545Z</v>
      </c>
    </row>
    <row r="2844" spans="1:10" x14ac:dyDescent="0.2">
      <c r="A2844" s="2" t="str">
        <f ca="1">IFERROR(__xludf.DUMMYFUNCTION("""COMPUTED_VALUE"""),"https://www.facebook.com/noel.manuel.52")</f>
        <v>https://www.facebook.com/noel.manuel.52</v>
      </c>
      <c r="B2844" s="1" t="str">
        <f ca="1">IFERROR(__xludf.DUMMYFUNCTION("""COMPUTED_VALUE"""),"Noe Manuel")</f>
        <v>Noe Manuel</v>
      </c>
      <c r="C2844" s="1" t="str">
        <f ca="1">IFERROR(__xludf.DUMMYFUNCTION("""COMPUTED_VALUE"""),"Noe")</f>
        <v>Noe</v>
      </c>
      <c r="D2844" s="1" t="str">
        <f ca="1">IFERROR(__xludf.DUMMYFUNCTION("""COMPUTED_VALUE"""),"Manuel")</f>
        <v>Manuel</v>
      </c>
      <c r="E2844" s="1" t="str">
        <f ca="1">IFERROR(__xludf.DUMMYFUNCTION("""COMPUTED_VALUE"""),"Correct kaya Di umunlad ang pinas dahil pagnakaupo na nakaw Dito nakaw doon………….")</f>
        <v>Correct kaya Di umunlad ang pinas dahil pagnakaupo na nakaw Dito nakaw doon………….</v>
      </c>
      <c r="F2844" s="1">
        <f ca="1">IFERROR(__xludf.DUMMYFUNCTION("""COMPUTED_VALUE"""),1)</f>
        <v>1</v>
      </c>
      <c r="G2844" s="1" t="str">
        <f ca="1">IFERROR(__xludf.DUMMYFUNCTION("""COMPUTED_VALUE"""),"3 mos")</f>
        <v>3 mos</v>
      </c>
      <c r="H2844" s="1" t="str">
        <f ca="1">IFERROR(__xludf.DUMMYFUNCTION("""COMPUTED_VALUE"""),"comment")</f>
        <v>comment</v>
      </c>
      <c r="I2844" s="2" t="str">
        <f ca="1">IFERROR(__xludf.DUMMYFUNCTION("""COMPUTED_VALUE"""),"https://www.facebook.com/rapplerdotcom/photos/a.317154781638645/5594453700575367/")</f>
        <v>https://www.facebook.com/rapplerdotcom/photos/a.317154781638645/5594453700575367/</v>
      </c>
      <c r="J2844" s="1" t="str">
        <f ca="1">IFERROR(__xludf.DUMMYFUNCTION("""COMPUTED_VALUE"""),"2022-07-04T15:53:36.545Z")</f>
        <v>2022-07-04T15:53:36.545Z</v>
      </c>
    </row>
    <row r="2845" spans="1:10" x14ac:dyDescent="0.2">
      <c r="A2845" s="2" t="str">
        <f ca="1">IFERROR(__xludf.DUMMYFUNCTION("""COMPUTED_VALUE"""),"https://www.facebook.com/jimmy.pascua.5")</f>
        <v>https://www.facebook.com/jimmy.pascua.5</v>
      </c>
      <c r="B2845" s="1" t="str">
        <f ca="1">IFERROR(__xludf.DUMMYFUNCTION("""COMPUTED_VALUE"""),"Jimmy Navidad")</f>
        <v>Jimmy Navidad</v>
      </c>
      <c r="C2845" s="1" t="str">
        <f ca="1">IFERROR(__xludf.DUMMYFUNCTION("""COMPUTED_VALUE"""),"Jimmy")</f>
        <v>Jimmy</v>
      </c>
      <c r="D2845" s="1" t="str">
        <f ca="1">IFERROR(__xludf.DUMMYFUNCTION("""COMPUTED_VALUE"""),"Navidad")</f>
        <v>Navidad</v>
      </c>
      <c r="E2845" s="1" t="str">
        <f ca="1">IFERROR(__xludf.DUMMYFUNCTION("""COMPUTED_VALUE"""),"dami nawala bilib sa yo... gaya ka sana ni Ka Efren na isa rin Alamat pero nananatiling mapagkumbaba... "" Stay Humble and Give the Glory to the LORD""...")</f>
        <v>dami nawala bilib sa yo... gaya ka sana ni Ka Efren na isa rin Alamat pero nananatiling mapagkumbaba... " Stay Humble and Give the Glory to the LORD"...</v>
      </c>
      <c r="F2845" s="1">
        <f ca="1">IFERROR(__xludf.DUMMYFUNCTION("""COMPUTED_VALUE"""),3)</f>
        <v>3</v>
      </c>
      <c r="G2845" s="1" t="str">
        <f ca="1">IFERROR(__xludf.DUMMYFUNCTION("""COMPUTED_VALUE"""),"3 mos")</f>
        <v>3 mos</v>
      </c>
      <c r="H2845" s="1" t="str">
        <f ca="1">IFERROR(__xludf.DUMMYFUNCTION("""COMPUTED_VALUE"""),"comment")</f>
        <v>comment</v>
      </c>
      <c r="I2845" s="2" t="str">
        <f ca="1">IFERROR(__xludf.DUMMYFUNCTION("""COMPUTED_VALUE"""),"https://www.facebook.com/rapplerdotcom/photos/a.317154781638645/5594453700575367/")</f>
        <v>https://www.facebook.com/rapplerdotcom/photos/a.317154781638645/5594453700575367/</v>
      </c>
      <c r="J2845" s="1" t="str">
        <f ca="1">IFERROR(__xludf.DUMMYFUNCTION("""COMPUTED_VALUE"""),"2022-07-04T15:53:36.545Z")</f>
        <v>2022-07-04T15:53:36.545Z</v>
      </c>
    </row>
    <row r="2846" spans="1:10" x14ac:dyDescent="0.2">
      <c r="A2846" s="2" t="str">
        <f ca="1">IFERROR(__xludf.DUMMYFUNCTION("""COMPUTED_VALUE"""),"https://www.facebook.com/malou.b.delapaz")</f>
        <v>https://www.facebook.com/malou.b.delapaz</v>
      </c>
      <c r="B2846" s="1" t="str">
        <f ca="1">IFERROR(__xludf.DUMMYFUNCTION("""COMPUTED_VALUE"""),"Ma Lou Dela Paz")</f>
        <v>Ma Lou Dela Paz</v>
      </c>
      <c r="C2846" s="1" t="str">
        <f ca="1">IFERROR(__xludf.DUMMYFUNCTION("""COMPUTED_VALUE"""),"Ma")</f>
        <v>Ma</v>
      </c>
      <c r="D2846" s="1" t="str">
        <f ca="1">IFERROR(__xludf.DUMMYFUNCTION("""COMPUTED_VALUE"""),"Lou Dela Paz")</f>
        <v>Lou Dela Paz</v>
      </c>
      <c r="E2846" s="1" t="str">
        <f ca="1">IFERROR(__xludf.DUMMYFUNCTION("""COMPUTED_VALUE"""),"Tumpak!")</f>
        <v>Tumpak!</v>
      </c>
      <c r="F2846" s="1">
        <f ca="1">IFERROR(__xludf.DUMMYFUNCTION("""COMPUTED_VALUE"""),1)</f>
        <v>1</v>
      </c>
      <c r="G2846" s="1" t="str">
        <f ca="1">IFERROR(__xludf.DUMMYFUNCTION("""COMPUTED_VALUE"""),"3 mos")</f>
        <v>3 mos</v>
      </c>
      <c r="H2846" s="1" t="str">
        <f ca="1">IFERROR(__xludf.DUMMYFUNCTION("""COMPUTED_VALUE"""),"comment")</f>
        <v>comment</v>
      </c>
      <c r="I2846" s="2" t="str">
        <f ca="1">IFERROR(__xludf.DUMMYFUNCTION("""COMPUTED_VALUE"""),"https://www.facebook.com/rapplerdotcom/photos/a.317154781638645/5594453700575367/")</f>
        <v>https://www.facebook.com/rapplerdotcom/photos/a.317154781638645/5594453700575367/</v>
      </c>
      <c r="J2846" s="1" t="str">
        <f ca="1">IFERROR(__xludf.DUMMYFUNCTION("""COMPUTED_VALUE"""),"2022-07-04T15:53:36.545Z")</f>
        <v>2022-07-04T15:53:36.545Z</v>
      </c>
    </row>
    <row r="2847" spans="1:10" x14ac:dyDescent="0.2">
      <c r="A2847" s="2" t="str">
        <f ca="1">IFERROR(__xludf.DUMMYFUNCTION("""COMPUTED_VALUE"""),"https://www.facebook.com/profile.php?id=100077329839114")</f>
        <v>https://www.facebook.com/profile.php?id=100077329839114</v>
      </c>
      <c r="B2847" s="1" t="str">
        <f ca="1">IFERROR(__xludf.DUMMYFUNCTION("""COMPUTED_VALUE"""),"Nestor Buensalida")</f>
        <v>Nestor Buensalida</v>
      </c>
      <c r="C2847" s="1" t="str">
        <f ca="1">IFERROR(__xludf.DUMMYFUNCTION("""COMPUTED_VALUE"""),"Nestor")</f>
        <v>Nestor</v>
      </c>
      <c r="D2847" s="1" t="str">
        <f ca="1">IFERROR(__xludf.DUMMYFUNCTION("""COMPUTED_VALUE"""),"Buensalida")</f>
        <v>Buensalida</v>
      </c>
      <c r="E2847" s="1" t="str">
        <f ca="1">IFERROR(__xludf.DUMMYFUNCTION("""COMPUTED_VALUE"""),"That always make sense, Kaya nga think and vote wisely. Make a stand for new system of government and leaders who always fight for the truth and with transparent leadership.")</f>
        <v>That always make sense, Kaya nga think and vote wisely. Make a stand for new system of government and leaders who always fight for the truth and with transparent leadership.</v>
      </c>
      <c r="F2847" s="1"/>
      <c r="G2847" s="1" t="str">
        <f ca="1">IFERROR(__xludf.DUMMYFUNCTION("""COMPUTED_VALUE"""),"3 mos")</f>
        <v>3 mos</v>
      </c>
      <c r="H2847" s="1" t="str">
        <f ca="1">IFERROR(__xludf.DUMMYFUNCTION("""COMPUTED_VALUE"""),"comment")</f>
        <v>comment</v>
      </c>
      <c r="I2847" s="2" t="str">
        <f ca="1">IFERROR(__xludf.DUMMYFUNCTION("""COMPUTED_VALUE"""),"https://www.facebook.com/rapplerdotcom/photos/a.317154781638645/5594453700575367/")</f>
        <v>https://www.facebook.com/rapplerdotcom/photos/a.317154781638645/5594453700575367/</v>
      </c>
      <c r="J2847" s="1" t="str">
        <f ca="1">IFERROR(__xludf.DUMMYFUNCTION("""COMPUTED_VALUE"""),"2022-07-04T15:53:36.545Z")</f>
        <v>2022-07-04T15:53:36.545Z</v>
      </c>
    </row>
    <row r="2848" spans="1:10" x14ac:dyDescent="0.2">
      <c r="A2848" s="2" t="str">
        <f ca="1">IFERROR(__xludf.DUMMYFUNCTION("""COMPUTED_VALUE"""),"https://www.facebook.com/Babe.Serrano")</f>
        <v>https://www.facebook.com/Babe.Serrano</v>
      </c>
      <c r="B2848" s="1" t="str">
        <f ca="1">IFERROR(__xludf.DUMMYFUNCTION("""COMPUTED_VALUE"""),"Um Bader Serrano")</f>
        <v>Um Bader Serrano</v>
      </c>
      <c r="C2848" s="1" t="str">
        <f ca="1">IFERROR(__xludf.DUMMYFUNCTION("""COMPUTED_VALUE"""),"Um")</f>
        <v>Um</v>
      </c>
      <c r="D2848" s="1" t="str">
        <f ca="1">IFERROR(__xludf.DUMMYFUNCTION("""COMPUTED_VALUE"""),"Bader Serrano")</f>
        <v>Bader Serrano</v>
      </c>
      <c r="E2848" s="1" t="str">
        <f ca="1">IFERROR(__xludf.DUMMYFUNCTION("""COMPUTED_VALUE"""),"Real talk po tau🤷 Wala ninu man sa mga candidates na mag pa2kain sa Pamilya natin  kung d tau din..")</f>
        <v>Real talk po tau🤷 Wala ninu man sa mga candidates na mag pa2kain sa Pamilya natin  kung d tau din..</v>
      </c>
      <c r="F2848" s="1">
        <f ca="1">IFERROR(__xludf.DUMMYFUNCTION("""COMPUTED_VALUE"""),1)</f>
        <v>1</v>
      </c>
      <c r="G2848" s="1" t="str">
        <f ca="1">IFERROR(__xludf.DUMMYFUNCTION("""COMPUTED_VALUE"""),"3 mos")</f>
        <v>3 mos</v>
      </c>
      <c r="H2848" s="1" t="str">
        <f ca="1">IFERROR(__xludf.DUMMYFUNCTION("""COMPUTED_VALUE"""),"comment")</f>
        <v>comment</v>
      </c>
      <c r="I2848" s="2" t="str">
        <f ca="1">IFERROR(__xludf.DUMMYFUNCTION("""COMPUTED_VALUE"""),"https://www.facebook.com/rapplerdotcom/photos/a.317154781638645/5594453700575367/")</f>
        <v>https://www.facebook.com/rapplerdotcom/photos/a.317154781638645/5594453700575367/</v>
      </c>
      <c r="J2848" s="1" t="str">
        <f ca="1">IFERROR(__xludf.DUMMYFUNCTION("""COMPUTED_VALUE"""),"2022-07-04T15:53:36.545Z")</f>
        <v>2022-07-04T15:53:36.545Z</v>
      </c>
    </row>
    <row r="2849" spans="1:10" x14ac:dyDescent="0.2">
      <c r="A2849" s="2" t="str">
        <f ca="1">IFERROR(__xludf.DUMMYFUNCTION("""COMPUTED_VALUE"""),"https://www.facebook.com/azon.delrosario.1")</f>
        <v>https://www.facebook.com/azon.delrosario.1</v>
      </c>
      <c r="B2849" s="1" t="str">
        <f ca="1">IFERROR(__xludf.DUMMYFUNCTION("""COMPUTED_VALUE"""),"Corazon Del Rosario")</f>
        <v>Corazon Del Rosario</v>
      </c>
      <c r="C2849" s="1" t="str">
        <f ca="1">IFERROR(__xludf.DUMMYFUNCTION("""COMPUTED_VALUE"""),"Corazon")</f>
        <v>Corazon</v>
      </c>
      <c r="D2849" s="1" t="str">
        <f ca="1">IFERROR(__xludf.DUMMYFUNCTION("""COMPUTED_VALUE"""),"Del Rosario")</f>
        <v>Del Rosario</v>
      </c>
      <c r="E2849" s="1" t="str">
        <f ca="1">IFERROR(__xludf.DUMMYFUNCTION("""COMPUTED_VALUE"""),"Hopeless  na candidate 😂😂")</f>
        <v>Hopeless  na candidate 😂😂</v>
      </c>
      <c r="F2849" s="1"/>
      <c r="G2849" s="1" t="str">
        <f ca="1">IFERROR(__xludf.DUMMYFUNCTION("""COMPUTED_VALUE"""),"3 mos")</f>
        <v>3 mos</v>
      </c>
      <c r="H2849" s="1" t="str">
        <f ca="1">IFERROR(__xludf.DUMMYFUNCTION("""COMPUTED_VALUE"""),"comment")</f>
        <v>comment</v>
      </c>
      <c r="I2849" s="2" t="str">
        <f ca="1">IFERROR(__xludf.DUMMYFUNCTION("""COMPUTED_VALUE"""),"https://www.facebook.com/rapplerdotcom/photos/a.317154781638645/5594453700575367/")</f>
        <v>https://www.facebook.com/rapplerdotcom/photos/a.317154781638645/5594453700575367/</v>
      </c>
      <c r="J2849" s="1" t="str">
        <f ca="1">IFERROR(__xludf.DUMMYFUNCTION("""COMPUTED_VALUE"""),"2022-07-04T15:53:36.545Z")</f>
        <v>2022-07-04T15:53:36.545Z</v>
      </c>
    </row>
    <row r="2850" spans="1:10" x14ac:dyDescent="0.2">
      <c r="A2850" s="2" t="str">
        <f ca="1">IFERROR(__xludf.DUMMYFUNCTION("""COMPUTED_VALUE"""),"https://www.facebook.com/profile.php?id=100007043323184")</f>
        <v>https://www.facebook.com/profile.php?id=100007043323184</v>
      </c>
      <c r="B2850" s="1" t="str">
        <f ca="1">IFERROR(__xludf.DUMMYFUNCTION("""COMPUTED_VALUE"""),"Ethel Pastrana Lavin")</f>
        <v>Ethel Pastrana Lavin</v>
      </c>
      <c r="C2850" s="1" t="str">
        <f ca="1">IFERROR(__xludf.DUMMYFUNCTION("""COMPUTED_VALUE"""),"Ethel")</f>
        <v>Ethel</v>
      </c>
      <c r="D2850" s="1" t="str">
        <f ca="1">IFERROR(__xludf.DUMMYFUNCTION("""COMPUTED_VALUE"""),"Pastrana Lavin")</f>
        <v>Pastrana Lavin</v>
      </c>
      <c r="E2850" s="1" t="str">
        <f ca="1">IFERROR(__xludf.DUMMYFUNCTION("""COMPUTED_VALUE"""),"AMEN! 🙏🙏🙏❤️❤️❤️")</f>
        <v>AMEN! 🙏🙏🙏❤️❤️❤️</v>
      </c>
      <c r="F2850" s="1"/>
      <c r="G2850" s="1" t="str">
        <f ca="1">IFERROR(__xludf.DUMMYFUNCTION("""COMPUTED_VALUE"""),"3 mos")</f>
        <v>3 mos</v>
      </c>
      <c r="H2850" s="1" t="str">
        <f ca="1">IFERROR(__xludf.DUMMYFUNCTION("""COMPUTED_VALUE"""),"comment")</f>
        <v>comment</v>
      </c>
      <c r="I2850" s="2" t="str">
        <f ca="1">IFERROR(__xludf.DUMMYFUNCTION("""COMPUTED_VALUE"""),"https://www.facebook.com/rapplerdotcom/photos/a.317154781638645/5594453700575367/")</f>
        <v>https://www.facebook.com/rapplerdotcom/photos/a.317154781638645/5594453700575367/</v>
      </c>
      <c r="J2850" s="1" t="str">
        <f ca="1">IFERROR(__xludf.DUMMYFUNCTION("""COMPUTED_VALUE"""),"2022-07-04T15:53:36.545Z")</f>
        <v>2022-07-04T15:53:36.545Z</v>
      </c>
    </row>
    <row r="2851" spans="1:10" x14ac:dyDescent="0.2">
      <c r="A2851" s="2" t="str">
        <f ca="1">IFERROR(__xludf.DUMMYFUNCTION("""COMPUTED_VALUE"""),"https://www.facebook.com/gracey.lay.9")</f>
        <v>https://www.facebook.com/gracey.lay.9</v>
      </c>
      <c r="B2851" s="1" t="str">
        <f ca="1">IFERROR(__xludf.DUMMYFUNCTION("""COMPUTED_VALUE"""),"Grace Gomez")</f>
        <v>Grace Gomez</v>
      </c>
      <c r="C2851" s="1" t="str">
        <f ca="1">IFERROR(__xludf.DUMMYFUNCTION("""COMPUTED_VALUE"""),"Grace")</f>
        <v>Grace</v>
      </c>
      <c r="D2851" s="1" t="str">
        <f ca="1">IFERROR(__xludf.DUMMYFUNCTION("""COMPUTED_VALUE"""),"Gomez")</f>
        <v>Gomez</v>
      </c>
      <c r="E2851" s="1" t="str">
        <f ca="1">IFERROR(__xludf.DUMMYFUNCTION("""COMPUTED_VALUE"""),"minsan sa bubay natin nagnakaw di  tau..haha..iba nga dyan di sa office nila sila may ninakaw...hindi remit ang pang Sss hahaha")</f>
        <v>minsan sa bubay natin nagnakaw di  tau..haha..iba nga dyan di sa office nila sila may ninakaw...hindi remit ang pang Sss hahaha</v>
      </c>
      <c r="F2851" s="1"/>
      <c r="G2851" s="1" t="str">
        <f ca="1">IFERROR(__xludf.DUMMYFUNCTION("""COMPUTED_VALUE"""),"3 mos")</f>
        <v>3 mos</v>
      </c>
      <c r="H2851" s="1" t="str">
        <f ca="1">IFERROR(__xludf.DUMMYFUNCTION("""COMPUTED_VALUE"""),"comment")</f>
        <v>comment</v>
      </c>
      <c r="I2851" s="2" t="str">
        <f ca="1">IFERROR(__xludf.DUMMYFUNCTION("""COMPUTED_VALUE"""),"https://www.facebook.com/rapplerdotcom/photos/a.317154781638645/5594453700575367/")</f>
        <v>https://www.facebook.com/rapplerdotcom/photos/a.317154781638645/5594453700575367/</v>
      </c>
      <c r="J2851" s="1" t="str">
        <f ca="1">IFERROR(__xludf.DUMMYFUNCTION("""COMPUTED_VALUE"""),"2022-07-04T15:53:36.545Z")</f>
        <v>2022-07-04T15:53:36.545Z</v>
      </c>
    </row>
    <row r="2852" spans="1:10" x14ac:dyDescent="0.2">
      <c r="A2852" s="2" t="str">
        <f ca="1">IFERROR(__xludf.DUMMYFUNCTION("""COMPUTED_VALUE"""),"https://www.facebook.com/ramil.delarosa.5")</f>
        <v>https://www.facebook.com/ramil.delarosa.5</v>
      </c>
      <c r="B2852" s="1" t="str">
        <f ca="1">IFERROR(__xludf.DUMMYFUNCTION("""COMPUTED_VALUE"""),"Ramil Dela Rosa")</f>
        <v>Ramil Dela Rosa</v>
      </c>
      <c r="C2852" s="1" t="str">
        <f ca="1">IFERROR(__xludf.DUMMYFUNCTION("""COMPUTED_VALUE"""),"Ramil")</f>
        <v>Ramil</v>
      </c>
      <c r="D2852" s="1" t="str">
        <f ca="1">IFERROR(__xludf.DUMMYFUNCTION("""COMPUTED_VALUE"""),"Dela Rosa")</f>
        <v>Dela Rosa</v>
      </c>
      <c r="E2852" s="1" t="str">
        <f ca="1">IFERROR(__xludf.DUMMYFUNCTION("""COMPUTED_VALUE"""),"Kaya ayaw kahit one on one debate.....nyahaha. Go Manny!!!")</f>
        <v>Kaya ayaw kahit one on one debate.....nyahaha. Go Manny!!!</v>
      </c>
      <c r="F2852" s="1">
        <f ca="1">IFERROR(__xludf.DUMMYFUNCTION("""COMPUTED_VALUE"""),4)</f>
        <v>4</v>
      </c>
      <c r="G2852" s="1" t="str">
        <f ca="1">IFERROR(__xludf.DUMMYFUNCTION("""COMPUTED_VALUE"""),"3 mos")</f>
        <v>3 mos</v>
      </c>
      <c r="H2852" s="1" t="str">
        <f ca="1">IFERROR(__xludf.DUMMYFUNCTION("""COMPUTED_VALUE"""),"comment")</f>
        <v>comment</v>
      </c>
      <c r="I2852" s="2" t="str">
        <f ca="1">IFERROR(__xludf.DUMMYFUNCTION("""COMPUTED_VALUE"""),"https://www.facebook.com/rapplerdotcom/photos/a.317154781638645/5594453700575367/")</f>
        <v>https://www.facebook.com/rapplerdotcom/photos/a.317154781638645/5594453700575367/</v>
      </c>
      <c r="J2852" s="1" t="str">
        <f ca="1">IFERROR(__xludf.DUMMYFUNCTION("""COMPUTED_VALUE"""),"2022-07-04T15:53:36.545Z")</f>
        <v>2022-07-04T15:53:36.545Z</v>
      </c>
    </row>
    <row r="2853" spans="1:10" x14ac:dyDescent="0.2">
      <c r="A2853" s="2" t="str">
        <f ca="1">IFERROR(__xludf.DUMMYFUNCTION("""COMPUTED_VALUE"""),"https://www.facebook.com/profile.php?id=100009365788837")</f>
        <v>https://www.facebook.com/profile.php?id=100009365788837</v>
      </c>
      <c r="B2853" s="1" t="str">
        <f ca="1">IFERROR(__xludf.DUMMYFUNCTION("""COMPUTED_VALUE"""),"Joshua Nicdao")</f>
        <v>Joshua Nicdao</v>
      </c>
      <c r="C2853" s="1" t="str">
        <f ca="1">IFERROR(__xludf.DUMMYFUNCTION("""COMPUTED_VALUE"""),"Joshua")</f>
        <v>Joshua</v>
      </c>
      <c r="D2853" s="1" t="str">
        <f ca="1">IFERROR(__xludf.DUMMYFUNCTION("""COMPUTED_VALUE"""),"Nicdao")</f>
        <v>Nicdao</v>
      </c>
      <c r="E2853" s="1" t="str">
        <f ca="1">IFERROR(__xludf.DUMMYFUNCTION("""COMPUTED_VALUE"""),"Convince us more pa😁")</f>
        <v>Convince us more pa😁</v>
      </c>
      <c r="F2853" s="1"/>
      <c r="G2853" s="1" t="str">
        <f ca="1">IFERROR(__xludf.DUMMYFUNCTION("""COMPUTED_VALUE"""),"3 mos")</f>
        <v>3 mos</v>
      </c>
      <c r="H2853" s="1" t="str">
        <f ca="1">IFERROR(__xludf.DUMMYFUNCTION("""COMPUTED_VALUE"""),"comment")</f>
        <v>comment</v>
      </c>
      <c r="I2853" s="2" t="str">
        <f ca="1">IFERROR(__xludf.DUMMYFUNCTION("""COMPUTED_VALUE"""),"https://www.facebook.com/rapplerdotcom/photos/a.317154781638645/5594453700575367/")</f>
        <v>https://www.facebook.com/rapplerdotcom/photos/a.317154781638645/5594453700575367/</v>
      </c>
      <c r="J2853" s="1" t="str">
        <f ca="1">IFERROR(__xludf.DUMMYFUNCTION("""COMPUTED_VALUE"""),"2022-07-04T15:53:36.545Z")</f>
        <v>2022-07-04T15:53:36.545Z</v>
      </c>
    </row>
    <row r="2854" spans="1:10" x14ac:dyDescent="0.2">
      <c r="A2854" s="2" t="str">
        <f ca="1">IFERROR(__xludf.DUMMYFUNCTION("""COMPUTED_VALUE"""),"https://www.facebook.com/profile.php?id=100075535575222")</f>
        <v>https://www.facebook.com/profile.php?id=100075535575222</v>
      </c>
      <c r="B2854" s="1" t="str">
        <f ca="1">IFERROR(__xludf.DUMMYFUNCTION("""COMPUTED_VALUE"""),"Patricia Paula Galang")</f>
        <v>Patricia Paula Galang</v>
      </c>
      <c r="C2854" s="1" t="str">
        <f ca="1">IFERROR(__xludf.DUMMYFUNCTION("""COMPUTED_VALUE"""),"Patricia")</f>
        <v>Patricia</v>
      </c>
      <c r="D2854" s="1" t="str">
        <f ca="1">IFERROR(__xludf.DUMMYFUNCTION("""COMPUTED_VALUE"""),"Paula Galang")</f>
        <v>Paula Galang</v>
      </c>
      <c r="E2854" s="1" t="str">
        <f ca="1">IFERROR(__xludf.DUMMYFUNCTION("""COMPUTED_VALUE"""),"Sarili if we vote wrong candidate")</f>
        <v>Sarili if we vote wrong candidate</v>
      </c>
      <c r="F2854" s="1">
        <f ca="1">IFERROR(__xludf.DUMMYFUNCTION("""COMPUTED_VALUE"""),1)</f>
        <v>1</v>
      </c>
      <c r="G2854" s="1" t="str">
        <f ca="1">IFERROR(__xludf.DUMMYFUNCTION("""COMPUTED_VALUE"""),"3 mos")</f>
        <v>3 mos</v>
      </c>
      <c r="H2854" s="1" t="str">
        <f ca="1">IFERROR(__xludf.DUMMYFUNCTION("""COMPUTED_VALUE"""),"comment")</f>
        <v>comment</v>
      </c>
      <c r="I2854" s="2" t="str">
        <f ca="1">IFERROR(__xludf.DUMMYFUNCTION("""COMPUTED_VALUE"""),"https://www.facebook.com/rapplerdotcom/photos/a.317154781638645/5594453700575367/")</f>
        <v>https://www.facebook.com/rapplerdotcom/photos/a.317154781638645/5594453700575367/</v>
      </c>
      <c r="J2854" s="1" t="str">
        <f ca="1">IFERROR(__xludf.DUMMYFUNCTION("""COMPUTED_VALUE"""),"2022-07-04T15:53:36.545Z")</f>
        <v>2022-07-04T15:53:36.545Z</v>
      </c>
    </row>
    <row r="2855" spans="1:10" x14ac:dyDescent="0.2">
      <c r="A2855" s="2" t="str">
        <f ca="1">IFERROR(__xludf.DUMMYFUNCTION("""COMPUTED_VALUE"""),"https://www.facebook.com/gloria.bumanglag.56")</f>
        <v>https://www.facebook.com/gloria.bumanglag.56</v>
      </c>
      <c r="B2855" s="1" t="str">
        <f ca="1">IFERROR(__xludf.DUMMYFUNCTION("""COMPUTED_VALUE"""),"Gloria Bumanglag")</f>
        <v>Gloria Bumanglag</v>
      </c>
      <c r="C2855" s="1" t="str">
        <f ca="1">IFERROR(__xludf.DUMMYFUNCTION("""COMPUTED_VALUE"""),"Gloria")</f>
        <v>Gloria</v>
      </c>
      <c r="D2855" s="1" t="str">
        <f ca="1">IFERROR(__xludf.DUMMYFUNCTION("""COMPUTED_VALUE"""),"Bumanglag")</f>
        <v>Bumanglag</v>
      </c>
      <c r="E2855" s="1" t="str">
        <f ca="1">IFERROR(__xludf.DUMMYFUNCTION("""COMPUTED_VALUE"""),"No vote  pakyaw")</f>
        <v>No vote  pakyaw</v>
      </c>
      <c r="F2855" s="1">
        <f ca="1">IFERROR(__xludf.DUMMYFUNCTION("""COMPUTED_VALUE"""),3)</f>
        <v>3</v>
      </c>
      <c r="G2855" s="1" t="str">
        <f ca="1">IFERROR(__xludf.DUMMYFUNCTION("""COMPUTED_VALUE"""),"3 mos")</f>
        <v>3 mos</v>
      </c>
      <c r="H2855" s="1" t="str">
        <f ca="1">IFERROR(__xludf.DUMMYFUNCTION("""COMPUTED_VALUE"""),"comment")</f>
        <v>comment</v>
      </c>
      <c r="I2855" s="2" t="str">
        <f ca="1">IFERROR(__xludf.DUMMYFUNCTION("""COMPUTED_VALUE"""),"https://www.facebook.com/rapplerdotcom/photos/a.317154781638645/5594453700575367/")</f>
        <v>https://www.facebook.com/rapplerdotcom/photos/a.317154781638645/5594453700575367/</v>
      </c>
      <c r="J2855" s="1" t="str">
        <f ca="1">IFERROR(__xludf.DUMMYFUNCTION("""COMPUTED_VALUE"""),"2022-07-04T15:53:36.545Z")</f>
        <v>2022-07-04T15:53:36.545Z</v>
      </c>
    </row>
    <row r="2856" spans="1:10" x14ac:dyDescent="0.2">
      <c r="A2856" s="2" t="str">
        <f ca="1">IFERROR(__xludf.DUMMYFUNCTION("""COMPUTED_VALUE"""),"https://www.facebook.com/may.atr.5623")</f>
        <v>https://www.facebook.com/may.atr.5623</v>
      </c>
      <c r="B2856" s="1" t="str">
        <f ca="1">IFERROR(__xludf.DUMMYFUNCTION("""COMPUTED_VALUE"""),"May Atr")</f>
        <v>May Atr</v>
      </c>
      <c r="C2856" s="1" t="str">
        <f ca="1">IFERROR(__xludf.DUMMYFUNCTION("""COMPUTED_VALUE"""),"May")</f>
        <v>May</v>
      </c>
      <c r="D2856" s="1" t="str">
        <f ca="1">IFERROR(__xludf.DUMMYFUNCTION("""COMPUTED_VALUE"""),"Atr")</f>
        <v>Atr</v>
      </c>
      <c r="E2856" s="1" t="str">
        <f ca="1">IFERROR(__xludf.DUMMYFUNCTION("""COMPUTED_VALUE"""),"manny support na lang our Sports, ang daming athlete na lumipat sa US kasi di nasuportahan ng gobyerno like michael martinez, wesley so , forte mo ang sports, dun ka na lng sana, you can help kahit d ka presidente")</f>
        <v>manny support na lang our Sports, ang daming athlete na lumipat sa US kasi di nasuportahan ng gobyerno like michael martinez, wesley so , forte mo ang sports, dun ka na lng sana, you can help kahit d ka presidente</v>
      </c>
      <c r="F2856" s="1"/>
      <c r="G2856" s="1" t="str">
        <f ca="1">IFERROR(__xludf.DUMMYFUNCTION("""COMPUTED_VALUE"""),"3 mos")</f>
        <v>3 mos</v>
      </c>
      <c r="H2856" s="1" t="str">
        <f ca="1">IFERROR(__xludf.DUMMYFUNCTION("""COMPUTED_VALUE"""),"comment")</f>
        <v>comment</v>
      </c>
      <c r="I2856" s="2" t="str">
        <f ca="1">IFERROR(__xludf.DUMMYFUNCTION("""COMPUTED_VALUE"""),"https://www.facebook.com/rapplerdotcom/photos/a.317154781638645/5594453700575367/")</f>
        <v>https://www.facebook.com/rapplerdotcom/photos/a.317154781638645/5594453700575367/</v>
      </c>
      <c r="J2856" s="1" t="str">
        <f ca="1">IFERROR(__xludf.DUMMYFUNCTION("""COMPUTED_VALUE"""),"2022-07-04T15:53:36.545Z")</f>
        <v>2022-07-04T15:53:36.545Z</v>
      </c>
    </row>
    <row r="2857" spans="1:10" x14ac:dyDescent="0.2">
      <c r="A2857" s="2" t="str">
        <f ca="1">IFERROR(__xludf.DUMMYFUNCTION("""COMPUTED_VALUE"""),"https://www.facebook.com/jojo.lagaya.9")</f>
        <v>https://www.facebook.com/jojo.lagaya.9</v>
      </c>
      <c r="B2857" s="1" t="str">
        <f ca="1">IFERROR(__xludf.DUMMYFUNCTION("""COMPUTED_VALUE"""),"Jojo Lagaya")</f>
        <v>Jojo Lagaya</v>
      </c>
      <c r="C2857" s="1" t="str">
        <f ca="1">IFERROR(__xludf.DUMMYFUNCTION("""COMPUTED_VALUE"""),"Jojo")</f>
        <v>Jojo</v>
      </c>
      <c r="D2857" s="1" t="str">
        <f ca="1">IFERROR(__xludf.DUMMYFUNCTION("""COMPUTED_VALUE"""),"Lagaya")</f>
        <v>Lagaya</v>
      </c>
      <c r="E2857" s="1" t="str">
        <f ca="1">IFERROR(__xludf.DUMMYFUNCTION("""COMPUTED_VALUE"""),"Tumigil kana Pacquiao lalo ka lang nasisira sa mga tao. Lumalabas na yung pangit mong ugali.")</f>
        <v>Tumigil kana Pacquiao lalo ka lang nasisira sa mga tao. Lumalabas na yung pangit mong ugali.</v>
      </c>
      <c r="F2857" s="1"/>
      <c r="G2857" s="1" t="str">
        <f ca="1">IFERROR(__xludf.DUMMYFUNCTION("""COMPUTED_VALUE"""),"3 mos")</f>
        <v>3 mos</v>
      </c>
      <c r="H2857" s="1" t="str">
        <f ca="1">IFERROR(__xludf.DUMMYFUNCTION("""COMPUTED_VALUE"""),"comment")</f>
        <v>comment</v>
      </c>
      <c r="I2857" s="2" t="str">
        <f ca="1">IFERROR(__xludf.DUMMYFUNCTION("""COMPUTED_VALUE"""),"https://www.facebook.com/rapplerdotcom/photos/a.317154781638645/5594453700575367/")</f>
        <v>https://www.facebook.com/rapplerdotcom/photos/a.317154781638645/5594453700575367/</v>
      </c>
      <c r="J2857" s="1" t="str">
        <f ca="1">IFERROR(__xludf.DUMMYFUNCTION("""COMPUTED_VALUE"""),"2022-07-04T15:53:36.545Z")</f>
        <v>2022-07-04T15:53:36.545Z</v>
      </c>
    </row>
    <row r="2858" spans="1:10" x14ac:dyDescent="0.2">
      <c r="A2858" s="2" t="str">
        <f ca="1">IFERROR(__xludf.DUMMYFUNCTION("""COMPUTED_VALUE"""),"https://www.facebook.com/juliusryan.tuquero")</f>
        <v>https://www.facebook.com/juliusryan.tuquero</v>
      </c>
      <c r="B2858" s="1" t="str">
        <f ca="1">IFERROR(__xludf.DUMMYFUNCTION("""COMPUTED_VALUE"""),"Julius Ryan Tuquero")</f>
        <v>Julius Ryan Tuquero</v>
      </c>
      <c r="C2858" s="1" t="str">
        <f ca="1">IFERROR(__xludf.DUMMYFUNCTION("""COMPUTED_VALUE"""),"Julius")</f>
        <v>Julius</v>
      </c>
      <c r="D2858" s="1" t="str">
        <f ca="1">IFERROR(__xludf.DUMMYFUNCTION("""COMPUTED_VALUE"""),"Ryan Tuquero")</f>
        <v>Ryan Tuquero</v>
      </c>
      <c r="E2858" s="1" t="str">
        <f ca="1">IFERROR(__xludf.DUMMYFUNCTION("""COMPUTED_VALUE"""),"Well wala kayo magagawa kasi nasa presidential system tayo, popularity at personality politics ang labanan. Lahat naman kayo, kaya kayo tumakbo dahil sikat kayo at nakikinabang dito.  Since advocate po kayo ng pederalismo, Constitutional Reform ang kailan"&amp;"gan natin, para hindi lang kasikatan ng kandidato ang basehan, kundi labanan ng plataporma at pagalingan ng representative sa mga partido.")</f>
        <v>Well wala kayo magagawa kasi nasa presidential system tayo, popularity at personality politics ang labanan. Lahat naman kayo, kaya kayo tumakbo dahil sikat kayo at nakikinabang dito.  Since advocate po kayo ng pederalismo, Constitutional Reform ang kailangan natin, para hindi lang kasikatan ng kandidato ang basehan, kundi labanan ng plataporma at pagalingan ng representative sa mga partido.</v>
      </c>
      <c r="F2858" s="1">
        <f ca="1">IFERROR(__xludf.DUMMYFUNCTION("""COMPUTED_VALUE"""),1)</f>
        <v>1</v>
      </c>
      <c r="G2858" s="1" t="str">
        <f ca="1">IFERROR(__xludf.DUMMYFUNCTION("""COMPUTED_VALUE"""),"3 mos")</f>
        <v>3 mos</v>
      </c>
      <c r="H2858" s="1" t="str">
        <f ca="1">IFERROR(__xludf.DUMMYFUNCTION("""COMPUTED_VALUE"""),"comment")</f>
        <v>comment</v>
      </c>
      <c r="I2858" s="2" t="str">
        <f ca="1">IFERROR(__xludf.DUMMYFUNCTION("""COMPUTED_VALUE"""),"https://www.facebook.com/rapplerdotcom/photos/a.317154781638645/5594453700575367/")</f>
        <v>https://www.facebook.com/rapplerdotcom/photos/a.317154781638645/5594453700575367/</v>
      </c>
      <c r="J2858" s="1" t="str">
        <f ca="1">IFERROR(__xludf.DUMMYFUNCTION("""COMPUTED_VALUE"""),"2022-07-04T15:53:36.545Z")</f>
        <v>2022-07-04T15:53:36.545Z</v>
      </c>
    </row>
    <row r="2859" spans="1:10" x14ac:dyDescent="0.2">
      <c r="A2859" s="2" t="str">
        <f ca="1">IFERROR(__xludf.DUMMYFUNCTION("""COMPUTED_VALUE"""),"https://www.facebook.com/machristina.zaragoza")</f>
        <v>https://www.facebook.com/machristina.zaragoza</v>
      </c>
      <c r="B2859" s="1" t="str">
        <f ca="1">IFERROR(__xludf.DUMMYFUNCTION("""COMPUTED_VALUE"""),"Ma Christina H Custodio")</f>
        <v>Ma Christina H Custodio</v>
      </c>
      <c r="C2859" s="1" t="str">
        <f ca="1">IFERROR(__xludf.DUMMYFUNCTION("""COMPUTED_VALUE"""),"Ma")</f>
        <v>Ma</v>
      </c>
      <c r="D2859" s="1" t="str">
        <f ca="1">IFERROR(__xludf.DUMMYFUNCTION("""COMPUTED_VALUE"""),"Christina H Custodio")</f>
        <v>Christina H Custodio</v>
      </c>
      <c r="E2859" s="1" t="str">
        <f ca="1">IFERROR(__xludf.DUMMYFUNCTION("""COMPUTED_VALUE"""),"Correct po kayo dyan as pay maging matalino at Napagutusan pagboto")</f>
        <v>Correct po kayo dyan as pay maging matalino at Napagutusan pagboto</v>
      </c>
      <c r="F2859" s="1"/>
      <c r="G2859" s="1" t="str">
        <f ca="1">IFERROR(__xludf.DUMMYFUNCTION("""COMPUTED_VALUE"""),"3 mos")</f>
        <v>3 mos</v>
      </c>
      <c r="H2859" s="1" t="str">
        <f ca="1">IFERROR(__xludf.DUMMYFUNCTION("""COMPUTED_VALUE"""),"comment")</f>
        <v>comment</v>
      </c>
      <c r="I2859" s="2" t="str">
        <f ca="1">IFERROR(__xludf.DUMMYFUNCTION("""COMPUTED_VALUE"""),"https://www.facebook.com/rapplerdotcom/photos/a.317154781638645/5594453700575367/")</f>
        <v>https://www.facebook.com/rapplerdotcom/photos/a.317154781638645/5594453700575367/</v>
      </c>
      <c r="J2859" s="1" t="str">
        <f ca="1">IFERROR(__xludf.DUMMYFUNCTION("""COMPUTED_VALUE"""),"2022-07-04T15:53:36.545Z")</f>
        <v>2022-07-04T15:53:36.545Z</v>
      </c>
    </row>
    <row r="2860" spans="1:10" x14ac:dyDescent="0.2">
      <c r="A2860" s="2" t="str">
        <f ca="1">IFERROR(__xludf.DUMMYFUNCTION("""COMPUTED_VALUE"""),"https://www.facebook.com/janet.santos.7121")</f>
        <v>https://www.facebook.com/janet.santos.7121</v>
      </c>
      <c r="B2860" s="1" t="str">
        <f ca="1">IFERROR(__xludf.DUMMYFUNCTION("""COMPUTED_VALUE"""),"Nida Esca")</f>
        <v>Nida Esca</v>
      </c>
      <c r="C2860" s="1" t="str">
        <f ca="1">IFERROR(__xludf.DUMMYFUNCTION("""COMPUTED_VALUE"""),"Nida")</f>
        <v>Nida</v>
      </c>
      <c r="D2860" s="1" t="str">
        <f ca="1">IFERROR(__xludf.DUMMYFUNCTION("""COMPUTED_VALUE"""),"Esca")</f>
        <v>Esca</v>
      </c>
      <c r="E2860" s="1" t="str">
        <f ca="1">IFERROR(__xludf.DUMMYFUNCTION("""COMPUTED_VALUE"""),"Agree. Sa totoo lang, masyadong maimpluwensya sila kaya  natatabunan ang mga kaso. Ganyan din ang drugs hindi matapos tapos hanggat may tumatangkilik at may nagtatakip kapalit ng milyones. Kapag nanalo sa pinakamataas na pwesto mahirap na masingil ang mga"&amp;" iyan. Baka baguhin pa nila ng mga galamay ang batas at hindi na umalis sa pwesto at magkagulo na naman dahil sa pagmamalabis at kapag may lumaban sa kanila kung hindi ikulong ay ipapatay. Madaming matatalino, masisipag at mabuting taong Filipino na karap"&amp;"at dapat sa pwesto, bakit kailangan suportahan ang confirm na may mga kaso sa batas at halatang pinapaikot ikot lang ang pagbaligtad sa katotohanan.")</f>
        <v>Agree. Sa totoo lang, masyadong maimpluwensya sila kaya  natatabunan ang mga kaso. Ganyan din ang drugs hindi matapos tapos hanggat may tumatangkilik at may nagtatakip kapalit ng milyones. Kapag nanalo sa pinakamataas na pwesto mahirap na masingil ang mga iyan. Baka baguhin pa nila ng mga galamay ang batas at hindi na umalis sa pwesto at magkagulo na naman dahil sa pagmamalabis at kapag may lumaban sa kanila kung hindi ikulong ay ipapatay. Madaming matatalino, masisipag at mabuting taong Filipino na karapat dapat sa pwesto, bakit kailangan suportahan ang confirm na may mga kaso sa batas at halatang pinapaikot ikot lang ang pagbaligtad sa katotohanan.</v>
      </c>
      <c r="F2860" s="1"/>
      <c r="G2860" s="1" t="str">
        <f ca="1">IFERROR(__xludf.DUMMYFUNCTION("""COMPUTED_VALUE"""),"3 mos")</f>
        <v>3 mos</v>
      </c>
      <c r="H2860" s="1" t="str">
        <f ca="1">IFERROR(__xludf.DUMMYFUNCTION("""COMPUTED_VALUE"""),"comment")</f>
        <v>comment</v>
      </c>
      <c r="I2860" s="2" t="str">
        <f ca="1">IFERROR(__xludf.DUMMYFUNCTION("""COMPUTED_VALUE"""),"https://www.facebook.com/rapplerdotcom/photos/a.317154781638645/5594453700575367/")</f>
        <v>https://www.facebook.com/rapplerdotcom/photos/a.317154781638645/5594453700575367/</v>
      </c>
      <c r="J2860" s="1" t="str">
        <f ca="1">IFERROR(__xludf.DUMMYFUNCTION("""COMPUTED_VALUE"""),"2022-07-04T15:53:36.545Z")</f>
        <v>2022-07-04T15:53:36.545Z</v>
      </c>
    </row>
    <row r="2861" spans="1:10" x14ac:dyDescent="0.2">
      <c r="A2861" s="2" t="str">
        <f ca="1">IFERROR(__xludf.DUMMYFUNCTION("""COMPUTED_VALUE"""),"https://www.facebook.com/gina.rico.55")</f>
        <v>https://www.facebook.com/gina.rico.55</v>
      </c>
      <c r="B2861" s="1" t="str">
        <f ca="1">IFERROR(__xludf.DUMMYFUNCTION("""COMPUTED_VALUE"""),"Gina Manaois Rico")</f>
        <v>Gina Manaois Rico</v>
      </c>
      <c r="C2861" s="1" t="str">
        <f ca="1">IFERROR(__xludf.DUMMYFUNCTION("""COMPUTED_VALUE"""),"Gina")</f>
        <v>Gina</v>
      </c>
      <c r="D2861" s="1" t="str">
        <f ca="1">IFERROR(__xludf.DUMMYFUNCTION("""COMPUTED_VALUE"""),"Manaois Rico")</f>
        <v>Manaois Rico</v>
      </c>
      <c r="E2861" s="1" t="str">
        <f ca="1">IFERROR(__xludf.DUMMYFUNCTION("""COMPUTED_VALUE"""),"kaya wag iboto c pacman..")</f>
        <v>kaya wag iboto c pacman..</v>
      </c>
      <c r="F2861" s="1">
        <f ca="1">IFERROR(__xludf.DUMMYFUNCTION("""COMPUTED_VALUE"""),3)</f>
        <v>3</v>
      </c>
      <c r="G2861" s="1" t="str">
        <f ca="1">IFERROR(__xludf.DUMMYFUNCTION("""COMPUTED_VALUE"""),"3 mos")</f>
        <v>3 mos</v>
      </c>
      <c r="H2861" s="1" t="str">
        <f ca="1">IFERROR(__xludf.DUMMYFUNCTION("""COMPUTED_VALUE"""),"comment")</f>
        <v>comment</v>
      </c>
      <c r="I2861" s="2" t="str">
        <f ca="1">IFERROR(__xludf.DUMMYFUNCTION("""COMPUTED_VALUE"""),"https://www.facebook.com/rapplerdotcom/photos/a.317154781638645/5594453700575367/")</f>
        <v>https://www.facebook.com/rapplerdotcom/photos/a.317154781638645/5594453700575367/</v>
      </c>
      <c r="J2861" s="1" t="str">
        <f ca="1">IFERROR(__xludf.DUMMYFUNCTION("""COMPUTED_VALUE"""),"2022-07-04T15:53:36.545Z")</f>
        <v>2022-07-04T15:53:36.545Z</v>
      </c>
    </row>
    <row r="2862" spans="1:10" x14ac:dyDescent="0.2">
      <c r="A2862" s="2" t="str">
        <f ca="1">IFERROR(__xludf.DUMMYFUNCTION("""COMPUTED_VALUE"""),"https://www.facebook.com/melbie.carpentero.7")</f>
        <v>https://www.facebook.com/melbie.carpentero.7</v>
      </c>
      <c r="B2862" s="1" t="str">
        <f ca="1">IFERROR(__xludf.DUMMYFUNCTION("""COMPUTED_VALUE"""),"Melbie Carpentero")</f>
        <v>Melbie Carpentero</v>
      </c>
      <c r="C2862" s="1" t="str">
        <f ca="1">IFERROR(__xludf.DUMMYFUNCTION("""COMPUTED_VALUE"""),"Melbie")</f>
        <v>Melbie</v>
      </c>
      <c r="D2862" s="1" t="str">
        <f ca="1">IFERROR(__xludf.DUMMYFUNCTION("""COMPUTED_VALUE"""),"Carpentero")</f>
        <v>Carpentero</v>
      </c>
      <c r="E2862" s="1" t="str">
        <f ca="1">IFERROR(__xludf.DUMMYFUNCTION("""COMPUTED_VALUE"""),"Gina Manaois Rico ikaw nalang iboboto namin")</f>
        <v>Gina Manaois Rico ikaw nalang iboboto namin</v>
      </c>
      <c r="F2862" s="1"/>
      <c r="G2862" s="1" t="str">
        <f ca="1">IFERROR(__xludf.DUMMYFUNCTION("""COMPUTED_VALUE"""),"3 mos")</f>
        <v>3 mos</v>
      </c>
      <c r="H2862" s="1" t="str">
        <f ca="1">IFERROR(__xludf.DUMMYFUNCTION("""COMPUTED_VALUE"""),"reply")</f>
        <v>reply</v>
      </c>
      <c r="I2862" s="2" t="str">
        <f ca="1">IFERROR(__xludf.DUMMYFUNCTION("""COMPUTED_VALUE"""),"https://www.facebook.com/rapplerdotcom/photos/a.317154781638645/5594453700575367/")</f>
        <v>https://www.facebook.com/rapplerdotcom/photos/a.317154781638645/5594453700575367/</v>
      </c>
      <c r="J2862" s="1" t="str">
        <f ca="1">IFERROR(__xludf.DUMMYFUNCTION("""COMPUTED_VALUE"""),"2022-07-04T15:53:36.545Z")</f>
        <v>2022-07-04T15:53:36.545Z</v>
      </c>
    </row>
    <row r="2863" spans="1:10" x14ac:dyDescent="0.2">
      <c r="A2863" s="2" t="str">
        <f ca="1">IFERROR(__xludf.DUMMYFUNCTION("""COMPUTED_VALUE"""),"https://www.facebook.com/jing.gambayan")</f>
        <v>https://www.facebook.com/jing.gambayan</v>
      </c>
      <c r="B2863" s="1" t="str">
        <f ca="1">IFERROR(__xludf.DUMMYFUNCTION("""COMPUTED_VALUE"""),"Jing Gambayan")</f>
        <v>Jing Gambayan</v>
      </c>
      <c r="C2863" s="1" t="str">
        <f ca="1">IFERROR(__xludf.DUMMYFUNCTION("""COMPUTED_VALUE"""),"Jing")</f>
        <v>Jing</v>
      </c>
      <c r="D2863" s="1" t="str">
        <f ca="1">IFERROR(__xludf.DUMMYFUNCTION("""COMPUTED_VALUE"""),"Gambayan")</f>
        <v>Gambayan</v>
      </c>
      <c r="E2863" s="1" t="str">
        <f ca="1">IFERROR(__xludf.DUMMYFUNCTION("""COMPUTED_VALUE"""),"Tama ka Manny!")</f>
        <v>Tama ka Manny!</v>
      </c>
      <c r="F2863" s="1">
        <f ca="1">IFERROR(__xludf.DUMMYFUNCTION("""COMPUTED_VALUE"""),1)</f>
        <v>1</v>
      </c>
      <c r="G2863" s="1" t="str">
        <f ca="1">IFERROR(__xludf.DUMMYFUNCTION("""COMPUTED_VALUE"""),"3 mos")</f>
        <v>3 mos</v>
      </c>
      <c r="H2863" s="1" t="str">
        <f ca="1">IFERROR(__xludf.DUMMYFUNCTION("""COMPUTED_VALUE"""),"comment")</f>
        <v>comment</v>
      </c>
      <c r="I2863" s="2" t="str">
        <f ca="1">IFERROR(__xludf.DUMMYFUNCTION("""COMPUTED_VALUE"""),"https://www.facebook.com/rapplerdotcom/photos/a.317154781638645/5594453700575367/")</f>
        <v>https://www.facebook.com/rapplerdotcom/photos/a.317154781638645/5594453700575367/</v>
      </c>
      <c r="J2863" s="1" t="str">
        <f ca="1">IFERROR(__xludf.DUMMYFUNCTION("""COMPUTED_VALUE"""),"2022-07-04T15:53:36.545Z")</f>
        <v>2022-07-04T15:53:36.545Z</v>
      </c>
    </row>
    <row r="2864" spans="1:10" x14ac:dyDescent="0.2">
      <c r="A2864" s="2" t="str">
        <f ca="1">IFERROR(__xludf.DUMMYFUNCTION("""COMPUTED_VALUE"""),"https://www.facebook.com/eduardo.bonndadjr")</f>
        <v>https://www.facebook.com/eduardo.bonndadjr</v>
      </c>
      <c r="B2864" s="1" t="str">
        <f ca="1">IFERROR(__xludf.DUMMYFUNCTION("""COMPUTED_VALUE"""),"Eduardo Bonndad Jr.")</f>
        <v>Eduardo Bonndad Jr.</v>
      </c>
      <c r="C2864" s="1" t="str">
        <f ca="1">IFERROR(__xludf.DUMMYFUNCTION("""COMPUTED_VALUE"""),"Eduardo")</f>
        <v>Eduardo</v>
      </c>
      <c r="D2864" s="1" t="str">
        <f ca="1">IFERROR(__xludf.DUMMYFUNCTION("""COMPUTED_VALUE"""),"Bonndad Jr.")</f>
        <v>Bonndad Jr.</v>
      </c>
      <c r="E2864" s="1" t="str">
        <f ca="1">IFERROR(__xludf.DUMMYFUNCTION("""COMPUTED_VALUE"""),"Totoo yan , bakit ba kung sino pa yong sadyang naghihirap noon ang gustong gusto ang pamilyang sadyang nagnakaw ng billion billion sa ating bansa.")</f>
        <v>Totoo yan , bakit ba kung sino pa yong sadyang naghihirap noon ang gustong gusto ang pamilyang sadyang nagnakaw ng billion billion sa ating bansa.</v>
      </c>
      <c r="F2864" s="1">
        <f ca="1">IFERROR(__xludf.DUMMYFUNCTION("""COMPUTED_VALUE"""),9)</f>
        <v>9</v>
      </c>
      <c r="G2864" s="1" t="str">
        <f ca="1">IFERROR(__xludf.DUMMYFUNCTION("""COMPUTED_VALUE"""),"3 mos")</f>
        <v>3 mos</v>
      </c>
      <c r="H2864" s="1" t="str">
        <f ca="1">IFERROR(__xludf.DUMMYFUNCTION("""COMPUTED_VALUE"""),"comment")</f>
        <v>comment</v>
      </c>
      <c r="I2864" s="2" t="str">
        <f ca="1">IFERROR(__xludf.DUMMYFUNCTION("""COMPUTED_VALUE"""),"https://www.facebook.com/rapplerdotcom/photos/a.317154781638645/5594453700575367/")</f>
        <v>https://www.facebook.com/rapplerdotcom/photos/a.317154781638645/5594453700575367/</v>
      </c>
      <c r="J2864" s="1" t="str">
        <f ca="1">IFERROR(__xludf.DUMMYFUNCTION("""COMPUTED_VALUE"""),"2022-07-04T15:53:36.545Z")</f>
        <v>2022-07-04T15:53:36.545Z</v>
      </c>
    </row>
    <row r="2865" spans="1:10" x14ac:dyDescent="0.2">
      <c r="A2865" s="2" t="str">
        <f ca="1">IFERROR(__xludf.DUMMYFUNCTION("""COMPUTED_VALUE"""),"https://www.facebook.com/rodel.palmones.58")</f>
        <v>https://www.facebook.com/rodel.palmones.58</v>
      </c>
      <c r="B2865" s="1" t="str">
        <f ca="1">IFERROR(__xludf.DUMMYFUNCTION("""COMPUTED_VALUE"""),"Rodel Palmones")</f>
        <v>Rodel Palmones</v>
      </c>
      <c r="C2865" s="1" t="str">
        <f ca="1">IFERROR(__xludf.DUMMYFUNCTION("""COMPUTED_VALUE"""),"Rodel")</f>
        <v>Rodel</v>
      </c>
      <c r="D2865" s="1" t="str">
        <f ca="1">IFERROR(__xludf.DUMMYFUNCTION("""COMPUTED_VALUE"""),"Palmones")</f>
        <v>Palmones</v>
      </c>
      <c r="E2865" s="1" t="str">
        <f ca="1">IFERROR(__xludf.DUMMYFUNCTION("""COMPUTED_VALUE"""),"Manny hwag ka po nagbibitiw ng salitang d mo man npatunayan Born again k dapat ingat s pagbibintang.")</f>
        <v>Manny hwag ka po nagbibitiw ng salitang d mo man npatunayan Born again k dapat ingat s pagbibintang.</v>
      </c>
      <c r="F2865" s="1"/>
      <c r="G2865" s="1" t="str">
        <f ca="1">IFERROR(__xludf.DUMMYFUNCTION("""COMPUTED_VALUE"""),"3 mos")</f>
        <v>3 mos</v>
      </c>
      <c r="H2865" s="1" t="str">
        <f ca="1">IFERROR(__xludf.DUMMYFUNCTION("""COMPUTED_VALUE"""),"comment")</f>
        <v>comment</v>
      </c>
      <c r="I2865" s="2" t="str">
        <f ca="1">IFERROR(__xludf.DUMMYFUNCTION("""COMPUTED_VALUE"""),"https://www.facebook.com/rapplerdotcom/photos/a.317154781638645/5594453700575367/")</f>
        <v>https://www.facebook.com/rapplerdotcom/photos/a.317154781638645/5594453700575367/</v>
      </c>
      <c r="J2865" s="1" t="str">
        <f ca="1">IFERROR(__xludf.DUMMYFUNCTION("""COMPUTED_VALUE"""),"2022-07-04T15:53:36.545Z")</f>
        <v>2022-07-04T15:53:36.545Z</v>
      </c>
    </row>
    <row r="2866" spans="1:10" x14ac:dyDescent="0.2">
      <c r="A2866" s="2" t="str">
        <f ca="1">IFERROR(__xludf.DUMMYFUNCTION("""COMPUTED_VALUE"""),"https://www.facebook.com/ruel.padua.1")</f>
        <v>https://www.facebook.com/ruel.padua.1</v>
      </c>
      <c r="B2866" s="1" t="str">
        <f ca="1">IFERROR(__xludf.DUMMYFUNCTION("""COMPUTED_VALUE"""),"Whel Pads")</f>
        <v>Whel Pads</v>
      </c>
      <c r="C2866" s="1" t="str">
        <f ca="1">IFERROR(__xludf.DUMMYFUNCTION("""COMPUTED_VALUE"""),"Whel")</f>
        <v>Whel</v>
      </c>
      <c r="D2866" s="1" t="str">
        <f ca="1">IFERROR(__xludf.DUMMYFUNCTION("""COMPUTED_VALUE"""),"Pads")</f>
        <v>Pads</v>
      </c>
      <c r="E2866" s="1" t="str">
        <f ca="1">IFERROR(__xludf.DUMMYFUNCTION("""COMPUTED_VALUE"""),"Kanya kanyang Desisyon kong Cnu.gusto Kandidato ng mga tao.wag kang magdekta Manny...")</f>
        <v>Kanya kanyang Desisyon kong Cnu.gusto Kandidato ng mga tao.wag kang magdekta Manny...</v>
      </c>
      <c r="F2866" s="1">
        <f ca="1">IFERROR(__xludf.DUMMYFUNCTION("""COMPUTED_VALUE"""),7)</f>
        <v>7</v>
      </c>
      <c r="G2866" s="1" t="str">
        <f ca="1">IFERROR(__xludf.DUMMYFUNCTION("""COMPUTED_VALUE"""),"3 mos")</f>
        <v>3 mos</v>
      </c>
      <c r="H2866" s="1" t="str">
        <f ca="1">IFERROR(__xludf.DUMMYFUNCTION("""COMPUTED_VALUE"""),"comment")</f>
        <v>comment</v>
      </c>
      <c r="I2866" s="2" t="str">
        <f ca="1">IFERROR(__xludf.DUMMYFUNCTION("""COMPUTED_VALUE"""),"https://www.facebook.com/rapplerdotcom/photos/a.317154781638645/5594453700575367/")</f>
        <v>https://www.facebook.com/rapplerdotcom/photos/a.317154781638645/5594453700575367/</v>
      </c>
      <c r="J2866" s="1" t="str">
        <f ca="1">IFERROR(__xludf.DUMMYFUNCTION("""COMPUTED_VALUE"""),"2022-07-04T15:53:36.545Z")</f>
        <v>2022-07-04T15:53:36.545Z</v>
      </c>
    </row>
    <row r="2867" spans="1:10" x14ac:dyDescent="0.2">
      <c r="A2867" s="2" t="str">
        <f ca="1">IFERROR(__xludf.DUMMYFUNCTION("""COMPUTED_VALUE"""),"https://www.facebook.com/melbie.carpentero.7")</f>
        <v>https://www.facebook.com/melbie.carpentero.7</v>
      </c>
      <c r="B2867" s="1" t="str">
        <f ca="1">IFERROR(__xludf.DUMMYFUNCTION("""COMPUTED_VALUE"""),"Melbie Carpentero")</f>
        <v>Melbie Carpentero</v>
      </c>
      <c r="C2867" s="1" t="str">
        <f ca="1">IFERROR(__xludf.DUMMYFUNCTION("""COMPUTED_VALUE"""),"Melbie")</f>
        <v>Melbie</v>
      </c>
      <c r="D2867" s="1" t="str">
        <f ca="1">IFERROR(__xludf.DUMMYFUNCTION("""COMPUTED_VALUE"""),"Carpentero")</f>
        <v>Carpentero</v>
      </c>
      <c r="E2867" s="1" t="str">
        <f ca="1">IFERROR(__xludf.DUMMYFUNCTION("""COMPUTED_VALUE"""),"Whel Pads Hindi kanaman hinikayat niya sa kanya ang boto.mo sinabi lang niya ang to too.satulad mo magisip isip kana .Kong nagbayad ba ng buwis ang iboboto mo.")</f>
        <v>Whel Pads Hindi kanaman hinikayat niya sa kanya ang boto.mo sinabi lang niya ang to too.satulad mo magisip isip kana .Kong nagbayad ba ng buwis ang iboboto mo.</v>
      </c>
      <c r="F2867" s="1"/>
      <c r="G2867" s="1" t="str">
        <f ca="1">IFERROR(__xludf.DUMMYFUNCTION("""COMPUTED_VALUE"""),"3 mos")</f>
        <v>3 mos</v>
      </c>
      <c r="H2867" s="1" t="str">
        <f ca="1">IFERROR(__xludf.DUMMYFUNCTION("""COMPUTED_VALUE"""),"reply")</f>
        <v>reply</v>
      </c>
      <c r="I2867" s="2" t="str">
        <f ca="1">IFERROR(__xludf.DUMMYFUNCTION("""COMPUTED_VALUE"""),"https://www.facebook.com/rapplerdotcom/photos/a.317154781638645/5594453700575367/")</f>
        <v>https://www.facebook.com/rapplerdotcom/photos/a.317154781638645/5594453700575367/</v>
      </c>
      <c r="J2867" s="1" t="str">
        <f ca="1">IFERROR(__xludf.DUMMYFUNCTION("""COMPUTED_VALUE"""),"2022-07-04T15:53:36.545Z")</f>
        <v>2022-07-04T15:53:36.545Z</v>
      </c>
    </row>
    <row r="2868" spans="1:10" x14ac:dyDescent="0.2">
      <c r="A2868" s="2" t="str">
        <f ca="1">IFERROR(__xludf.DUMMYFUNCTION("""COMPUTED_VALUE"""),"https://www.facebook.com/val.canonigo.5")</f>
        <v>https://www.facebook.com/val.canonigo.5</v>
      </c>
      <c r="B2868" s="1" t="str">
        <f ca="1">IFERROR(__xludf.DUMMYFUNCTION("""COMPUTED_VALUE"""),"Val Canonigo")</f>
        <v>Val Canonigo</v>
      </c>
      <c r="C2868" s="1" t="str">
        <f ca="1">IFERROR(__xludf.DUMMYFUNCTION("""COMPUTED_VALUE"""),"Val")</f>
        <v>Val</v>
      </c>
      <c r="D2868" s="1" t="str">
        <f ca="1">IFERROR(__xludf.DUMMYFUNCTION("""COMPUTED_VALUE"""),"Canonigo")</f>
        <v>Canonigo</v>
      </c>
      <c r="E2868" s="1" t="str">
        <f ca="1">IFERROR(__xludf.DUMMYFUNCTION("""COMPUTED_VALUE"""),"Pag ikaw manny ang ibuboto ko,para na rin pinatay ko ang kinabukasan ng mga anak ko,hindiko pwede ipagkatiwala sayo ang boto ko,dahil mahina ang pagkakaturnilyo ng utak mo.")</f>
        <v>Pag ikaw manny ang ibuboto ko,para na rin pinatay ko ang kinabukasan ng mga anak ko,hindiko pwede ipagkatiwala sayo ang boto ko,dahil mahina ang pagkakaturnilyo ng utak mo.</v>
      </c>
      <c r="F2868" s="1"/>
      <c r="G2868" s="1" t="str">
        <f ca="1">IFERROR(__xludf.DUMMYFUNCTION("""COMPUTED_VALUE"""),"3 mos")</f>
        <v>3 mos</v>
      </c>
      <c r="H2868" s="1" t="str">
        <f ca="1">IFERROR(__xludf.DUMMYFUNCTION("""COMPUTED_VALUE"""),"comment")</f>
        <v>comment</v>
      </c>
      <c r="I2868" s="2" t="str">
        <f ca="1">IFERROR(__xludf.DUMMYFUNCTION("""COMPUTED_VALUE"""),"https://www.facebook.com/rapplerdotcom/photos/a.317154781638645/5594453700575367/")</f>
        <v>https://www.facebook.com/rapplerdotcom/photos/a.317154781638645/5594453700575367/</v>
      </c>
      <c r="J2868" s="1" t="str">
        <f ca="1">IFERROR(__xludf.DUMMYFUNCTION("""COMPUTED_VALUE"""),"2022-07-04T15:53:36.546Z")</f>
        <v>2022-07-04T15:53:36.546Z</v>
      </c>
    </row>
    <row r="2869" spans="1:10" x14ac:dyDescent="0.2">
      <c r="A2869" s="2" t="str">
        <f ca="1">IFERROR(__xludf.DUMMYFUNCTION("""COMPUTED_VALUE"""),"https://www.facebook.com/luz.c.austria")</f>
        <v>https://www.facebook.com/luz.c.austria</v>
      </c>
      <c r="B2869" s="1" t="str">
        <f ca="1">IFERROR(__xludf.DUMMYFUNCTION("""COMPUTED_VALUE"""),"Luz Clutario Austria")</f>
        <v>Luz Clutario Austria</v>
      </c>
      <c r="C2869" s="1" t="str">
        <f ca="1">IFERROR(__xludf.DUMMYFUNCTION("""COMPUTED_VALUE"""),"Luz")</f>
        <v>Luz</v>
      </c>
      <c r="D2869" s="1" t="str">
        <f ca="1">IFERROR(__xludf.DUMMYFUNCTION("""COMPUTED_VALUE"""),"Clutario Austria")</f>
        <v>Clutario Austria</v>
      </c>
      <c r="E2869" s="1" t="str">
        <f ca="1">IFERROR(__xludf.DUMMYFUNCTION("""COMPUTED_VALUE"""),"May isip kmi di kami  dapat diktahan .kmi ay msy sariling desisyon")</f>
        <v>May isip kmi di kami  dapat diktahan .kmi ay msy sariling desisyon</v>
      </c>
      <c r="F2869" s="1">
        <f ca="1">IFERROR(__xludf.DUMMYFUNCTION("""COMPUTED_VALUE"""),14)</f>
        <v>14</v>
      </c>
      <c r="G2869" s="1" t="str">
        <f ca="1">IFERROR(__xludf.DUMMYFUNCTION("""COMPUTED_VALUE"""),"3 mos")</f>
        <v>3 mos</v>
      </c>
      <c r="H2869" s="1" t="str">
        <f ca="1">IFERROR(__xludf.DUMMYFUNCTION("""COMPUTED_VALUE"""),"comment")</f>
        <v>comment</v>
      </c>
      <c r="I2869" s="2" t="str">
        <f ca="1">IFERROR(__xludf.DUMMYFUNCTION("""COMPUTED_VALUE"""),"https://www.facebook.com/rapplerdotcom/photos/a.317154781638645/5594453700575367/")</f>
        <v>https://www.facebook.com/rapplerdotcom/photos/a.317154781638645/5594453700575367/</v>
      </c>
      <c r="J2869" s="1" t="str">
        <f ca="1">IFERROR(__xludf.DUMMYFUNCTION("""COMPUTED_VALUE"""),"2022-07-04T15:53:36.546Z")</f>
        <v>2022-07-04T15:53:36.546Z</v>
      </c>
    </row>
    <row r="2870" spans="1:10" x14ac:dyDescent="0.2">
      <c r="A2870" s="2" t="str">
        <f ca="1">IFERROR(__xludf.DUMMYFUNCTION("""COMPUTED_VALUE"""),"https://www.facebook.com/estelita.ambatacaluste")</f>
        <v>https://www.facebook.com/estelita.ambatacaluste</v>
      </c>
      <c r="B2870" s="1" t="str">
        <f ca="1">IFERROR(__xludf.DUMMYFUNCTION("""COMPUTED_VALUE"""),"Estelita Ambata-Caluste")</f>
        <v>Estelita Ambata-Caluste</v>
      </c>
      <c r="C2870" s="1" t="str">
        <f ca="1">IFERROR(__xludf.DUMMYFUNCTION("""COMPUTED_VALUE"""),"Estelita")</f>
        <v>Estelita</v>
      </c>
      <c r="D2870" s="1" t="str">
        <f ca="1">IFERROR(__xludf.DUMMYFUNCTION("""COMPUTED_VALUE"""),"Ambata-Caluste")</f>
        <v>Ambata-Caluste</v>
      </c>
      <c r="E2870" s="1" t="str">
        <f ca="1">IFERROR(__xludf.DUMMYFUNCTION("""COMPUTED_VALUE"""),"Luz Clutario Austria isip sarado naman")</f>
        <v>Luz Clutario Austria isip sarado naman</v>
      </c>
      <c r="F2870" s="1">
        <f ca="1">IFERROR(__xludf.DUMMYFUNCTION("""COMPUTED_VALUE"""),16)</f>
        <v>16</v>
      </c>
      <c r="G2870" s="1" t="str">
        <f ca="1">IFERROR(__xludf.DUMMYFUNCTION("""COMPUTED_VALUE"""),"3 mos")</f>
        <v>3 mos</v>
      </c>
      <c r="H2870" s="1" t="str">
        <f ca="1">IFERROR(__xludf.DUMMYFUNCTION("""COMPUTED_VALUE"""),"reply")</f>
        <v>reply</v>
      </c>
      <c r="I2870" s="2" t="str">
        <f ca="1">IFERROR(__xludf.DUMMYFUNCTION("""COMPUTED_VALUE"""),"https://www.facebook.com/rapplerdotcom/photos/a.317154781638645/5594453700575367/")</f>
        <v>https://www.facebook.com/rapplerdotcom/photos/a.317154781638645/5594453700575367/</v>
      </c>
      <c r="J2870" s="1" t="str">
        <f ca="1">IFERROR(__xludf.DUMMYFUNCTION("""COMPUTED_VALUE"""),"2022-07-04T15:53:36.546Z")</f>
        <v>2022-07-04T15:53:36.546Z</v>
      </c>
    </row>
    <row r="2871" spans="1:10" x14ac:dyDescent="0.2">
      <c r="A2871" s="2" t="str">
        <f ca="1">IFERROR(__xludf.DUMMYFUNCTION("""COMPUTED_VALUE"""),"https://www.facebook.com/alfredofabro.boking")</f>
        <v>https://www.facebook.com/alfredofabro.boking</v>
      </c>
      <c r="B2871" s="1" t="str">
        <f ca="1">IFERROR(__xludf.DUMMYFUNCTION("""COMPUTED_VALUE"""),"Alfredo Fabro Boking")</f>
        <v>Alfredo Fabro Boking</v>
      </c>
      <c r="C2871" s="1" t="str">
        <f ca="1">IFERROR(__xludf.DUMMYFUNCTION("""COMPUTED_VALUE"""),"Alfredo")</f>
        <v>Alfredo</v>
      </c>
      <c r="D2871" s="1" t="str">
        <f ca="1">IFERROR(__xludf.DUMMYFUNCTION("""COMPUTED_VALUE"""),"Fabro Boking")</f>
        <v>Fabro Boking</v>
      </c>
      <c r="E2871" s="1" t="str">
        <f ca="1">IFERROR(__xludf.DUMMYFUNCTION("""COMPUTED_VALUE"""),"Estelita Ambata-Caluste sigurado ka ba??")</f>
        <v>Estelita Ambata-Caluste sigurado ka ba??</v>
      </c>
      <c r="F2871" s="1">
        <f ca="1">IFERROR(__xludf.DUMMYFUNCTION("""COMPUTED_VALUE"""),2)</f>
        <v>2</v>
      </c>
      <c r="G2871" s="1" t="str">
        <f ca="1">IFERROR(__xludf.DUMMYFUNCTION("""COMPUTED_VALUE"""),"3 mos")</f>
        <v>3 mos</v>
      </c>
      <c r="H2871" s="1" t="str">
        <f ca="1">IFERROR(__xludf.DUMMYFUNCTION("""COMPUTED_VALUE"""),"reply")</f>
        <v>reply</v>
      </c>
      <c r="I2871" s="2" t="str">
        <f ca="1">IFERROR(__xludf.DUMMYFUNCTION("""COMPUTED_VALUE"""),"https://www.facebook.com/rapplerdotcom/photos/a.317154781638645/5594453700575367/")</f>
        <v>https://www.facebook.com/rapplerdotcom/photos/a.317154781638645/5594453700575367/</v>
      </c>
      <c r="J2871" s="1" t="str">
        <f ca="1">IFERROR(__xludf.DUMMYFUNCTION("""COMPUTED_VALUE"""),"2022-07-04T15:53:36.546Z")</f>
        <v>2022-07-04T15:53:36.546Z</v>
      </c>
    </row>
    <row r="2872" spans="1:10" x14ac:dyDescent="0.2">
      <c r="A2872" s="2" t="str">
        <f ca="1">IFERROR(__xludf.DUMMYFUNCTION("""COMPUTED_VALUE"""),"https://www.facebook.com/luz.c.austria")</f>
        <v>https://www.facebook.com/luz.c.austria</v>
      </c>
      <c r="B2872" s="1" t="str">
        <f ca="1">IFERROR(__xludf.DUMMYFUNCTION("""COMPUTED_VALUE"""),"Luz Clutario Austria")</f>
        <v>Luz Clutario Austria</v>
      </c>
      <c r="C2872" s="1" t="str">
        <f ca="1">IFERROR(__xludf.DUMMYFUNCTION("""COMPUTED_VALUE"""),"Luz")</f>
        <v>Luz</v>
      </c>
      <c r="D2872" s="1" t="str">
        <f ca="1">IFERROR(__xludf.DUMMYFUNCTION("""COMPUTED_VALUE"""),"Clutario Austria")</f>
        <v>Clutario Austria</v>
      </c>
      <c r="E2872" s="1" t="str">
        <f ca="1">IFERROR(__xludf.DUMMYFUNCTION("""COMPUTED_VALUE"""),"Alfredo Fabro Boking yes")</f>
        <v>Alfredo Fabro Boking yes</v>
      </c>
      <c r="F2872" s="1"/>
      <c r="G2872" s="1" t="str">
        <f ca="1">IFERROR(__xludf.DUMMYFUNCTION("""COMPUTED_VALUE"""),"3 mos")</f>
        <v>3 mos</v>
      </c>
      <c r="H2872" s="1" t="str">
        <f ca="1">IFERROR(__xludf.DUMMYFUNCTION("""COMPUTED_VALUE"""),"reply")</f>
        <v>reply</v>
      </c>
      <c r="I2872" s="2" t="str">
        <f ca="1">IFERROR(__xludf.DUMMYFUNCTION("""COMPUTED_VALUE"""),"https://www.facebook.com/rapplerdotcom/photos/a.317154781638645/5594453700575367/")</f>
        <v>https://www.facebook.com/rapplerdotcom/photos/a.317154781638645/5594453700575367/</v>
      </c>
      <c r="J2872" s="1" t="str">
        <f ca="1">IFERROR(__xludf.DUMMYFUNCTION("""COMPUTED_VALUE"""),"2022-07-04T15:53:36.546Z")</f>
        <v>2022-07-04T15:53:36.546Z</v>
      </c>
    </row>
    <row r="2873" spans="1:10" x14ac:dyDescent="0.2">
      <c r="A2873" s="2" t="str">
        <f ca="1">IFERROR(__xludf.DUMMYFUNCTION("""COMPUTED_VALUE"""),"https://www.facebook.com/esmeraldo.go")</f>
        <v>https://www.facebook.com/esmeraldo.go</v>
      </c>
      <c r="B2873" s="1" t="str">
        <f ca="1">IFERROR(__xludf.DUMMYFUNCTION("""COMPUTED_VALUE"""),"Esmeraldo Moraca Go")</f>
        <v>Esmeraldo Moraca Go</v>
      </c>
      <c r="C2873" s="1" t="str">
        <f ca="1">IFERROR(__xludf.DUMMYFUNCTION("""COMPUTED_VALUE"""),"Esmeraldo")</f>
        <v>Esmeraldo</v>
      </c>
      <c r="D2873" s="1" t="str">
        <f ca="1">IFERROR(__xludf.DUMMYFUNCTION("""COMPUTED_VALUE"""),"Moraca Go")</f>
        <v>Moraca Go</v>
      </c>
      <c r="E2873" s="1" t="str">
        <f ca="1">IFERROR(__xludf.DUMMYFUNCTION("""COMPUTED_VALUE"""),"Estelita Ambata-Caluste lutang din pag iisip nito 🤣🤣🤣")</f>
        <v>Estelita Ambata-Caluste lutang din pag iisip nito 🤣🤣🤣</v>
      </c>
      <c r="F2873" s="1">
        <f ca="1">IFERROR(__xludf.DUMMYFUNCTION("""COMPUTED_VALUE"""),1)</f>
        <v>1</v>
      </c>
      <c r="G2873" s="1" t="str">
        <f ca="1">IFERROR(__xludf.DUMMYFUNCTION("""COMPUTED_VALUE"""),"3 mos")</f>
        <v>3 mos</v>
      </c>
      <c r="H2873" s="1" t="str">
        <f ca="1">IFERROR(__xludf.DUMMYFUNCTION("""COMPUTED_VALUE"""),"reply")</f>
        <v>reply</v>
      </c>
      <c r="I2873" s="2" t="str">
        <f ca="1">IFERROR(__xludf.DUMMYFUNCTION("""COMPUTED_VALUE"""),"https://www.facebook.com/rapplerdotcom/photos/a.317154781638645/5594453700575367/")</f>
        <v>https://www.facebook.com/rapplerdotcom/photos/a.317154781638645/5594453700575367/</v>
      </c>
      <c r="J2873" s="1" t="str">
        <f ca="1">IFERROR(__xludf.DUMMYFUNCTION("""COMPUTED_VALUE"""),"2022-07-04T15:53:36.546Z")</f>
        <v>2022-07-04T15:53:36.546Z</v>
      </c>
    </row>
    <row r="2874" spans="1:10" x14ac:dyDescent="0.2">
      <c r="A2874" s="2" t="str">
        <f ca="1">IFERROR(__xludf.DUMMYFUNCTION("""COMPUTED_VALUE"""),"https://www.facebook.com/jude.romero.14")</f>
        <v>https://www.facebook.com/jude.romero.14</v>
      </c>
      <c r="B2874" s="1" t="str">
        <f ca="1">IFERROR(__xludf.DUMMYFUNCTION("""COMPUTED_VALUE"""),"Jude Romero")</f>
        <v>Jude Romero</v>
      </c>
      <c r="C2874" s="1" t="str">
        <f ca="1">IFERROR(__xludf.DUMMYFUNCTION("""COMPUTED_VALUE"""),"Jude")</f>
        <v>Jude</v>
      </c>
      <c r="D2874" s="1" t="str">
        <f ca="1">IFERROR(__xludf.DUMMYFUNCTION("""COMPUTED_VALUE"""),"Romero")</f>
        <v>Romero</v>
      </c>
      <c r="E2874" s="1" t="str">
        <f ca="1">IFERROR(__xludf.DUMMYFUNCTION("""COMPUTED_VALUE"""),"Estelita Ambata-Caluste kakampon")</f>
        <v>Estelita Ambata-Caluste kakampon</v>
      </c>
      <c r="F2874" s="1"/>
      <c r="G2874" s="1" t="str">
        <f ca="1">IFERROR(__xludf.DUMMYFUNCTION("""COMPUTED_VALUE"""),"3 mos")</f>
        <v>3 mos</v>
      </c>
      <c r="H2874" s="1" t="str">
        <f ca="1">IFERROR(__xludf.DUMMYFUNCTION("""COMPUTED_VALUE"""),"reply")</f>
        <v>reply</v>
      </c>
      <c r="I2874" s="2" t="str">
        <f ca="1">IFERROR(__xludf.DUMMYFUNCTION("""COMPUTED_VALUE"""),"https://www.facebook.com/rapplerdotcom/photos/a.317154781638645/5594453700575367/")</f>
        <v>https://www.facebook.com/rapplerdotcom/photos/a.317154781638645/5594453700575367/</v>
      </c>
      <c r="J2874" s="1" t="str">
        <f ca="1">IFERROR(__xludf.DUMMYFUNCTION("""COMPUTED_VALUE"""),"2022-07-04T15:53:36.546Z")</f>
        <v>2022-07-04T15:53:36.546Z</v>
      </c>
    </row>
    <row r="2875" spans="1:10" x14ac:dyDescent="0.2">
      <c r="A2875" s="2" t="str">
        <f ca="1">IFERROR(__xludf.DUMMYFUNCTION("""COMPUTED_VALUE"""),"https://www.facebook.com/darylalmighty")</f>
        <v>https://www.facebook.com/darylalmighty</v>
      </c>
      <c r="B2875" s="1" t="str">
        <f ca="1">IFERROR(__xludf.DUMMYFUNCTION("""COMPUTED_VALUE"""),"Daryl De Castro")</f>
        <v>Daryl De Castro</v>
      </c>
      <c r="C2875" s="1" t="str">
        <f ca="1">IFERROR(__xludf.DUMMYFUNCTION("""COMPUTED_VALUE"""),"Daryl")</f>
        <v>Daryl</v>
      </c>
      <c r="D2875" s="1" t="str">
        <f ca="1">IFERROR(__xludf.DUMMYFUNCTION("""COMPUTED_VALUE"""),"De Castro")</f>
        <v>De Castro</v>
      </c>
      <c r="E2875" s="1" t="str">
        <f ca="1">IFERROR(__xludf.DUMMYFUNCTION("""COMPUTED_VALUE"""),"Luz Clutario Austria Kahit mag nanakaw boboto mo? 😂")</f>
        <v>Luz Clutario Austria Kahit mag nanakaw boboto mo? 😂</v>
      </c>
      <c r="F2875" s="1">
        <f ca="1">IFERROR(__xludf.DUMMYFUNCTION("""COMPUTED_VALUE"""),1)</f>
        <v>1</v>
      </c>
      <c r="G2875" s="1" t="str">
        <f ca="1">IFERROR(__xludf.DUMMYFUNCTION("""COMPUTED_VALUE"""),"3 mos")</f>
        <v>3 mos</v>
      </c>
      <c r="H2875" s="1" t="str">
        <f ca="1">IFERROR(__xludf.DUMMYFUNCTION("""COMPUTED_VALUE"""),"reply")</f>
        <v>reply</v>
      </c>
      <c r="I2875" s="2" t="str">
        <f ca="1">IFERROR(__xludf.DUMMYFUNCTION("""COMPUTED_VALUE"""),"https://www.facebook.com/rapplerdotcom/photos/a.317154781638645/5594453700575367/")</f>
        <v>https://www.facebook.com/rapplerdotcom/photos/a.317154781638645/5594453700575367/</v>
      </c>
      <c r="J2875" s="1" t="str">
        <f ca="1">IFERROR(__xludf.DUMMYFUNCTION("""COMPUTED_VALUE"""),"2022-07-04T15:53:36.546Z")</f>
        <v>2022-07-04T15:53:36.546Z</v>
      </c>
    </row>
    <row r="2876" spans="1:10" x14ac:dyDescent="0.2">
      <c r="A2876" s="2" t="str">
        <f ca="1">IFERROR(__xludf.DUMMYFUNCTION("""COMPUTED_VALUE"""),"https://www.facebook.com/melbie.carpentero.7")</f>
        <v>https://www.facebook.com/melbie.carpentero.7</v>
      </c>
      <c r="B2876" s="1" t="str">
        <f ca="1">IFERROR(__xludf.DUMMYFUNCTION("""COMPUTED_VALUE"""),"Melbie Carpentero")</f>
        <v>Melbie Carpentero</v>
      </c>
      <c r="C2876" s="1" t="str">
        <f ca="1">IFERROR(__xludf.DUMMYFUNCTION("""COMPUTED_VALUE"""),"Melbie")</f>
        <v>Melbie</v>
      </c>
      <c r="D2876" s="1" t="str">
        <f ca="1">IFERROR(__xludf.DUMMYFUNCTION("""COMPUTED_VALUE"""),"Carpentero")</f>
        <v>Carpentero</v>
      </c>
      <c r="E2876" s="1" t="str">
        <f ca="1">IFERROR(__xludf.DUMMYFUNCTION("""COMPUTED_VALUE"""),"Luz Clutario Austria bkit parabg galit k at a Hindi kanaman pinangalanan ni Mani sinabi lng niya ang totoo.")</f>
        <v>Luz Clutario Austria bkit parabg galit k at a Hindi kanaman pinangalanan ni Mani sinabi lng niya ang totoo.</v>
      </c>
      <c r="F2876" s="1"/>
      <c r="G2876" s="1" t="str">
        <f ca="1">IFERROR(__xludf.DUMMYFUNCTION("""COMPUTED_VALUE"""),"3 mos")</f>
        <v>3 mos</v>
      </c>
      <c r="H2876" s="1" t="str">
        <f ca="1">IFERROR(__xludf.DUMMYFUNCTION("""COMPUTED_VALUE"""),"reply")</f>
        <v>reply</v>
      </c>
      <c r="I2876" s="2" t="str">
        <f ca="1">IFERROR(__xludf.DUMMYFUNCTION("""COMPUTED_VALUE"""),"https://www.facebook.com/rapplerdotcom/photos/a.317154781638645/5594453700575367/")</f>
        <v>https://www.facebook.com/rapplerdotcom/photos/a.317154781638645/5594453700575367/</v>
      </c>
      <c r="J2876" s="1" t="str">
        <f ca="1">IFERROR(__xludf.DUMMYFUNCTION("""COMPUTED_VALUE"""),"2022-07-04T15:53:36.546Z")</f>
        <v>2022-07-04T15:53:36.546Z</v>
      </c>
    </row>
    <row r="2877" spans="1:10" x14ac:dyDescent="0.2">
      <c r="A2877" s="2" t="str">
        <f ca="1">IFERROR(__xludf.DUMMYFUNCTION("""COMPUTED_VALUE"""),"https://www.facebook.com/profile.php?id=100076416052093")</f>
        <v>https://www.facebook.com/profile.php?id=100076416052093</v>
      </c>
      <c r="B2877" s="1" t="str">
        <f ca="1">IFERROR(__xludf.DUMMYFUNCTION("""COMPUTED_VALUE"""),"Saberin Tato")</f>
        <v>Saberin Tato</v>
      </c>
      <c r="C2877" s="1" t="str">
        <f ca="1">IFERROR(__xludf.DUMMYFUNCTION("""COMPUTED_VALUE"""),"Saberin")</f>
        <v>Saberin</v>
      </c>
      <c r="D2877" s="1" t="str">
        <f ca="1">IFERROR(__xludf.DUMMYFUNCTION("""COMPUTED_VALUE"""),"Tato")</f>
        <v>Tato</v>
      </c>
      <c r="E2877" s="1" t="str">
        <f ca="1">IFERROR(__xludf.DUMMYFUNCTION("""COMPUTED_VALUE"""),"Tumigil na kayo sa bangayan nagkakagulo na ang buong mundo just be unite to protect our country against invaders.")</f>
        <v>Tumigil na kayo sa bangayan nagkakagulo na ang buong mundo just be unite to protect our country against invaders.</v>
      </c>
      <c r="F2877" s="1">
        <f ca="1">IFERROR(__xludf.DUMMYFUNCTION("""COMPUTED_VALUE"""),1)</f>
        <v>1</v>
      </c>
      <c r="G2877" s="1" t="str">
        <f ca="1">IFERROR(__xludf.DUMMYFUNCTION("""COMPUTED_VALUE"""),"3 mos")</f>
        <v>3 mos</v>
      </c>
      <c r="H2877" s="1" t="str">
        <f ca="1">IFERROR(__xludf.DUMMYFUNCTION("""COMPUTED_VALUE"""),"comment")</f>
        <v>comment</v>
      </c>
      <c r="I2877" s="2" t="str">
        <f ca="1">IFERROR(__xludf.DUMMYFUNCTION("""COMPUTED_VALUE"""),"https://www.facebook.com/rapplerdotcom/photos/a.317154781638645/5594453700575367/")</f>
        <v>https://www.facebook.com/rapplerdotcom/photos/a.317154781638645/5594453700575367/</v>
      </c>
      <c r="J2877" s="1" t="str">
        <f ca="1">IFERROR(__xludf.DUMMYFUNCTION("""COMPUTED_VALUE"""),"2022-07-04T15:53:36.546Z")</f>
        <v>2022-07-04T15:53:36.546Z</v>
      </c>
    </row>
    <row r="2878" spans="1:10" x14ac:dyDescent="0.2">
      <c r="A2878" s="2" t="str">
        <f ca="1">IFERROR(__xludf.DUMMYFUNCTION("""COMPUTED_VALUE"""),"https://www.facebook.com/eva.jimenez.39794895")</f>
        <v>https://www.facebook.com/eva.jimenez.39794895</v>
      </c>
      <c r="B2878" s="1" t="str">
        <f ca="1">IFERROR(__xludf.DUMMYFUNCTION("""COMPUTED_VALUE"""),"Eva Jimenez")</f>
        <v>Eva Jimenez</v>
      </c>
      <c r="C2878" s="1" t="str">
        <f ca="1">IFERROR(__xludf.DUMMYFUNCTION("""COMPUTED_VALUE"""),"Eva")</f>
        <v>Eva</v>
      </c>
      <c r="D2878" s="1" t="str">
        <f ca="1">IFERROR(__xludf.DUMMYFUNCTION("""COMPUTED_VALUE"""),"Jimenez")</f>
        <v>Jimenez</v>
      </c>
      <c r="E2878" s="1" t="str">
        <f ca="1">IFERROR(__xludf.DUMMYFUNCTION("""COMPUTED_VALUE"""),"Isa rin itong naninira ng kapwa. Love your enemies")</f>
        <v>Isa rin itong naninira ng kapwa. Love your enemies</v>
      </c>
      <c r="F2878" s="1">
        <f ca="1">IFERROR(__xludf.DUMMYFUNCTION("""COMPUTED_VALUE"""),1)</f>
        <v>1</v>
      </c>
      <c r="G2878" s="1" t="str">
        <f ca="1">IFERROR(__xludf.DUMMYFUNCTION("""COMPUTED_VALUE"""),"3 mos")</f>
        <v>3 mos</v>
      </c>
      <c r="H2878" s="1" t="str">
        <f ca="1">IFERROR(__xludf.DUMMYFUNCTION("""COMPUTED_VALUE"""),"comment")</f>
        <v>comment</v>
      </c>
      <c r="I2878" s="2" t="str">
        <f ca="1">IFERROR(__xludf.DUMMYFUNCTION("""COMPUTED_VALUE"""),"https://www.facebook.com/rapplerdotcom/photos/a.317154781638645/5594453700575367/")</f>
        <v>https://www.facebook.com/rapplerdotcom/photos/a.317154781638645/5594453700575367/</v>
      </c>
      <c r="J2878" s="1" t="str">
        <f ca="1">IFERROR(__xludf.DUMMYFUNCTION("""COMPUTED_VALUE"""),"2022-07-04T15:53:36.546Z")</f>
        <v>2022-07-04T15:53:36.546Z</v>
      </c>
    </row>
    <row r="2879" spans="1:10" x14ac:dyDescent="0.2">
      <c r="A2879" s="2" t="str">
        <f ca="1">IFERROR(__xludf.DUMMYFUNCTION("""COMPUTED_VALUE"""),"https://www.facebook.com/blesilda.santiago.7")</f>
        <v>https://www.facebook.com/blesilda.santiago.7</v>
      </c>
      <c r="B2879" s="1" t="str">
        <f ca="1">IFERROR(__xludf.DUMMYFUNCTION("""COMPUTED_VALUE"""),"Marble Mullis")</f>
        <v>Marble Mullis</v>
      </c>
      <c r="C2879" s="1" t="str">
        <f ca="1">IFERROR(__xludf.DUMMYFUNCTION("""COMPUTED_VALUE"""),"Marble")</f>
        <v>Marble</v>
      </c>
      <c r="D2879" s="1" t="str">
        <f ca="1">IFERROR(__xludf.DUMMYFUNCTION("""COMPUTED_VALUE"""),"Mullis")</f>
        <v>Mullis</v>
      </c>
      <c r="E2879" s="1" t="str">
        <f ca="1">IFERROR(__xludf.DUMMYFUNCTION("""COMPUTED_VALUE"""),"M mga kanya kanyang kandidato mga taonpabayaan new nalang cla")</f>
        <v>M mga kanya kanyang kandidato mga taonpabayaan new nalang cla</v>
      </c>
      <c r="F2879" s="1"/>
      <c r="G2879" s="1" t="str">
        <f ca="1">IFERROR(__xludf.DUMMYFUNCTION("""COMPUTED_VALUE"""),"3 mos")</f>
        <v>3 mos</v>
      </c>
      <c r="H2879" s="1" t="str">
        <f ca="1">IFERROR(__xludf.DUMMYFUNCTION("""COMPUTED_VALUE"""),"comment")</f>
        <v>comment</v>
      </c>
      <c r="I2879" s="2" t="str">
        <f ca="1">IFERROR(__xludf.DUMMYFUNCTION("""COMPUTED_VALUE"""),"https://www.facebook.com/rapplerdotcom/photos/a.317154781638645/5594453700575367/")</f>
        <v>https://www.facebook.com/rapplerdotcom/photos/a.317154781638645/5594453700575367/</v>
      </c>
      <c r="J2879" s="1" t="str">
        <f ca="1">IFERROR(__xludf.DUMMYFUNCTION("""COMPUTED_VALUE"""),"2022-07-04T15:53:36.546Z")</f>
        <v>2022-07-04T15:53:36.546Z</v>
      </c>
    </row>
    <row r="2880" spans="1:10" x14ac:dyDescent="0.2">
      <c r="A2880" s="2" t="str">
        <f ca="1">IFERROR(__xludf.DUMMYFUNCTION("""COMPUTED_VALUE"""),"https://www.facebook.com/enrico.valentin")</f>
        <v>https://www.facebook.com/enrico.valentin</v>
      </c>
      <c r="B2880" s="1" t="str">
        <f ca="1">IFERROR(__xludf.DUMMYFUNCTION("""COMPUTED_VALUE"""),"Enrico Valentin")</f>
        <v>Enrico Valentin</v>
      </c>
      <c r="C2880" s="1" t="str">
        <f ca="1">IFERROR(__xludf.DUMMYFUNCTION("""COMPUTED_VALUE"""),"Enrico")</f>
        <v>Enrico</v>
      </c>
      <c r="D2880" s="1" t="str">
        <f ca="1">IFERROR(__xludf.DUMMYFUNCTION("""COMPUTED_VALUE"""),"Valentin")</f>
        <v>Valentin</v>
      </c>
      <c r="E2880" s="1" t="str">
        <f ca="1">IFERROR(__xludf.DUMMYFUNCTION("""COMPUTED_VALUE"""),"Bulag at bingi na po sila....🤮🙄😥😥😥🙏🇵🇭🙏🇵🇭")</f>
        <v>Bulag at bingi na po sila....🤮🙄😥😥😥🙏🇵🇭🙏🇵🇭</v>
      </c>
      <c r="F2880" s="1"/>
      <c r="G2880" s="1" t="str">
        <f ca="1">IFERROR(__xludf.DUMMYFUNCTION("""COMPUTED_VALUE"""),"3 mos")</f>
        <v>3 mos</v>
      </c>
      <c r="H2880" s="1" t="str">
        <f ca="1">IFERROR(__xludf.DUMMYFUNCTION("""COMPUTED_VALUE"""),"comment")</f>
        <v>comment</v>
      </c>
      <c r="I2880" s="2" t="str">
        <f ca="1">IFERROR(__xludf.DUMMYFUNCTION("""COMPUTED_VALUE"""),"https://www.facebook.com/rapplerdotcom/photos/a.317154781638645/5594453700575367/")</f>
        <v>https://www.facebook.com/rapplerdotcom/photos/a.317154781638645/5594453700575367/</v>
      </c>
      <c r="J2880" s="1" t="str">
        <f ca="1">IFERROR(__xludf.DUMMYFUNCTION("""COMPUTED_VALUE"""),"2022-07-04T15:53:36.546Z")</f>
        <v>2022-07-04T15:53:36.546Z</v>
      </c>
    </row>
    <row r="2881" spans="1:10" x14ac:dyDescent="0.2">
      <c r="A2881" s="2" t="str">
        <f ca="1">IFERROR(__xludf.DUMMYFUNCTION("""COMPUTED_VALUE"""),"https://www.facebook.com/antonio.fortes.3150807")</f>
        <v>https://www.facebook.com/antonio.fortes.3150807</v>
      </c>
      <c r="B2881" s="1" t="str">
        <f ca="1">IFERROR(__xludf.DUMMYFUNCTION("""COMPUTED_VALUE"""),"Antonio Fortes")</f>
        <v>Antonio Fortes</v>
      </c>
      <c r="C2881" s="1" t="str">
        <f ca="1">IFERROR(__xludf.DUMMYFUNCTION("""COMPUTED_VALUE"""),"Antonio")</f>
        <v>Antonio</v>
      </c>
      <c r="D2881" s="1" t="str">
        <f ca="1">IFERROR(__xludf.DUMMYFUNCTION("""COMPUTED_VALUE"""),"Fortes")</f>
        <v>Fortes</v>
      </c>
      <c r="E2881" s="1" t="str">
        <f ca="1">IFERROR(__xludf.DUMMYFUNCTION("""COMPUTED_VALUE"""),"Gandang Umaga po sen' kau an mananalo pagka presidents* Ng PILIPINAS"" salamat po*09752648139")</f>
        <v>Gandang Umaga po sen' kau an mananalo pagka presidents* Ng PILIPINAS" salamat po*09752648139</v>
      </c>
      <c r="F2881" s="1"/>
      <c r="G2881" s="1" t="str">
        <f ca="1">IFERROR(__xludf.DUMMYFUNCTION("""COMPUTED_VALUE"""),"3 mos")</f>
        <v>3 mos</v>
      </c>
      <c r="H2881" s="1" t="str">
        <f ca="1">IFERROR(__xludf.DUMMYFUNCTION("""COMPUTED_VALUE"""),"comment")</f>
        <v>comment</v>
      </c>
      <c r="I2881" s="2" t="str">
        <f ca="1">IFERROR(__xludf.DUMMYFUNCTION("""COMPUTED_VALUE"""),"https://www.facebook.com/rapplerdotcom/photos/a.317154781638645/5594453700575367/")</f>
        <v>https://www.facebook.com/rapplerdotcom/photos/a.317154781638645/5594453700575367/</v>
      </c>
      <c r="J2881" s="1" t="str">
        <f ca="1">IFERROR(__xludf.DUMMYFUNCTION("""COMPUTED_VALUE"""),"2022-07-04T15:53:36.546Z")</f>
        <v>2022-07-04T15:53:36.546Z</v>
      </c>
    </row>
    <row r="2882" spans="1:10" x14ac:dyDescent="0.2">
      <c r="A2882" s="2" t="str">
        <f ca="1">IFERROR(__xludf.DUMMYFUNCTION("""COMPUTED_VALUE"""),"https://www.facebook.com/saturnino.m.zamora")</f>
        <v>https://www.facebook.com/saturnino.m.zamora</v>
      </c>
      <c r="B2882" s="1" t="str">
        <f ca="1">IFERROR(__xludf.DUMMYFUNCTION("""COMPUTED_VALUE"""),"Saturnino M. Zamora")</f>
        <v>Saturnino M. Zamora</v>
      </c>
      <c r="C2882" s="1" t="str">
        <f ca="1">IFERROR(__xludf.DUMMYFUNCTION("""COMPUTED_VALUE"""),"Saturnino")</f>
        <v>Saturnino</v>
      </c>
      <c r="D2882" s="1" t="str">
        <f ca="1">IFERROR(__xludf.DUMMYFUNCTION("""COMPUTED_VALUE"""),"M. Zamora")</f>
        <v>M. Zamora</v>
      </c>
      <c r="E2882" s="1" t="str">
        <f ca="1">IFERROR(__xludf.DUMMYFUNCTION("""COMPUTED_VALUE"""),"Agree Sen Paquiou wag ibuto mga corrupt mga letsi yan pahirap sa mamayan.")</f>
        <v>Agree Sen Paquiou wag ibuto mga corrupt mga letsi yan pahirap sa mamayan.</v>
      </c>
      <c r="F2882" s="1"/>
      <c r="G2882" s="1" t="str">
        <f ca="1">IFERROR(__xludf.DUMMYFUNCTION("""COMPUTED_VALUE"""),"3 mos")</f>
        <v>3 mos</v>
      </c>
      <c r="H2882" s="1" t="str">
        <f ca="1">IFERROR(__xludf.DUMMYFUNCTION("""COMPUTED_VALUE"""),"comment")</f>
        <v>comment</v>
      </c>
      <c r="I2882" s="2" t="str">
        <f ca="1">IFERROR(__xludf.DUMMYFUNCTION("""COMPUTED_VALUE"""),"https://www.facebook.com/rapplerdotcom/photos/a.317154781638645/5594453700575367/")</f>
        <v>https://www.facebook.com/rapplerdotcom/photos/a.317154781638645/5594453700575367/</v>
      </c>
      <c r="J2882" s="1" t="str">
        <f ca="1">IFERROR(__xludf.DUMMYFUNCTION("""COMPUTED_VALUE"""),"2022-07-04T15:53:36.546Z")</f>
        <v>2022-07-04T15:53:36.546Z</v>
      </c>
    </row>
    <row r="2883" spans="1:10" x14ac:dyDescent="0.2">
      <c r="A2883" s="2" t="str">
        <f ca="1">IFERROR(__xludf.DUMMYFUNCTION("""COMPUTED_VALUE"""),"https://www.facebook.com/teresita.gonzales.31337")</f>
        <v>https://www.facebook.com/teresita.gonzales.31337</v>
      </c>
      <c r="B2883" s="1" t="str">
        <f ca="1">IFERROR(__xludf.DUMMYFUNCTION("""COMPUTED_VALUE"""),"Teresita Gonzales")</f>
        <v>Teresita Gonzales</v>
      </c>
      <c r="C2883" s="1" t="str">
        <f ca="1">IFERROR(__xludf.DUMMYFUNCTION("""COMPUTED_VALUE"""),"Teresita")</f>
        <v>Teresita</v>
      </c>
      <c r="D2883" s="1" t="str">
        <f ca="1">IFERROR(__xludf.DUMMYFUNCTION("""COMPUTED_VALUE"""),"Gonzales")</f>
        <v>Gonzales</v>
      </c>
      <c r="E2883" s="1" t="str">
        <f ca="1">IFERROR(__xludf.DUMMYFUNCTION("""COMPUTED_VALUE"""),"Ambisioso sobra d makontento")</f>
        <v>Ambisioso sobra d makontento</v>
      </c>
      <c r="F2883" s="1">
        <f ca="1">IFERROR(__xludf.DUMMYFUNCTION("""COMPUTED_VALUE"""),5)</f>
        <v>5</v>
      </c>
      <c r="G2883" s="1" t="str">
        <f ca="1">IFERROR(__xludf.DUMMYFUNCTION("""COMPUTED_VALUE"""),"3 mos")</f>
        <v>3 mos</v>
      </c>
      <c r="H2883" s="1" t="str">
        <f ca="1">IFERROR(__xludf.DUMMYFUNCTION("""COMPUTED_VALUE"""),"comment")</f>
        <v>comment</v>
      </c>
      <c r="I2883" s="2" t="str">
        <f ca="1">IFERROR(__xludf.DUMMYFUNCTION("""COMPUTED_VALUE"""),"https://www.facebook.com/rapplerdotcom/photos/a.317154781638645/5594453700575367/")</f>
        <v>https://www.facebook.com/rapplerdotcom/photos/a.317154781638645/5594453700575367/</v>
      </c>
      <c r="J2883" s="1" t="str">
        <f ca="1">IFERROR(__xludf.DUMMYFUNCTION("""COMPUTED_VALUE"""),"2022-07-04T15:53:36.546Z")</f>
        <v>2022-07-04T15:53:36.546Z</v>
      </c>
    </row>
    <row r="2884" spans="1:10" x14ac:dyDescent="0.2">
      <c r="A2884" s="2" t="str">
        <f ca="1">IFERROR(__xludf.DUMMYFUNCTION("""COMPUTED_VALUE"""),"https://www.facebook.com/carmelita.panganiban.374")</f>
        <v>https://www.facebook.com/carmelita.panganiban.374</v>
      </c>
      <c r="B2884" s="1" t="str">
        <f ca="1">IFERROR(__xludf.DUMMYFUNCTION("""COMPUTED_VALUE"""),"Carmelita Panganiban")</f>
        <v>Carmelita Panganiban</v>
      </c>
      <c r="C2884" s="1" t="str">
        <f ca="1">IFERROR(__xludf.DUMMYFUNCTION("""COMPUTED_VALUE"""),"Carmelita")</f>
        <v>Carmelita</v>
      </c>
      <c r="D2884" s="1" t="str">
        <f ca="1">IFERROR(__xludf.DUMMYFUNCTION("""COMPUTED_VALUE"""),"Panganiban")</f>
        <v>Panganiban</v>
      </c>
      <c r="E2884" s="1" t="str">
        <f ca="1">IFERROR(__xludf.DUMMYFUNCTION("""COMPUTED_VALUE"""),"Well said Manny.! Dapat sabihan tlga ang mga botante. Nadadamay tyong lahat.")</f>
        <v>Well said Manny.! Dapat sabihan tlga ang mga botante. Nadadamay tyong lahat.</v>
      </c>
      <c r="F2884" s="1">
        <f ca="1">IFERROR(__xludf.DUMMYFUNCTION("""COMPUTED_VALUE"""),4)</f>
        <v>4</v>
      </c>
      <c r="G2884" s="1" t="str">
        <f ca="1">IFERROR(__xludf.DUMMYFUNCTION("""COMPUTED_VALUE"""),"3 mos")</f>
        <v>3 mos</v>
      </c>
      <c r="H2884" s="1" t="str">
        <f ca="1">IFERROR(__xludf.DUMMYFUNCTION("""COMPUTED_VALUE"""),"comment")</f>
        <v>comment</v>
      </c>
      <c r="I2884" s="2" t="str">
        <f ca="1">IFERROR(__xludf.DUMMYFUNCTION("""COMPUTED_VALUE"""),"https://www.facebook.com/rapplerdotcom/photos/a.317154781638645/5594453700575367/")</f>
        <v>https://www.facebook.com/rapplerdotcom/photos/a.317154781638645/5594453700575367/</v>
      </c>
      <c r="J2884" s="1" t="str">
        <f ca="1">IFERROR(__xludf.DUMMYFUNCTION("""COMPUTED_VALUE"""),"2022-07-04T15:53:36.546Z")</f>
        <v>2022-07-04T15:53:36.546Z</v>
      </c>
    </row>
    <row r="2885" spans="1:10" x14ac:dyDescent="0.2">
      <c r="A2885" s="2" t="str">
        <f ca="1">IFERROR(__xludf.DUMMYFUNCTION("""COMPUTED_VALUE"""),"https://www.facebook.com/mariateresa.camaddo")</f>
        <v>https://www.facebook.com/mariateresa.camaddo</v>
      </c>
      <c r="B2885" s="1" t="str">
        <f ca="1">IFERROR(__xludf.DUMMYFUNCTION("""COMPUTED_VALUE"""),"Matet Camaddo")</f>
        <v>Matet Camaddo</v>
      </c>
      <c r="C2885" s="1" t="str">
        <f ca="1">IFERROR(__xludf.DUMMYFUNCTION("""COMPUTED_VALUE"""),"Matet")</f>
        <v>Matet</v>
      </c>
      <c r="D2885" s="1" t="str">
        <f ca="1">IFERROR(__xludf.DUMMYFUNCTION("""COMPUTED_VALUE"""),"Camaddo")</f>
        <v>Camaddo</v>
      </c>
      <c r="E2885" s="1" t="str">
        <f ca="1">IFERROR(__xludf.DUMMYFUNCTION("""COMPUTED_VALUE"""),"kaya nga ayaw namin sau e para hindi kami mag sisi bandang huli puro kau bintang wala namang kau mapatunayan.")</f>
        <v>kaya nga ayaw namin sau e para hindi kami mag sisi bandang huli puro kau bintang wala namang kau mapatunayan.</v>
      </c>
      <c r="F2885" s="1">
        <f ca="1">IFERROR(__xludf.DUMMYFUNCTION("""COMPUTED_VALUE"""),3)</f>
        <v>3</v>
      </c>
      <c r="G2885" s="1" t="str">
        <f ca="1">IFERROR(__xludf.DUMMYFUNCTION("""COMPUTED_VALUE"""),"3 mos")</f>
        <v>3 mos</v>
      </c>
      <c r="H2885" s="1" t="str">
        <f ca="1">IFERROR(__xludf.DUMMYFUNCTION("""COMPUTED_VALUE"""),"comment")</f>
        <v>comment</v>
      </c>
      <c r="I2885" s="2" t="str">
        <f ca="1">IFERROR(__xludf.DUMMYFUNCTION("""COMPUTED_VALUE"""),"https://www.facebook.com/rapplerdotcom/photos/a.317154781638645/5594453700575367/")</f>
        <v>https://www.facebook.com/rapplerdotcom/photos/a.317154781638645/5594453700575367/</v>
      </c>
      <c r="J2885" s="1" t="str">
        <f ca="1">IFERROR(__xludf.DUMMYFUNCTION("""COMPUTED_VALUE"""),"2022-07-04T15:53:36.546Z")</f>
        <v>2022-07-04T15:53:36.546Z</v>
      </c>
    </row>
    <row r="2886" spans="1:10" x14ac:dyDescent="0.2">
      <c r="A2886" s="2" t="str">
        <f ca="1">IFERROR(__xludf.DUMMYFUNCTION("""COMPUTED_VALUE"""),"https://www.facebook.com/narciso.santos.980967")</f>
        <v>https://www.facebook.com/narciso.santos.980967</v>
      </c>
      <c r="B2886" s="1" t="str">
        <f ca="1">IFERROR(__xludf.DUMMYFUNCTION("""COMPUTED_VALUE"""),"Narciso Santos")</f>
        <v>Narciso Santos</v>
      </c>
      <c r="C2886" s="1" t="str">
        <f ca="1">IFERROR(__xludf.DUMMYFUNCTION("""COMPUTED_VALUE"""),"Narciso")</f>
        <v>Narciso</v>
      </c>
      <c r="D2886" s="1" t="str">
        <f ca="1">IFERROR(__xludf.DUMMYFUNCTION("""COMPUTED_VALUE"""),"Santos")</f>
        <v>Santos</v>
      </c>
      <c r="E2886" s="1" t="str">
        <f ca="1">IFERROR(__xludf.DUMMYFUNCTION("""COMPUTED_VALUE"""),"Bastos.")</f>
        <v>Bastos.</v>
      </c>
      <c r="F2886" s="1"/>
      <c r="G2886" s="1" t="str">
        <f ca="1">IFERROR(__xludf.DUMMYFUNCTION("""COMPUTED_VALUE"""),"3 mos")</f>
        <v>3 mos</v>
      </c>
      <c r="H2886" s="1" t="str">
        <f ca="1">IFERROR(__xludf.DUMMYFUNCTION("""COMPUTED_VALUE"""),"comment")</f>
        <v>comment</v>
      </c>
      <c r="I2886" s="2" t="str">
        <f ca="1">IFERROR(__xludf.DUMMYFUNCTION("""COMPUTED_VALUE"""),"https://www.facebook.com/rapplerdotcom/photos/a.317154781638645/5594453700575367/")</f>
        <v>https://www.facebook.com/rapplerdotcom/photos/a.317154781638645/5594453700575367/</v>
      </c>
      <c r="J2886" s="1" t="str">
        <f ca="1">IFERROR(__xludf.DUMMYFUNCTION("""COMPUTED_VALUE"""),"2022-07-04T15:53:36.546Z")</f>
        <v>2022-07-04T15:53:36.546Z</v>
      </c>
    </row>
    <row r="2887" spans="1:10" x14ac:dyDescent="0.2">
      <c r="A2887" s="2" t="str">
        <f ca="1">IFERROR(__xludf.DUMMYFUNCTION("""COMPUTED_VALUE"""),"https://www.facebook.com/soledad.mariano.336")</f>
        <v>https://www.facebook.com/soledad.mariano.336</v>
      </c>
      <c r="B2887" s="1" t="str">
        <f ca="1">IFERROR(__xludf.DUMMYFUNCTION("""COMPUTED_VALUE"""),"Soledad Mariano")</f>
        <v>Soledad Mariano</v>
      </c>
      <c r="C2887" s="1" t="str">
        <f ca="1">IFERROR(__xludf.DUMMYFUNCTION("""COMPUTED_VALUE"""),"Soledad")</f>
        <v>Soledad</v>
      </c>
      <c r="D2887" s="1" t="str">
        <f ca="1">IFERROR(__xludf.DUMMYFUNCTION("""COMPUTED_VALUE"""),"Mariano")</f>
        <v>Mariano</v>
      </c>
      <c r="E2887" s="1" t="str">
        <f ca="1">IFERROR(__xludf.DUMMYFUNCTION("""COMPUTED_VALUE"""),"Kung sino ang mananalo sa eleksyon un ang tinalaga ng Diyos na maging leader ng bansang pilipinas kung kaya ang dapat nating gawin pag pray na lng natin sya na pangunahan sya ng Diyos sa kanyang mga hakba ng  sabi sa salita ng Diyos sa kawikaan ang Diyos "&amp;"ang nagpaplano ang Tao  ang nagsasagawa ✨😘🙏❤️ God blless po sa lahat,Jesus is loves you all❤️🙏✨🇵🇭👋😇")</f>
        <v>Kung sino ang mananalo sa eleksyon un ang tinalaga ng Diyos na maging leader ng bansang pilipinas kung kaya ang dapat nating gawin pag pray na lng natin sya na pangunahan sya ng Diyos sa kanyang mga hakba ng  sabi sa salita ng Diyos sa kawikaan ang Diyos ang nagpaplano ang Tao  ang nagsasagawa ✨😘🙏❤️ God blless po sa lahat,Jesus is loves you all❤️🙏✨🇵🇭👋😇</v>
      </c>
      <c r="F2887" s="1">
        <f ca="1">IFERROR(__xludf.DUMMYFUNCTION("""COMPUTED_VALUE"""),16)</f>
        <v>16</v>
      </c>
      <c r="G2887" s="1" t="str">
        <f ca="1">IFERROR(__xludf.DUMMYFUNCTION("""COMPUTED_VALUE"""),"3 mos")</f>
        <v>3 mos</v>
      </c>
      <c r="H2887" s="1" t="str">
        <f ca="1">IFERROR(__xludf.DUMMYFUNCTION("""COMPUTED_VALUE"""),"comment")</f>
        <v>comment</v>
      </c>
      <c r="I2887" s="2" t="str">
        <f ca="1">IFERROR(__xludf.DUMMYFUNCTION("""COMPUTED_VALUE"""),"https://www.facebook.com/rapplerdotcom/photos/a.317154781638645/5594453700575367/")</f>
        <v>https://www.facebook.com/rapplerdotcom/photos/a.317154781638645/5594453700575367/</v>
      </c>
      <c r="J2887" s="1" t="str">
        <f ca="1">IFERROR(__xludf.DUMMYFUNCTION("""COMPUTED_VALUE"""),"2022-07-04T15:53:36.546Z")</f>
        <v>2022-07-04T15:53:36.546Z</v>
      </c>
    </row>
    <row r="2888" spans="1:10" x14ac:dyDescent="0.2">
      <c r="A2888" s="2" t="str">
        <f ca="1">IFERROR(__xludf.DUMMYFUNCTION("""COMPUTED_VALUE"""),"https://www.facebook.com/profile.php?id=100076414760032")</f>
        <v>https://www.facebook.com/profile.php?id=100076414760032</v>
      </c>
      <c r="B2888" s="1" t="str">
        <f ca="1">IFERROR(__xludf.DUMMYFUNCTION("""COMPUTED_VALUE"""),"Gemma G Tamagos")</f>
        <v>Gemma G Tamagos</v>
      </c>
      <c r="C2888" s="1" t="str">
        <f ca="1">IFERROR(__xludf.DUMMYFUNCTION("""COMPUTED_VALUE"""),"Gemma")</f>
        <v>Gemma</v>
      </c>
      <c r="D2888" s="1" t="str">
        <f ca="1">IFERROR(__xludf.DUMMYFUNCTION("""COMPUTED_VALUE"""),"G Tamagos")</f>
        <v>G Tamagos</v>
      </c>
      <c r="E2888" s="1" t="str">
        <f ca="1">IFERROR(__xludf.DUMMYFUNCTION("""COMPUTED_VALUE"""),"Soledad Mariano  true po  kon sino ang manalo sya ang pinagkalooban nang panginoon...")</f>
        <v>Soledad Mariano  true po  kon sino ang manalo sya ang pinagkalooban nang panginoon...</v>
      </c>
      <c r="F2888" s="1"/>
      <c r="G2888" s="1" t="str">
        <f ca="1">IFERROR(__xludf.DUMMYFUNCTION("""COMPUTED_VALUE"""),"3 mos")</f>
        <v>3 mos</v>
      </c>
      <c r="H2888" s="1" t="str">
        <f ca="1">IFERROR(__xludf.DUMMYFUNCTION("""COMPUTED_VALUE"""),"reply")</f>
        <v>reply</v>
      </c>
      <c r="I2888" s="2" t="str">
        <f ca="1">IFERROR(__xludf.DUMMYFUNCTION("""COMPUTED_VALUE"""),"https://www.facebook.com/rapplerdotcom/photos/a.317154781638645/5594453700575367/")</f>
        <v>https://www.facebook.com/rapplerdotcom/photos/a.317154781638645/5594453700575367/</v>
      </c>
      <c r="J2888" s="1" t="str">
        <f ca="1">IFERROR(__xludf.DUMMYFUNCTION("""COMPUTED_VALUE"""),"2022-07-04T15:53:36.546Z")</f>
        <v>2022-07-04T15:53:36.546Z</v>
      </c>
    </row>
    <row r="2889" spans="1:10" x14ac:dyDescent="0.2">
      <c r="A2889" s="2" t="str">
        <f ca="1">IFERROR(__xludf.DUMMYFUNCTION("""COMPUTED_VALUE"""),"https://www.facebook.com/profile.php?id=100010227300304")</f>
        <v>https://www.facebook.com/profile.php?id=100010227300304</v>
      </c>
      <c r="B2889" s="1" t="str">
        <f ca="1">IFERROR(__xludf.DUMMYFUNCTION("""COMPUTED_VALUE"""),"Ador Cabalbag")</f>
        <v>Ador Cabalbag</v>
      </c>
      <c r="C2889" s="1" t="str">
        <f ca="1">IFERROR(__xludf.DUMMYFUNCTION("""COMPUTED_VALUE"""),"Ador")</f>
        <v>Ador</v>
      </c>
      <c r="D2889" s="1" t="str">
        <f ca="1">IFERROR(__xludf.DUMMYFUNCTION("""COMPUTED_VALUE"""),"Cabalbag")</f>
        <v>Cabalbag</v>
      </c>
      <c r="E2889" s="1" t="str">
        <f ca="1">IFERROR(__xludf.DUMMYFUNCTION("""COMPUTED_VALUE"""),"Soledad Mariano hindi po sapat ang prayers, nasa tao din po ang gawa. Paano po pag korap ang nanalo, pinagkaloob din po ba ito ng Diyos? Kaya nga po binigyan tayo ni Lord ng kapasidad na mag-isip at mamili upang tayo mismo ang mamili kung alin ang tama at"&amp;" kung sino ang nararapat. Matuto din po tayong tumidig sa katotohanan at sa reyalidad. God bless din po.")</f>
        <v>Soledad Mariano hindi po sapat ang prayers, nasa tao din po ang gawa. Paano po pag korap ang nanalo, pinagkaloob din po ba ito ng Diyos? Kaya nga po binigyan tayo ni Lord ng kapasidad na mag-isip at mamili upang tayo mismo ang mamili kung alin ang tama at kung sino ang nararapat. Matuto din po tayong tumidig sa katotohanan at sa reyalidad. God bless din po.</v>
      </c>
      <c r="F2889" s="1">
        <f ca="1">IFERROR(__xludf.DUMMYFUNCTION("""COMPUTED_VALUE"""),7)</f>
        <v>7</v>
      </c>
      <c r="G2889" s="1" t="str">
        <f ca="1">IFERROR(__xludf.DUMMYFUNCTION("""COMPUTED_VALUE"""),"3 mos")</f>
        <v>3 mos</v>
      </c>
      <c r="H2889" s="1" t="str">
        <f ca="1">IFERROR(__xludf.DUMMYFUNCTION("""COMPUTED_VALUE"""),"reply")</f>
        <v>reply</v>
      </c>
      <c r="I2889" s="2" t="str">
        <f ca="1">IFERROR(__xludf.DUMMYFUNCTION("""COMPUTED_VALUE"""),"https://www.facebook.com/rapplerdotcom/photos/a.317154781638645/5594453700575367/")</f>
        <v>https://www.facebook.com/rapplerdotcom/photos/a.317154781638645/5594453700575367/</v>
      </c>
      <c r="J2889" s="1" t="str">
        <f ca="1">IFERROR(__xludf.DUMMYFUNCTION("""COMPUTED_VALUE"""),"2022-07-04T15:53:36.546Z")</f>
        <v>2022-07-04T15:53:36.546Z</v>
      </c>
    </row>
    <row r="2890" spans="1:10" x14ac:dyDescent="0.2">
      <c r="A2890" s="2" t="str">
        <f ca="1">IFERROR(__xludf.DUMMYFUNCTION("""COMPUTED_VALUE"""),"https://www.facebook.com/bernardo.hermogenes")</f>
        <v>https://www.facebook.com/bernardo.hermogenes</v>
      </c>
      <c r="B2890" s="1" t="str">
        <f ca="1">IFERROR(__xludf.DUMMYFUNCTION("""COMPUTED_VALUE"""),"Bernardo Salcedo Hermogenes")</f>
        <v>Bernardo Salcedo Hermogenes</v>
      </c>
      <c r="C2890" s="1" t="str">
        <f ca="1">IFERROR(__xludf.DUMMYFUNCTION("""COMPUTED_VALUE"""),"Bernardo")</f>
        <v>Bernardo</v>
      </c>
      <c r="D2890" s="1" t="str">
        <f ca="1">IFERROR(__xludf.DUMMYFUNCTION("""COMPUTED_VALUE"""),"Salcedo Hermogenes")</f>
        <v>Salcedo Hermogenes</v>
      </c>
      <c r="E2890" s="1" t="str">
        <f ca="1">IFERROR(__xludf.DUMMYFUNCTION("""COMPUTED_VALUE"""),"Soledad Mariano tao po ang boboto hindi ang po ang God...tao po ang may gusto kung sino ang mananalo...maaawa lang c God atin pag maling tao ang binoto nating..kaya pag isipan suriin kung sino ang dapat iboto ang may mabuting kalooban at sumusond sa batas"&amp;" ng pilipinas...wag mong sabihin c God ang kagustuhan yan kung sino mananalo...baka pag mali ang pangulong nanalo sisihin pa natin c God..tao ang bomoto tao rin ang sisihin hindi c God")</f>
        <v>Soledad Mariano tao po ang boboto hindi ang po ang God...tao po ang may gusto kung sino ang mananalo...maaawa lang c God atin pag maling tao ang binoto nating..kaya pag isipan suriin kung sino ang dapat iboto ang may mabuting kalooban at sumusond sa batas ng pilipinas...wag mong sabihin c God ang kagustuhan yan kung sino mananalo...baka pag mali ang pangulong nanalo sisihin pa natin c God..tao ang bomoto tao rin ang sisihin hindi c God</v>
      </c>
      <c r="F2890" s="1">
        <f ca="1">IFERROR(__xludf.DUMMYFUNCTION("""COMPUTED_VALUE"""),5)</f>
        <v>5</v>
      </c>
      <c r="G2890" s="1" t="str">
        <f ca="1">IFERROR(__xludf.DUMMYFUNCTION("""COMPUTED_VALUE"""),"3 mos")</f>
        <v>3 mos</v>
      </c>
      <c r="H2890" s="1" t="str">
        <f ca="1">IFERROR(__xludf.DUMMYFUNCTION("""COMPUTED_VALUE"""),"reply")</f>
        <v>reply</v>
      </c>
      <c r="I2890" s="2" t="str">
        <f ca="1">IFERROR(__xludf.DUMMYFUNCTION("""COMPUTED_VALUE"""),"https://www.facebook.com/rapplerdotcom/photos/a.317154781638645/5594453700575367/")</f>
        <v>https://www.facebook.com/rapplerdotcom/photos/a.317154781638645/5594453700575367/</v>
      </c>
      <c r="J2890" s="1" t="str">
        <f ca="1">IFERROR(__xludf.DUMMYFUNCTION("""COMPUTED_VALUE"""),"2022-07-04T15:53:36.546Z")</f>
        <v>2022-07-04T15:53:36.546Z</v>
      </c>
    </row>
    <row r="2891" spans="1:10" x14ac:dyDescent="0.2">
      <c r="A2891" s="2" t="str">
        <f ca="1">IFERROR(__xludf.DUMMYFUNCTION("""COMPUTED_VALUE"""),"https://www.facebook.com/profile.php?id=100040002892951")</f>
        <v>https://www.facebook.com/profile.php?id=100040002892951</v>
      </c>
      <c r="B2891" s="1" t="str">
        <f ca="1">IFERROR(__xludf.DUMMYFUNCTION("""COMPUTED_VALUE"""),"Peter Santos")</f>
        <v>Peter Santos</v>
      </c>
      <c r="C2891" s="1" t="str">
        <f ca="1">IFERROR(__xludf.DUMMYFUNCTION("""COMPUTED_VALUE"""),"Peter")</f>
        <v>Peter</v>
      </c>
      <c r="D2891" s="1" t="str">
        <f ca="1">IFERROR(__xludf.DUMMYFUNCTION("""COMPUTED_VALUE"""),"Santos")</f>
        <v>Santos</v>
      </c>
      <c r="E2891" s="1" t="str">
        <f ca="1">IFERROR(__xludf.DUMMYFUNCTION("""COMPUTED_VALUE"""),"Soledad Mariano  Isa sa sampung utos ng Diyos ang Huwag Kang magnakaw.")</f>
        <v>Soledad Mariano  Isa sa sampung utos ng Diyos ang Huwag Kang magnakaw.</v>
      </c>
      <c r="F2891" s="1"/>
      <c r="G2891" s="1" t="str">
        <f ca="1">IFERROR(__xludf.DUMMYFUNCTION("""COMPUTED_VALUE"""),"3 mos")</f>
        <v>3 mos</v>
      </c>
      <c r="H2891" s="1" t="str">
        <f ca="1">IFERROR(__xludf.DUMMYFUNCTION("""COMPUTED_VALUE"""),"reply")</f>
        <v>reply</v>
      </c>
      <c r="I2891" s="2" t="str">
        <f ca="1">IFERROR(__xludf.DUMMYFUNCTION("""COMPUTED_VALUE"""),"https://www.facebook.com/rapplerdotcom/photos/a.317154781638645/5594453700575367/")</f>
        <v>https://www.facebook.com/rapplerdotcom/photos/a.317154781638645/5594453700575367/</v>
      </c>
      <c r="J2891" s="1" t="str">
        <f ca="1">IFERROR(__xludf.DUMMYFUNCTION("""COMPUTED_VALUE"""),"2022-07-04T15:53:36.546Z")</f>
        <v>2022-07-04T15:53:36.546Z</v>
      </c>
    </row>
    <row r="2892" spans="1:10" x14ac:dyDescent="0.2">
      <c r="A2892" s="2" t="str">
        <f ca="1">IFERROR(__xludf.DUMMYFUNCTION("""COMPUTED_VALUE"""),"https://www.facebook.com/anecia.comandantepore")</f>
        <v>https://www.facebook.com/anecia.comandantepore</v>
      </c>
      <c r="B2892" s="1" t="str">
        <f ca="1">IFERROR(__xludf.DUMMYFUNCTION("""COMPUTED_VALUE"""),"Anecia Comandante Pore")</f>
        <v>Anecia Comandante Pore</v>
      </c>
      <c r="C2892" s="1" t="str">
        <f ca="1">IFERROR(__xludf.DUMMYFUNCTION("""COMPUTED_VALUE"""),"Anecia")</f>
        <v>Anecia</v>
      </c>
      <c r="D2892" s="1" t="str">
        <f ca="1">IFERROR(__xludf.DUMMYFUNCTION("""COMPUTED_VALUE"""),"Comandante Pore")</f>
        <v>Comandante Pore</v>
      </c>
      <c r="E2892" s="1" t="str">
        <f ca="1">IFERROR(__xludf.DUMMYFUNCTION("""COMPUTED_VALUE"""),"Soledad Mariano KAYA MAGTUTULUNGAN TAYO SA PAGPAPALAGANAP NG WASTO AT KATUTOHANAN LAMANG. HINDI SAPAT ANG PAGDADASAL PAGKAT MAY KASABIHAN TAYO: ""NASA TAO ANG GAWA AT NASA DIOS ANG AWS"".")</f>
        <v>Soledad Mariano KAYA MAGTUTULUNGAN TAYO SA PAGPAPALAGANAP NG WASTO AT KATUTOHANAN LAMANG. HINDI SAPAT ANG PAGDADASAL PAGKAT MAY KASABIHAN TAYO: "NASA TAO ANG GAWA AT NASA DIOS ANG AWS".</v>
      </c>
      <c r="F2892" s="1">
        <f ca="1">IFERROR(__xludf.DUMMYFUNCTION("""COMPUTED_VALUE"""),2)</f>
        <v>2</v>
      </c>
      <c r="G2892" s="1" t="str">
        <f ca="1">IFERROR(__xludf.DUMMYFUNCTION("""COMPUTED_VALUE"""),"3 mos")</f>
        <v>3 mos</v>
      </c>
      <c r="H2892" s="1" t="str">
        <f ca="1">IFERROR(__xludf.DUMMYFUNCTION("""COMPUTED_VALUE"""),"reply")</f>
        <v>reply</v>
      </c>
      <c r="I2892" s="2" t="str">
        <f ca="1">IFERROR(__xludf.DUMMYFUNCTION("""COMPUTED_VALUE"""),"https://www.facebook.com/rapplerdotcom/photos/a.317154781638645/5594453700575367/")</f>
        <v>https://www.facebook.com/rapplerdotcom/photos/a.317154781638645/5594453700575367/</v>
      </c>
      <c r="J2892" s="1" t="str">
        <f ca="1">IFERROR(__xludf.DUMMYFUNCTION("""COMPUTED_VALUE"""),"2022-07-04T15:53:36.546Z")</f>
        <v>2022-07-04T15:53:36.546Z</v>
      </c>
    </row>
    <row r="2893" spans="1:10" x14ac:dyDescent="0.2">
      <c r="A2893" s="2" t="str">
        <f ca="1">IFERROR(__xludf.DUMMYFUNCTION("""COMPUTED_VALUE"""),"https://www.facebook.com/lesdicen")</f>
        <v>https://www.facebook.com/lesdicen</v>
      </c>
      <c r="B2893" s="1" t="str">
        <f ca="1">IFERROR(__xludf.DUMMYFUNCTION("""COMPUTED_VALUE"""),"Liz Bon")</f>
        <v>Liz Bon</v>
      </c>
      <c r="C2893" s="1" t="str">
        <f ca="1">IFERROR(__xludf.DUMMYFUNCTION("""COMPUTED_VALUE"""),"Liz")</f>
        <v>Liz</v>
      </c>
      <c r="D2893" s="1" t="str">
        <f ca="1">IFERROR(__xludf.DUMMYFUNCTION("""COMPUTED_VALUE"""),"Bon")</f>
        <v>Bon</v>
      </c>
      <c r="E2893" s="1" t="str">
        <f ca="1">IFERROR(__xludf.DUMMYFUNCTION("""COMPUTED_VALUE"""),"Tama po ang mgdasal, pro binigyan tyo ng Dios ng sapat na pagisiip pra matutong pumili at mgdesisyon ng tama. Nsa Dios ang awa nsa tao ang gawa. At sbi pa nga nsa huli ang pgsisisi.")</f>
        <v>Tama po ang mgdasal, pro binigyan tyo ng Dios ng sapat na pagisiip pra matutong pumili at mgdesisyon ng tama. Nsa Dios ang awa nsa tao ang gawa. At sbi pa nga nsa huli ang pgsisisi.</v>
      </c>
      <c r="F2893" s="1">
        <f ca="1">IFERROR(__xludf.DUMMYFUNCTION("""COMPUTED_VALUE"""),3)</f>
        <v>3</v>
      </c>
      <c r="G2893" s="1" t="str">
        <f ca="1">IFERROR(__xludf.DUMMYFUNCTION("""COMPUTED_VALUE"""),"3 mos")</f>
        <v>3 mos</v>
      </c>
      <c r="H2893" s="1" t="str">
        <f ca="1">IFERROR(__xludf.DUMMYFUNCTION("""COMPUTED_VALUE"""),"reply")</f>
        <v>reply</v>
      </c>
      <c r="I2893" s="2" t="str">
        <f ca="1">IFERROR(__xludf.DUMMYFUNCTION("""COMPUTED_VALUE"""),"https://www.facebook.com/rapplerdotcom/photos/a.317154781638645/5594453700575367/")</f>
        <v>https://www.facebook.com/rapplerdotcom/photos/a.317154781638645/5594453700575367/</v>
      </c>
      <c r="J2893" s="1" t="str">
        <f ca="1">IFERROR(__xludf.DUMMYFUNCTION("""COMPUTED_VALUE"""),"2022-07-04T15:53:36.546Z")</f>
        <v>2022-07-04T15:53:36.546Z</v>
      </c>
    </row>
    <row r="2894" spans="1:10" x14ac:dyDescent="0.2">
      <c r="A2894" s="2" t="str">
        <f ca="1">IFERROR(__xludf.DUMMYFUNCTION("""COMPUTED_VALUE"""),"https://www.facebook.com/pjp021055")</f>
        <v>https://www.facebook.com/pjp021055</v>
      </c>
      <c r="B2894" s="1" t="str">
        <f ca="1">IFERROR(__xludf.DUMMYFUNCTION("""COMPUTED_VALUE"""),"Ruficacion Jimenez")</f>
        <v>Ruficacion Jimenez</v>
      </c>
      <c r="C2894" s="1" t="str">
        <f ca="1">IFERROR(__xludf.DUMMYFUNCTION("""COMPUTED_VALUE"""),"Ruficacion")</f>
        <v>Ruficacion</v>
      </c>
      <c r="D2894" s="1" t="str">
        <f ca="1">IFERROR(__xludf.DUMMYFUNCTION("""COMPUTED_VALUE"""),"Jimenez")</f>
        <v>Jimenez</v>
      </c>
      <c r="E2894" s="1" t="str">
        <f ca="1">IFERROR(__xludf.DUMMYFUNCTION("""COMPUTED_VALUE"""),"Soledad Mariano tama ho")</f>
        <v>Soledad Mariano tama ho</v>
      </c>
      <c r="F2894" s="1"/>
      <c r="G2894" s="1" t="str">
        <f ca="1">IFERROR(__xludf.DUMMYFUNCTION("""COMPUTED_VALUE"""),"3 mos")</f>
        <v>3 mos</v>
      </c>
      <c r="H2894" s="1" t="str">
        <f ca="1">IFERROR(__xludf.DUMMYFUNCTION("""COMPUTED_VALUE"""),"reply")</f>
        <v>reply</v>
      </c>
      <c r="I2894" s="2" t="str">
        <f ca="1">IFERROR(__xludf.DUMMYFUNCTION("""COMPUTED_VALUE"""),"https://www.facebook.com/rapplerdotcom/photos/a.317154781638645/5594453700575367/")</f>
        <v>https://www.facebook.com/rapplerdotcom/photos/a.317154781638645/5594453700575367/</v>
      </c>
      <c r="J2894" s="1" t="str">
        <f ca="1">IFERROR(__xludf.DUMMYFUNCTION("""COMPUTED_VALUE"""),"2022-07-04T15:53:36.546Z")</f>
        <v>2022-07-04T15:53:36.546Z</v>
      </c>
    </row>
    <row r="2895" spans="1:10" x14ac:dyDescent="0.2">
      <c r="A2895" s="2" t="str">
        <f ca="1">IFERROR(__xludf.DUMMYFUNCTION("""COMPUTED_VALUE"""),"https://www.facebook.com/MiLjenN25")</f>
        <v>https://www.facebook.com/MiLjenN25</v>
      </c>
      <c r="B2895" s="1" t="str">
        <f ca="1">IFERROR(__xludf.DUMMYFUNCTION("""COMPUTED_VALUE"""),"Manapsal Mil Castro")</f>
        <v>Manapsal Mil Castro</v>
      </c>
      <c r="C2895" s="1" t="str">
        <f ca="1">IFERROR(__xludf.DUMMYFUNCTION("""COMPUTED_VALUE"""),"Manapsal")</f>
        <v>Manapsal</v>
      </c>
      <c r="D2895" s="1" t="str">
        <f ca="1">IFERROR(__xludf.DUMMYFUNCTION("""COMPUTED_VALUE"""),"Mil Castro")</f>
        <v>Mil Castro</v>
      </c>
      <c r="E2895" s="1" t="str">
        <f ca="1">IFERROR(__xludf.DUMMYFUNCTION("""COMPUTED_VALUE"""),"bakit sa tingin ba ninyo ung mga tumatakbo ngaun walang mga kanya kanyang agenda🤣😂 halos ng tumatakbong pangulo ngaun iisa lng ang hangarin makuha ung 203 billion kuno🤣😅 uu nga malaking pera un malaking kupitan🤣😂")</f>
        <v>bakit sa tingin ba ninyo ung mga tumatakbo ngaun walang mga kanya kanyang agenda🤣😂 halos ng tumatakbong pangulo ngaun iisa lng ang hangarin makuha ung 203 billion kuno🤣😅 uu nga malaking pera un malaking kupitan🤣😂</v>
      </c>
      <c r="F2895" s="1">
        <f ca="1">IFERROR(__xludf.DUMMYFUNCTION("""COMPUTED_VALUE"""),1)</f>
        <v>1</v>
      </c>
      <c r="G2895" s="1" t="str">
        <f ca="1">IFERROR(__xludf.DUMMYFUNCTION("""COMPUTED_VALUE"""),"3 mos")</f>
        <v>3 mos</v>
      </c>
      <c r="H2895" s="1" t="str">
        <f ca="1">IFERROR(__xludf.DUMMYFUNCTION("""COMPUTED_VALUE"""),"reply")</f>
        <v>reply</v>
      </c>
      <c r="I2895" s="2" t="str">
        <f ca="1">IFERROR(__xludf.DUMMYFUNCTION("""COMPUTED_VALUE"""),"https://www.facebook.com/rapplerdotcom/photos/a.317154781638645/5594453700575367/")</f>
        <v>https://www.facebook.com/rapplerdotcom/photos/a.317154781638645/5594453700575367/</v>
      </c>
      <c r="J2895" s="1" t="str">
        <f ca="1">IFERROR(__xludf.DUMMYFUNCTION("""COMPUTED_VALUE"""),"2022-07-04T15:53:36.546Z")</f>
        <v>2022-07-04T15:53:36.546Z</v>
      </c>
    </row>
    <row r="2896" spans="1:10" x14ac:dyDescent="0.2">
      <c r="A2896" s="2" t="str">
        <f ca="1">IFERROR(__xludf.DUMMYFUNCTION("""COMPUTED_VALUE"""),"https://www.facebook.com/rudy.ricafrente.10")</f>
        <v>https://www.facebook.com/rudy.ricafrente.10</v>
      </c>
      <c r="B2896" s="1" t="str">
        <f ca="1">IFERROR(__xludf.DUMMYFUNCTION("""COMPUTED_VALUE"""),"Rudy Ricafrente")</f>
        <v>Rudy Ricafrente</v>
      </c>
      <c r="C2896" s="1" t="str">
        <f ca="1">IFERROR(__xludf.DUMMYFUNCTION("""COMPUTED_VALUE"""),"Rudy")</f>
        <v>Rudy</v>
      </c>
      <c r="D2896" s="1" t="str">
        <f ca="1">IFERROR(__xludf.DUMMYFUNCTION("""COMPUTED_VALUE"""),"Ricafrente")</f>
        <v>Ricafrente</v>
      </c>
      <c r="E2896" s="1" t="str">
        <f ca="1">IFERROR(__xludf.DUMMYFUNCTION("""COMPUTED_VALUE"""),"Ibig sabihin pakyaw ikaww iboto hindi na sigurado ka bang d ka rin mag nakaw babawiin mo lahat mg ginastos mo")</f>
        <v>Ibig sabihin pakyaw ikaww iboto hindi na sigurado ka bang d ka rin mag nakaw babawiin mo lahat mg ginastos mo</v>
      </c>
      <c r="F2896" s="1">
        <f ca="1">IFERROR(__xludf.DUMMYFUNCTION("""COMPUTED_VALUE"""),6)</f>
        <v>6</v>
      </c>
      <c r="G2896" s="1" t="str">
        <f ca="1">IFERROR(__xludf.DUMMYFUNCTION("""COMPUTED_VALUE"""),"3 mos")</f>
        <v>3 mos</v>
      </c>
      <c r="H2896" s="1" t="str">
        <f ca="1">IFERROR(__xludf.DUMMYFUNCTION("""COMPUTED_VALUE"""),"comment")</f>
        <v>comment</v>
      </c>
      <c r="I2896" s="2" t="str">
        <f ca="1">IFERROR(__xludf.DUMMYFUNCTION("""COMPUTED_VALUE"""),"https://www.facebook.com/rapplerdotcom/photos/a.317154781638645/5594453700575367/")</f>
        <v>https://www.facebook.com/rapplerdotcom/photos/a.317154781638645/5594453700575367/</v>
      </c>
      <c r="J2896" s="1" t="str">
        <f ca="1">IFERROR(__xludf.DUMMYFUNCTION("""COMPUTED_VALUE"""),"2022-07-04T15:53:36.546Z")</f>
        <v>2022-07-04T15:53:36.546Z</v>
      </c>
    </row>
    <row r="2897" spans="1:10" x14ac:dyDescent="0.2">
      <c r="A2897" s="2" t="str">
        <f ca="1">IFERROR(__xludf.DUMMYFUNCTION("""COMPUTED_VALUE"""),"https://www.facebook.com/profile.php?id=100005240507812")</f>
        <v>https://www.facebook.com/profile.php?id=100005240507812</v>
      </c>
      <c r="B2897" s="1" t="str">
        <f ca="1">IFERROR(__xludf.DUMMYFUNCTION("""COMPUTED_VALUE"""),"Teodoro Murillo")</f>
        <v>Teodoro Murillo</v>
      </c>
      <c r="C2897" s="1" t="str">
        <f ca="1">IFERROR(__xludf.DUMMYFUNCTION("""COMPUTED_VALUE"""),"Teodoro")</f>
        <v>Teodoro</v>
      </c>
      <c r="D2897" s="1" t="str">
        <f ca="1">IFERROR(__xludf.DUMMYFUNCTION("""COMPUTED_VALUE"""),"Murillo")</f>
        <v>Murillo</v>
      </c>
      <c r="E2897" s="1" t="str">
        <f ca="1">IFERROR(__xludf.DUMMYFUNCTION("""COMPUTED_VALUE"""),"Tama ka jn insan cegurado lahat atakawin nyan")</f>
        <v>Tama ka jn insan cegurado lahat atakawin nyan</v>
      </c>
      <c r="F2897" s="1">
        <f ca="1">IFERROR(__xludf.DUMMYFUNCTION("""COMPUTED_VALUE"""),1)</f>
        <v>1</v>
      </c>
      <c r="G2897" s="1" t="str">
        <f ca="1">IFERROR(__xludf.DUMMYFUNCTION("""COMPUTED_VALUE"""),"3 mos")</f>
        <v>3 mos</v>
      </c>
      <c r="H2897" s="1" t="str">
        <f ca="1">IFERROR(__xludf.DUMMYFUNCTION("""COMPUTED_VALUE"""),"reply")</f>
        <v>reply</v>
      </c>
      <c r="I2897" s="2" t="str">
        <f ca="1">IFERROR(__xludf.DUMMYFUNCTION("""COMPUTED_VALUE"""),"https://www.facebook.com/rapplerdotcom/photos/a.317154781638645/5594453700575367/")</f>
        <v>https://www.facebook.com/rapplerdotcom/photos/a.317154781638645/5594453700575367/</v>
      </c>
      <c r="J2897" s="1" t="str">
        <f ca="1">IFERROR(__xludf.DUMMYFUNCTION("""COMPUTED_VALUE"""),"2022-07-04T15:53:36.546Z")</f>
        <v>2022-07-04T15:53:36.546Z</v>
      </c>
    </row>
    <row r="2898" spans="1:10" x14ac:dyDescent="0.2">
      <c r="A2898" s="2" t="str">
        <f ca="1">IFERROR(__xludf.DUMMYFUNCTION("""COMPUTED_VALUE"""),"https://www.facebook.com/rafaelito.ballesteros.90")</f>
        <v>https://www.facebook.com/rafaelito.ballesteros.90</v>
      </c>
      <c r="B2898" s="1" t="str">
        <f ca="1">IFERROR(__xludf.DUMMYFUNCTION("""COMPUTED_VALUE"""),"Rafaelito Ballesteros")</f>
        <v>Rafaelito Ballesteros</v>
      </c>
      <c r="C2898" s="1" t="str">
        <f ca="1">IFERROR(__xludf.DUMMYFUNCTION("""COMPUTED_VALUE"""),"Rafaelito")</f>
        <v>Rafaelito</v>
      </c>
      <c r="D2898" s="1" t="str">
        <f ca="1">IFERROR(__xludf.DUMMYFUNCTION("""COMPUTED_VALUE"""),"Ballesteros")</f>
        <v>Ballesteros</v>
      </c>
      <c r="E2898" s="1" t="str">
        <f ca="1">IFERROR(__xludf.DUMMYFUNCTION("""COMPUTED_VALUE"""),"Rudy Ricafrente Bullseye Bro !!!!")</f>
        <v>Rudy Ricafrente Bullseye Bro !!!!</v>
      </c>
      <c r="F2898" s="1"/>
      <c r="G2898" s="1" t="str">
        <f ca="1">IFERROR(__xludf.DUMMYFUNCTION("""COMPUTED_VALUE"""),"3 mos")</f>
        <v>3 mos</v>
      </c>
      <c r="H2898" s="1" t="str">
        <f ca="1">IFERROR(__xludf.DUMMYFUNCTION("""COMPUTED_VALUE"""),"reply")</f>
        <v>reply</v>
      </c>
      <c r="I2898" s="2" t="str">
        <f ca="1">IFERROR(__xludf.DUMMYFUNCTION("""COMPUTED_VALUE"""),"https://www.facebook.com/rapplerdotcom/photos/a.317154781638645/5594453700575367/")</f>
        <v>https://www.facebook.com/rapplerdotcom/photos/a.317154781638645/5594453700575367/</v>
      </c>
      <c r="J2898" s="1" t="str">
        <f ca="1">IFERROR(__xludf.DUMMYFUNCTION("""COMPUTED_VALUE"""),"2022-07-04T15:53:36.546Z")</f>
        <v>2022-07-04T15:53:36.546Z</v>
      </c>
    </row>
    <row r="2899" spans="1:10" x14ac:dyDescent="0.2">
      <c r="A2899" s="2" t="str">
        <f ca="1">IFERROR(__xludf.DUMMYFUNCTION("""COMPUTED_VALUE"""),"https://www.facebook.com/jude.romero.14")</f>
        <v>https://www.facebook.com/jude.romero.14</v>
      </c>
      <c r="B2899" s="1" t="str">
        <f ca="1">IFERROR(__xludf.DUMMYFUNCTION("""COMPUTED_VALUE"""),"Jude Romero")</f>
        <v>Jude Romero</v>
      </c>
      <c r="C2899" s="1" t="str">
        <f ca="1">IFERROR(__xludf.DUMMYFUNCTION("""COMPUTED_VALUE"""),"Jude")</f>
        <v>Jude</v>
      </c>
      <c r="D2899" s="1" t="str">
        <f ca="1">IFERROR(__xludf.DUMMYFUNCTION("""COMPUTED_VALUE"""),"Romero")</f>
        <v>Romero</v>
      </c>
      <c r="E2899" s="1" t="str">
        <f ca="1">IFERROR(__xludf.DUMMYFUNCTION("""COMPUTED_VALUE"""),"Rudy Ricafrente ubusin niya kaban ng bayan para patayuan ng bahay ang lahat ng mahihirap")</f>
        <v>Rudy Ricafrente ubusin niya kaban ng bayan para patayuan ng bahay ang lahat ng mahihirap</v>
      </c>
      <c r="F2899" s="1"/>
      <c r="G2899" s="1" t="str">
        <f ca="1">IFERROR(__xludf.DUMMYFUNCTION("""COMPUTED_VALUE"""),"3 mos")</f>
        <v>3 mos</v>
      </c>
      <c r="H2899" s="1" t="str">
        <f ca="1">IFERROR(__xludf.DUMMYFUNCTION("""COMPUTED_VALUE"""),"reply")</f>
        <v>reply</v>
      </c>
      <c r="I2899" s="2" t="str">
        <f ca="1">IFERROR(__xludf.DUMMYFUNCTION("""COMPUTED_VALUE"""),"https://www.facebook.com/rapplerdotcom/photos/a.317154781638645/5594453700575367/")</f>
        <v>https://www.facebook.com/rapplerdotcom/photos/a.317154781638645/5594453700575367/</v>
      </c>
      <c r="J2899" s="1" t="str">
        <f ca="1">IFERROR(__xludf.DUMMYFUNCTION("""COMPUTED_VALUE"""),"2022-07-04T15:53:36.546Z")</f>
        <v>2022-07-04T15:53:36.546Z</v>
      </c>
    </row>
    <row r="2900" spans="1:10" x14ac:dyDescent="0.2">
      <c r="A2900" s="2" t="str">
        <f ca="1">IFERROR(__xludf.DUMMYFUNCTION("""COMPUTED_VALUE"""),"https://www.facebook.com/merly.mesuga")</f>
        <v>https://www.facebook.com/merly.mesuga</v>
      </c>
      <c r="B2900" s="1" t="str">
        <f ca="1">IFERROR(__xludf.DUMMYFUNCTION("""COMPUTED_VALUE"""),"Merly Añover Robin")</f>
        <v>Merly Añover Robin</v>
      </c>
      <c r="C2900" s="1" t="str">
        <f ca="1">IFERROR(__xludf.DUMMYFUNCTION("""COMPUTED_VALUE"""),"Merly")</f>
        <v>Merly</v>
      </c>
      <c r="D2900" s="1" t="str">
        <f ca="1">IFERROR(__xludf.DUMMYFUNCTION("""COMPUTED_VALUE"""),"Añover Robin")</f>
        <v>Añover Robin</v>
      </c>
      <c r="E2900" s="1" t="str">
        <f ca="1">IFERROR(__xludf.DUMMYFUNCTION("""COMPUTED_VALUE"""),"Maraming guilty react dto hindi nman nagbanggit ng pangalan😁")</f>
        <v>Maraming guilty react dto hindi nman nagbanggit ng pangalan😁</v>
      </c>
      <c r="F2900" s="1">
        <f ca="1">IFERROR(__xludf.DUMMYFUNCTION("""COMPUTED_VALUE"""),1)</f>
        <v>1</v>
      </c>
      <c r="G2900" s="1" t="str">
        <f ca="1">IFERROR(__xludf.DUMMYFUNCTION("""COMPUTED_VALUE"""),"3 mos")</f>
        <v>3 mos</v>
      </c>
      <c r="H2900" s="1" t="str">
        <f ca="1">IFERROR(__xludf.DUMMYFUNCTION("""COMPUTED_VALUE"""),"comment")</f>
        <v>comment</v>
      </c>
      <c r="I2900" s="2" t="str">
        <f ca="1">IFERROR(__xludf.DUMMYFUNCTION("""COMPUTED_VALUE"""),"https://www.facebook.com/rapplerdotcom/photos/a.317154781638645/5594453700575367/")</f>
        <v>https://www.facebook.com/rapplerdotcom/photos/a.317154781638645/5594453700575367/</v>
      </c>
      <c r="J2900" s="1" t="str">
        <f ca="1">IFERROR(__xludf.DUMMYFUNCTION("""COMPUTED_VALUE"""),"2022-07-04T15:53:36.546Z")</f>
        <v>2022-07-04T15:53:36.546Z</v>
      </c>
    </row>
    <row r="2901" spans="1:10" x14ac:dyDescent="0.2">
      <c r="A2901" s="2" t="str">
        <f ca="1">IFERROR(__xludf.DUMMYFUNCTION("""COMPUTED_VALUE"""),"https://www.facebook.com/jimmy.pascua.5")</f>
        <v>https://www.facebook.com/jimmy.pascua.5</v>
      </c>
      <c r="B2901" s="1" t="str">
        <f ca="1">IFERROR(__xludf.DUMMYFUNCTION("""COMPUTED_VALUE"""),"Jimmy Navidad")</f>
        <v>Jimmy Navidad</v>
      </c>
      <c r="C2901" s="1" t="str">
        <f ca="1">IFERROR(__xludf.DUMMYFUNCTION("""COMPUTED_VALUE"""),"Jimmy")</f>
        <v>Jimmy</v>
      </c>
      <c r="D2901" s="1" t="str">
        <f ca="1">IFERROR(__xludf.DUMMYFUNCTION("""COMPUTED_VALUE"""),"Navidad")</f>
        <v>Navidad</v>
      </c>
      <c r="E2901" s="1" t="str">
        <f ca="1">IFERROR(__xludf.DUMMYFUNCTION("""COMPUTED_VALUE"""),"minsan na kaming naloko ng sinasabi nyong pagbabago pero me nabago nga bah o lalong lumala ang kahirapan sa ating bansa... mulat at natauhan na kami... kaya let see on May 09, 2022 na lang... salamuch...")</f>
        <v>minsan na kaming naloko ng sinasabi nyong pagbabago pero me nabago nga bah o lalong lumala ang kahirapan sa ating bansa... mulat at natauhan na kami... kaya let see on May 09, 2022 na lang... salamuch...</v>
      </c>
      <c r="F2901" s="1">
        <f ca="1">IFERROR(__xludf.DUMMYFUNCTION("""COMPUTED_VALUE"""),4)</f>
        <v>4</v>
      </c>
      <c r="G2901" s="1" t="str">
        <f ca="1">IFERROR(__xludf.DUMMYFUNCTION("""COMPUTED_VALUE"""),"3 mos")</f>
        <v>3 mos</v>
      </c>
      <c r="H2901" s="1" t="str">
        <f ca="1">IFERROR(__xludf.DUMMYFUNCTION("""COMPUTED_VALUE"""),"comment")</f>
        <v>comment</v>
      </c>
      <c r="I2901" s="2" t="str">
        <f ca="1">IFERROR(__xludf.DUMMYFUNCTION("""COMPUTED_VALUE"""),"https://www.facebook.com/rapplerdotcom/photos/a.317154781638645/5594453700575367/")</f>
        <v>https://www.facebook.com/rapplerdotcom/photos/a.317154781638645/5594453700575367/</v>
      </c>
      <c r="J2901" s="1" t="str">
        <f ca="1">IFERROR(__xludf.DUMMYFUNCTION("""COMPUTED_VALUE"""),"2022-07-04T15:53:36.546Z")</f>
        <v>2022-07-04T15:53:36.546Z</v>
      </c>
    </row>
    <row r="2902" spans="1:10" x14ac:dyDescent="0.2">
      <c r="A2902" s="2" t="str">
        <f ca="1">IFERROR(__xludf.DUMMYFUNCTION("""COMPUTED_VALUE"""),"https://www.facebook.com/ogie.fernandez.731")</f>
        <v>https://www.facebook.com/ogie.fernandez.731</v>
      </c>
      <c r="B2902" s="1" t="str">
        <f ca="1">IFERROR(__xludf.DUMMYFUNCTION("""COMPUTED_VALUE"""),"Ogie Fernandez")</f>
        <v>Ogie Fernandez</v>
      </c>
      <c r="C2902" s="1" t="str">
        <f ca="1">IFERROR(__xludf.DUMMYFUNCTION("""COMPUTED_VALUE"""),"Ogie")</f>
        <v>Ogie</v>
      </c>
      <c r="D2902" s="1" t="str">
        <f ca="1">IFERROR(__xludf.DUMMYFUNCTION("""COMPUTED_VALUE"""),"Fernandez")</f>
        <v>Fernandez</v>
      </c>
      <c r="E2902" s="1" t="str">
        <f ca="1">IFERROR(__xludf.DUMMYFUNCTION("""COMPUTED_VALUE"""),"Pahinga muna wala kanang pag asa talo kana")</f>
        <v>Pahinga muna wala kanang pag asa talo kana</v>
      </c>
      <c r="F2902" s="1">
        <f ca="1">IFERROR(__xludf.DUMMYFUNCTION("""COMPUTED_VALUE"""),2)</f>
        <v>2</v>
      </c>
      <c r="G2902" s="1" t="str">
        <f ca="1">IFERROR(__xludf.DUMMYFUNCTION("""COMPUTED_VALUE"""),"3 mos")</f>
        <v>3 mos</v>
      </c>
      <c r="H2902" s="1" t="str">
        <f ca="1">IFERROR(__xludf.DUMMYFUNCTION("""COMPUTED_VALUE"""),"comment")</f>
        <v>comment</v>
      </c>
      <c r="I2902" s="2" t="str">
        <f ca="1">IFERROR(__xludf.DUMMYFUNCTION("""COMPUTED_VALUE"""),"https://www.facebook.com/rapplerdotcom/photos/a.317154781638645/5594453700575367/")</f>
        <v>https://www.facebook.com/rapplerdotcom/photos/a.317154781638645/5594453700575367/</v>
      </c>
      <c r="J2902" s="1" t="str">
        <f ca="1">IFERROR(__xludf.DUMMYFUNCTION("""COMPUTED_VALUE"""),"2022-07-04T15:53:36.546Z")</f>
        <v>2022-07-04T15:53:36.546Z</v>
      </c>
    </row>
    <row r="2903" spans="1:10" x14ac:dyDescent="0.2">
      <c r="A2903" s="2" t="str">
        <f ca="1">IFERROR(__xludf.DUMMYFUNCTION("""COMPUTED_VALUE"""),"https://www.facebook.com/profile.php?id=1300557137")</f>
        <v>https://www.facebook.com/profile.php?id=1300557137</v>
      </c>
      <c r="B2903" s="1" t="str">
        <f ca="1">IFERROR(__xludf.DUMMYFUNCTION("""COMPUTED_VALUE"""),"PJ Rosal Briagas")</f>
        <v>PJ Rosal Briagas</v>
      </c>
      <c r="C2903" s="1" t="str">
        <f ca="1">IFERROR(__xludf.DUMMYFUNCTION("""COMPUTED_VALUE"""),"PJ")</f>
        <v>PJ</v>
      </c>
      <c r="D2903" s="1" t="str">
        <f ca="1">IFERROR(__xludf.DUMMYFUNCTION("""COMPUTED_VALUE"""),"Rosal Briagas")</f>
        <v>Rosal Briagas</v>
      </c>
      <c r="E2903" s="1" t="str">
        <f ca="1">IFERROR(__xludf.DUMMYFUNCTION("""COMPUTED_VALUE"""),"Daming pikit bulag diyan.")</f>
        <v>Daming pikit bulag diyan.</v>
      </c>
      <c r="F2903" s="1">
        <f ca="1">IFERROR(__xludf.DUMMYFUNCTION("""COMPUTED_VALUE"""),1)</f>
        <v>1</v>
      </c>
      <c r="G2903" s="1" t="str">
        <f ca="1">IFERROR(__xludf.DUMMYFUNCTION("""COMPUTED_VALUE"""),"3 mos")</f>
        <v>3 mos</v>
      </c>
      <c r="H2903" s="1" t="str">
        <f ca="1">IFERROR(__xludf.DUMMYFUNCTION("""COMPUTED_VALUE"""),"comment")</f>
        <v>comment</v>
      </c>
      <c r="I2903" s="2" t="str">
        <f ca="1">IFERROR(__xludf.DUMMYFUNCTION("""COMPUTED_VALUE"""),"https://www.facebook.com/rapplerdotcom/photos/a.317154781638645/5594453700575367/")</f>
        <v>https://www.facebook.com/rapplerdotcom/photos/a.317154781638645/5594453700575367/</v>
      </c>
      <c r="J2903" s="1" t="str">
        <f ca="1">IFERROR(__xludf.DUMMYFUNCTION("""COMPUTED_VALUE"""),"2022-07-04T15:53:36.546Z")</f>
        <v>2022-07-04T15:53:36.546Z</v>
      </c>
    </row>
    <row r="2904" spans="1:10" x14ac:dyDescent="0.2">
      <c r="A2904" s="2" t="str">
        <f ca="1">IFERROR(__xludf.DUMMYFUNCTION("""COMPUTED_VALUE"""),"https://www.facebook.com/profile.php?id=100076456402720")</f>
        <v>https://www.facebook.com/profile.php?id=100076456402720</v>
      </c>
      <c r="B2904" s="1" t="str">
        <f ca="1">IFERROR(__xludf.DUMMYFUNCTION("""COMPUTED_VALUE"""),"Erika Salazar")</f>
        <v>Erika Salazar</v>
      </c>
      <c r="C2904" s="1" t="str">
        <f ca="1">IFERROR(__xludf.DUMMYFUNCTION("""COMPUTED_VALUE"""),"Erika")</f>
        <v>Erika</v>
      </c>
      <c r="D2904" s="1" t="str">
        <f ca="1">IFERROR(__xludf.DUMMYFUNCTION("""COMPUTED_VALUE"""),"Salazar")</f>
        <v>Salazar</v>
      </c>
      <c r="E2904" s="1" t="str">
        <f ca="1">IFERROR(__xludf.DUMMYFUNCTION("""COMPUTED_VALUE"""),"Admit it. He's got a point. 😅")</f>
        <v>Admit it. He's got a point. 😅</v>
      </c>
      <c r="F2904" s="1"/>
      <c r="G2904" s="1" t="str">
        <f ca="1">IFERROR(__xludf.DUMMYFUNCTION("""COMPUTED_VALUE"""),"3 mos")</f>
        <v>3 mos</v>
      </c>
      <c r="H2904" s="1" t="str">
        <f ca="1">IFERROR(__xludf.DUMMYFUNCTION("""COMPUTED_VALUE"""),"comment")</f>
        <v>comment</v>
      </c>
      <c r="I2904" s="2" t="str">
        <f ca="1">IFERROR(__xludf.DUMMYFUNCTION("""COMPUTED_VALUE"""),"https://www.facebook.com/rapplerdotcom/photos/a.317154781638645/5594453700575367/")</f>
        <v>https://www.facebook.com/rapplerdotcom/photos/a.317154781638645/5594453700575367/</v>
      </c>
      <c r="J2904" s="1" t="str">
        <f ca="1">IFERROR(__xludf.DUMMYFUNCTION("""COMPUTED_VALUE"""),"2022-07-04T15:53:36.546Z")</f>
        <v>2022-07-04T15:53:36.546Z</v>
      </c>
    </row>
    <row r="2905" spans="1:10" x14ac:dyDescent="0.2">
      <c r="A2905" s="2" t="str">
        <f ca="1">IFERROR(__xludf.DUMMYFUNCTION("""COMPUTED_VALUE"""),"https://www.facebook.com/johannis.dihayco")</f>
        <v>https://www.facebook.com/johannis.dihayco</v>
      </c>
      <c r="B2905" s="1" t="str">
        <f ca="1">IFERROR(__xludf.DUMMYFUNCTION("""COMPUTED_VALUE"""),"Johannis Dihayco")</f>
        <v>Johannis Dihayco</v>
      </c>
      <c r="C2905" s="1" t="str">
        <f ca="1">IFERROR(__xludf.DUMMYFUNCTION("""COMPUTED_VALUE"""),"Johannis")</f>
        <v>Johannis</v>
      </c>
      <c r="D2905" s="1" t="str">
        <f ca="1">IFERROR(__xludf.DUMMYFUNCTION("""COMPUTED_VALUE"""),"Dihayco")</f>
        <v>Dihayco</v>
      </c>
      <c r="E2905" s="1" t="str">
        <f ca="1">IFERROR(__xludf.DUMMYFUNCTION("""COMPUTED_VALUE"""),"TAMANG-TAMA ang sinabi ni Pambansang Kamao Sen. Manny Pacquiao dito:  “Kung boboto tayo sa NAGNANAKAW, NAGSASAMANTALA sa ‘tin, sino sisihin natin?”    Di ba ang SARILING KATANGAHAN din?  Mas tama pa siyang mag-isip kaysa isang kandidato na panay iwas sa d"&amp;"ebate.")</f>
        <v>TAMANG-TAMA ang sinabi ni Pambansang Kamao Sen. Manny Pacquiao dito:  “Kung boboto tayo sa NAGNANAKAW, NAGSASAMANTALA sa ‘tin, sino sisihin natin?”    Di ba ang SARILING KATANGAHAN din?  Mas tama pa siyang mag-isip kaysa isang kandidato na panay iwas sa debate.</v>
      </c>
      <c r="F2905" s="1">
        <f ca="1">IFERROR(__xludf.DUMMYFUNCTION("""COMPUTED_VALUE"""),4)</f>
        <v>4</v>
      </c>
      <c r="G2905" s="1" t="str">
        <f ca="1">IFERROR(__xludf.DUMMYFUNCTION("""COMPUTED_VALUE"""),"3 mos")</f>
        <v>3 mos</v>
      </c>
      <c r="H2905" s="1" t="str">
        <f ca="1">IFERROR(__xludf.DUMMYFUNCTION("""COMPUTED_VALUE"""),"comment")</f>
        <v>comment</v>
      </c>
      <c r="I2905" s="2" t="str">
        <f ca="1">IFERROR(__xludf.DUMMYFUNCTION("""COMPUTED_VALUE"""),"https://www.facebook.com/rapplerdotcom/photos/a.317154781638645/5594453700575367/")</f>
        <v>https://www.facebook.com/rapplerdotcom/photos/a.317154781638645/5594453700575367/</v>
      </c>
      <c r="J2905" s="1" t="str">
        <f ca="1">IFERROR(__xludf.DUMMYFUNCTION("""COMPUTED_VALUE"""),"2022-07-04T15:53:36.546Z")</f>
        <v>2022-07-04T15:53:36.546Z</v>
      </c>
    </row>
    <row r="2906" spans="1:10" x14ac:dyDescent="0.2">
      <c r="A2906" s="2" t="str">
        <f ca="1">IFERROR(__xludf.DUMMYFUNCTION("""COMPUTED_VALUE"""),"https://www.facebook.com/emmanuel.bernardino.391")</f>
        <v>https://www.facebook.com/emmanuel.bernardino.391</v>
      </c>
      <c r="B2906" s="1" t="str">
        <f ca="1">IFERROR(__xludf.DUMMYFUNCTION("""COMPUTED_VALUE"""),"Manny Bernardino")</f>
        <v>Manny Bernardino</v>
      </c>
      <c r="C2906" s="1" t="str">
        <f ca="1">IFERROR(__xludf.DUMMYFUNCTION("""COMPUTED_VALUE"""),"Manny")</f>
        <v>Manny</v>
      </c>
      <c r="D2906" s="1" t="str">
        <f ca="1">IFERROR(__xludf.DUMMYFUNCTION("""COMPUTED_VALUE"""),"Bernardino")</f>
        <v>Bernardino</v>
      </c>
      <c r="E2906" s="1" t="str">
        <f ca="1">IFERROR(__xludf.DUMMYFUNCTION("""COMPUTED_VALUE"""),"Dati ng ngsisi ang tao wla kpa pera nun..")</f>
        <v>Dati ng ngsisi ang tao wla kpa pera nun..</v>
      </c>
      <c r="F2906" s="1"/>
      <c r="G2906" s="1" t="str">
        <f ca="1">IFERROR(__xludf.DUMMYFUNCTION("""COMPUTED_VALUE"""),"3 mos")</f>
        <v>3 mos</v>
      </c>
      <c r="H2906" s="1" t="str">
        <f ca="1">IFERROR(__xludf.DUMMYFUNCTION("""COMPUTED_VALUE"""),"comment")</f>
        <v>comment</v>
      </c>
      <c r="I2906" s="2" t="str">
        <f ca="1">IFERROR(__xludf.DUMMYFUNCTION("""COMPUTED_VALUE"""),"https://www.facebook.com/rapplerdotcom/photos/a.317154781638645/5594453700575367/")</f>
        <v>https://www.facebook.com/rapplerdotcom/photos/a.317154781638645/5594453700575367/</v>
      </c>
      <c r="J2906" s="1" t="str">
        <f ca="1">IFERROR(__xludf.DUMMYFUNCTION("""COMPUTED_VALUE"""),"2022-07-04T15:53:36.546Z")</f>
        <v>2022-07-04T15:53:36.546Z</v>
      </c>
    </row>
    <row r="2907" spans="1:10" x14ac:dyDescent="0.2">
      <c r="A2907" s="2" t="str">
        <f ca="1">IFERROR(__xludf.DUMMYFUNCTION("""COMPUTED_VALUE"""),"https://www.facebook.com/jessie.villagracia.37")</f>
        <v>https://www.facebook.com/jessie.villagracia.37</v>
      </c>
      <c r="B2907" s="1" t="str">
        <f ca="1">IFERROR(__xludf.DUMMYFUNCTION("""COMPUTED_VALUE"""),"Jessie Villagracia")</f>
        <v>Jessie Villagracia</v>
      </c>
      <c r="C2907" s="1" t="str">
        <f ca="1">IFERROR(__xludf.DUMMYFUNCTION("""COMPUTED_VALUE"""),"Jessie")</f>
        <v>Jessie</v>
      </c>
      <c r="D2907" s="1" t="str">
        <f ca="1">IFERROR(__xludf.DUMMYFUNCTION("""COMPUTED_VALUE"""),"Villagracia")</f>
        <v>Villagracia</v>
      </c>
      <c r="E2907" s="1" t="str">
        <f ca="1">IFERROR(__xludf.DUMMYFUNCTION("""COMPUTED_VALUE"""),"Masyado nag mamagaling wala naman iba msabi kondi nakaw3 e wala naman ninakaw sa kanya dahil noon ay mahirap ka rin ano ninakaw sayo ?kailan ka lang ba lumitaw sa mondo ?wala kapang alam ,ngayon kong mag dal2 ka parang confermado mo na lahat ,dalhin mo sa"&amp;"korte doon mo patunayan yan mga bintang nyo doon kato mag tagisan ng talino")</f>
        <v>Masyado nag mamagaling wala naman iba msabi kondi nakaw3 e wala naman ninakaw sa kanya dahil noon ay mahirap ka rin ano ninakaw sayo ?kailan ka lang ba lumitaw sa mondo ?wala kapang alam ,ngayon kong mag dal2 ka parang confermado mo na lahat ,dalhin mo sakorte doon mo patunayan yan mga bintang nyo doon kato mag tagisan ng talino</v>
      </c>
      <c r="F2907" s="1"/>
      <c r="G2907" s="1" t="str">
        <f ca="1">IFERROR(__xludf.DUMMYFUNCTION("""COMPUTED_VALUE"""),"3 mos")</f>
        <v>3 mos</v>
      </c>
      <c r="H2907" s="1" t="str">
        <f ca="1">IFERROR(__xludf.DUMMYFUNCTION("""COMPUTED_VALUE"""),"comment")</f>
        <v>comment</v>
      </c>
      <c r="I2907" s="2" t="str">
        <f ca="1">IFERROR(__xludf.DUMMYFUNCTION("""COMPUTED_VALUE"""),"https://www.facebook.com/rapplerdotcom/photos/a.317154781638645/5594453700575367/")</f>
        <v>https://www.facebook.com/rapplerdotcom/photos/a.317154781638645/5594453700575367/</v>
      </c>
      <c r="J2907" s="1" t="str">
        <f ca="1">IFERROR(__xludf.DUMMYFUNCTION("""COMPUTED_VALUE"""),"2022-07-04T15:53:36.547Z")</f>
        <v>2022-07-04T15:53:36.547Z</v>
      </c>
    </row>
    <row r="2908" spans="1:10" x14ac:dyDescent="0.2">
      <c r="A2908" s="2" t="str">
        <f ca="1">IFERROR(__xludf.DUMMYFUNCTION("""COMPUTED_VALUE"""),"https://www.facebook.com/jocelyn.a.diaz.58")</f>
        <v>https://www.facebook.com/jocelyn.a.diaz.58</v>
      </c>
      <c r="B2908" s="1" t="str">
        <f ca="1">IFERROR(__xludf.DUMMYFUNCTION("""COMPUTED_VALUE"""),"Jocelyn A Santos Diaz")</f>
        <v>Jocelyn A Santos Diaz</v>
      </c>
      <c r="C2908" s="1" t="str">
        <f ca="1">IFERROR(__xludf.DUMMYFUNCTION("""COMPUTED_VALUE"""),"Jocelyn")</f>
        <v>Jocelyn</v>
      </c>
      <c r="D2908" s="1" t="str">
        <f ca="1">IFERROR(__xludf.DUMMYFUNCTION("""COMPUTED_VALUE"""),"A Santos Diaz")</f>
        <v>A Santos Diaz</v>
      </c>
      <c r="E2908" s="1" t="str">
        <f ca="1">IFERROR(__xludf.DUMMYFUNCTION("""COMPUTED_VALUE"""),"Para walang problema kapag may bahid yong tao hindi kamag anak nag nakaw na napatunayan pag apply pa lang ng puwesto para kumandidato disqualified na hehehe")</f>
        <v>Para walang problema kapag may bahid yong tao hindi kamag anak nag nakaw na napatunayan pag apply pa lang ng puwesto para kumandidato disqualified na hehehe</v>
      </c>
      <c r="F2908" s="1"/>
      <c r="G2908" s="1" t="str">
        <f ca="1">IFERROR(__xludf.DUMMYFUNCTION("""COMPUTED_VALUE"""),"3 mos")</f>
        <v>3 mos</v>
      </c>
      <c r="H2908" s="1" t="str">
        <f ca="1">IFERROR(__xludf.DUMMYFUNCTION("""COMPUTED_VALUE"""),"comment")</f>
        <v>comment</v>
      </c>
      <c r="I2908" s="2" t="str">
        <f ca="1">IFERROR(__xludf.DUMMYFUNCTION("""COMPUTED_VALUE"""),"https://www.facebook.com/rapplerdotcom/photos/a.317154781638645/5594453700575367/")</f>
        <v>https://www.facebook.com/rapplerdotcom/photos/a.317154781638645/5594453700575367/</v>
      </c>
      <c r="J2908" s="1" t="str">
        <f ca="1">IFERROR(__xludf.DUMMYFUNCTION("""COMPUTED_VALUE"""),"2022-07-04T15:53:36.547Z")</f>
        <v>2022-07-04T15:53:36.547Z</v>
      </c>
    </row>
    <row r="2909" spans="1:10" x14ac:dyDescent="0.2">
      <c r="A2909" s="2" t="str">
        <f ca="1">IFERROR(__xludf.DUMMYFUNCTION("""COMPUTED_VALUE"""),"https://www.facebook.com/teresa.plamor")</f>
        <v>https://www.facebook.com/teresa.plamor</v>
      </c>
      <c r="B2909" s="1" t="str">
        <f ca="1">IFERROR(__xludf.DUMMYFUNCTION("""COMPUTED_VALUE"""),"Terry Recto")</f>
        <v>Terry Recto</v>
      </c>
      <c r="C2909" s="1" t="str">
        <f ca="1">IFERROR(__xludf.DUMMYFUNCTION("""COMPUTED_VALUE"""),"Terry")</f>
        <v>Terry</v>
      </c>
      <c r="D2909" s="1" t="str">
        <f ca="1">IFERROR(__xludf.DUMMYFUNCTION("""COMPUTED_VALUE"""),"Recto")</f>
        <v>Recto</v>
      </c>
      <c r="E2909" s="1" t="str">
        <f ca="1">IFERROR(__xludf.DUMMYFUNCTION("""COMPUTED_VALUE"""),"Tama si sen,manny mahirap nga naman pag ang mka upo na pres. Corrupt, i agree")</f>
        <v>Tama si sen,manny mahirap nga naman pag ang mka upo na pres. Corrupt, i agree</v>
      </c>
      <c r="F2909" s="1">
        <f ca="1">IFERROR(__xludf.DUMMYFUNCTION("""COMPUTED_VALUE"""),7)</f>
        <v>7</v>
      </c>
      <c r="G2909" s="1" t="str">
        <f ca="1">IFERROR(__xludf.DUMMYFUNCTION("""COMPUTED_VALUE"""),"3 mos")</f>
        <v>3 mos</v>
      </c>
      <c r="H2909" s="1" t="str">
        <f ca="1">IFERROR(__xludf.DUMMYFUNCTION("""COMPUTED_VALUE"""),"comment")</f>
        <v>comment</v>
      </c>
      <c r="I2909" s="2" t="str">
        <f ca="1">IFERROR(__xludf.DUMMYFUNCTION("""COMPUTED_VALUE"""),"https://www.facebook.com/rapplerdotcom/photos/a.317154781638645/5594453700575367/")</f>
        <v>https://www.facebook.com/rapplerdotcom/photos/a.317154781638645/5594453700575367/</v>
      </c>
      <c r="J2909" s="1" t="str">
        <f ca="1">IFERROR(__xludf.DUMMYFUNCTION("""COMPUTED_VALUE"""),"2022-07-04T15:53:36.547Z")</f>
        <v>2022-07-04T15:53:36.547Z</v>
      </c>
    </row>
    <row r="2910" spans="1:10" x14ac:dyDescent="0.2">
      <c r="A2910" s="2" t="str">
        <f ca="1">IFERROR(__xludf.DUMMYFUNCTION("""COMPUTED_VALUE"""),"https://www.facebook.com/janicebalicoco2485")</f>
        <v>https://www.facebook.com/janicebalicoco2485</v>
      </c>
      <c r="B2910" s="1" t="str">
        <f ca="1">IFERROR(__xludf.DUMMYFUNCTION("""COMPUTED_VALUE"""),"Icenhaj MB")</f>
        <v>Icenhaj MB</v>
      </c>
      <c r="C2910" s="1" t="str">
        <f ca="1">IFERROR(__xludf.DUMMYFUNCTION("""COMPUTED_VALUE"""),"Icenhaj")</f>
        <v>Icenhaj</v>
      </c>
      <c r="D2910" s="1" t="str">
        <f ca="1">IFERROR(__xludf.DUMMYFUNCTION("""COMPUTED_VALUE"""),"MB")</f>
        <v>MB</v>
      </c>
      <c r="E2910" s="1" t="str">
        <f ca="1">IFERROR(__xludf.DUMMYFUNCTION("""COMPUTED_VALUE"""),"Terry Recto kinsa man pod daw kuno ang pulitician mam di corrupt daw be?")</f>
        <v>Terry Recto kinsa man pod daw kuno ang pulitician mam di corrupt daw be?</v>
      </c>
      <c r="F2910" s="1"/>
      <c r="G2910" s="1" t="str">
        <f ca="1">IFERROR(__xludf.DUMMYFUNCTION("""COMPUTED_VALUE"""),"3 mos")</f>
        <v>3 mos</v>
      </c>
      <c r="H2910" s="1" t="str">
        <f ca="1">IFERROR(__xludf.DUMMYFUNCTION("""COMPUTED_VALUE"""),"reply")</f>
        <v>reply</v>
      </c>
      <c r="I2910" s="2" t="str">
        <f ca="1">IFERROR(__xludf.DUMMYFUNCTION("""COMPUTED_VALUE"""),"https://www.facebook.com/rapplerdotcom/photos/a.317154781638645/5594453700575367/")</f>
        <v>https://www.facebook.com/rapplerdotcom/photos/a.317154781638645/5594453700575367/</v>
      </c>
      <c r="J2910" s="1" t="str">
        <f ca="1">IFERROR(__xludf.DUMMYFUNCTION("""COMPUTED_VALUE"""),"2022-07-04T15:53:36.547Z")</f>
        <v>2022-07-04T15:53:36.547Z</v>
      </c>
    </row>
    <row r="2911" spans="1:10" x14ac:dyDescent="0.2">
      <c r="A2911" s="2" t="str">
        <f ca="1">IFERROR(__xludf.DUMMYFUNCTION("""COMPUTED_VALUE"""),"https://www.facebook.com/juan.tajanlangit.5")</f>
        <v>https://www.facebook.com/juan.tajanlangit.5</v>
      </c>
      <c r="B2911" s="1" t="str">
        <f ca="1">IFERROR(__xludf.DUMMYFUNCTION("""COMPUTED_VALUE"""),"Juan Tajanlangit")</f>
        <v>Juan Tajanlangit</v>
      </c>
      <c r="C2911" s="1" t="str">
        <f ca="1">IFERROR(__xludf.DUMMYFUNCTION("""COMPUTED_VALUE"""),"Juan")</f>
        <v>Juan</v>
      </c>
      <c r="D2911" s="1" t="str">
        <f ca="1">IFERROR(__xludf.DUMMYFUNCTION("""COMPUTED_VALUE"""),"Tajanlangit")</f>
        <v>Tajanlangit</v>
      </c>
      <c r="E2911" s="1" t="str">
        <f ca="1">IFERROR(__xludf.DUMMYFUNCTION("""COMPUTED_VALUE"""),"Terry Recto tama kau")</f>
        <v>Terry Recto tama kau</v>
      </c>
      <c r="F2911" s="1"/>
      <c r="G2911" s="1" t="str">
        <f ca="1">IFERROR(__xludf.DUMMYFUNCTION("""COMPUTED_VALUE"""),"3 mos")</f>
        <v>3 mos</v>
      </c>
      <c r="H2911" s="1" t="str">
        <f ca="1">IFERROR(__xludf.DUMMYFUNCTION("""COMPUTED_VALUE"""),"reply")</f>
        <v>reply</v>
      </c>
      <c r="I2911" s="2" t="str">
        <f ca="1">IFERROR(__xludf.DUMMYFUNCTION("""COMPUTED_VALUE"""),"https://www.facebook.com/rapplerdotcom/photos/a.317154781638645/5594453700575367/")</f>
        <v>https://www.facebook.com/rapplerdotcom/photos/a.317154781638645/5594453700575367/</v>
      </c>
      <c r="J2911" s="1" t="str">
        <f ca="1">IFERROR(__xludf.DUMMYFUNCTION("""COMPUTED_VALUE"""),"2022-07-04T15:53:36.547Z")</f>
        <v>2022-07-04T15:53:36.547Z</v>
      </c>
    </row>
    <row r="2912" spans="1:10" x14ac:dyDescent="0.2">
      <c r="A2912" s="2" t="str">
        <f ca="1">IFERROR(__xludf.DUMMYFUNCTION("""COMPUTED_VALUE"""),"https://www.facebook.com/martin.orsal.1")</f>
        <v>https://www.facebook.com/martin.orsal.1</v>
      </c>
      <c r="B2912" s="1" t="str">
        <f ca="1">IFERROR(__xludf.DUMMYFUNCTION("""COMPUTED_VALUE"""),"Martin Orsal")</f>
        <v>Martin Orsal</v>
      </c>
      <c r="C2912" s="1" t="str">
        <f ca="1">IFERROR(__xludf.DUMMYFUNCTION("""COMPUTED_VALUE"""),"Martin")</f>
        <v>Martin</v>
      </c>
      <c r="D2912" s="1" t="str">
        <f ca="1">IFERROR(__xludf.DUMMYFUNCTION("""COMPUTED_VALUE"""),"Orsal")</f>
        <v>Orsal</v>
      </c>
      <c r="E2912" s="1" t="str">
        <f ca="1">IFERROR(__xludf.DUMMYFUNCTION("""COMPUTED_VALUE"""),"Terry Recto sapalagay mo nd yn mag nanakaw c pacquiao nd pa presidente nag nakaw na yn Ng 3,5 bilion kyo na Ang humosga")</f>
        <v>Terry Recto sapalagay mo nd yn mag nanakaw c pacquiao nd pa presidente nag nakaw na yn Ng 3,5 bilion kyo na Ang humosga</v>
      </c>
      <c r="F2912" s="1">
        <f ca="1">IFERROR(__xludf.DUMMYFUNCTION("""COMPUTED_VALUE"""),2)</f>
        <v>2</v>
      </c>
      <c r="G2912" s="1" t="str">
        <f ca="1">IFERROR(__xludf.DUMMYFUNCTION("""COMPUTED_VALUE"""),"3 mos")</f>
        <v>3 mos</v>
      </c>
      <c r="H2912" s="1" t="str">
        <f ca="1">IFERROR(__xludf.DUMMYFUNCTION("""COMPUTED_VALUE"""),"reply")</f>
        <v>reply</v>
      </c>
      <c r="I2912" s="2" t="str">
        <f ca="1">IFERROR(__xludf.DUMMYFUNCTION("""COMPUTED_VALUE"""),"https://www.facebook.com/rapplerdotcom/photos/a.317154781638645/5594453700575367/")</f>
        <v>https://www.facebook.com/rapplerdotcom/photos/a.317154781638645/5594453700575367/</v>
      </c>
      <c r="J2912" s="1" t="str">
        <f ca="1">IFERROR(__xludf.DUMMYFUNCTION("""COMPUTED_VALUE"""),"2022-07-04T15:53:36.547Z")</f>
        <v>2022-07-04T15:53:36.547Z</v>
      </c>
    </row>
    <row r="2913" spans="1:10" x14ac:dyDescent="0.2">
      <c r="A2913" s="2" t="str">
        <f ca="1">IFERROR(__xludf.DUMMYFUNCTION("""COMPUTED_VALUE"""),"https://www.facebook.com/jessie.villagracia.37")</f>
        <v>https://www.facebook.com/jessie.villagracia.37</v>
      </c>
      <c r="B2913" s="1" t="str">
        <f ca="1">IFERROR(__xludf.DUMMYFUNCTION("""COMPUTED_VALUE"""),"Jessie Villagracia")</f>
        <v>Jessie Villagracia</v>
      </c>
      <c r="C2913" s="1" t="str">
        <f ca="1">IFERROR(__xludf.DUMMYFUNCTION("""COMPUTED_VALUE"""),"Jessie")</f>
        <v>Jessie</v>
      </c>
      <c r="D2913" s="1" t="str">
        <f ca="1">IFERROR(__xludf.DUMMYFUNCTION("""COMPUTED_VALUE"""),"Villagracia")</f>
        <v>Villagracia</v>
      </c>
      <c r="E2913" s="1" t="str">
        <f ca="1">IFERROR(__xludf.DUMMYFUNCTION("""COMPUTED_VALUE"""),"Terry Recto lahat  kayo mgaling nd lang ikaw may kanya2 kayong kagalingan  wag mong ipilit na mas magaling ka ,sa bgay magaling ka mag boxing may kanya2 kayongexpertice ikaw magaling maghusga daig mo pa hukom umay na kami  pag kain nga kahit anong sarap p"&amp;"ag lagi2 na lang nakakasaw rin")</f>
        <v>Terry Recto lahat  kayo mgaling nd lang ikaw may kanya2 kayong kagalingan  wag mong ipilit na mas magaling ka ,sa bgay magaling ka mag boxing may kanya2 kayongexpertice ikaw magaling maghusga daig mo pa hukom umay na kami  pag kain nga kahit anong sarap pag lagi2 na lang nakakasaw rin</v>
      </c>
      <c r="F2913" s="1"/>
      <c r="G2913" s="1" t="str">
        <f ca="1">IFERROR(__xludf.DUMMYFUNCTION("""COMPUTED_VALUE"""),"3 mos")</f>
        <v>3 mos</v>
      </c>
      <c r="H2913" s="1" t="str">
        <f ca="1">IFERROR(__xludf.DUMMYFUNCTION("""COMPUTED_VALUE"""),"reply")</f>
        <v>reply</v>
      </c>
      <c r="I2913" s="2" t="str">
        <f ca="1">IFERROR(__xludf.DUMMYFUNCTION("""COMPUTED_VALUE"""),"https://www.facebook.com/rapplerdotcom/photos/a.317154781638645/5594453700575367/")</f>
        <v>https://www.facebook.com/rapplerdotcom/photos/a.317154781638645/5594453700575367/</v>
      </c>
      <c r="J2913" s="1" t="str">
        <f ca="1">IFERROR(__xludf.DUMMYFUNCTION("""COMPUTED_VALUE"""),"2022-07-04T15:53:36.547Z")</f>
        <v>2022-07-04T15:53:36.547Z</v>
      </c>
    </row>
    <row r="2914" spans="1:10" x14ac:dyDescent="0.2">
      <c r="A2914" s="2" t="str">
        <f ca="1">IFERROR(__xludf.DUMMYFUNCTION("""COMPUTED_VALUE"""),"https://www.facebook.com/johnny.collantes.37")</f>
        <v>https://www.facebook.com/johnny.collantes.37</v>
      </c>
      <c r="B2914" s="1" t="str">
        <f ca="1">IFERROR(__xludf.DUMMYFUNCTION("""COMPUTED_VALUE"""),"Johnny Collantes")</f>
        <v>Johnny Collantes</v>
      </c>
      <c r="C2914" s="1" t="str">
        <f ca="1">IFERROR(__xludf.DUMMYFUNCTION("""COMPUTED_VALUE"""),"Johnny")</f>
        <v>Johnny</v>
      </c>
      <c r="D2914" s="1" t="str">
        <f ca="1">IFERROR(__xludf.DUMMYFUNCTION("""COMPUTED_VALUE"""),"Collantes")</f>
        <v>Collantes</v>
      </c>
      <c r="E2914" s="1" t="str">
        <f ca="1">IFERROR(__xludf.DUMMYFUNCTION("""COMPUTED_VALUE"""),"Tama! mahirap nga naman makaupo na pres. Corrupt kaya hindi ko iboboto si Manny")</f>
        <v>Tama! mahirap nga naman makaupo na pres. Corrupt kaya hindi ko iboboto si Manny</v>
      </c>
      <c r="F2914" s="1"/>
      <c r="G2914" s="1" t="str">
        <f ca="1">IFERROR(__xludf.DUMMYFUNCTION("""COMPUTED_VALUE"""),"3 mos")</f>
        <v>3 mos</v>
      </c>
      <c r="H2914" s="1" t="str">
        <f ca="1">IFERROR(__xludf.DUMMYFUNCTION("""COMPUTED_VALUE"""),"reply")</f>
        <v>reply</v>
      </c>
      <c r="I2914" s="2" t="str">
        <f ca="1">IFERROR(__xludf.DUMMYFUNCTION("""COMPUTED_VALUE"""),"https://www.facebook.com/rapplerdotcom/photos/a.317154781638645/5594453700575367/")</f>
        <v>https://www.facebook.com/rapplerdotcom/photos/a.317154781638645/5594453700575367/</v>
      </c>
      <c r="J2914" s="1" t="str">
        <f ca="1">IFERROR(__xludf.DUMMYFUNCTION("""COMPUTED_VALUE"""),"2022-07-04T15:53:36.547Z")</f>
        <v>2022-07-04T15:53:36.547Z</v>
      </c>
    </row>
    <row r="2915" spans="1:10" x14ac:dyDescent="0.2">
      <c r="A2915" s="2" t="str">
        <f ca="1">IFERROR(__xludf.DUMMYFUNCTION("""COMPUTED_VALUE"""),"https://www.facebook.com/daijing.dizon")</f>
        <v>https://www.facebook.com/daijing.dizon</v>
      </c>
      <c r="B2915" s="1" t="str">
        <f ca="1">IFERROR(__xludf.DUMMYFUNCTION("""COMPUTED_VALUE"""),"Dai-Jing Ganaden Dizon")</f>
        <v>Dai-Jing Ganaden Dizon</v>
      </c>
      <c r="C2915" s="1" t="str">
        <f ca="1">IFERROR(__xludf.DUMMYFUNCTION("""COMPUTED_VALUE"""),"Dai-Jing")</f>
        <v>Dai-Jing</v>
      </c>
      <c r="D2915" s="1" t="str">
        <f ca="1">IFERROR(__xludf.DUMMYFUNCTION("""COMPUTED_VALUE"""),"Ganaden Dizon")</f>
        <v>Ganaden Dizon</v>
      </c>
      <c r="E2915" s="1" t="str">
        <f ca="1">IFERROR(__xludf.DUMMYFUNCTION("""COMPUTED_VALUE"""),"Maka Diyos pero garaveh manghusga ng tao")</f>
        <v>Maka Diyos pero garaveh manghusga ng tao</v>
      </c>
      <c r="F2915" s="1"/>
      <c r="G2915" s="1" t="str">
        <f ca="1">IFERROR(__xludf.DUMMYFUNCTION("""COMPUTED_VALUE"""),"3 mos")</f>
        <v>3 mos</v>
      </c>
      <c r="H2915" s="1" t="str">
        <f ca="1">IFERROR(__xludf.DUMMYFUNCTION("""COMPUTED_VALUE"""),"comment")</f>
        <v>comment</v>
      </c>
      <c r="I2915" s="2" t="str">
        <f ca="1">IFERROR(__xludf.DUMMYFUNCTION("""COMPUTED_VALUE"""),"https://www.facebook.com/rapplerdotcom/photos/a.317154781638645/5594453700575367/")</f>
        <v>https://www.facebook.com/rapplerdotcom/photos/a.317154781638645/5594453700575367/</v>
      </c>
      <c r="J2915" s="1" t="str">
        <f ca="1">IFERROR(__xludf.DUMMYFUNCTION("""COMPUTED_VALUE"""),"2022-07-04T15:53:36.547Z")</f>
        <v>2022-07-04T15:53:36.547Z</v>
      </c>
    </row>
    <row r="2916" spans="1:10" x14ac:dyDescent="0.2">
      <c r="A2916" s="2" t="str">
        <f ca="1">IFERROR(__xludf.DUMMYFUNCTION("""COMPUTED_VALUE"""),"https://www.facebook.com/lilia.aquino.3367")</f>
        <v>https://www.facebook.com/lilia.aquino.3367</v>
      </c>
      <c r="B2916" s="1" t="str">
        <f ca="1">IFERROR(__xludf.DUMMYFUNCTION("""COMPUTED_VALUE"""),"Lilia Aquino")</f>
        <v>Lilia Aquino</v>
      </c>
      <c r="C2916" s="1" t="str">
        <f ca="1">IFERROR(__xludf.DUMMYFUNCTION("""COMPUTED_VALUE"""),"Lilia")</f>
        <v>Lilia</v>
      </c>
      <c r="D2916" s="1" t="str">
        <f ca="1">IFERROR(__xludf.DUMMYFUNCTION("""COMPUTED_VALUE"""),"Aquino")</f>
        <v>Aquino</v>
      </c>
      <c r="E2916" s="1" t="str">
        <f ca="1">IFERROR(__xludf.DUMMYFUNCTION("""COMPUTED_VALUE"""),"Manny kung wala ka ng sasabihin tumigil kana paulitulit  na yan na issue hayaan mo kaming pimili  ang karapatdapat na maging  presidente  sa ating bansa,huwag mo kang mangarap na maging presidente dahil hindi mo deserve yan na posisyon 👎👎👎")</f>
        <v>Manny kung wala ka ng sasabihin tumigil kana paulitulit  na yan na issue hayaan mo kaming pimili  ang karapatdapat na maging  presidente  sa ating bansa,huwag mo kang mangarap na maging presidente dahil hindi mo deserve yan na posisyon 👎👎👎</v>
      </c>
      <c r="F2916" s="1">
        <f ca="1">IFERROR(__xludf.DUMMYFUNCTION("""COMPUTED_VALUE"""),2)</f>
        <v>2</v>
      </c>
      <c r="G2916" s="1" t="str">
        <f ca="1">IFERROR(__xludf.DUMMYFUNCTION("""COMPUTED_VALUE"""),"3 mos")</f>
        <v>3 mos</v>
      </c>
      <c r="H2916" s="1" t="str">
        <f ca="1">IFERROR(__xludf.DUMMYFUNCTION("""COMPUTED_VALUE"""),"comment")</f>
        <v>comment</v>
      </c>
      <c r="I2916" s="2" t="str">
        <f ca="1">IFERROR(__xludf.DUMMYFUNCTION("""COMPUTED_VALUE"""),"https://www.facebook.com/rapplerdotcom/photos/a.317154781638645/5594453700575367/")</f>
        <v>https://www.facebook.com/rapplerdotcom/photos/a.317154781638645/5594453700575367/</v>
      </c>
      <c r="J2916" s="1" t="str">
        <f ca="1">IFERROR(__xludf.DUMMYFUNCTION("""COMPUTED_VALUE"""),"2022-07-04T15:53:36.547Z")</f>
        <v>2022-07-04T15:53:36.547Z</v>
      </c>
    </row>
    <row r="2917" spans="1:10" x14ac:dyDescent="0.2">
      <c r="A2917" s="2" t="str">
        <f ca="1">IFERROR(__xludf.DUMMYFUNCTION("""COMPUTED_VALUE"""),"https://www.facebook.com/profile.php?id=100071338364446")</f>
        <v>https://www.facebook.com/profile.php?id=100071338364446</v>
      </c>
      <c r="B2917" s="1" t="str">
        <f ca="1">IFERROR(__xludf.DUMMYFUNCTION("""COMPUTED_VALUE"""),"Venancio Ylar")</f>
        <v>Venancio Ylar</v>
      </c>
      <c r="C2917" s="1" t="str">
        <f ca="1">IFERROR(__xludf.DUMMYFUNCTION("""COMPUTED_VALUE"""),"Venancio")</f>
        <v>Venancio</v>
      </c>
      <c r="D2917" s="1" t="str">
        <f ca="1">IFERROR(__xludf.DUMMYFUNCTION("""COMPUTED_VALUE"""),"Ylar")</f>
        <v>Ylar</v>
      </c>
      <c r="E2917" s="1" t="str">
        <f ca="1">IFERROR(__xludf.DUMMYFUNCTION("""COMPUTED_VALUE"""),"Nagbabasa ka ba ng biblia  Manny? Akala ko ikaw ay isang born again christian. Dapat binago mo ang maling pagsasalita mo sa kapwa mo kandidato.")</f>
        <v>Nagbabasa ka ba ng biblia  Manny? Akala ko ikaw ay isang born again christian. Dapat binago mo ang maling pagsasalita mo sa kapwa mo kandidato.</v>
      </c>
      <c r="F2917" s="1"/>
      <c r="G2917" s="1" t="str">
        <f ca="1">IFERROR(__xludf.DUMMYFUNCTION("""COMPUTED_VALUE"""),"3 mos")</f>
        <v>3 mos</v>
      </c>
      <c r="H2917" s="1" t="str">
        <f ca="1">IFERROR(__xludf.DUMMYFUNCTION("""COMPUTED_VALUE"""),"comment")</f>
        <v>comment</v>
      </c>
      <c r="I2917" s="2" t="str">
        <f ca="1">IFERROR(__xludf.DUMMYFUNCTION("""COMPUTED_VALUE"""),"https://www.facebook.com/rapplerdotcom/photos/a.317154781638645/5594453700575367/")</f>
        <v>https://www.facebook.com/rapplerdotcom/photos/a.317154781638645/5594453700575367/</v>
      </c>
      <c r="J2917" s="1" t="str">
        <f ca="1">IFERROR(__xludf.DUMMYFUNCTION("""COMPUTED_VALUE"""),"2022-07-04T15:53:36.547Z")</f>
        <v>2022-07-04T15:53:36.547Z</v>
      </c>
    </row>
    <row r="2918" spans="1:10" x14ac:dyDescent="0.2">
      <c r="A2918" s="2" t="str">
        <f ca="1">IFERROR(__xludf.DUMMYFUNCTION("""COMPUTED_VALUE"""),"https://www.facebook.com/zeny.gallatiera")</f>
        <v>https://www.facebook.com/zeny.gallatiera</v>
      </c>
      <c r="B2918" s="1" t="str">
        <f ca="1">IFERROR(__xludf.DUMMYFUNCTION("""COMPUTED_VALUE"""),"Zeny Gallatiera")</f>
        <v>Zeny Gallatiera</v>
      </c>
      <c r="C2918" s="1" t="str">
        <f ca="1">IFERROR(__xludf.DUMMYFUNCTION("""COMPUTED_VALUE"""),"Zeny")</f>
        <v>Zeny</v>
      </c>
      <c r="D2918" s="1" t="str">
        <f ca="1">IFERROR(__xludf.DUMMYFUNCTION("""COMPUTED_VALUE"""),"Gallatiera")</f>
        <v>Gallatiera</v>
      </c>
      <c r="E2918" s="1" t="str">
        <f ca="1">IFERROR(__xludf.DUMMYFUNCTION("""COMPUTED_VALUE"""),"Totoo po yan kaya sana support na lang kayo sa may pinaka mataas ang boto para matupad pangarap nyo")</f>
        <v>Totoo po yan kaya sana support na lang kayo sa may pinaka mataas ang boto para matupad pangarap nyo</v>
      </c>
      <c r="F2918" s="1"/>
      <c r="G2918" s="1" t="str">
        <f ca="1">IFERROR(__xludf.DUMMYFUNCTION("""COMPUTED_VALUE"""),"3 mos")</f>
        <v>3 mos</v>
      </c>
      <c r="H2918" s="1" t="str">
        <f ca="1">IFERROR(__xludf.DUMMYFUNCTION("""COMPUTED_VALUE"""),"comment")</f>
        <v>comment</v>
      </c>
      <c r="I2918" s="2" t="str">
        <f ca="1">IFERROR(__xludf.DUMMYFUNCTION("""COMPUTED_VALUE"""),"https://www.facebook.com/rapplerdotcom/photos/a.317154781638645/5594453700575367/")</f>
        <v>https://www.facebook.com/rapplerdotcom/photos/a.317154781638645/5594453700575367/</v>
      </c>
      <c r="J2918" s="1" t="str">
        <f ca="1">IFERROR(__xludf.DUMMYFUNCTION("""COMPUTED_VALUE"""),"2022-07-04T15:53:36.547Z")</f>
        <v>2022-07-04T15:53:36.547Z</v>
      </c>
    </row>
    <row r="2919" spans="1:10" x14ac:dyDescent="0.2">
      <c r="A2919" s="2" t="str">
        <f ca="1">IFERROR(__xludf.DUMMYFUNCTION("""COMPUTED_VALUE"""),"https://www.facebook.com/oscar.sibal")</f>
        <v>https://www.facebook.com/oscar.sibal</v>
      </c>
      <c r="B2919" s="1" t="str">
        <f ca="1">IFERROR(__xludf.DUMMYFUNCTION("""COMPUTED_VALUE"""),"Oscar V Sibal")</f>
        <v>Oscar V Sibal</v>
      </c>
      <c r="C2919" s="1" t="str">
        <f ca="1">IFERROR(__xludf.DUMMYFUNCTION("""COMPUTED_VALUE"""),"Oscar")</f>
        <v>Oscar</v>
      </c>
      <c r="D2919" s="1" t="str">
        <f ca="1">IFERROR(__xludf.DUMMYFUNCTION("""COMPUTED_VALUE"""),"V Sibal")</f>
        <v>V Sibal</v>
      </c>
      <c r="E2919" s="1" t="str">
        <f ca="1">IFERROR(__xludf.DUMMYFUNCTION("""COMPUTED_VALUE"""),"Tama ka champ!!")</f>
        <v>Tama ka champ!!</v>
      </c>
      <c r="F2919" s="1">
        <f ca="1">IFERROR(__xludf.DUMMYFUNCTION("""COMPUTED_VALUE"""),1)</f>
        <v>1</v>
      </c>
      <c r="G2919" s="1" t="str">
        <f ca="1">IFERROR(__xludf.DUMMYFUNCTION("""COMPUTED_VALUE"""),"3 mos")</f>
        <v>3 mos</v>
      </c>
      <c r="H2919" s="1" t="str">
        <f ca="1">IFERROR(__xludf.DUMMYFUNCTION("""COMPUTED_VALUE"""),"comment")</f>
        <v>comment</v>
      </c>
      <c r="I2919" s="2" t="str">
        <f ca="1">IFERROR(__xludf.DUMMYFUNCTION("""COMPUTED_VALUE"""),"https://www.facebook.com/rapplerdotcom/photos/a.317154781638645/5594453700575367/")</f>
        <v>https://www.facebook.com/rapplerdotcom/photos/a.317154781638645/5594453700575367/</v>
      </c>
      <c r="J2919" s="1" t="str">
        <f ca="1">IFERROR(__xludf.DUMMYFUNCTION("""COMPUTED_VALUE"""),"2022-07-04T15:53:36.547Z")</f>
        <v>2022-07-04T15:53:36.547Z</v>
      </c>
    </row>
    <row r="2920" spans="1:10" x14ac:dyDescent="0.2">
      <c r="A2920" s="2" t="str">
        <f ca="1">IFERROR(__xludf.DUMMYFUNCTION("""COMPUTED_VALUE"""),"https://www.facebook.com/irma.rubio.735")</f>
        <v>https://www.facebook.com/irma.rubio.735</v>
      </c>
      <c r="B2920" s="1" t="str">
        <f ca="1">IFERROR(__xludf.DUMMYFUNCTION("""COMPUTED_VALUE"""),"Irma Ramos Rubio")</f>
        <v>Irma Ramos Rubio</v>
      </c>
      <c r="C2920" s="1" t="str">
        <f ca="1">IFERROR(__xludf.DUMMYFUNCTION("""COMPUTED_VALUE"""),"Irma")</f>
        <v>Irma</v>
      </c>
      <c r="D2920" s="1" t="str">
        <f ca="1">IFERROR(__xludf.DUMMYFUNCTION("""COMPUTED_VALUE"""),"Ramos Rubio")</f>
        <v>Ramos Rubio</v>
      </c>
      <c r="E2920" s="1" t="str">
        <f ca="1">IFERROR(__xludf.DUMMYFUNCTION("""COMPUTED_VALUE"""),"Correct! Ka dyan Manny kc alm ny may bahid na ay binoto pa, kasalanan na ikw na mismo nagtulak pra gwin uli ng kandidato mo ang nagawa ny dati.....ang pag corrupt")</f>
        <v>Correct! Ka dyan Manny kc alm ny may bahid na ay binoto pa, kasalanan na ikw na mismo nagtulak pra gwin uli ng kandidato mo ang nagawa ny dati.....ang pag corrupt</v>
      </c>
      <c r="F2920" s="1">
        <f ca="1">IFERROR(__xludf.DUMMYFUNCTION("""COMPUTED_VALUE"""),2)</f>
        <v>2</v>
      </c>
      <c r="G2920" s="1" t="str">
        <f ca="1">IFERROR(__xludf.DUMMYFUNCTION("""COMPUTED_VALUE"""),"3 mos")</f>
        <v>3 mos</v>
      </c>
      <c r="H2920" s="1" t="str">
        <f ca="1">IFERROR(__xludf.DUMMYFUNCTION("""COMPUTED_VALUE"""),"comment")</f>
        <v>comment</v>
      </c>
      <c r="I2920" s="2" t="str">
        <f ca="1">IFERROR(__xludf.DUMMYFUNCTION("""COMPUTED_VALUE"""),"https://www.facebook.com/rapplerdotcom/photos/a.317154781638645/5594453700575367/")</f>
        <v>https://www.facebook.com/rapplerdotcom/photos/a.317154781638645/5594453700575367/</v>
      </c>
      <c r="J2920" s="1" t="str">
        <f ca="1">IFERROR(__xludf.DUMMYFUNCTION("""COMPUTED_VALUE"""),"2022-07-04T15:53:36.547Z")</f>
        <v>2022-07-04T15:53:36.547Z</v>
      </c>
    </row>
    <row r="2921" spans="1:10" x14ac:dyDescent="0.2">
      <c r="A2921" s="2" t="str">
        <f ca="1">IFERROR(__xludf.DUMMYFUNCTION("""COMPUTED_VALUE"""),"https://www.facebook.com/beth.n.luna")</f>
        <v>https://www.facebook.com/beth.n.luna</v>
      </c>
      <c r="B2921" s="1" t="str">
        <f ca="1">IFERROR(__xludf.DUMMYFUNCTION("""COMPUTED_VALUE"""),"Beth Nolan Luna")</f>
        <v>Beth Nolan Luna</v>
      </c>
      <c r="C2921" s="1" t="str">
        <f ca="1">IFERROR(__xludf.DUMMYFUNCTION("""COMPUTED_VALUE"""),"Beth")</f>
        <v>Beth</v>
      </c>
      <c r="D2921" s="1" t="str">
        <f ca="1">IFERROR(__xludf.DUMMYFUNCTION("""COMPUTED_VALUE"""),"Nolan Luna")</f>
        <v>Nolan Luna</v>
      </c>
      <c r="E2921" s="1" t="str">
        <f ca="1">IFERROR(__xludf.DUMMYFUNCTION("""COMPUTED_VALUE"""),"Tumpak!")</f>
        <v>Tumpak!</v>
      </c>
      <c r="F2921" s="1">
        <f ca="1">IFERROR(__xludf.DUMMYFUNCTION("""COMPUTED_VALUE"""),14)</f>
        <v>14</v>
      </c>
      <c r="G2921" s="1" t="str">
        <f ca="1">IFERROR(__xludf.DUMMYFUNCTION("""COMPUTED_VALUE"""),"3 mos")</f>
        <v>3 mos</v>
      </c>
      <c r="H2921" s="1" t="str">
        <f ca="1">IFERROR(__xludf.DUMMYFUNCTION("""COMPUTED_VALUE"""),"comment")</f>
        <v>comment</v>
      </c>
      <c r="I2921" s="2" t="str">
        <f ca="1">IFERROR(__xludf.DUMMYFUNCTION("""COMPUTED_VALUE"""),"https://www.facebook.com/rapplerdotcom/photos/a.317154781638645/5594453700575367/")</f>
        <v>https://www.facebook.com/rapplerdotcom/photos/a.317154781638645/5594453700575367/</v>
      </c>
      <c r="J2921" s="1" t="str">
        <f ca="1">IFERROR(__xludf.DUMMYFUNCTION("""COMPUTED_VALUE"""),"2022-07-04T15:53:36.547Z")</f>
        <v>2022-07-04T15:53:36.547Z</v>
      </c>
    </row>
    <row r="2922" spans="1:10" x14ac:dyDescent="0.2">
      <c r="A2922" s="2" t="str">
        <f ca="1">IFERROR(__xludf.DUMMYFUNCTION("""COMPUTED_VALUE"""),"https://www.facebook.com/virgilio.r.cruz.5")</f>
        <v>https://www.facebook.com/virgilio.r.cruz.5</v>
      </c>
      <c r="B2922" s="1" t="str">
        <f ca="1">IFERROR(__xludf.DUMMYFUNCTION("""COMPUTED_VALUE"""),"Virgilio R. Cruz")</f>
        <v>Virgilio R. Cruz</v>
      </c>
      <c r="C2922" s="1" t="str">
        <f ca="1">IFERROR(__xludf.DUMMYFUNCTION("""COMPUTED_VALUE"""),"Virgilio")</f>
        <v>Virgilio</v>
      </c>
      <c r="D2922" s="1" t="str">
        <f ca="1">IFERROR(__xludf.DUMMYFUNCTION("""COMPUTED_VALUE"""),"R. Cruz")</f>
        <v>R. Cruz</v>
      </c>
      <c r="E2922" s="1" t="str">
        <f ca="1">IFERROR(__xludf.DUMMYFUNCTION("""COMPUTED_VALUE"""),"Tumpak!")</f>
        <v>Tumpak!</v>
      </c>
      <c r="F2922" s="1"/>
      <c r="G2922" s="1" t="str">
        <f ca="1">IFERROR(__xludf.DUMMYFUNCTION("""COMPUTED_VALUE"""),"3 mos")</f>
        <v>3 mos</v>
      </c>
      <c r="H2922" s="1" t="str">
        <f ca="1">IFERROR(__xludf.DUMMYFUNCTION("""COMPUTED_VALUE"""),"comment")</f>
        <v>comment</v>
      </c>
      <c r="I2922" s="2" t="str">
        <f ca="1">IFERROR(__xludf.DUMMYFUNCTION("""COMPUTED_VALUE"""),"https://www.facebook.com/rapplerdotcom/photos/a.317154781638645/5594453700575367/")</f>
        <v>https://www.facebook.com/rapplerdotcom/photos/a.317154781638645/5594453700575367/</v>
      </c>
      <c r="J2922" s="1" t="str">
        <f ca="1">IFERROR(__xludf.DUMMYFUNCTION("""COMPUTED_VALUE"""),"2022-07-04T15:53:36.547Z")</f>
        <v>2022-07-04T15:53:36.547Z</v>
      </c>
    </row>
    <row r="2923" spans="1:10" x14ac:dyDescent="0.2">
      <c r="A2923" s="2" t="str">
        <f ca="1">IFERROR(__xludf.DUMMYFUNCTION("""COMPUTED_VALUE"""),"https://www.facebook.com/nessmark.altar")</f>
        <v>https://www.facebook.com/nessmark.altar</v>
      </c>
      <c r="B2923" s="1" t="str">
        <f ca="1">IFERROR(__xludf.DUMMYFUNCTION("""COMPUTED_VALUE"""),"Carl Arellano Mandi")</f>
        <v>Carl Arellano Mandi</v>
      </c>
      <c r="C2923" s="1" t="str">
        <f ca="1">IFERROR(__xludf.DUMMYFUNCTION("""COMPUTED_VALUE"""),"Carl")</f>
        <v>Carl</v>
      </c>
      <c r="D2923" s="1" t="str">
        <f ca="1">IFERROR(__xludf.DUMMYFUNCTION("""COMPUTED_VALUE"""),"Arellano Mandi")</f>
        <v>Arellano Mandi</v>
      </c>
      <c r="E2923" s="1" t="str">
        <f ca="1">IFERROR(__xludf.DUMMYFUNCTION("""COMPUTED_VALUE"""),"antayin u na lang na suntukan ang gawing botohan bago ka tumakbo sa pagkapangulo..")</f>
        <v>antayin u na lang na suntukan ang gawing botohan bago ka tumakbo sa pagkapangulo..</v>
      </c>
      <c r="F2923" s="1">
        <f ca="1">IFERROR(__xludf.DUMMYFUNCTION("""COMPUTED_VALUE"""),3)</f>
        <v>3</v>
      </c>
      <c r="G2923" s="1" t="str">
        <f ca="1">IFERROR(__xludf.DUMMYFUNCTION("""COMPUTED_VALUE"""),"3 mos")</f>
        <v>3 mos</v>
      </c>
      <c r="H2923" s="1" t="str">
        <f ca="1">IFERROR(__xludf.DUMMYFUNCTION("""COMPUTED_VALUE"""),"comment")</f>
        <v>comment</v>
      </c>
      <c r="I2923" s="2" t="str">
        <f ca="1">IFERROR(__xludf.DUMMYFUNCTION("""COMPUTED_VALUE"""),"https://www.facebook.com/rapplerdotcom/photos/a.317154781638645/5594453700575367/")</f>
        <v>https://www.facebook.com/rapplerdotcom/photos/a.317154781638645/5594453700575367/</v>
      </c>
      <c r="J2923" s="1" t="str">
        <f ca="1">IFERROR(__xludf.DUMMYFUNCTION("""COMPUTED_VALUE"""),"2022-07-04T15:53:36.547Z")</f>
        <v>2022-07-04T15:53:36.547Z</v>
      </c>
    </row>
    <row r="2924" spans="1:10" x14ac:dyDescent="0.2">
      <c r="A2924" s="2" t="str">
        <f ca="1">IFERROR(__xludf.DUMMYFUNCTION("""COMPUTED_VALUE"""),"https://www.facebook.com/profile.php?id=100008034378748")</f>
        <v>https://www.facebook.com/profile.php?id=100008034378748</v>
      </c>
      <c r="B2924" s="1" t="str">
        <f ca="1">IFERROR(__xludf.DUMMYFUNCTION("""COMPUTED_VALUE"""),"James Ancheta Cabuguas")</f>
        <v>James Ancheta Cabuguas</v>
      </c>
      <c r="C2924" s="1" t="str">
        <f ca="1">IFERROR(__xludf.DUMMYFUNCTION("""COMPUTED_VALUE"""),"James")</f>
        <v>James</v>
      </c>
      <c r="D2924" s="1" t="str">
        <f ca="1">IFERROR(__xludf.DUMMYFUNCTION("""COMPUTED_VALUE"""),"Ancheta Cabuguas")</f>
        <v>Ancheta Cabuguas</v>
      </c>
      <c r="E2924" s="1" t="str">
        <f ca="1">IFERROR(__xludf.DUMMYFUNCTION("""COMPUTED_VALUE"""),"Carl Arellano Mandi  awit pre kay pacquio tlaga ako bboto pre sama kona mga tropa pag suntukan ang basihan sa pagkapangulo")</f>
        <v>Carl Arellano Mandi  awit pre kay pacquio tlaga ako bboto pre sama kona mga tropa pag suntukan ang basihan sa pagkapangulo</v>
      </c>
      <c r="F2924" s="1"/>
      <c r="G2924" s="1" t="str">
        <f ca="1">IFERROR(__xludf.DUMMYFUNCTION("""COMPUTED_VALUE"""),"3 mos")</f>
        <v>3 mos</v>
      </c>
      <c r="H2924" s="1" t="str">
        <f ca="1">IFERROR(__xludf.DUMMYFUNCTION("""COMPUTED_VALUE"""),"reply")</f>
        <v>reply</v>
      </c>
      <c r="I2924" s="2" t="str">
        <f ca="1">IFERROR(__xludf.DUMMYFUNCTION("""COMPUTED_VALUE"""),"https://www.facebook.com/rapplerdotcom/photos/a.317154781638645/5594453700575367/")</f>
        <v>https://www.facebook.com/rapplerdotcom/photos/a.317154781638645/5594453700575367/</v>
      </c>
      <c r="J2924" s="1" t="str">
        <f ca="1">IFERROR(__xludf.DUMMYFUNCTION("""COMPUTED_VALUE"""),"2022-07-04T15:53:36.547Z")</f>
        <v>2022-07-04T15:53:36.547Z</v>
      </c>
    </row>
    <row r="2925" spans="1:10" x14ac:dyDescent="0.2">
      <c r="A2925" s="2" t="str">
        <f ca="1">IFERROR(__xludf.DUMMYFUNCTION("""COMPUTED_VALUE"""),"https://www.facebook.com/nessmark.altar")</f>
        <v>https://www.facebook.com/nessmark.altar</v>
      </c>
      <c r="B2925" s="1" t="str">
        <f ca="1">IFERROR(__xludf.DUMMYFUNCTION("""COMPUTED_VALUE"""),"Carl Arellano Mandi")</f>
        <v>Carl Arellano Mandi</v>
      </c>
      <c r="C2925" s="1" t="str">
        <f ca="1">IFERROR(__xludf.DUMMYFUNCTION("""COMPUTED_VALUE"""),"Carl")</f>
        <v>Carl</v>
      </c>
      <c r="D2925" s="1" t="str">
        <f ca="1">IFERROR(__xludf.DUMMYFUNCTION("""COMPUTED_VALUE"""),"Arellano Mandi")</f>
        <v>Arellano Mandi</v>
      </c>
      <c r="E2925" s="1" t="str">
        <f ca="1">IFERROR(__xludf.DUMMYFUNCTION("""COMPUTED_VALUE"""),"James Ancheta Cabuguas landslide yan pre surewin na,haha")</f>
        <v>James Ancheta Cabuguas landslide yan pre surewin na,haha</v>
      </c>
      <c r="F2925" s="1"/>
      <c r="G2925" s="1" t="str">
        <f ca="1">IFERROR(__xludf.DUMMYFUNCTION("""COMPUTED_VALUE"""),"3 mos")</f>
        <v>3 mos</v>
      </c>
      <c r="H2925" s="1" t="str">
        <f ca="1">IFERROR(__xludf.DUMMYFUNCTION("""COMPUTED_VALUE"""),"reply")</f>
        <v>reply</v>
      </c>
      <c r="I2925" s="2" t="str">
        <f ca="1">IFERROR(__xludf.DUMMYFUNCTION("""COMPUTED_VALUE"""),"https://www.facebook.com/rapplerdotcom/photos/a.317154781638645/5594453700575367/")</f>
        <v>https://www.facebook.com/rapplerdotcom/photos/a.317154781638645/5594453700575367/</v>
      </c>
      <c r="J2925" s="1" t="str">
        <f ca="1">IFERROR(__xludf.DUMMYFUNCTION("""COMPUTED_VALUE"""),"2022-07-04T15:53:36.547Z")</f>
        <v>2022-07-04T15:53:36.547Z</v>
      </c>
    </row>
    <row r="2926" spans="1:10" x14ac:dyDescent="0.2">
      <c r="A2926" s="2" t="str">
        <f ca="1">IFERROR(__xludf.DUMMYFUNCTION("""COMPUTED_VALUE"""),"https://www.facebook.com/jessie.villagracia.37")</f>
        <v>https://www.facebook.com/jessie.villagracia.37</v>
      </c>
      <c r="B2926" s="1" t="str">
        <f ca="1">IFERROR(__xludf.DUMMYFUNCTION("""COMPUTED_VALUE"""),"Jessie Villagracia")</f>
        <v>Jessie Villagracia</v>
      </c>
      <c r="C2926" s="1" t="str">
        <f ca="1">IFERROR(__xludf.DUMMYFUNCTION("""COMPUTED_VALUE"""),"Jessie")</f>
        <v>Jessie</v>
      </c>
      <c r="D2926" s="1" t="str">
        <f ca="1">IFERROR(__xludf.DUMMYFUNCTION("""COMPUTED_VALUE"""),"Villagracia")</f>
        <v>Villagracia</v>
      </c>
      <c r="E2926" s="1" t="str">
        <f ca="1">IFERROR(__xludf.DUMMYFUNCTION("""COMPUTED_VALUE"""),"sabi kon")</f>
        <v>sabi kon</v>
      </c>
      <c r="F2926" s="1"/>
      <c r="G2926" s="1" t="str">
        <f ca="1">IFERROR(__xludf.DUMMYFUNCTION("""COMPUTED_VALUE"""),"3 mos")</f>
        <v>3 mos</v>
      </c>
      <c r="H2926" s="1" t="str">
        <f ca="1">IFERROR(__xludf.DUMMYFUNCTION("""COMPUTED_VALUE"""),"comment")</f>
        <v>comment</v>
      </c>
      <c r="I2926" s="2" t="str">
        <f ca="1">IFERROR(__xludf.DUMMYFUNCTION("""COMPUTED_VALUE"""),"https://www.facebook.com/rapplerdotcom/photos/a.317154781638645/5594453700575367/")</f>
        <v>https://www.facebook.com/rapplerdotcom/photos/a.317154781638645/5594453700575367/</v>
      </c>
      <c r="J2926" s="1" t="str">
        <f ca="1">IFERROR(__xludf.DUMMYFUNCTION("""COMPUTED_VALUE"""),"2022-07-04T15:53:36.547Z")</f>
        <v>2022-07-04T15:53:36.547Z</v>
      </c>
    </row>
    <row r="2927" spans="1:10" x14ac:dyDescent="0.2">
      <c r="A2927" s="2" t="str">
        <f ca="1">IFERROR(__xludf.DUMMYFUNCTION("""COMPUTED_VALUE"""),"https://www.facebook.com/julie.arenas143")</f>
        <v>https://www.facebook.com/julie.arenas143</v>
      </c>
      <c r="B2927" s="1" t="str">
        <f ca="1">IFERROR(__xludf.DUMMYFUNCTION("""COMPUTED_VALUE"""),"Juliane Arenas")</f>
        <v>Juliane Arenas</v>
      </c>
      <c r="C2927" s="1" t="str">
        <f ca="1">IFERROR(__xludf.DUMMYFUNCTION("""COMPUTED_VALUE"""),"Juliane")</f>
        <v>Juliane</v>
      </c>
      <c r="D2927" s="1" t="str">
        <f ca="1">IFERROR(__xludf.DUMMYFUNCTION("""COMPUTED_VALUE"""),"Arenas")</f>
        <v>Arenas</v>
      </c>
      <c r="E2927" s="1" t="str">
        <f ca="1">IFERROR(__xludf.DUMMYFUNCTION("""COMPUTED_VALUE"""),"Ambisyuso")</f>
        <v>Ambisyuso</v>
      </c>
      <c r="F2927" s="1"/>
      <c r="G2927" s="1" t="str">
        <f ca="1">IFERROR(__xludf.DUMMYFUNCTION("""COMPUTED_VALUE"""),"3 mos")</f>
        <v>3 mos</v>
      </c>
      <c r="H2927" s="1" t="str">
        <f ca="1">IFERROR(__xludf.DUMMYFUNCTION("""COMPUTED_VALUE"""),"comment")</f>
        <v>comment</v>
      </c>
      <c r="I2927" s="2" t="str">
        <f ca="1">IFERROR(__xludf.DUMMYFUNCTION("""COMPUTED_VALUE"""),"https://www.facebook.com/rapplerdotcom/photos/a.317154781638645/5594453700575367/")</f>
        <v>https://www.facebook.com/rapplerdotcom/photos/a.317154781638645/5594453700575367/</v>
      </c>
      <c r="J2927" s="1" t="str">
        <f ca="1">IFERROR(__xludf.DUMMYFUNCTION("""COMPUTED_VALUE"""),"2022-07-04T15:53:36.547Z")</f>
        <v>2022-07-04T15:53:36.547Z</v>
      </c>
    </row>
    <row r="2928" spans="1:10" x14ac:dyDescent="0.2">
      <c r="A2928" s="2" t="str">
        <f ca="1">IFERROR(__xludf.DUMMYFUNCTION("""COMPUTED_VALUE"""),"https://www.facebook.com/cecilia.bucong")</f>
        <v>https://www.facebook.com/cecilia.bucong</v>
      </c>
      <c r="B2928" s="1" t="str">
        <f ca="1">IFERROR(__xludf.DUMMYFUNCTION("""COMPUTED_VALUE"""),"Cecilia Suyman Estose-Bucong")</f>
        <v>Cecilia Suyman Estose-Bucong</v>
      </c>
      <c r="C2928" s="1" t="str">
        <f ca="1">IFERROR(__xludf.DUMMYFUNCTION("""COMPUTED_VALUE"""),"Cecilia")</f>
        <v>Cecilia</v>
      </c>
      <c r="D2928" s="1" t="str">
        <f ca="1">IFERROR(__xludf.DUMMYFUNCTION("""COMPUTED_VALUE"""),"Suyman Estose-Bucong")</f>
        <v>Suyman Estose-Bucong</v>
      </c>
      <c r="E2928" s="1" t="str">
        <f ca="1">IFERROR(__xludf.DUMMYFUNCTION("""COMPUTED_VALUE"""),"Korek ka manny")</f>
        <v>Korek ka manny</v>
      </c>
      <c r="F2928" s="1"/>
      <c r="G2928" s="1" t="str">
        <f ca="1">IFERROR(__xludf.DUMMYFUNCTION("""COMPUTED_VALUE"""),"3 mos")</f>
        <v>3 mos</v>
      </c>
      <c r="H2928" s="1" t="str">
        <f ca="1">IFERROR(__xludf.DUMMYFUNCTION("""COMPUTED_VALUE"""),"comment")</f>
        <v>comment</v>
      </c>
      <c r="I2928" s="2" t="str">
        <f ca="1">IFERROR(__xludf.DUMMYFUNCTION("""COMPUTED_VALUE"""),"https://www.facebook.com/rapplerdotcom/photos/a.317154781638645/5594453700575367/")</f>
        <v>https://www.facebook.com/rapplerdotcom/photos/a.317154781638645/5594453700575367/</v>
      </c>
      <c r="J2928" s="1" t="str">
        <f ca="1">IFERROR(__xludf.DUMMYFUNCTION("""COMPUTED_VALUE"""),"2022-07-04T15:53:36.547Z")</f>
        <v>2022-07-04T15:53:36.547Z</v>
      </c>
    </row>
    <row r="2929" spans="1:10" x14ac:dyDescent="0.2">
      <c r="A2929" s="2" t="str">
        <f ca="1">IFERROR(__xludf.DUMMYFUNCTION("""COMPUTED_VALUE"""),"https://www.facebook.com/profile.php?id=100074886289403")</f>
        <v>https://www.facebook.com/profile.php?id=100074886289403</v>
      </c>
      <c r="B2929" s="1" t="str">
        <f ca="1">IFERROR(__xludf.DUMMYFUNCTION("""COMPUTED_VALUE"""),"Teo Tolio")</f>
        <v>Teo Tolio</v>
      </c>
      <c r="C2929" s="1" t="str">
        <f ca="1">IFERROR(__xludf.DUMMYFUNCTION("""COMPUTED_VALUE"""),"Teo")</f>
        <v>Teo</v>
      </c>
      <c r="D2929" s="1" t="str">
        <f ca="1">IFERROR(__xludf.DUMMYFUNCTION("""COMPUTED_VALUE"""),"Tolio")</f>
        <v>Tolio</v>
      </c>
      <c r="E2929" s="1" t="str">
        <f ca="1">IFERROR(__xludf.DUMMYFUNCTION("""COMPUTED_VALUE"""),"Napakalaki talaga ng pag kakaiba  ni sen pacman dun sa isang kandidato laging may nilalaman ang kanyang sinasabi samantalang yung isa bukod sa di mo na maintindihan ay wala pang sustansiya pinagsasabi, PAG ISIPAN PO NIYO NG MABUTI ANG IBOBOTO NIYO")</f>
        <v>Napakalaki talaga ng pag kakaiba  ni sen pacman dun sa isang kandidato laging may nilalaman ang kanyang sinasabi samantalang yung isa bukod sa di mo na maintindihan ay wala pang sustansiya pinagsasabi, PAG ISIPAN PO NIYO NG MABUTI ANG IBOBOTO NIYO</v>
      </c>
      <c r="F2929" s="1"/>
      <c r="G2929" s="1" t="str">
        <f ca="1">IFERROR(__xludf.DUMMYFUNCTION("""COMPUTED_VALUE"""),"3 mos")</f>
        <v>3 mos</v>
      </c>
      <c r="H2929" s="1" t="str">
        <f ca="1">IFERROR(__xludf.DUMMYFUNCTION("""COMPUTED_VALUE"""),"comment")</f>
        <v>comment</v>
      </c>
      <c r="I2929" s="2" t="str">
        <f ca="1">IFERROR(__xludf.DUMMYFUNCTION("""COMPUTED_VALUE"""),"https://www.facebook.com/rapplerdotcom/photos/a.317154781638645/5594453700575367/")</f>
        <v>https://www.facebook.com/rapplerdotcom/photos/a.317154781638645/5594453700575367/</v>
      </c>
      <c r="J2929" s="1" t="str">
        <f ca="1">IFERROR(__xludf.DUMMYFUNCTION("""COMPUTED_VALUE"""),"2022-07-04T15:53:36.547Z")</f>
        <v>2022-07-04T15:53:36.547Z</v>
      </c>
    </row>
    <row r="2930" spans="1:10" x14ac:dyDescent="0.2">
      <c r="A2930" s="2" t="str">
        <f ca="1">IFERROR(__xludf.DUMMYFUNCTION("""COMPUTED_VALUE"""),"https://www.facebook.com/rnld29")</f>
        <v>https://www.facebook.com/rnld29</v>
      </c>
      <c r="B2930" s="1" t="str">
        <f ca="1">IFERROR(__xludf.DUMMYFUNCTION("""COMPUTED_VALUE"""),"Ron Nald")</f>
        <v>Ron Nald</v>
      </c>
      <c r="C2930" s="1" t="str">
        <f ca="1">IFERROR(__xludf.DUMMYFUNCTION("""COMPUTED_VALUE"""),"Ron")</f>
        <v>Ron</v>
      </c>
      <c r="D2930" s="1" t="str">
        <f ca="1">IFERROR(__xludf.DUMMYFUNCTION("""COMPUTED_VALUE"""),"Nald")</f>
        <v>Nald</v>
      </c>
      <c r="E2930" s="1" t="str">
        <f ca="1">IFERROR(__xludf.DUMMYFUNCTION("""COMPUTED_VALUE"""),"Tama naman... Kapag pinili ng tao ay mali, edi pagtiisan, pero kapag tama ang pinili ng tao ay magdiwang ang lahat...")</f>
        <v>Tama naman... Kapag pinili ng tao ay mali, edi pagtiisan, pero kapag tama ang pinili ng tao ay magdiwang ang lahat...</v>
      </c>
      <c r="F2930" s="1"/>
      <c r="G2930" s="1" t="str">
        <f ca="1">IFERROR(__xludf.DUMMYFUNCTION("""COMPUTED_VALUE"""),"3 mos")</f>
        <v>3 mos</v>
      </c>
      <c r="H2930" s="1" t="str">
        <f ca="1">IFERROR(__xludf.DUMMYFUNCTION("""COMPUTED_VALUE"""),"comment")</f>
        <v>comment</v>
      </c>
      <c r="I2930" s="2" t="str">
        <f ca="1">IFERROR(__xludf.DUMMYFUNCTION("""COMPUTED_VALUE"""),"https://www.facebook.com/rapplerdotcom/photos/a.317154781638645/5594453700575367/")</f>
        <v>https://www.facebook.com/rapplerdotcom/photos/a.317154781638645/5594453700575367/</v>
      </c>
      <c r="J2930" s="1" t="str">
        <f ca="1">IFERROR(__xludf.DUMMYFUNCTION("""COMPUTED_VALUE"""),"2022-07-04T15:53:36.547Z")</f>
        <v>2022-07-04T15:53:36.547Z</v>
      </c>
    </row>
    <row r="2931" spans="1:10" x14ac:dyDescent="0.2">
      <c r="A2931" s="2" t="str">
        <f ca="1">IFERROR(__xludf.DUMMYFUNCTION("""COMPUTED_VALUE"""),"https://www.facebook.com/oyette.calanog")</f>
        <v>https://www.facebook.com/oyette.calanog</v>
      </c>
      <c r="B2931" s="1" t="str">
        <f ca="1">IFERROR(__xludf.DUMMYFUNCTION("""COMPUTED_VALUE"""),"Oyette Calanog")</f>
        <v>Oyette Calanog</v>
      </c>
      <c r="C2931" s="1" t="str">
        <f ca="1">IFERROR(__xludf.DUMMYFUNCTION("""COMPUTED_VALUE"""),"Oyette")</f>
        <v>Oyette</v>
      </c>
      <c r="D2931" s="1" t="str">
        <f ca="1">IFERROR(__xludf.DUMMYFUNCTION("""COMPUTED_VALUE"""),"Calanog")</f>
        <v>Calanog</v>
      </c>
      <c r="E2931" s="1" t="str">
        <f ca="1">IFERROR(__xludf.DUMMYFUNCTION("""COMPUTED_VALUE"""),"Agree din ako dyan... mas  may isip pa ito kesa sa ibang botante... ang mga pulitikong corrupt ayaw nilang umunlad ang Pilipinas dahil mas maraming mahirap na nagbebenta ng boto mas mananatili sila sa posisyon...")</f>
        <v>Agree din ako dyan... mas  may isip pa ito kesa sa ibang botante... ang mga pulitikong corrupt ayaw nilang umunlad ang Pilipinas dahil mas maraming mahirap na nagbebenta ng boto mas mananatili sila sa posisyon...</v>
      </c>
      <c r="F2931" s="1"/>
      <c r="G2931" s="1" t="str">
        <f ca="1">IFERROR(__xludf.DUMMYFUNCTION("""COMPUTED_VALUE"""),"3 mos")</f>
        <v>3 mos</v>
      </c>
      <c r="H2931" s="1" t="str">
        <f ca="1">IFERROR(__xludf.DUMMYFUNCTION("""COMPUTED_VALUE"""),"comment")</f>
        <v>comment</v>
      </c>
      <c r="I2931" s="2" t="str">
        <f ca="1">IFERROR(__xludf.DUMMYFUNCTION("""COMPUTED_VALUE"""),"https://www.facebook.com/rapplerdotcom/photos/a.317154781638645/5594453700575367/")</f>
        <v>https://www.facebook.com/rapplerdotcom/photos/a.317154781638645/5594453700575367/</v>
      </c>
      <c r="J2931" s="1" t="str">
        <f ca="1">IFERROR(__xludf.DUMMYFUNCTION("""COMPUTED_VALUE"""),"2022-07-04T15:53:36.547Z")</f>
        <v>2022-07-04T15:53:36.547Z</v>
      </c>
    </row>
    <row r="2932" spans="1:10" x14ac:dyDescent="0.2">
      <c r="A2932" s="2" t="str">
        <f ca="1">IFERROR(__xludf.DUMMYFUNCTION("""COMPUTED_VALUE"""),"https://www.facebook.com/charlie.viejon.5")</f>
        <v>https://www.facebook.com/charlie.viejon.5</v>
      </c>
      <c r="B2932" s="1" t="str">
        <f ca="1">IFERROR(__xludf.DUMMYFUNCTION("""COMPUTED_VALUE"""),"Charlie Viejon")</f>
        <v>Charlie Viejon</v>
      </c>
      <c r="C2932" s="1" t="str">
        <f ca="1">IFERROR(__xludf.DUMMYFUNCTION("""COMPUTED_VALUE"""),"Charlie")</f>
        <v>Charlie</v>
      </c>
      <c r="D2932" s="1" t="str">
        <f ca="1">IFERROR(__xludf.DUMMYFUNCTION("""COMPUTED_VALUE"""),"Viejon")</f>
        <v>Viejon</v>
      </c>
      <c r="E2932" s="1" t="str">
        <f ca="1">IFERROR(__xludf.DUMMYFUNCTION("""COMPUTED_VALUE"""),"Kawawang manny nagpaloko na ng husto.tulong mo na lng yan sa mga kalugar mo sa saranggani.")</f>
        <v>Kawawang manny nagpaloko na ng husto.tulong mo na lng yan sa mga kalugar mo sa saranggani.</v>
      </c>
      <c r="F2932" s="1">
        <f ca="1">IFERROR(__xludf.DUMMYFUNCTION("""COMPUTED_VALUE"""),1)</f>
        <v>1</v>
      </c>
      <c r="G2932" s="1" t="str">
        <f ca="1">IFERROR(__xludf.DUMMYFUNCTION("""COMPUTED_VALUE"""),"3 mos")</f>
        <v>3 mos</v>
      </c>
      <c r="H2932" s="1" t="str">
        <f ca="1">IFERROR(__xludf.DUMMYFUNCTION("""COMPUTED_VALUE"""),"comment")</f>
        <v>comment</v>
      </c>
      <c r="I2932" s="2" t="str">
        <f ca="1">IFERROR(__xludf.DUMMYFUNCTION("""COMPUTED_VALUE"""),"https://www.facebook.com/rapplerdotcom/photos/a.317154781638645/5594453700575367/")</f>
        <v>https://www.facebook.com/rapplerdotcom/photos/a.317154781638645/5594453700575367/</v>
      </c>
      <c r="J2932" s="1" t="str">
        <f ca="1">IFERROR(__xludf.DUMMYFUNCTION("""COMPUTED_VALUE"""),"2022-07-04T15:53:36.547Z")</f>
        <v>2022-07-04T15:53:36.547Z</v>
      </c>
    </row>
    <row r="2933" spans="1:10" x14ac:dyDescent="0.2">
      <c r="A2933" s="2" t="str">
        <f ca="1">IFERROR(__xludf.DUMMYFUNCTION("""COMPUTED_VALUE"""),"https://www.facebook.com/yumika.mikay")</f>
        <v>https://www.facebook.com/yumika.mikay</v>
      </c>
      <c r="B2933" s="1" t="str">
        <f ca="1">IFERROR(__xludf.DUMMYFUNCTION("""COMPUTED_VALUE"""),"Maiah CM")</f>
        <v>Maiah CM</v>
      </c>
      <c r="C2933" s="1" t="str">
        <f ca="1">IFERROR(__xludf.DUMMYFUNCTION("""COMPUTED_VALUE"""),"Maiah")</f>
        <v>Maiah</v>
      </c>
      <c r="D2933" s="1" t="str">
        <f ca="1">IFERROR(__xludf.DUMMYFUNCTION("""COMPUTED_VALUE"""),"CM")</f>
        <v>CM</v>
      </c>
      <c r="E2933" s="1" t="str">
        <f ca="1">IFERROR(__xludf.DUMMYFUNCTION("""COMPUTED_VALUE"""),"💯 TRUEEE ! Lalo na yung bumoto para sa 500 🙄 haaynaku mandadamay pa ng kapwa pilipino ! May panahon pa para mag isip isip! HUUUYYY GISING 🇵🇭")</f>
        <v>💯 TRUEEE ! Lalo na yung bumoto para sa 500 🙄 haaynaku mandadamay pa ng kapwa pilipino ! May panahon pa para mag isip isip! HUUUYYY GISING 🇵🇭</v>
      </c>
      <c r="F2933" s="1">
        <f ca="1">IFERROR(__xludf.DUMMYFUNCTION("""COMPUTED_VALUE"""),5)</f>
        <v>5</v>
      </c>
      <c r="G2933" s="1" t="str">
        <f ca="1">IFERROR(__xludf.DUMMYFUNCTION("""COMPUTED_VALUE"""),"3 mos")</f>
        <v>3 mos</v>
      </c>
      <c r="H2933" s="1" t="str">
        <f ca="1">IFERROR(__xludf.DUMMYFUNCTION("""COMPUTED_VALUE"""),"comment")</f>
        <v>comment</v>
      </c>
      <c r="I2933" s="2" t="str">
        <f ca="1">IFERROR(__xludf.DUMMYFUNCTION("""COMPUTED_VALUE"""),"https://www.facebook.com/rapplerdotcom/photos/a.317154781638645/5594453700575367/")</f>
        <v>https://www.facebook.com/rapplerdotcom/photos/a.317154781638645/5594453700575367/</v>
      </c>
      <c r="J2933" s="1" t="str">
        <f ca="1">IFERROR(__xludf.DUMMYFUNCTION("""COMPUTED_VALUE"""),"2022-07-04T15:53:36.547Z")</f>
        <v>2022-07-04T15:53:36.547Z</v>
      </c>
    </row>
    <row r="2934" spans="1:10" x14ac:dyDescent="0.2">
      <c r="A2934" s="2" t="str">
        <f ca="1">IFERROR(__xludf.DUMMYFUNCTION("""COMPUTED_VALUE"""),"https://www.facebook.com/santiago.meneses.31542")</f>
        <v>https://www.facebook.com/santiago.meneses.31542</v>
      </c>
      <c r="B2934" s="1" t="str">
        <f ca="1">IFERROR(__xludf.DUMMYFUNCTION("""COMPUTED_VALUE"""),"Santiago Meneses")</f>
        <v>Santiago Meneses</v>
      </c>
      <c r="C2934" s="1" t="str">
        <f ca="1">IFERROR(__xludf.DUMMYFUNCTION("""COMPUTED_VALUE"""),"Santiago")</f>
        <v>Santiago</v>
      </c>
      <c r="D2934" s="1" t="str">
        <f ca="1">IFERROR(__xludf.DUMMYFUNCTION("""COMPUTED_VALUE"""),"Meneses")</f>
        <v>Meneses</v>
      </c>
      <c r="E2934" s="1" t="str">
        <f ca="1">IFERROR(__xludf.DUMMYFUNCTION("""COMPUTED_VALUE"""),"Tama nga nman kaya walang sisihan ah")</f>
        <v>Tama nga nman kaya walang sisihan ah</v>
      </c>
      <c r="F2934" s="1">
        <f ca="1">IFERROR(__xludf.DUMMYFUNCTION("""COMPUTED_VALUE"""),3)</f>
        <v>3</v>
      </c>
      <c r="G2934" s="1" t="str">
        <f ca="1">IFERROR(__xludf.DUMMYFUNCTION("""COMPUTED_VALUE"""),"3 mos")</f>
        <v>3 mos</v>
      </c>
      <c r="H2934" s="1" t="str">
        <f ca="1">IFERROR(__xludf.DUMMYFUNCTION("""COMPUTED_VALUE"""),"comment")</f>
        <v>comment</v>
      </c>
      <c r="I2934" s="2" t="str">
        <f ca="1">IFERROR(__xludf.DUMMYFUNCTION("""COMPUTED_VALUE"""),"https://www.facebook.com/rapplerdotcom/photos/a.317154781638645/5594453700575367/")</f>
        <v>https://www.facebook.com/rapplerdotcom/photos/a.317154781638645/5594453700575367/</v>
      </c>
      <c r="J2934" s="1" t="str">
        <f ca="1">IFERROR(__xludf.DUMMYFUNCTION("""COMPUTED_VALUE"""),"2022-07-04T15:53:36.547Z")</f>
        <v>2022-07-04T15:53:36.547Z</v>
      </c>
    </row>
    <row r="2935" spans="1:10" x14ac:dyDescent="0.2">
      <c r="A2935" s="2" t="str">
        <f ca="1">IFERROR(__xludf.DUMMYFUNCTION("""COMPUTED_VALUE"""),"https://www.facebook.com/rogelio.lapuz.5055")</f>
        <v>https://www.facebook.com/rogelio.lapuz.5055</v>
      </c>
      <c r="B2935" s="1" t="str">
        <f ca="1">IFERROR(__xludf.DUMMYFUNCTION("""COMPUTED_VALUE"""),"Rogelio Lapuz")</f>
        <v>Rogelio Lapuz</v>
      </c>
      <c r="C2935" s="1" t="str">
        <f ca="1">IFERROR(__xludf.DUMMYFUNCTION("""COMPUTED_VALUE"""),"Rogelio")</f>
        <v>Rogelio</v>
      </c>
      <c r="D2935" s="1" t="str">
        <f ca="1">IFERROR(__xludf.DUMMYFUNCTION("""COMPUTED_VALUE"""),"Lapuz")</f>
        <v>Lapuz</v>
      </c>
      <c r="E2935" s="1" t="str">
        <f ca="1">IFERROR(__xludf.DUMMYFUNCTION("""COMPUTED_VALUE"""),"Pakyaw # 7 shade sa baluta for frididint")</f>
        <v>Pakyaw # 7 shade sa baluta for frididint</v>
      </c>
      <c r="F2935" s="1">
        <f ca="1">IFERROR(__xludf.DUMMYFUNCTION("""COMPUTED_VALUE"""),1)</f>
        <v>1</v>
      </c>
      <c r="G2935" s="1" t="str">
        <f ca="1">IFERROR(__xludf.DUMMYFUNCTION("""COMPUTED_VALUE"""),"3 mos")</f>
        <v>3 mos</v>
      </c>
      <c r="H2935" s="1" t="str">
        <f ca="1">IFERROR(__xludf.DUMMYFUNCTION("""COMPUTED_VALUE"""),"comment")</f>
        <v>comment</v>
      </c>
      <c r="I2935" s="2" t="str">
        <f ca="1">IFERROR(__xludf.DUMMYFUNCTION("""COMPUTED_VALUE"""),"https://www.facebook.com/rapplerdotcom/photos/a.317154781638645/5594453700575367/")</f>
        <v>https://www.facebook.com/rapplerdotcom/photos/a.317154781638645/5594453700575367/</v>
      </c>
      <c r="J2935" s="1" t="str">
        <f ca="1">IFERROR(__xludf.DUMMYFUNCTION("""COMPUTED_VALUE"""),"2022-07-04T15:53:36.549Z")</f>
        <v>2022-07-04T15:53:36.549Z</v>
      </c>
    </row>
    <row r="2936" spans="1:10" x14ac:dyDescent="0.2">
      <c r="A2936" s="2" t="str">
        <f ca="1">IFERROR(__xludf.DUMMYFUNCTION("""COMPUTED_VALUE"""),"https://www.facebook.com/mariaana.fontamillas")</f>
        <v>https://www.facebook.com/mariaana.fontamillas</v>
      </c>
      <c r="B2936" s="1" t="str">
        <f ca="1">IFERROR(__xludf.DUMMYFUNCTION("""COMPUTED_VALUE"""),"Maria Ana Fontamillas")</f>
        <v>Maria Ana Fontamillas</v>
      </c>
      <c r="C2936" s="1" t="str">
        <f ca="1">IFERROR(__xludf.DUMMYFUNCTION("""COMPUTED_VALUE"""),"Maria")</f>
        <v>Maria</v>
      </c>
      <c r="D2936" s="1" t="str">
        <f ca="1">IFERROR(__xludf.DUMMYFUNCTION("""COMPUTED_VALUE"""),"Ana Fontamillas")</f>
        <v>Ana Fontamillas</v>
      </c>
      <c r="E2936" s="1" t="str">
        <f ca="1">IFERROR(__xludf.DUMMYFUNCTION("""COMPUTED_VALUE"""),"Maria Ana Fontamillas")</f>
        <v>Maria Ana Fontamillas</v>
      </c>
      <c r="F2936" s="1">
        <f ca="1">IFERROR(__xludf.DUMMYFUNCTION("""COMPUTED_VALUE"""),2)</f>
        <v>2</v>
      </c>
      <c r="G2936" s="1" t="str">
        <f ca="1">IFERROR(__xludf.DUMMYFUNCTION("""COMPUTED_VALUE"""),"3 mos")</f>
        <v>3 mos</v>
      </c>
      <c r="H2936" s="1" t="str">
        <f ca="1">IFERROR(__xludf.DUMMYFUNCTION("""COMPUTED_VALUE"""),"comment")</f>
        <v>comment</v>
      </c>
      <c r="I2936" s="2" t="str">
        <f ca="1">IFERROR(__xludf.DUMMYFUNCTION("""COMPUTED_VALUE"""),"https://www.facebook.com/rapplerdotcom/posts/pfbid0Kg1RoVj1WsJryHzrsA3oSrLQ6DJc4g1o3yMhcNHB9BrPu7fZV7ugtw1hYVefEPE9l")</f>
        <v>https://www.facebook.com/rapplerdotcom/posts/pfbid0Kg1RoVj1WsJryHzrsA3oSrLQ6DJc4g1o3yMhcNHB9BrPu7fZV7ugtw1hYVefEPE9l</v>
      </c>
      <c r="J2936" s="1" t="str">
        <f ca="1">IFERROR(__xludf.DUMMYFUNCTION("""COMPUTED_VALUE"""),"2022-07-04T15:53:56.374Z")</f>
        <v>2022-07-04T15:53:56.374Z</v>
      </c>
    </row>
    <row r="2937" spans="1:10" x14ac:dyDescent="0.2">
      <c r="A2937" s="2" t="str">
        <f ca="1">IFERROR(__xludf.DUMMYFUNCTION("""COMPUTED_VALUE"""),"https://www.facebook.com/tintin.f.asis")</f>
        <v>https://www.facebook.com/tintin.f.asis</v>
      </c>
      <c r="B2937" s="1" t="str">
        <f ca="1">IFERROR(__xludf.DUMMYFUNCTION("""COMPUTED_VALUE"""),"Tintin Faustino-Asis")</f>
        <v>Tintin Faustino-Asis</v>
      </c>
      <c r="C2937" s="1" t="str">
        <f ca="1">IFERROR(__xludf.DUMMYFUNCTION("""COMPUTED_VALUE"""),"Tintin")</f>
        <v>Tintin</v>
      </c>
      <c r="D2937" s="1" t="str">
        <f ca="1">IFERROR(__xludf.DUMMYFUNCTION("""COMPUTED_VALUE"""),"Faustino-Asis")</f>
        <v>Faustino-Asis</v>
      </c>
      <c r="E2937" s="1" t="str">
        <f ca="1">IFERROR(__xludf.DUMMYFUNCTION("""COMPUTED_VALUE"""),"#7KikoPangilinanVicePresident 💕🇵🇭💕#KikoAngManokKo #HelloPagkainGoodbyeGutom  #AngatBuhayLahat #LabanLeniKiko2022")</f>
        <v>#7KikoPangilinanVicePresident 💕🇵🇭💕#KikoAngManokKo #HelloPagkainGoodbyeGutom  #AngatBuhayLahat #LabanLeniKiko2022</v>
      </c>
      <c r="F2937" s="1"/>
      <c r="G2937" s="1" t="str">
        <f ca="1">IFERROR(__xludf.DUMMYFUNCTION("""COMPUTED_VALUE"""),"3 mos")</f>
        <v>3 mos</v>
      </c>
      <c r="H2937" s="1" t="str">
        <f ca="1">IFERROR(__xludf.DUMMYFUNCTION("""COMPUTED_VALUE"""),"comment")</f>
        <v>comment</v>
      </c>
      <c r="I2937" s="2" t="str">
        <f ca="1">IFERROR(__xludf.DUMMYFUNCTION("""COMPUTED_VALUE"""),"https://www.facebook.com/rapplerdotcom/posts/pfbid0Kg1RoVj1WsJryHzrsA3oSrLQ6DJc4g1o3yMhcNHB9BrPu7fZV7ugtw1hYVefEPE9l")</f>
        <v>https://www.facebook.com/rapplerdotcom/posts/pfbid0Kg1RoVj1WsJryHzrsA3oSrLQ6DJc4g1o3yMhcNHB9BrPu7fZV7ugtw1hYVefEPE9l</v>
      </c>
      <c r="J2937" s="1" t="str">
        <f ca="1">IFERROR(__xludf.DUMMYFUNCTION("""COMPUTED_VALUE"""),"2022-07-04T15:53:56.374Z")</f>
        <v>2022-07-04T15:53:56.374Z</v>
      </c>
    </row>
    <row r="2938" spans="1:10" x14ac:dyDescent="0.2">
      <c r="A2938" s="2" t="str">
        <f ca="1">IFERROR(__xludf.DUMMYFUNCTION("""COMPUTED_VALUE"""),"https://www.facebook.com/regine.tamayo1")</f>
        <v>https://www.facebook.com/regine.tamayo1</v>
      </c>
      <c r="B2938" s="1" t="str">
        <f ca="1">IFERROR(__xludf.DUMMYFUNCTION("""COMPUTED_VALUE"""),"Regine Baluyut Tamayo")</f>
        <v>Regine Baluyut Tamayo</v>
      </c>
      <c r="C2938" s="1" t="str">
        <f ca="1">IFERROR(__xludf.DUMMYFUNCTION("""COMPUTED_VALUE"""),"Regine")</f>
        <v>Regine</v>
      </c>
      <c r="D2938" s="1" t="str">
        <f ca="1">IFERROR(__xludf.DUMMYFUNCTION("""COMPUTED_VALUE"""),"Baluyut Tamayo")</f>
        <v>Baluyut Tamayo</v>
      </c>
      <c r="E2938" s="1" t="str">
        <f ca="1">IFERROR(__xludf.DUMMYFUNCTION("""COMPUTED_VALUE"""),"#LeniKikoForTheWin🌸🌸 #IpanaloNa10To 🌸🌸 #GobyernongTapat 🌸🌸 #AngatBuhayLahat🌸🌸")</f>
        <v>#LeniKikoForTheWin🌸🌸 #IpanaloNa10To 🌸🌸 #GobyernongTapat 🌸🌸 #AngatBuhayLahat🌸🌸</v>
      </c>
      <c r="F2938" s="1">
        <f ca="1">IFERROR(__xludf.DUMMYFUNCTION("""COMPUTED_VALUE"""),6)</f>
        <v>6</v>
      </c>
      <c r="G2938" s="1" t="str">
        <f ca="1">IFERROR(__xludf.DUMMYFUNCTION("""COMPUTED_VALUE"""),"3 mos")</f>
        <v>3 mos</v>
      </c>
      <c r="H2938" s="1" t="str">
        <f ca="1">IFERROR(__xludf.DUMMYFUNCTION("""COMPUTED_VALUE"""),"comment")</f>
        <v>comment</v>
      </c>
      <c r="I2938" s="2" t="str">
        <f ca="1">IFERROR(__xludf.DUMMYFUNCTION("""COMPUTED_VALUE"""),"https://www.facebook.com/rapplerdotcom/posts/pfbid0Kg1RoVj1WsJryHzrsA3oSrLQ6DJc4g1o3yMhcNHB9BrPu7fZV7ugtw1hYVefEPE9l")</f>
        <v>https://www.facebook.com/rapplerdotcom/posts/pfbid0Kg1RoVj1WsJryHzrsA3oSrLQ6DJc4g1o3yMhcNHB9BrPu7fZV7ugtw1hYVefEPE9l</v>
      </c>
      <c r="J2938" s="1" t="str">
        <f ca="1">IFERROR(__xludf.DUMMYFUNCTION("""COMPUTED_VALUE"""),"2022-07-04T15:53:56.374Z")</f>
        <v>2022-07-04T15:53:56.374Z</v>
      </c>
    </row>
    <row r="2939" spans="1:10" x14ac:dyDescent="0.2">
      <c r="A2939" s="2" t="str">
        <f ca="1">IFERROR(__xludf.DUMMYFUNCTION("""COMPUTED_VALUE"""),"https://www.facebook.com/jcaramirez")</f>
        <v>https://www.facebook.com/jcaramirez</v>
      </c>
      <c r="B2939" s="1" t="str">
        <f ca="1">IFERROR(__xludf.DUMMYFUNCTION("""COMPUTED_VALUE"""),"Carlos A. Ramirez")</f>
        <v>Carlos A. Ramirez</v>
      </c>
      <c r="C2939" s="1" t="str">
        <f ca="1">IFERROR(__xludf.DUMMYFUNCTION("""COMPUTED_VALUE"""),"Carlos")</f>
        <v>Carlos</v>
      </c>
      <c r="D2939" s="1" t="str">
        <f ca="1">IFERROR(__xludf.DUMMYFUNCTION("""COMPUTED_VALUE"""),"A. Ramirez")</f>
        <v>A. Ramirez</v>
      </c>
      <c r="E2939" s="1" t="str">
        <f ca="1">IFERROR(__xludf.DUMMYFUNCTION("""COMPUTED_VALUE"""),"#LeniKikoAllTheWay #LeniKiko2022 ✊🏼✊🏼✊🏼")</f>
        <v>#LeniKikoAllTheWay #LeniKiko2022 ✊🏼✊🏼✊🏼</v>
      </c>
      <c r="F2939" s="1">
        <f ca="1">IFERROR(__xludf.DUMMYFUNCTION("""COMPUTED_VALUE"""),2)</f>
        <v>2</v>
      </c>
      <c r="G2939" s="1" t="str">
        <f ca="1">IFERROR(__xludf.DUMMYFUNCTION("""COMPUTED_VALUE"""),"3 mos")</f>
        <v>3 mos</v>
      </c>
      <c r="H2939" s="1" t="str">
        <f ca="1">IFERROR(__xludf.DUMMYFUNCTION("""COMPUTED_VALUE"""),"comment")</f>
        <v>comment</v>
      </c>
      <c r="I2939" s="2" t="str">
        <f ca="1">IFERROR(__xludf.DUMMYFUNCTION("""COMPUTED_VALUE"""),"https://www.facebook.com/rapplerdotcom/posts/pfbid0Kg1RoVj1WsJryHzrsA3oSrLQ6DJc4g1o3yMhcNHB9BrPu7fZV7ugtw1hYVefEPE9l")</f>
        <v>https://www.facebook.com/rapplerdotcom/posts/pfbid0Kg1RoVj1WsJryHzrsA3oSrLQ6DJc4g1o3yMhcNHB9BrPu7fZV7ugtw1hYVefEPE9l</v>
      </c>
      <c r="J2939" s="1" t="str">
        <f ca="1">IFERROR(__xludf.DUMMYFUNCTION("""COMPUTED_VALUE"""),"2022-07-04T15:53:56.374Z")</f>
        <v>2022-07-04T15:53:56.374Z</v>
      </c>
    </row>
    <row r="2940" spans="1:10" x14ac:dyDescent="0.2">
      <c r="A2940" s="2" t="str">
        <f ca="1">IFERROR(__xludf.DUMMYFUNCTION("""COMPUTED_VALUE"""),"https://www.facebook.com/majecelruby.barnido.507")</f>
        <v>https://www.facebook.com/majecelruby.barnido.507</v>
      </c>
      <c r="B2940" s="1" t="str">
        <f ca="1">IFERROR(__xludf.DUMMYFUNCTION("""COMPUTED_VALUE"""),"Majecel Ruby Barnido")</f>
        <v>Majecel Ruby Barnido</v>
      </c>
      <c r="C2940" s="1" t="str">
        <f ca="1">IFERROR(__xludf.DUMMYFUNCTION("""COMPUTED_VALUE"""),"Majecel")</f>
        <v>Majecel</v>
      </c>
      <c r="D2940" s="1" t="str">
        <f ca="1">IFERROR(__xludf.DUMMYFUNCTION("""COMPUTED_VALUE"""),"Ruby Barnido")</f>
        <v>Ruby Barnido</v>
      </c>
      <c r="E2940" s="1" t="str">
        <f ca="1">IFERROR(__xludf.DUMMYFUNCTION("""COMPUTED_VALUE"""),"#LeniKiko2022  #GobyernongTapatAngatBuhayLahat  #KulayRosasAngBukas")</f>
        <v>#LeniKiko2022  #GobyernongTapatAngatBuhayLahat  #KulayRosasAngBukas</v>
      </c>
      <c r="F2940" s="1">
        <f ca="1">IFERROR(__xludf.DUMMYFUNCTION("""COMPUTED_VALUE"""),2)</f>
        <v>2</v>
      </c>
      <c r="G2940" s="1" t="str">
        <f ca="1">IFERROR(__xludf.DUMMYFUNCTION("""COMPUTED_VALUE"""),"3 mos")</f>
        <v>3 mos</v>
      </c>
      <c r="H2940" s="1" t="str">
        <f ca="1">IFERROR(__xludf.DUMMYFUNCTION("""COMPUTED_VALUE"""),"comment")</f>
        <v>comment</v>
      </c>
      <c r="I2940" s="2" t="str">
        <f ca="1">IFERROR(__xludf.DUMMYFUNCTION("""COMPUTED_VALUE"""),"https://www.facebook.com/rapplerdotcom/posts/pfbid0Kg1RoVj1WsJryHzrsA3oSrLQ6DJc4g1o3yMhcNHB9BrPu7fZV7ugtw1hYVefEPE9l")</f>
        <v>https://www.facebook.com/rapplerdotcom/posts/pfbid0Kg1RoVj1WsJryHzrsA3oSrLQ6DJc4g1o3yMhcNHB9BrPu7fZV7ugtw1hYVefEPE9l</v>
      </c>
      <c r="J2940" s="1" t="str">
        <f ca="1">IFERROR(__xludf.DUMMYFUNCTION("""COMPUTED_VALUE"""),"2022-07-04T15:53:56.374Z")</f>
        <v>2022-07-04T15:53:56.374Z</v>
      </c>
    </row>
    <row r="2941" spans="1:10" x14ac:dyDescent="0.2">
      <c r="A2941" s="2" t="str">
        <f ca="1">IFERROR(__xludf.DUMMYFUNCTION("""COMPUTED_VALUE"""),"https://www.facebook.com/janarvy.parr")</f>
        <v>https://www.facebook.com/janarvy.parr</v>
      </c>
      <c r="B2941" s="1" t="str">
        <f ca="1">IFERROR(__xludf.DUMMYFUNCTION("""COMPUTED_VALUE"""),"Arvy Parr")</f>
        <v>Arvy Parr</v>
      </c>
      <c r="C2941" s="1" t="str">
        <f ca="1">IFERROR(__xludf.DUMMYFUNCTION("""COMPUTED_VALUE"""),"Arvy")</f>
        <v>Arvy</v>
      </c>
      <c r="D2941" s="1" t="str">
        <f ca="1">IFERROR(__xludf.DUMMYFUNCTION("""COMPUTED_VALUE"""),"Parr")</f>
        <v>Parr</v>
      </c>
      <c r="E2941" s="1" t="str">
        <f ca="1">IFERROR(__xludf.DUMMYFUNCTION("""COMPUTED_VALUE"""),"Laban Kiko solid LP here")</f>
        <v>Laban Kiko solid LP here</v>
      </c>
      <c r="F2941" s="1">
        <f ca="1">IFERROR(__xludf.DUMMYFUNCTION("""COMPUTED_VALUE"""),2)</f>
        <v>2</v>
      </c>
      <c r="G2941" s="1" t="str">
        <f ca="1">IFERROR(__xludf.DUMMYFUNCTION("""COMPUTED_VALUE"""),"3 mos")</f>
        <v>3 mos</v>
      </c>
      <c r="H2941" s="1" t="str">
        <f ca="1">IFERROR(__xludf.DUMMYFUNCTION("""COMPUTED_VALUE"""),"comment")</f>
        <v>comment</v>
      </c>
      <c r="I2941" s="2" t="str">
        <f ca="1">IFERROR(__xludf.DUMMYFUNCTION("""COMPUTED_VALUE"""),"https://www.facebook.com/rapplerdotcom/posts/pfbid0Kg1RoVj1WsJryHzrsA3oSrLQ6DJc4g1o3yMhcNHB9BrPu7fZV7ugtw1hYVefEPE9l")</f>
        <v>https://www.facebook.com/rapplerdotcom/posts/pfbid0Kg1RoVj1WsJryHzrsA3oSrLQ6DJc4g1o3yMhcNHB9BrPu7fZV7ugtw1hYVefEPE9l</v>
      </c>
      <c r="J2941" s="1" t="str">
        <f ca="1">IFERROR(__xludf.DUMMYFUNCTION("""COMPUTED_VALUE"""),"2022-07-04T15:53:56.374Z")</f>
        <v>2022-07-04T15:53:56.374Z</v>
      </c>
    </row>
    <row r="2942" spans="1:10" x14ac:dyDescent="0.2">
      <c r="A2942" s="2" t="str">
        <f ca="1">IFERROR(__xludf.DUMMYFUNCTION("""COMPUTED_VALUE"""),"https://www.facebook.com/champoybulletelbow")</f>
        <v>https://www.facebook.com/champoybulletelbow</v>
      </c>
      <c r="B2942" s="1" t="str">
        <f ca="1">IFERROR(__xludf.DUMMYFUNCTION("""COMPUTED_VALUE"""),"March NJ")</f>
        <v>March NJ</v>
      </c>
      <c r="C2942" s="1" t="str">
        <f ca="1">IFERROR(__xludf.DUMMYFUNCTION("""COMPUTED_VALUE"""),"March")</f>
        <v>March</v>
      </c>
      <c r="D2942" s="1" t="str">
        <f ca="1">IFERROR(__xludf.DUMMYFUNCTION("""COMPUTED_VALUE"""),"NJ")</f>
        <v>NJ</v>
      </c>
      <c r="E2942" s="1" t="str">
        <f ca="1">IFERROR(__xludf.DUMMYFUNCTION("""COMPUTED_VALUE"""),"#LeniKiko2022 #TeamRObredoPAngilinan2022  #GobyernongTapatAngatBuhayLahat  🙏🌷🌱🙏")</f>
        <v>#LeniKiko2022 #TeamRObredoPAngilinan2022  #GobyernongTapatAngatBuhayLahat  🙏🌷🌱🙏</v>
      </c>
      <c r="F2942" s="1"/>
      <c r="G2942" s="1" t="str">
        <f ca="1">IFERROR(__xludf.DUMMYFUNCTION("""COMPUTED_VALUE"""),"3 mos")</f>
        <v>3 mos</v>
      </c>
      <c r="H2942" s="1" t="str">
        <f ca="1">IFERROR(__xludf.DUMMYFUNCTION("""COMPUTED_VALUE"""),"comment")</f>
        <v>comment</v>
      </c>
      <c r="I2942" s="2" t="str">
        <f ca="1">IFERROR(__xludf.DUMMYFUNCTION("""COMPUTED_VALUE"""),"https://www.facebook.com/rapplerdotcom/posts/pfbid0Kg1RoVj1WsJryHzrsA3oSrLQ6DJc4g1o3yMhcNHB9BrPu7fZV7ugtw1hYVefEPE9l")</f>
        <v>https://www.facebook.com/rapplerdotcom/posts/pfbid0Kg1RoVj1WsJryHzrsA3oSrLQ6DJc4g1o3yMhcNHB9BrPu7fZV7ugtw1hYVefEPE9l</v>
      </c>
      <c r="J2942" s="1" t="str">
        <f ca="1">IFERROR(__xludf.DUMMYFUNCTION("""COMPUTED_VALUE"""),"2022-07-04T15:53:56.374Z")</f>
        <v>2022-07-04T15:53:56.374Z</v>
      </c>
    </row>
    <row r="2943" spans="1:10" x14ac:dyDescent="0.2">
      <c r="A2943" s="2" t="str">
        <f ca="1">IFERROR(__xludf.DUMMYFUNCTION("""COMPUTED_VALUE"""),"https://www.facebook.com/profile.php?id=100013349808064")</f>
        <v>https://www.facebook.com/profile.php?id=100013349808064</v>
      </c>
      <c r="B2943" s="1" t="str">
        <f ca="1">IFERROR(__xludf.DUMMYFUNCTION("""COMPUTED_VALUE"""),"Eugene Pintac")</f>
        <v>Eugene Pintac</v>
      </c>
      <c r="C2943" s="1" t="str">
        <f ca="1">IFERROR(__xludf.DUMMYFUNCTION("""COMPUTED_VALUE"""),"Eugene")</f>
        <v>Eugene</v>
      </c>
      <c r="D2943" s="1" t="str">
        <f ca="1">IFERROR(__xludf.DUMMYFUNCTION("""COMPUTED_VALUE"""),"Pintac")</f>
        <v>Pintac</v>
      </c>
      <c r="E2943" s="1" t="str">
        <f ca="1">IFERROR(__xludf.DUMMYFUNCTION("""COMPUTED_VALUE"""),"#kahit pa e house to house campaign,  mulat na ang mga pilipino, sa mga politikong trapo walang matibay at kungkretong nagawa sa BANSA,")</f>
        <v>#kahit pa e house to house campaign,  mulat na ang mga pilipino, sa mga politikong trapo walang matibay at kungkretong nagawa sa BANSA,</v>
      </c>
      <c r="F2943" s="1">
        <f ca="1">IFERROR(__xludf.DUMMYFUNCTION("""COMPUTED_VALUE"""),3)</f>
        <v>3</v>
      </c>
      <c r="G2943" s="1" t="str">
        <f ca="1">IFERROR(__xludf.DUMMYFUNCTION("""COMPUTED_VALUE"""),"3 mos")</f>
        <v>3 mos</v>
      </c>
      <c r="H2943" s="1" t="str">
        <f ca="1">IFERROR(__xludf.DUMMYFUNCTION("""COMPUTED_VALUE"""),"comment")</f>
        <v>comment</v>
      </c>
      <c r="I2943" s="2" t="str">
        <f ca="1">IFERROR(__xludf.DUMMYFUNCTION("""COMPUTED_VALUE"""),"https://www.facebook.com/rapplerdotcom/posts/pfbid0Kg1RoVj1WsJryHzrsA3oSrLQ6DJc4g1o3yMhcNHB9BrPu7fZV7ugtw1hYVefEPE9l")</f>
        <v>https://www.facebook.com/rapplerdotcom/posts/pfbid0Kg1RoVj1WsJryHzrsA3oSrLQ6DJc4g1o3yMhcNHB9BrPu7fZV7ugtw1hYVefEPE9l</v>
      </c>
      <c r="J2943" s="1" t="str">
        <f ca="1">IFERROR(__xludf.DUMMYFUNCTION("""COMPUTED_VALUE"""),"2022-07-04T15:53:56.375Z")</f>
        <v>2022-07-04T15:53:56.375Z</v>
      </c>
    </row>
    <row r="2944" spans="1:10" x14ac:dyDescent="0.2">
      <c r="A2944" s="2" t="str">
        <f ca="1">IFERROR(__xludf.DUMMYFUNCTION("""COMPUTED_VALUE"""),"https://www.facebook.com/wengnyssa.wengnyssa")</f>
        <v>https://www.facebook.com/wengnyssa.wengnyssa</v>
      </c>
      <c r="B2944" s="1" t="str">
        <f ca="1">IFERROR(__xludf.DUMMYFUNCTION("""COMPUTED_VALUE"""),"Weng Nys")</f>
        <v>Weng Nys</v>
      </c>
      <c r="C2944" s="1" t="str">
        <f ca="1">IFERROR(__xludf.DUMMYFUNCTION("""COMPUTED_VALUE"""),"Weng")</f>
        <v>Weng</v>
      </c>
      <c r="D2944" s="1" t="str">
        <f ca="1">IFERROR(__xludf.DUMMYFUNCTION("""COMPUTED_VALUE"""),"Nys")</f>
        <v>Nys</v>
      </c>
      <c r="E2944" s="1" t="str">
        <f ca="1">IFERROR(__xludf.DUMMYFUNCTION("""COMPUTED_VALUE"""),"💗💗💗💗🌸🌸🌸🌸")</f>
        <v>💗💗💗💗🌸🌸🌸🌸</v>
      </c>
      <c r="F2944" s="1">
        <f ca="1">IFERROR(__xludf.DUMMYFUNCTION("""COMPUTED_VALUE"""),1)</f>
        <v>1</v>
      </c>
      <c r="G2944" s="1" t="str">
        <f ca="1">IFERROR(__xludf.DUMMYFUNCTION("""COMPUTED_VALUE"""),"3 mos")</f>
        <v>3 mos</v>
      </c>
      <c r="H2944" s="1" t="str">
        <f ca="1">IFERROR(__xludf.DUMMYFUNCTION("""COMPUTED_VALUE"""),"comment")</f>
        <v>comment</v>
      </c>
      <c r="I2944" s="2" t="str">
        <f ca="1">IFERROR(__xludf.DUMMYFUNCTION("""COMPUTED_VALUE"""),"https://www.facebook.com/rapplerdotcom/posts/pfbid0Kg1RoVj1WsJryHzrsA3oSrLQ6DJc4g1o3yMhcNHB9BrPu7fZV7ugtw1hYVefEPE9l")</f>
        <v>https://www.facebook.com/rapplerdotcom/posts/pfbid0Kg1RoVj1WsJryHzrsA3oSrLQ6DJc4g1o3yMhcNHB9BrPu7fZV7ugtw1hYVefEPE9l</v>
      </c>
      <c r="J2944" s="1" t="str">
        <f ca="1">IFERROR(__xludf.DUMMYFUNCTION("""COMPUTED_VALUE"""),"2022-07-04T15:53:56.375Z")</f>
        <v>2022-07-04T15:53:56.375Z</v>
      </c>
    </row>
    <row r="2945" spans="1:10" x14ac:dyDescent="0.2">
      <c r="A2945" s="2" t="str">
        <f ca="1">IFERROR(__xludf.DUMMYFUNCTION("""COMPUTED_VALUE"""),"https://www.facebook.com/profile.php?id=100071312860980")</f>
        <v>https://www.facebook.com/profile.php?id=100071312860980</v>
      </c>
      <c r="B2945" s="1" t="str">
        <f ca="1">IFERROR(__xludf.DUMMYFUNCTION("""COMPUTED_VALUE"""),"Angel Abubakar")</f>
        <v>Angel Abubakar</v>
      </c>
      <c r="C2945" s="1" t="str">
        <f ca="1">IFERROR(__xludf.DUMMYFUNCTION("""COMPUTED_VALUE"""),"Angel")</f>
        <v>Angel</v>
      </c>
      <c r="D2945" s="1" t="str">
        <f ca="1">IFERROR(__xludf.DUMMYFUNCTION("""COMPUTED_VALUE"""),"Abubakar")</f>
        <v>Abubakar</v>
      </c>
      <c r="E2945" s="1" t="str">
        <f ca="1">IFERROR(__xludf.DUMMYFUNCTION("""COMPUTED_VALUE"""),"Angel Abubakar")</f>
        <v>Angel Abubakar</v>
      </c>
      <c r="F2945" s="1">
        <f ca="1">IFERROR(__xludf.DUMMYFUNCTION("""COMPUTED_VALUE"""),3)</f>
        <v>3</v>
      </c>
      <c r="G2945" s="1" t="str">
        <f ca="1">IFERROR(__xludf.DUMMYFUNCTION("""COMPUTED_VALUE"""),"3 mos")</f>
        <v>3 mos</v>
      </c>
      <c r="H2945" s="1" t="str">
        <f ca="1">IFERROR(__xludf.DUMMYFUNCTION("""COMPUTED_VALUE"""),"comment")</f>
        <v>comment</v>
      </c>
      <c r="I2945" s="2" t="str">
        <f ca="1">IFERROR(__xludf.DUMMYFUNCTION("""COMPUTED_VALUE"""),"https://www.facebook.com/rapplerdotcom/posts/pfbid0Kg1RoVj1WsJryHzrsA3oSrLQ6DJc4g1o3yMhcNHB9BrPu7fZV7ugtw1hYVefEPE9l")</f>
        <v>https://www.facebook.com/rapplerdotcom/posts/pfbid0Kg1RoVj1WsJryHzrsA3oSrLQ6DJc4g1o3yMhcNHB9BrPu7fZV7ugtw1hYVefEPE9l</v>
      </c>
      <c r="J2945" s="1" t="str">
        <f ca="1">IFERROR(__xludf.DUMMYFUNCTION("""COMPUTED_VALUE"""),"2022-07-04T15:53:56.375Z")</f>
        <v>2022-07-04T15:53:56.375Z</v>
      </c>
    </row>
    <row r="2946" spans="1:10" x14ac:dyDescent="0.2">
      <c r="A2946" s="2" t="str">
        <f ca="1">IFERROR(__xludf.DUMMYFUNCTION("""COMPUTED_VALUE"""),"https://www.facebook.com/pandoy.malabanan")</f>
        <v>https://www.facebook.com/pandoy.malabanan</v>
      </c>
      <c r="B2946" s="1" t="str">
        <f ca="1">IFERROR(__xludf.DUMMYFUNCTION("""COMPUTED_VALUE"""),"Ding Malabanan")</f>
        <v>Ding Malabanan</v>
      </c>
      <c r="C2946" s="1" t="str">
        <f ca="1">IFERROR(__xludf.DUMMYFUNCTION("""COMPUTED_VALUE"""),"Ding")</f>
        <v>Ding</v>
      </c>
      <c r="D2946" s="1" t="str">
        <f ca="1">IFERROR(__xludf.DUMMYFUNCTION("""COMPUTED_VALUE"""),"Malabanan")</f>
        <v>Malabanan</v>
      </c>
      <c r="E2946" s="1" t="str">
        <f ca="1">IFERROR(__xludf.DUMMYFUNCTION("""COMPUTED_VALUE"""),"I'd rather not seek endorsement of this opportunist guy. Just like a number of politicians here in our country, going with the flow seems to be the in-thing come election time, loyalty's being compromised just for the sake of their own selfish interest.")</f>
        <v>I'd rather not seek endorsement of this opportunist guy. Just like a number of politicians here in our country, going with the flow seems to be the in-thing come election time, loyalty's being compromised just for the sake of their own selfish interest.</v>
      </c>
      <c r="F2946" s="1">
        <f ca="1">IFERROR(__xludf.DUMMYFUNCTION("""COMPUTED_VALUE"""),22)</f>
        <v>22</v>
      </c>
      <c r="G2946" s="1" t="str">
        <f ca="1">IFERROR(__xludf.DUMMYFUNCTION("""COMPUTED_VALUE"""),"3 mos")</f>
        <v>3 mos</v>
      </c>
      <c r="H2946" s="1" t="str">
        <f ca="1">IFERROR(__xludf.DUMMYFUNCTION("""COMPUTED_VALUE"""),"comment")</f>
        <v>comment</v>
      </c>
      <c r="I2946" s="2" t="str">
        <f ca="1">IFERROR(__xludf.DUMMYFUNCTION("""COMPUTED_VALUE"""),"https://www.facebook.com/rapplerdotcom/photos/a.317154781638645/5594359700584767/")</f>
        <v>https://www.facebook.com/rapplerdotcom/photos/a.317154781638645/5594359700584767/</v>
      </c>
      <c r="J2946" s="1" t="str">
        <f ca="1">IFERROR(__xludf.DUMMYFUNCTION("""COMPUTED_VALUE"""),"2022-07-04T21:38:13.903Z")</f>
        <v>2022-07-04T21:38:13.903Z</v>
      </c>
    </row>
    <row r="2947" spans="1:10" x14ac:dyDescent="0.2">
      <c r="A2947" s="2" t="str">
        <f ca="1">IFERROR(__xludf.DUMMYFUNCTION("""COMPUTED_VALUE"""),"https://www.facebook.com/joyce.gracia")</f>
        <v>https://www.facebook.com/joyce.gracia</v>
      </c>
      <c r="B2947" s="1" t="str">
        <f ca="1">IFERROR(__xludf.DUMMYFUNCTION("""COMPUTED_VALUE"""),"Joyce Pascual Gracia")</f>
        <v>Joyce Pascual Gracia</v>
      </c>
      <c r="C2947" s="1" t="str">
        <f ca="1">IFERROR(__xludf.DUMMYFUNCTION("""COMPUTED_VALUE"""),"Joyce")</f>
        <v>Joyce</v>
      </c>
      <c r="D2947" s="1" t="str">
        <f ca="1">IFERROR(__xludf.DUMMYFUNCTION("""COMPUTED_VALUE"""),"Pascual Gracia")</f>
        <v>Pascual Gracia</v>
      </c>
      <c r="E2947" s="1" t="str">
        <f ca="1">IFERROR(__xludf.DUMMYFUNCTION("""COMPUTED_VALUE"""),"Mahirap paniwalaan ang sinceridad ng taong yan. Basta #LeniKikoAllTheWay #LeniKikoTeam2022")</f>
        <v>Mahirap paniwalaan ang sinceridad ng taong yan. Basta #LeniKikoAllTheWay #LeniKikoTeam2022</v>
      </c>
      <c r="F2947" s="1">
        <f ca="1">IFERROR(__xludf.DUMMYFUNCTION("""COMPUTED_VALUE"""),3)</f>
        <v>3</v>
      </c>
      <c r="G2947" s="1" t="str">
        <f ca="1">IFERROR(__xludf.DUMMYFUNCTION("""COMPUTED_VALUE"""),"3 mos")</f>
        <v>3 mos</v>
      </c>
      <c r="H2947" s="1" t="str">
        <f ca="1">IFERROR(__xludf.DUMMYFUNCTION("""COMPUTED_VALUE"""),"reply")</f>
        <v>reply</v>
      </c>
      <c r="I2947" s="2" t="str">
        <f ca="1">IFERROR(__xludf.DUMMYFUNCTION("""COMPUTED_VALUE"""),"https://www.facebook.com/rapplerdotcom/photos/a.317154781638645/5594359700584767/")</f>
        <v>https://www.facebook.com/rapplerdotcom/photos/a.317154781638645/5594359700584767/</v>
      </c>
      <c r="J2947" s="1" t="str">
        <f ca="1">IFERROR(__xludf.DUMMYFUNCTION("""COMPUTED_VALUE"""),"2022-07-04T21:38:13.903Z")</f>
        <v>2022-07-04T21:38:13.903Z</v>
      </c>
    </row>
    <row r="2948" spans="1:10" x14ac:dyDescent="0.2">
      <c r="A2948" s="2" t="str">
        <f ca="1">IFERROR(__xludf.DUMMYFUNCTION("""COMPUTED_VALUE"""),"https://www.facebook.com/nancy.obrador.1")</f>
        <v>https://www.facebook.com/nancy.obrador.1</v>
      </c>
      <c r="B2948" s="1" t="str">
        <f ca="1">IFERROR(__xludf.DUMMYFUNCTION("""COMPUTED_VALUE"""),"Nancy Obrador")</f>
        <v>Nancy Obrador</v>
      </c>
      <c r="C2948" s="1" t="str">
        <f ca="1">IFERROR(__xludf.DUMMYFUNCTION("""COMPUTED_VALUE"""),"Nancy")</f>
        <v>Nancy</v>
      </c>
      <c r="D2948" s="1" t="str">
        <f ca="1">IFERROR(__xludf.DUMMYFUNCTION("""COMPUTED_VALUE"""),"Obrador")</f>
        <v>Obrador</v>
      </c>
      <c r="E2948" s="1" t="str">
        <f ca="1">IFERROR(__xludf.DUMMYFUNCTION("""COMPUTED_VALUE"""),"Ding Malabanan true ka dyan")</f>
        <v>Ding Malabanan true ka dyan</v>
      </c>
      <c r="F2948" s="1"/>
      <c r="G2948" s="1" t="str">
        <f ca="1">IFERROR(__xludf.DUMMYFUNCTION("""COMPUTED_VALUE"""),"3 mos")</f>
        <v>3 mos</v>
      </c>
      <c r="H2948" s="1" t="str">
        <f ca="1">IFERROR(__xludf.DUMMYFUNCTION("""COMPUTED_VALUE"""),"reply")</f>
        <v>reply</v>
      </c>
      <c r="I2948" s="2" t="str">
        <f ca="1">IFERROR(__xludf.DUMMYFUNCTION("""COMPUTED_VALUE"""),"https://www.facebook.com/rapplerdotcom/photos/a.317154781638645/5594359700584767/")</f>
        <v>https://www.facebook.com/rapplerdotcom/photos/a.317154781638645/5594359700584767/</v>
      </c>
      <c r="J2948" s="1" t="str">
        <f ca="1">IFERROR(__xludf.DUMMYFUNCTION("""COMPUTED_VALUE"""),"2022-07-04T21:38:13.903Z")</f>
        <v>2022-07-04T21:38:13.903Z</v>
      </c>
    </row>
    <row r="2949" spans="1:10" x14ac:dyDescent="0.2">
      <c r="A2949" s="2" t="str">
        <f ca="1">IFERROR(__xludf.DUMMYFUNCTION("""COMPUTED_VALUE"""),"https://www.facebook.com/fatima.dy")</f>
        <v>https://www.facebook.com/fatima.dy</v>
      </c>
      <c r="B2949" s="1" t="str">
        <f ca="1">IFERROR(__xludf.DUMMYFUNCTION("""COMPUTED_VALUE"""),"Fatima Dy")</f>
        <v>Fatima Dy</v>
      </c>
      <c r="C2949" s="1" t="str">
        <f ca="1">IFERROR(__xludf.DUMMYFUNCTION("""COMPUTED_VALUE"""),"Fatima")</f>
        <v>Fatima</v>
      </c>
      <c r="D2949" s="1" t="str">
        <f ca="1">IFERROR(__xludf.DUMMYFUNCTION("""COMPUTED_VALUE"""),"Dy")</f>
        <v>Dy</v>
      </c>
      <c r="E2949" s="1" t="str">
        <f ca="1">IFERROR(__xludf.DUMMYFUNCTION("""COMPUTED_VALUE"""),"Ding Malabanan and desperate needs of a candidate!")</f>
        <v>Ding Malabanan and desperate needs of a candidate!</v>
      </c>
      <c r="F2949" s="1"/>
      <c r="G2949" s="1" t="str">
        <f ca="1">IFERROR(__xludf.DUMMYFUNCTION("""COMPUTED_VALUE"""),"3 mos")</f>
        <v>3 mos</v>
      </c>
      <c r="H2949" s="1" t="str">
        <f ca="1">IFERROR(__xludf.DUMMYFUNCTION("""COMPUTED_VALUE"""),"reply")</f>
        <v>reply</v>
      </c>
      <c r="I2949" s="2" t="str">
        <f ca="1">IFERROR(__xludf.DUMMYFUNCTION("""COMPUTED_VALUE"""),"https://www.facebook.com/rapplerdotcom/photos/a.317154781638645/5594359700584767/")</f>
        <v>https://www.facebook.com/rapplerdotcom/photos/a.317154781638645/5594359700584767/</v>
      </c>
      <c r="J2949" s="1" t="str">
        <f ca="1">IFERROR(__xludf.DUMMYFUNCTION("""COMPUTED_VALUE"""),"2022-07-04T21:38:13.903Z")</f>
        <v>2022-07-04T21:38:13.903Z</v>
      </c>
    </row>
    <row r="2950" spans="1:10" x14ac:dyDescent="0.2">
      <c r="A2950" s="2" t="str">
        <f ca="1">IFERROR(__xludf.DUMMYFUNCTION("""COMPUTED_VALUE"""),"https://www.facebook.com/marilyn.a.ferrer")</f>
        <v>https://www.facebook.com/marilyn.a.ferrer</v>
      </c>
      <c r="B2950" s="1" t="str">
        <f ca="1">IFERROR(__xludf.DUMMYFUNCTION("""COMPUTED_VALUE"""),"Marilyn Abad Ferrer")</f>
        <v>Marilyn Abad Ferrer</v>
      </c>
      <c r="C2950" s="1" t="str">
        <f ca="1">IFERROR(__xludf.DUMMYFUNCTION("""COMPUTED_VALUE"""),"Marilyn")</f>
        <v>Marilyn</v>
      </c>
      <c r="D2950" s="1" t="str">
        <f ca="1">IFERROR(__xludf.DUMMYFUNCTION("""COMPUTED_VALUE"""),"Abad Ferrer")</f>
        <v>Abad Ferrer</v>
      </c>
      <c r="E2950" s="1" t="str">
        <f ca="1">IFERROR(__xludf.DUMMYFUNCTION("""COMPUTED_VALUE"""),"How can you endorse someone you callled “makapal ang mukha”, “traydor sa ating bansa”? Just goes to show you really dont care about our country &amp; its people - only your own selfish interest!")</f>
        <v>How can you endorse someone you callled “makapal ang mukha”, “traydor sa ating bansa”? Just goes to show you really dont care about our country &amp; its people - only your own selfish interest!</v>
      </c>
      <c r="F2950" s="1">
        <f ca="1">IFERROR(__xludf.DUMMYFUNCTION("""COMPUTED_VALUE"""),8)</f>
        <v>8</v>
      </c>
      <c r="G2950" s="1" t="str">
        <f ca="1">IFERROR(__xludf.DUMMYFUNCTION("""COMPUTED_VALUE"""),"3 mos")</f>
        <v>3 mos</v>
      </c>
      <c r="H2950" s="1" t="str">
        <f ca="1">IFERROR(__xludf.DUMMYFUNCTION("""COMPUTED_VALUE"""),"comment")</f>
        <v>comment</v>
      </c>
      <c r="I2950" s="2" t="str">
        <f ca="1">IFERROR(__xludf.DUMMYFUNCTION("""COMPUTED_VALUE"""),"https://www.facebook.com/rapplerdotcom/photos/a.317154781638645/5594359700584767/")</f>
        <v>https://www.facebook.com/rapplerdotcom/photos/a.317154781638645/5594359700584767/</v>
      </c>
      <c r="J2950" s="1" t="str">
        <f ca="1">IFERROR(__xludf.DUMMYFUNCTION("""COMPUTED_VALUE"""),"2022-07-04T21:38:13.903Z")</f>
        <v>2022-07-04T21:38:13.903Z</v>
      </c>
    </row>
    <row r="2951" spans="1:10" x14ac:dyDescent="0.2">
      <c r="A2951" s="2" t="str">
        <f ca="1">IFERROR(__xludf.DUMMYFUNCTION("""COMPUTED_VALUE"""),"https://www.facebook.com/macristina.panaguiton.7")</f>
        <v>https://www.facebook.com/macristina.panaguiton.7</v>
      </c>
      <c r="B2951" s="1" t="str">
        <f ca="1">IFERROR(__xludf.DUMMYFUNCTION("""COMPUTED_VALUE"""),"Tina Gallaza Panaguiton")</f>
        <v>Tina Gallaza Panaguiton</v>
      </c>
      <c r="C2951" s="1" t="str">
        <f ca="1">IFERROR(__xludf.DUMMYFUNCTION("""COMPUTED_VALUE"""),"Tina")</f>
        <v>Tina</v>
      </c>
      <c r="D2951" s="1" t="str">
        <f ca="1">IFERROR(__xludf.DUMMYFUNCTION("""COMPUTED_VALUE"""),"Gallaza Panaguiton")</f>
        <v>Gallaza Panaguiton</v>
      </c>
      <c r="E2951" s="1" t="str">
        <f ca="1">IFERROR(__xludf.DUMMYFUNCTION("""COMPUTED_VALUE"""),"Still have reservations about his credibility.")</f>
        <v>Still have reservations about his credibility.</v>
      </c>
      <c r="F2951" s="1">
        <f ca="1">IFERROR(__xludf.DUMMYFUNCTION("""COMPUTED_VALUE"""),19)</f>
        <v>19</v>
      </c>
      <c r="G2951" s="1" t="str">
        <f ca="1">IFERROR(__xludf.DUMMYFUNCTION("""COMPUTED_VALUE"""),"3 mos")</f>
        <v>3 mos</v>
      </c>
      <c r="H2951" s="1" t="str">
        <f ca="1">IFERROR(__xludf.DUMMYFUNCTION("""COMPUTED_VALUE"""),"comment")</f>
        <v>comment</v>
      </c>
      <c r="I2951" s="2" t="str">
        <f ca="1">IFERROR(__xludf.DUMMYFUNCTION("""COMPUTED_VALUE"""),"https://www.facebook.com/rapplerdotcom/photos/a.317154781638645/5594359700584767/")</f>
        <v>https://www.facebook.com/rapplerdotcom/photos/a.317154781638645/5594359700584767/</v>
      </c>
      <c r="J2951" s="1" t="str">
        <f ca="1">IFERROR(__xludf.DUMMYFUNCTION("""COMPUTED_VALUE"""),"2022-07-04T21:38:13.903Z")</f>
        <v>2022-07-04T21:38:13.903Z</v>
      </c>
    </row>
    <row r="2952" spans="1:10" x14ac:dyDescent="0.2">
      <c r="A2952" s="2" t="str">
        <f ca="1">IFERROR(__xludf.DUMMYFUNCTION("""COMPUTED_VALUE"""),"https://www.facebook.com/EnricElesisCruz")</f>
        <v>https://www.facebook.com/EnricElesisCruz</v>
      </c>
      <c r="B2952" s="1" t="str">
        <f ca="1">IFERROR(__xludf.DUMMYFUNCTION("""COMPUTED_VALUE"""),"Enric Elesis Cruz")</f>
        <v>Enric Elesis Cruz</v>
      </c>
      <c r="C2952" s="1" t="str">
        <f ca="1">IFERROR(__xludf.DUMMYFUNCTION("""COMPUTED_VALUE"""),"Enric")</f>
        <v>Enric</v>
      </c>
      <c r="D2952" s="1" t="str">
        <f ca="1">IFERROR(__xludf.DUMMYFUNCTION("""COMPUTED_VALUE"""),"Elesis Cruz")</f>
        <v>Elesis Cruz</v>
      </c>
      <c r="E2952" s="1" t="str">
        <f ca="1">IFERROR(__xludf.DUMMYFUNCTION("""COMPUTED_VALUE"""),"Tina Gallaza Panaguiton oo, pati na sa inendrose nya lately. Skl")</f>
        <v>Tina Gallaza Panaguiton oo, pati na sa inendrose nya lately. Skl</v>
      </c>
      <c r="F2952" s="1">
        <f ca="1">IFERROR(__xludf.DUMMYFUNCTION("""COMPUTED_VALUE"""),1)</f>
        <v>1</v>
      </c>
      <c r="G2952" s="1" t="str">
        <f ca="1">IFERROR(__xludf.DUMMYFUNCTION("""COMPUTED_VALUE"""),"3 mos")</f>
        <v>3 mos</v>
      </c>
      <c r="H2952" s="1" t="str">
        <f ca="1">IFERROR(__xludf.DUMMYFUNCTION("""COMPUTED_VALUE"""),"reply")</f>
        <v>reply</v>
      </c>
      <c r="I2952" s="2" t="str">
        <f ca="1">IFERROR(__xludf.DUMMYFUNCTION("""COMPUTED_VALUE"""),"https://www.facebook.com/rapplerdotcom/photos/a.317154781638645/5594359700584767/")</f>
        <v>https://www.facebook.com/rapplerdotcom/photos/a.317154781638645/5594359700584767/</v>
      </c>
      <c r="J2952" s="1" t="str">
        <f ca="1">IFERROR(__xludf.DUMMYFUNCTION("""COMPUTED_VALUE"""),"2022-07-04T21:38:13.903Z")</f>
        <v>2022-07-04T21:38:13.903Z</v>
      </c>
    </row>
    <row r="2953" spans="1:10" x14ac:dyDescent="0.2">
      <c r="A2953" s="2" t="str">
        <f ca="1">IFERROR(__xludf.DUMMYFUNCTION("""COMPUTED_VALUE"""),"https://www.facebook.com/edilberto.fermil.9")</f>
        <v>https://www.facebook.com/edilberto.fermil.9</v>
      </c>
      <c r="B2953" s="1" t="str">
        <f ca="1">IFERROR(__xludf.DUMMYFUNCTION("""COMPUTED_VALUE"""),"Edilberto Fermil")</f>
        <v>Edilberto Fermil</v>
      </c>
      <c r="C2953" s="1" t="str">
        <f ca="1">IFERROR(__xludf.DUMMYFUNCTION("""COMPUTED_VALUE"""),"Edilberto")</f>
        <v>Edilberto</v>
      </c>
      <c r="D2953" s="1" t="str">
        <f ca="1">IFERROR(__xludf.DUMMYFUNCTION("""COMPUTED_VALUE"""),"Fermil")</f>
        <v>Fermil</v>
      </c>
      <c r="E2953" s="1" t="str">
        <f ca="1">IFERROR(__xludf.DUMMYFUNCTION("""COMPUTED_VALUE"""),"Tina Gallaza Panaguiton Wala talagang credibility.")</f>
        <v>Tina Gallaza Panaguiton Wala talagang credibility.</v>
      </c>
      <c r="F2953" s="1"/>
      <c r="G2953" s="1" t="str">
        <f ca="1">IFERROR(__xludf.DUMMYFUNCTION("""COMPUTED_VALUE"""),"3 mos")</f>
        <v>3 mos</v>
      </c>
      <c r="H2953" s="1" t="str">
        <f ca="1">IFERROR(__xludf.DUMMYFUNCTION("""COMPUTED_VALUE"""),"reply")</f>
        <v>reply</v>
      </c>
      <c r="I2953" s="2" t="str">
        <f ca="1">IFERROR(__xludf.DUMMYFUNCTION("""COMPUTED_VALUE"""),"https://www.facebook.com/rapplerdotcom/photos/a.317154781638645/5594359700584767/")</f>
        <v>https://www.facebook.com/rapplerdotcom/photos/a.317154781638645/5594359700584767/</v>
      </c>
      <c r="J2953" s="1" t="str">
        <f ca="1">IFERROR(__xludf.DUMMYFUNCTION("""COMPUTED_VALUE"""),"2022-07-04T21:38:13.903Z")</f>
        <v>2022-07-04T21:38:13.903Z</v>
      </c>
    </row>
    <row r="2954" spans="1:10" x14ac:dyDescent="0.2">
      <c r="A2954" s="2" t="str">
        <f ca="1">IFERROR(__xludf.DUMMYFUNCTION("""COMPUTED_VALUE"""),"https://www.facebook.com/mel.lao.18")</f>
        <v>https://www.facebook.com/mel.lao.18</v>
      </c>
      <c r="B2954" s="1" t="str">
        <f ca="1">IFERROR(__xludf.DUMMYFUNCTION("""COMPUTED_VALUE"""),"Jose Mel Lao")</f>
        <v>Jose Mel Lao</v>
      </c>
      <c r="C2954" s="1" t="str">
        <f ca="1">IFERROR(__xludf.DUMMYFUNCTION("""COMPUTED_VALUE"""),"Jose")</f>
        <v>Jose</v>
      </c>
      <c r="D2954" s="1" t="str">
        <f ca="1">IFERROR(__xludf.DUMMYFUNCTION("""COMPUTED_VALUE"""),"Mel Lao")</f>
        <v>Mel Lao</v>
      </c>
      <c r="E2954" s="1" t="str">
        <f ca="1">IFERROR(__xludf.DUMMYFUNCTION("""COMPUTED_VALUE"""),"In every situation there's a realization... but I like to believe that in politics there's no permanent friends and allies...... the only permanent is *Vested interest*")</f>
        <v>In every situation there's a realization... but I like to believe that in politics there's no permanent friends and allies...... the only permanent is *Vested interest*</v>
      </c>
      <c r="F2954" s="1">
        <f ca="1">IFERROR(__xludf.DUMMYFUNCTION("""COMPUTED_VALUE"""),28)</f>
        <v>28</v>
      </c>
      <c r="G2954" s="1" t="str">
        <f ca="1">IFERROR(__xludf.DUMMYFUNCTION("""COMPUTED_VALUE"""),"3 mos")</f>
        <v>3 mos</v>
      </c>
      <c r="H2954" s="1" t="str">
        <f ca="1">IFERROR(__xludf.DUMMYFUNCTION("""COMPUTED_VALUE"""),"comment")</f>
        <v>comment</v>
      </c>
      <c r="I2954" s="2" t="str">
        <f ca="1">IFERROR(__xludf.DUMMYFUNCTION("""COMPUTED_VALUE"""),"https://www.facebook.com/rapplerdotcom/photos/a.317154781638645/5594359700584767/")</f>
        <v>https://www.facebook.com/rapplerdotcom/photos/a.317154781638645/5594359700584767/</v>
      </c>
      <c r="J2954" s="1" t="str">
        <f ca="1">IFERROR(__xludf.DUMMYFUNCTION("""COMPUTED_VALUE"""),"2022-07-04T21:38:13.903Z")</f>
        <v>2022-07-04T21:38:13.903Z</v>
      </c>
    </row>
    <row r="2955" spans="1:10" x14ac:dyDescent="0.2">
      <c r="A2955" s="2" t="str">
        <f ca="1">IFERROR(__xludf.DUMMYFUNCTION("""COMPUTED_VALUE"""),"https://www.facebook.com/roie.donna")</f>
        <v>https://www.facebook.com/roie.donna</v>
      </c>
      <c r="B2955" s="1" t="str">
        <f ca="1">IFERROR(__xludf.DUMMYFUNCTION("""COMPUTED_VALUE"""),"Roiedonna Vasta")</f>
        <v>Roiedonna Vasta</v>
      </c>
      <c r="C2955" s="1" t="str">
        <f ca="1">IFERROR(__xludf.DUMMYFUNCTION("""COMPUTED_VALUE"""),"Roiedonna")</f>
        <v>Roiedonna</v>
      </c>
      <c r="D2955" s="1" t="str">
        <f ca="1">IFERROR(__xludf.DUMMYFUNCTION("""COMPUTED_VALUE"""),"Vasta")</f>
        <v>Vasta</v>
      </c>
      <c r="E2955" s="1" t="str">
        <f ca="1">IFERROR(__xludf.DUMMYFUNCTION("""COMPUTED_VALUE"""),"Don't ask for anything in return JUDAS, you're like a serpent,  you have a split tounge!")</f>
        <v>Don't ask for anything in return JUDAS, you're like a serpent,  you have a split tounge!</v>
      </c>
      <c r="F2955" s="1"/>
      <c r="G2955" s="1" t="str">
        <f ca="1">IFERROR(__xludf.DUMMYFUNCTION("""COMPUTED_VALUE"""),"3 mos")</f>
        <v>3 mos</v>
      </c>
      <c r="H2955" s="1" t="str">
        <f ca="1">IFERROR(__xludf.DUMMYFUNCTION("""COMPUTED_VALUE"""),"comment")</f>
        <v>comment</v>
      </c>
      <c r="I2955" s="2" t="str">
        <f ca="1">IFERROR(__xludf.DUMMYFUNCTION("""COMPUTED_VALUE"""),"https://www.facebook.com/rapplerdotcom/photos/a.317154781638645/5594359700584767/")</f>
        <v>https://www.facebook.com/rapplerdotcom/photos/a.317154781638645/5594359700584767/</v>
      </c>
      <c r="J2955" s="1" t="str">
        <f ca="1">IFERROR(__xludf.DUMMYFUNCTION("""COMPUTED_VALUE"""),"2022-07-04T21:38:13.903Z")</f>
        <v>2022-07-04T21:38:13.903Z</v>
      </c>
    </row>
    <row r="2956" spans="1:10" x14ac:dyDescent="0.2">
      <c r="A2956" s="2" t="str">
        <f ca="1">IFERROR(__xludf.DUMMYFUNCTION("""COMPUTED_VALUE"""),"https://www.facebook.com/neilyuchan")</f>
        <v>https://www.facebook.com/neilyuchan</v>
      </c>
      <c r="B2956" s="1" t="str">
        <f ca="1">IFERROR(__xludf.DUMMYFUNCTION("""COMPUTED_VALUE"""),"Neil Chan")</f>
        <v>Neil Chan</v>
      </c>
      <c r="C2956" s="1" t="str">
        <f ca="1">IFERROR(__xludf.DUMMYFUNCTION("""COMPUTED_VALUE"""),"Neil")</f>
        <v>Neil</v>
      </c>
      <c r="D2956" s="1" t="str">
        <f ca="1">IFERROR(__xludf.DUMMYFUNCTION("""COMPUTED_VALUE"""),"Chan")</f>
        <v>Chan</v>
      </c>
      <c r="E2956" s="1" t="str">
        <f ca="1">IFERROR(__xludf.DUMMYFUNCTION("""COMPUTED_VALUE"""),"when a wily politician like him switching, it means a seismic change in political climate.")</f>
        <v>when a wily politician like him switching, it means a seismic change in political climate.</v>
      </c>
      <c r="F2956" s="1"/>
      <c r="G2956" s="1" t="str">
        <f ca="1">IFERROR(__xludf.DUMMYFUNCTION("""COMPUTED_VALUE"""),"3 mos")</f>
        <v>3 mos</v>
      </c>
      <c r="H2956" s="1" t="str">
        <f ca="1">IFERROR(__xludf.DUMMYFUNCTION("""COMPUTED_VALUE"""),"comment")</f>
        <v>comment</v>
      </c>
      <c r="I2956" s="2" t="str">
        <f ca="1">IFERROR(__xludf.DUMMYFUNCTION("""COMPUTED_VALUE"""),"https://www.facebook.com/rapplerdotcom/photos/a.317154781638645/5594359700584767/")</f>
        <v>https://www.facebook.com/rapplerdotcom/photos/a.317154781638645/5594359700584767/</v>
      </c>
      <c r="J2956" s="1" t="str">
        <f ca="1">IFERROR(__xludf.DUMMYFUNCTION("""COMPUTED_VALUE"""),"2022-07-04T21:38:13.903Z")</f>
        <v>2022-07-04T21:38:13.903Z</v>
      </c>
    </row>
    <row r="2957" spans="1:10" x14ac:dyDescent="0.2">
      <c r="A2957" s="2" t="str">
        <f ca="1">IFERROR(__xludf.DUMMYFUNCTION("""COMPUTED_VALUE"""),"https://www.facebook.com/milagrosilidan")</f>
        <v>https://www.facebook.com/milagrosilidan</v>
      </c>
      <c r="B2957" s="1" t="str">
        <f ca="1">IFERROR(__xludf.DUMMYFUNCTION("""COMPUTED_VALUE"""),"Mila Escaran Iledan")</f>
        <v>Mila Escaran Iledan</v>
      </c>
      <c r="C2957" s="1" t="str">
        <f ca="1">IFERROR(__xludf.DUMMYFUNCTION("""COMPUTED_VALUE"""),"Mila")</f>
        <v>Mila</v>
      </c>
      <c r="D2957" s="1" t="str">
        <f ca="1">IFERROR(__xludf.DUMMYFUNCTION("""COMPUTED_VALUE"""),"Escaran Iledan")</f>
        <v>Escaran Iledan</v>
      </c>
      <c r="E2957" s="1" t="str">
        <f ca="1">IFERROR(__xludf.DUMMYFUNCTION("""COMPUTED_VALUE"""),"We dont care who you support; people DO NOT BUY your endorsement anyway;  we dont trust a CHAMELLON &amp; an OPPORTUNIST. GO support a STRING PUPPET of the oligarchs &amp; USA.")</f>
        <v>We dont care who you support; people DO NOT BUY your endorsement anyway;  we dont trust a CHAMELLON &amp; an OPPORTUNIST. GO support a STRING PUPPET of the oligarchs &amp; USA.</v>
      </c>
      <c r="F2957" s="1"/>
      <c r="G2957" s="1" t="str">
        <f ca="1">IFERROR(__xludf.DUMMYFUNCTION("""COMPUTED_VALUE"""),"3 mos")</f>
        <v>3 mos</v>
      </c>
      <c r="H2957" s="1" t="str">
        <f ca="1">IFERROR(__xludf.DUMMYFUNCTION("""COMPUTED_VALUE"""),"comment")</f>
        <v>comment</v>
      </c>
      <c r="I2957" s="2" t="str">
        <f ca="1">IFERROR(__xludf.DUMMYFUNCTION("""COMPUTED_VALUE"""),"https://www.facebook.com/rapplerdotcom/photos/a.317154781638645/5594359700584767/")</f>
        <v>https://www.facebook.com/rapplerdotcom/photos/a.317154781638645/5594359700584767/</v>
      </c>
      <c r="J2957" s="1" t="str">
        <f ca="1">IFERROR(__xludf.DUMMYFUNCTION("""COMPUTED_VALUE"""),"2022-07-04T21:38:13.904Z")</f>
        <v>2022-07-04T21:38:13.904Z</v>
      </c>
    </row>
    <row r="2958" spans="1:10" x14ac:dyDescent="0.2">
      <c r="A2958" s="2" t="str">
        <f ca="1">IFERROR(__xludf.DUMMYFUNCTION("""COMPUTED_VALUE"""),"https://www.facebook.com/Alvin3aces")</f>
        <v>https://www.facebook.com/Alvin3aces</v>
      </c>
      <c r="B2958" s="1" t="str">
        <f ca="1">IFERROR(__xludf.DUMMYFUNCTION("""COMPUTED_VALUE"""),"Alvin Alcala")</f>
        <v>Alvin Alcala</v>
      </c>
      <c r="C2958" s="1" t="str">
        <f ca="1">IFERROR(__xludf.DUMMYFUNCTION("""COMPUTED_VALUE"""),"Alvin")</f>
        <v>Alvin</v>
      </c>
      <c r="D2958" s="1" t="str">
        <f ca="1">IFERROR(__xludf.DUMMYFUNCTION("""COMPUTED_VALUE"""),"Alcala")</f>
        <v>Alcala</v>
      </c>
      <c r="E2958" s="1" t="str">
        <f ca="1">IFERROR(__xludf.DUMMYFUNCTION("""COMPUTED_VALUE"""),"This is called SELF INTEREST and not the NATION'S INTEREST. Their past &amp; present history as politicians  will reflect DECISION for our childrens future generation in terms of vote. GOD BLESS!")</f>
        <v>This is called SELF INTEREST and not the NATION'S INTEREST. Their past &amp; present history as politicians  will reflect DECISION for our childrens future generation in terms of vote. GOD BLESS!</v>
      </c>
      <c r="F2958" s="1"/>
      <c r="G2958" s="1" t="str">
        <f ca="1">IFERROR(__xludf.DUMMYFUNCTION("""COMPUTED_VALUE"""),"3 mos")</f>
        <v>3 mos</v>
      </c>
      <c r="H2958" s="1" t="str">
        <f ca="1">IFERROR(__xludf.DUMMYFUNCTION("""COMPUTED_VALUE"""),"comment")</f>
        <v>comment</v>
      </c>
      <c r="I2958" s="2" t="str">
        <f ca="1">IFERROR(__xludf.DUMMYFUNCTION("""COMPUTED_VALUE"""),"https://www.facebook.com/rapplerdotcom/photos/a.317154781638645/5594359700584767/")</f>
        <v>https://www.facebook.com/rapplerdotcom/photos/a.317154781638645/5594359700584767/</v>
      </c>
      <c r="J2958" s="1" t="str">
        <f ca="1">IFERROR(__xludf.DUMMYFUNCTION("""COMPUTED_VALUE"""),"2022-07-04T21:38:13.904Z")</f>
        <v>2022-07-04T21:38:13.904Z</v>
      </c>
    </row>
    <row r="2959" spans="1:10" x14ac:dyDescent="0.2">
      <c r="A2959" s="2" t="str">
        <f ca="1">IFERROR(__xludf.DUMMYFUNCTION("""COMPUTED_VALUE"""),"https://www.facebook.com/hyath")</f>
        <v>https://www.facebook.com/hyath</v>
      </c>
      <c r="B2959" s="1" t="str">
        <f ca="1">IFERROR(__xludf.DUMMYFUNCTION("""COMPUTED_VALUE"""),"Hyatt Bravo")</f>
        <v>Hyatt Bravo</v>
      </c>
      <c r="C2959" s="1" t="str">
        <f ca="1">IFERROR(__xludf.DUMMYFUNCTION("""COMPUTED_VALUE"""),"Hyatt")</f>
        <v>Hyatt</v>
      </c>
      <c r="D2959" s="1" t="str">
        <f ca="1">IFERROR(__xludf.DUMMYFUNCTION("""COMPUTED_VALUE"""),"Bravo")</f>
        <v>Bravo</v>
      </c>
      <c r="E2959" s="1" t="str">
        <f ca="1">IFERROR(__xludf.DUMMYFUNCTION("""COMPUTED_VALUE"""),"This plot solidified votes for sen. Ping and even invited sympathies from the undecided and soft voter groups towards the good senator.  For mam vp, IMO, it did more harm than good esp. the support fr cong alvarez is exclusive to her candidacy and leaving"&amp;" sen Kiko out.    Painted her as someone desperately needing for support even if it's coming from a politician with questionable loyalty and credibility.  Makes me wonder what's really in it for her.  tbh. :( :'(")</f>
        <v>This plot solidified votes for sen. Ping and even invited sympathies from the undecided and soft voter groups towards the good senator.  For mam vp, IMO, it did more harm than good esp. the support fr cong alvarez is exclusive to her candidacy and leaving sen Kiko out.    Painted her as someone desperately needing for support even if it's coming from a politician with questionable loyalty and credibility.  Makes me wonder what's really in it for her.  tbh. :( :'(</v>
      </c>
      <c r="F2959" s="1">
        <f ca="1">IFERROR(__xludf.DUMMYFUNCTION("""COMPUTED_VALUE"""),2)</f>
        <v>2</v>
      </c>
      <c r="G2959" s="1" t="str">
        <f ca="1">IFERROR(__xludf.DUMMYFUNCTION("""COMPUTED_VALUE"""),"3 mos")</f>
        <v>3 mos</v>
      </c>
      <c r="H2959" s="1" t="str">
        <f ca="1">IFERROR(__xludf.DUMMYFUNCTION("""COMPUTED_VALUE"""),"comment")</f>
        <v>comment</v>
      </c>
      <c r="I2959" s="2" t="str">
        <f ca="1">IFERROR(__xludf.DUMMYFUNCTION("""COMPUTED_VALUE"""),"https://www.facebook.com/rapplerdotcom/photos/a.317154781638645/5594359700584767/")</f>
        <v>https://www.facebook.com/rapplerdotcom/photos/a.317154781638645/5594359700584767/</v>
      </c>
      <c r="J2959" s="1" t="str">
        <f ca="1">IFERROR(__xludf.DUMMYFUNCTION("""COMPUTED_VALUE"""),"2022-07-04T21:38:13.904Z")</f>
        <v>2022-07-04T21:38:13.904Z</v>
      </c>
    </row>
    <row r="2960" spans="1:10" x14ac:dyDescent="0.2">
      <c r="A2960" s="2" t="str">
        <f ca="1">IFERROR(__xludf.DUMMYFUNCTION("""COMPUTED_VALUE"""),"https://www.facebook.com/christene.delacruz.777")</f>
        <v>https://www.facebook.com/christene.delacruz.777</v>
      </c>
      <c r="B2960" s="1" t="str">
        <f ca="1">IFERROR(__xludf.DUMMYFUNCTION("""COMPUTED_VALUE"""),"Christene Delacruz")</f>
        <v>Christene Delacruz</v>
      </c>
      <c r="C2960" s="1" t="str">
        <f ca="1">IFERROR(__xludf.DUMMYFUNCTION("""COMPUTED_VALUE"""),"Christene")</f>
        <v>Christene</v>
      </c>
      <c r="D2960" s="1" t="str">
        <f ca="1">IFERROR(__xludf.DUMMYFUNCTION("""COMPUTED_VALUE"""),"Delacruz")</f>
        <v>Delacruz</v>
      </c>
      <c r="E2960" s="1" t="str">
        <f ca="1">IFERROR(__xludf.DUMMYFUNCTION("""COMPUTED_VALUE"""),"We don't trust you and The People's Campaign got their laser eyes on you.")</f>
        <v>We don't trust you and The People's Campaign got their laser eyes on you.</v>
      </c>
      <c r="F2960" s="1">
        <f ca="1">IFERROR(__xludf.DUMMYFUNCTION("""COMPUTED_VALUE"""),2)</f>
        <v>2</v>
      </c>
      <c r="G2960" s="1" t="str">
        <f ca="1">IFERROR(__xludf.DUMMYFUNCTION("""COMPUTED_VALUE"""),"3 mos")</f>
        <v>3 mos</v>
      </c>
      <c r="H2960" s="1" t="str">
        <f ca="1">IFERROR(__xludf.DUMMYFUNCTION("""COMPUTED_VALUE"""),"comment")</f>
        <v>comment</v>
      </c>
      <c r="I2960" s="2" t="str">
        <f ca="1">IFERROR(__xludf.DUMMYFUNCTION("""COMPUTED_VALUE"""),"https://www.facebook.com/rapplerdotcom/photos/a.317154781638645/5594359700584767/")</f>
        <v>https://www.facebook.com/rapplerdotcom/photos/a.317154781638645/5594359700584767/</v>
      </c>
      <c r="J2960" s="1" t="str">
        <f ca="1">IFERROR(__xludf.DUMMYFUNCTION("""COMPUTED_VALUE"""),"2022-07-04T21:38:13.904Z")</f>
        <v>2022-07-04T21:38:13.904Z</v>
      </c>
    </row>
    <row r="2961" spans="1:10" x14ac:dyDescent="0.2">
      <c r="A2961" s="2" t="str">
        <f ca="1">IFERROR(__xludf.DUMMYFUNCTION("""COMPUTED_VALUE"""),"https://www.facebook.com/jaymar.pantojatumlos")</f>
        <v>https://www.facebook.com/jaymar.pantojatumlos</v>
      </c>
      <c r="B2961" s="1" t="str">
        <f ca="1">IFERROR(__xludf.DUMMYFUNCTION("""COMPUTED_VALUE"""),"Jaymar Pantoja Tumlos")</f>
        <v>Jaymar Pantoja Tumlos</v>
      </c>
      <c r="C2961" s="1" t="str">
        <f ca="1">IFERROR(__xludf.DUMMYFUNCTION("""COMPUTED_VALUE"""),"Jaymar")</f>
        <v>Jaymar</v>
      </c>
      <c r="D2961" s="1" t="str">
        <f ca="1">IFERROR(__xludf.DUMMYFUNCTION("""COMPUTED_VALUE"""),"Pantoja Tumlos")</f>
        <v>Pantoja Tumlos</v>
      </c>
      <c r="E2961" s="1" t="str">
        <f ca="1">IFERROR(__xludf.DUMMYFUNCTION("""COMPUTED_VALUE"""),"Marcoses are very humble ❤️💚😤 and always in humility🙏✨😍 kaya gusto ko sila✌️❤️💚 They dont bash 🤧💚😭❤️ retaliate 😍🙏 take revenge ❤️💚🥺 or do something wrong 😤🙄❤️💚against their enemies☺️❤️💚. They stay Calm 🥱❤️💚 Cool ✌️🤧and gentle in their a"&amp;"ctions 😍💚❤️ As the Bible says LOVE YOUR🥺🤗✨ ENEMIES ✨❤️💚AS YOU LOVE YOURSELF"" ❤️💚🥰💯 the second greatest commandment✨🙏✌️💚❤️ as well as the seventh 😘🥰💚❤️✌️")</f>
        <v>Marcoses are very humble ❤️💚😤 and always in humility🙏✨😍 kaya gusto ko sila✌️❤️💚 They dont bash 🤧💚😭❤️ retaliate 😍🙏 take revenge ❤️💚🥺 or do something wrong 😤🙄❤️💚against their enemies☺️❤️💚. They stay Calm 🥱❤️💚 Cool ✌️🤧and gentle in their actions 😍💚❤️ As the Bible says LOVE YOUR🥺🤗✨ ENEMIES ✨❤️💚AS YOU LOVE YOURSELF" ❤️💚🥰💯 the second greatest commandment✨🙏✌️💚❤️ as well as the seventh 😘🥰💚❤️✌️</v>
      </c>
      <c r="F2961" s="1">
        <f ca="1">IFERROR(__xludf.DUMMYFUNCTION("""COMPUTED_VALUE"""),1)</f>
        <v>1</v>
      </c>
      <c r="G2961" s="1" t="str">
        <f ca="1">IFERROR(__xludf.DUMMYFUNCTION("""COMPUTED_VALUE"""),"3 mos")</f>
        <v>3 mos</v>
      </c>
      <c r="H2961" s="1" t="str">
        <f ca="1">IFERROR(__xludf.DUMMYFUNCTION("""COMPUTED_VALUE"""),"comment")</f>
        <v>comment</v>
      </c>
      <c r="I2961" s="2" t="str">
        <f ca="1">IFERROR(__xludf.DUMMYFUNCTION("""COMPUTED_VALUE"""),"https://www.facebook.com/rapplerdotcom/photos/a.317154781638645/5594359700584767/")</f>
        <v>https://www.facebook.com/rapplerdotcom/photos/a.317154781638645/5594359700584767/</v>
      </c>
      <c r="J2961" s="1" t="str">
        <f ca="1">IFERROR(__xludf.DUMMYFUNCTION("""COMPUTED_VALUE"""),"2022-07-04T21:38:13.904Z")</f>
        <v>2022-07-04T21:38:13.904Z</v>
      </c>
    </row>
    <row r="2962" spans="1:10" x14ac:dyDescent="0.2">
      <c r="A2962" s="2" t="str">
        <f ca="1">IFERROR(__xludf.DUMMYFUNCTION("""COMPUTED_VALUE"""),"https://www.facebook.com/benjie.paralta")</f>
        <v>https://www.facebook.com/benjie.paralta</v>
      </c>
      <c r="B2962" s="1" t="str">
        <f ca="1">IFERROR(__xludf.DUMMYFUNCTION("""COMPUTED_VALUE"""),"Benjie Paralta")</f>
        <v>Benjie Paralta</v>
      </c>
      <c r="C2962" s="1" t="str">
        <f ca="1">IFERROR(__xludf.DUMMYFUNCTION("""COMPUTED_VALUE"""),"Benjie")</f>
        <v>Benjie</v>
      </c>
      <c r="D2962" s="1" t="str">
        <f ca="1">IFERROR(__xludf.DUMMYFUNCTION("""COMPUTED_VALUE"""),"Paralta")</f>
        <v>Paralta</v>
      </c>
      <c r="E2962" s="1" t="str">
        <f ca="1">IFERROR(__xludf.DUMMYFUNCTION("""COMPUTED_VALUE"""),"Careful careful lang because we care for you as our president")</f>
        <v>Careful careful lang because we care for you as our president</v>
      </c>
      <c r="F2962" s="1">
        <f ca="1">IFERROR(__xludf.DUMMYFUNCTION("""COMPUTED_VALUE"""),9)</f>
        <v>9</v>
      </c>
      <c r="G2962" s="1" t="str">
        <f ca="1">IFERROR(__xludf.DUMMYFUNCTION("""COMPUTED_VALUE"""),"3 mos")</f>
        <v>3 mos</v>
      </c>
      <c r="H2962" s="1" t="str">
        <f ca="1">IFERROR(__xludf.DUMMYFUNCTION("""COMPUTED_VALUE"""),"comment")</f>
        <v>comment</v>
      </c>
      <c r="I2962" s="2" t="str">
        <f ca="1">IFERROR(__xludf.DUMMYFUNCTION("""COMPUTED_VALUE"""),"https://www.facebook.com/rapplerdotcom/photos/a.317154781638645/5594359700584767/")</f>
        <v>https://www.facebook.com/rapplerdotcom/photos/a.317154781638645/5594359700584767/</v>
      </c>
      <c r="J2962" s="1" t="str">
        <f ca="1">IFERROR(__xludf.DUMMYFUNCTION("""COMPUTED_VALUE"""),"2022-07-04T21:38:13.904Z")</f>
        <v>2022-07-04T21:38:13.904Z</v>
      </c>
    </row>
    <row r="2963" spans="1:10" x14ac:dyDescent="0.2">
      <c r="A2963" s="2" t="str">
        <f ca="1">IFERROR(__xludf.DUMMYFUNCTION("""COMPUTED_VALUE"""),"https://www.facebook.com/austregelina.chua")</f>
        <v>https://www.facebook.com/austregelina.chua</v>
      </c>
      <c r="B2963" s="1" t="str">
        <f ca="1">IFERROR(__xludf.DUMMYFUNCTION("""COMPUTED_VALUE"""),"Austregelina Austria Chua")</f>
        <v>Austregelina Austria Chua</v>
      </c>
      <c r="C2963" s="1" t="str">
        <f ca="1">IFERROR(__xludf.DUMMYFUNCTION("""COMPUTED_VALUE"""),"Austregelina")</f>
        <v>Austregelina</v>
      </c>
      <c r="D2963" s="1" t="str">
        <f ca="1">IFERROR(__xludf.DUMMYFUNCTION("""COMPUTED_VALUE"""),"Austria Chua")</f>
        <v>Austria Chua</v>
      </c>
      <c r="E2963" s="1" t="str">
        <f ca="1">IFERROR(__xludf.DUMMYFUNCTION("""COMPUTED_VALUE"""),"Benjie Paralta yes malinis ang hangarin natin tulad din ng hangarin ni VPLENI para sa Pilipinas. Alam natin kung anong klaseng politiko itong si Alvarez.")</f>
        <v>Benjie Paralta yes malinis ang hangarin natin tulad din ng hangarin ni VPLENI para sa Pilipinas. Alam natin kung anong klaseng politiko itong si Alvarez.</v>
      </c>
      <c r="F2963" s="1">
        <f ca="1">IFERROR(__xludf.DUMMYFUNCTION("""COMPUTED_VALUE"""),2)</f>
        <v>2</v>
      </c>
      <c r="G2963" s="1" t="str">
        <f ca="1">IFERROR(__xludf.DUMMYFUNCTION("""COMPUTED_VALUE"""),"3 mos")</f>
        <v>3 mos</v>
      </c>
      <c r="H2963" s="1" t="str">
        <f ca="1">IFERROR(__xludf.DUMMYFUNCTION("""COMPUTED_VALUE"""),"reply")</f>
        <v>reply</v>
      </c>
      <c r="I2963" s="2" t="str">
        <f ca="1">IFERROR(__xludf.DUMMYFUNCTION("""COMPUTED_VALUE"""),"https://www.facebook.com/rapplerdotcom/photos/a.317154781638645/5594359700584767/")</f>
        <v>https://www.facebook.com/rapplerdotcom/photos/a.317154781638645/5594359700584767/</v>
      </c>
      <c r="J2963" s="1" t="str">
        <f ca="1">IFERROR(__xludf.DUMMYFUNCTION("""COMPUTED_VALUE"""),"2022-07-04T21:38:13.904Z")</f>
        <v>2022-07-04T21:38:13.904Z</v>
      </c>
    </row>
    <row r="2964" spans="1:10" x14ac:dyDescent="0.2">
      <c r="A2964" s="2" t="str">
        <f ca="1">IFERROR(__xludf.DUMMYFUNCTION("""COMPUTED_VALUE"""),"https://www.facebook.com/john.elizarde.5")</f>
        <v>https://www.facebook.com/john.elizarde.5</v>
      </c>
      <c r="B2964" s="1" t="str">
        <f ca="1">IFERROR(__xludf.DUMMYFUNCTION("""COMPUTED_VALUE"""),"John Elizarde")</f>
        <v>John Elizarde</v>
      </c>
      <c r="C2964" s="1" t="str">
        <f ca="1">IFERROR(__xludf.DUMMYFUNCTION("""COMPUTED_VALUE"""),"John")</f>
        <v>John</v>
      </c>
      <c r="D2964" s="1" t="str">
        <f ca="1">IFERROR(__xludf.DUMMYFUNCTION("""COMPUTED_VALUE"""),"Elizarde")</f>
        <v>Elizarde</v>
      </c>
      <c r="E2964" s="1" t="str">
        <f ca="1">IFERROR(__xludf.DUMMYFUNCTION("""COMPUTED_VALUE"""),"Welcome Mr. Alvarez. We will take anyone,we don't care if it's evil. We are desperate. Just do your thing, dirty or not. With your expertise, please help us win! God bless #LetLeniLead")</f>
        <v>Welcome Mr. Alvarez. We will take anyone,we don't care if it's evil. We are desperate. Just do your thing, dirty or not. With your expertise, please help us win! God bless #LetLeniLead</v>
      </c>
      <c r="F2964" s="1">
        <f ca="1">IFERROR(__xludf.DUMMYFUNCTION("""COMPUTED_VALUE"""),4)</f>
        <v>4</v>
      </c>
      <c r="G2964" s="1" t="str">
        <f ca="1">IFERROR(__xludf.DUMMYFUNCTION("""COMPUTED_VALUE"""),"3 mos")</f>
        <v>3 mos</v>
      </c>
      <c r="H2964" s="1" t="str">
        <f ca="1">IFERROR(__xludf.DUMMYFUNCTION("""COMPUTED_VALUE"""),"comment")</f>
        <v>comment</v>
      </c>
      <c r="I2964" s="2" t="str">
        <f ca="1">IFERROR(__xludf.DUMMYFUNCTION("""COMPUTED_VALUE"""),"https://www.facebook.com/rapplerdotcom/photos/a.317154781638645/5594359700584767/")</f>
        <v>https://www.facebook.com/rapplerdotcom/photos/a.317154781638645/5594359700584767/</v>
      </c>
      <c r="J2964" s="1" t="str">
        <f ca="1">IFERROR(__xludf.DUMMYFUNCTION("""COMPUTED_VALUE"""),"2022-07-04T21:38:13.904Z")</f>
        <v>2022-07-04T21:38:13.904Z</v>
      </c>
    </row>
    <row r="2965" spans="1:10" x14ac:dyDescent="0.2">
      <c r="A2965" s="2" t="str">
        <f ca="1">IFERROR(__xludf.DUMMYFUNCTION("""COMPUTED_VALUE"""),"https://www.facebook.com/nievestampis")</f>
        <v>https://www.facebook.com/nievestampis</v>
      </c>
      <c r="B2965" s="1" t="str">
        <f ca="1">IFERROR(__xludf.DUMMYFUNCTION("""COMPUTED_VALUE"""),"Nieves Cat")</f>
        <v>Nieves Cat</v>
      </c>
      <c r="C2965" s="1" t="str">
        <f ca="1">IFERROR(__xludf.DUMMYFUNCTION("""COMPUTED_VALUE"""),"Nieves")</f>
        <v>Nieves</v>
      </c>
      <c r="D2965" s="1" t="str">
        <f ca="1">IFERROR(__xludf.DUMMYFUNCTION("""COMPUTED_VALUE"""),"Cat")</f>
        <v>Cat</v>
      </c>
      <c r="E2965" s="1" t="str">
        <f ca="1">IFERROR(__xludf.DUMMYFUNCTION("""COMPUTED_VALUE"""),"Ang kasabihan nga sa Pinas...."" In politics there are no permanent friends/ allies nor enemies"" 😁😅😂🤣")</f>
        <v>Ang kasabihan nga sa Pinas...." In politics there are no permanent friends/ allies nor enemies" 😁😅😂🤣</v>
      </c>
      <c r="F2965" s="1"/>
      <c r="G2965" s="1" t="str">
        <f ca="1">IFERROR(__xludf.DUMMYFUNCTION("""COMPUTED_VALUE"""),"3 mos")</f>
        <v>3 mos</v>
      </c>
      <c r="H2965" s="1" t="str">
        <f ca="1">IFERROR(__xludf.DUMMYFUNCTION("""COMPUTED_VALUE"""),"comment")</f>
        <v>comment</v>
      </c>
      <c r="I2965" s="2" t="str">
        <f ca="1">IFERROR(__xludf.DUMMYFUNCTION("""COMPUTED_VALUE"""),"https://www.facebook.com/rapplerdotcom/photos/a.317154781638645/5594359700584767/")</f>
        <v>https://www.facebook.com/rapplerdotcom/photos/a.317154781638645/5594359700584767/</v>
      </c>
      <c r="J2965" s="1" t="str">
        <f ca="1">IFERROR(__xludf.DUMMYFUNCTION("""COMPUTED_VALUE"""),"2022-07-04T21:38:13.904Z")</f>
        <v>2022-07-04T21:38:13.904Z</v>
      </c>
    </row>
    <row r="2966" spans="1:10" x14ac:dyDescent="0.2">
      <c r="A2966" s="2" t="str">
        <f ca="1">IFERROR(__xludf.DUMMYFUNCTION("""COMPUTED_VALUE"""),"https://www.facebook.com/tintin.radoc")</f>
        <v>https://www.facebook.com/tintin.radoc</v>
      </c>
      <c r="B2966" s="1" t="str">
        <f ca="1">IFERROR(__xludf.DUMMYFUNCTION("""COMPUTED_VALUE"""),"Tin Tin Radoc")</f>
        <v>Tin Tin Radoc</v>
      </c>
      <c r="C2966" s="1" t="str">
        <f ca="1">IFERROR(__xludf.DUMMYFUNCTION("""COMPUTED_VALUE"""),"Tin")</f>
        <v>Tin</v>
      </c>
      <c r="D2966" s="1" t="str">
        <f ca="1">IFERROR(__xludf.DUMMYFUNCTION("""COMPUTED_VALUE"""),"Tin Radoc")</f>
        <v>Tin Radoc</v>
      </c>
      <c r="E2966" s="1" t="str">
        <f ca="1">IFERROR(__xludf.DUMMYFUNCTION("""COMPUTED_VALUE"""),"Nieves Cat  True")</f>
        <v>Nieves Cat  True</v>
      </c>
      <c r="F2966" s="1"/>
      <c r="G2966" s="1" t="str">
        <f ca="1">IFERROR(__xludf.DUMMYFUNCTION("""COMPUTED_VALUE"""),"3 mos")</f>
        <v>3 mos</v>
      </c>
      <c r="H2966" s="1" t="str">
        <f ca="1">IFERROR(__xludf.DUMMYFUNCTION("""COMPUTED_VALUE"""),"reply")</f>
        <v>reply</v>
      </c>
      <c r="I2966" s="2" t="str">
        <f ca="1">IFERROR(__xludf.DUMMYFUNCTION("""COMPUTED_VALUE"""),"https://www.facebook.com/rapplerdotcom/photos/a.317154781638645/5594359700584767/")</f>
        <v>https://www.facebook.com/rapplerdotcom/photos/a.317154781638645/5594359700584767/</v>
      </c>
      <c r="J2966" s="1" t="str">
        <f ca="1">IFERROR(__xludf.DUMMYFUNCTION("""COMPUTED_VALUE"""),"2022-07-04T21:38:13.904Z")</f>
        <v>2022-07-04T21:38:13.904Z</v>
      </c>
    </row>
    <row r="2967" spans="1:10" x14ac:dyDescent="0.2">
      <c r="A2967" s="2" t="str">
        <f ca="1">IFERROR(__xludf.DUMMYFUNCTION("""COMPUTED_VALUE"""),"https://www.facebook.com/boy.cinco")</f>
        <v>https://www.facebook.com/boy.cinco</v>
      </c>
      <c r="B2967" s="1" t="str">
        <f ca="1">IFERROR(__xludf.DUMMYFUNCTION("""COMPUTED_VALUE"""),"Boy Toledo Cinco")</f>
        <v>Boy Toledo Cinco</v>
      </c>
      <c r="C2967" s="1" t="str">
        <f ca="1">IFERROR(__xludf.DUMMYFUNCTION("""COMPUTED_VALUE"""),"Boy")</f>
        <v>Boy</v>
      </c>
      <c r="D2967" s="1" t="str">
        <f ca="1">IFERROR(__xludf.DUMMYFUNCTION("""COMPUTED_VALUE"""),"Toledo Cinco")</f>
        <v>Toledo Cinco</v>
      </c>
      <c r="E2967" s="1" t="str">
        <f ca="1">IFERROR(__xludf.DUMMYFUNCTION("""COMPUTED_VALUE"""),"Daming politician sa ating bansa sariling kapakanan lang ang inuna walang loyalty")</f>
        <v>Daming politician sa ating bansa sariling kapakanan lang ang inuna walang loyalty</v>
      </c>
      <c r="F2967" s="1"/>
      <c r="G2967" s="1" t="str">
        <f ca="1">IFERROR(__xludf.DUMMYFUNCTION("""COMPUTED_VALUE"""),"3 mos")</f>
        <v>3 mos</v>
      </c>
      <c r="H2967" s="1" t="str">
        <f ca="1">IFERROR(__xludf.DUMMYFUNCTION("""COMPUTED_VALUE"""),"comment")</f>
        <v>comment</v>
      </c>
      <c r="I2967" s="2" t="str">
        <f ca="1">IFERROR(__xludf.DUMMYFUNCTION("""COMPUTED_VALUE"""),"https://www.facebook.com/rapplerdotcom/photos/a.317154781638645/5594359700584767/")</f>
        <v>https://www.facebook.com/rapplerdotcom/photos/a.317154781638645/5594359700584767/</v>
      </c>
      <c r="J2967" s="1" t="str">
        <f ca="1">IFERROR(__xludf.DUMMYFUNCTION("""COMPUTED_VALUE"""),"2022-07-04T21:38:13.904Z")</f>
        <v>2022-07-04T21:38:13.904Z</v>
      </c>
    </row>
    <row r="2968" spans="1:10" x14ac:dyDescent="0.2">
      <c r="A2968" s="2" t="str">
        <f ca="1">IFERROR(__xludf.DUMMYFUNCTION("""COMPUTED_VALUE"""),"https://www.facebook.com/chris.lim.946")</f>
        <v>https://www.facebook.com/chris.lim.946</v>
      </c>
      <c r="B2968" s="1" t="str">
        <f ca="1">IFERROR(__xludf.DUMMYFUNCTION("""COMPUTED_VALUE"""),"Chris Lim")</f>
        <v>Chris Lim</v>
      </c>
      <c r="C2968" s="1" t="str">
        <f ca="1">IFERROR(__xludf.DUMMYFUNCTION("""COMPUTED_VALUE"""),"Chris")</f>
        <v>Chris</v>
      </c>
      <c r="D2968" s="1" t="str">
        <f ca="1">IFERROR(__xludf.DUMMYFUNCTION("""COMPUTED_VALUE"""),"Lim")</f>
        <v>Lim</v>
      </c>
      <c r="E2968" s="1" t="str">
        <f ca="1">IFERROR(__xludf.DUMMYFUNCTION("""COMPUTED_VALUE"""),"Political turncoat since day one... kung saan may pakinabang dun sya.")</f>
        <v>Political turncoat since day one... kung saan may pakinabang dun sya.</v>
      </c>
      <c r="F2968" s="1">
        <f ca="1">IFERROR(__xludf.DUMMYFUNCTION("""COMPUTED_VALUE"""),1)</f>
        <v>1</v>
      </c>
      <c r="G2968" s="1" t="str">
        <f ca="1">IFERROR(__xludf.DUMMYFUNCTION("""COMPUTED_VALUE"""),"3 mos")</f>
        <v>3 mos</v>
      </c>
      <c r="H2968" s="1" t="str">
        <f ca="1">IFERROR(__xludf.DUMMYFUNCTION("""COMPUTED_VALUE"""),"comment")</f>
        <v>comment</v>
      </c>
      <c r="I2968" s="2" t="str">
        <f ca="1">IFERROR(__xludf.DUMMYFUNCTION("""COMPUTED_VALUE"""),"https://www.facebook.com/rapplerdotcom/photos/a.317154781638645/5594359700584767/")</f>
        <v>https://www.facebook.com/rapplerdotcom/photos/a.317154781638645/5594359700584767/</v>
      </c>
      <c r="J2968" s="1" t="str">
        <f ca="1">IFERROR(__xludf.DUMMYFUNCTION("""COMPUTED_VALUE"""),"2022-07-04T21:38:13.904Z")</f>
        <v>2022-07-04T21:38:13.904Z</v>
      </c>
    </row>
    <row r="2969" spans="1:10" x14ac:dyDescent="0.2">
      <c r="A2969" s="2" t="str">
        <f ca="1">IFERROR(__xludf.DUMMYFUNCTION("""COMPUTED_VALUE"""),"https://www.facebook.com/bong.nicdao.3")</f>
        <v>https://www.facebook.com/bong.nicdao.3</v>
      </c>
      <c r="B2969" s="1" t="str">
        <f ca="1">IFERROR(__xludf.DUMMYFUNCTION("""COMPUTED_VALUE"""),"Bong Nicdao")</f>
        <v>Bong Nicdao</v>
      </c>
      <c r="C2969" s="1" t="str">
        <f ca="1">IFERROR(__xludf.DUMMYFUNCTION("""COMPUTED_VALUE"""),"Bong")</f>
        <v>Bong</v>
      </c>
      <c r="D2969" s="1" t="str">
        <f ca="1">IFERROR(__xludf.DUMMYFUNCTION("""COMPUTED_VALUE"""),"Nicdao")</f>
        <v>Nicdao</v>
      </c>
      <c r="E2969" s="1" t="str">
        <f ca="1">IFERROR(__xludf.DUMMYFUNCTION("""COMPUTED_VALUE"""),"think he seeks vengence after du30 double crossed him ?")</f>
        <v>think he seeks vengence after du30 double crossed him ?</v>
      </c>
      <c r="F2969" s="1">
        <f ca="1">IFERROR(__xludf.DUMMYFUNCTION("""COMPUTED_VALUE"""),2)</f>
        <v>2</v>
      </c>
      <c r="G2969" s="1" t="str">
        <f ca="1">IFERROR(__xludf.DUMMYFUNCTION("""COMPUTED_VALUE"""),"3 mos")</f>
        <v>3 mos</v>
      </c>
      <c r="H2969" s="1" t="str">
        <f ca="1">IFERROR(__xludf.DUMMYFUNCTION("""COMPUTED_VALUE"""),"comment")</f>
        <v>comment</v>
      </c>
      <c r="I2969" s="2" t="str">
        <f ca="1">IFERROR(__xludf.DUMMYFUNCTION("""COMPUTED_VALUE"""),"https://www.facebook.com/rapplerdotcom/photos/a.317154781638645/5594359700584767/")</f>
        <v>https://www.facebook.com/rapplerdotcom/photos/a.317154781638645/5594359700584767/</v>
      </c>
      <c r="J2969" s="1" t="str">
        <f ca="1">IFERROR(__xludf.DUMMYFUNCTION("""COMPUTED_VALUE"""),"2022-07-04T21:38:13.904Z")</f>
        <v>2022-07-04T21:38:13.904Z</v>
      </c>
    </row>
    <row r="2970" spans="1:10" x14ac:dyDescent="0.2">
      <c r="A2970" s="2" t="str">
        <f ca="1">IFERROR(__xludf.DUMMYFUNCTION("""COMPUTED_VALUE"""),"https://www.facebook.com/dontimothy.buhain.5")</f>
        <v>https://www.facebook.com/dontimothy.buhain.5</v>
      </c>
      <c r="B2970" s="1" t="str">
        <f ca="1">IFERROR(__xludf.DUMMYFUNCTION("""COMPUTED_VALUE"""),"Don Timothy Buhain")</f>
        <v>Don Timothy Buhain</v>
      </c>
      <c r="C2970" s="1" t="str">
        <f ca="1">IFERROR(__xludf.DUMMYFUNCTION("""COMPUTED_VALUE"""),"Don")</f>
        <v>Don</v>
      </c>
      <c r="D2970" s="1" t="str">
        <f ca="1">IFERROR(__xludf.DUMMYFUNCTION("""COMPUTED_VALUE"""),"Timothy Buhain")</f>
        <v>Timothy Buhain</v>
      </c>
      <c r="E2970" s="1" t="str">
        <f ca="1">IFERROR(__xludf.DUMMYFUNCTION("""COMPUTED_VALUE"""),"In politics, there are no permanent friends or enemies sadly only permanent INTEREST (for the trapos).")</f>
        <v>In politics, there are no permanent friends or enemies sadly only permanent INTEREST (for the trapos).</v>
      </c>
      <c r="F2970" s="1">
        <f ca="1">IFERROR(__xludf.DUMMYFUNCTION("""COMPUTED_VALUE"""),12)</f>
        <v>12</v>
      </c>
      <c r="G2970" s="1" t="str">
        <f ca="1">IFERROR(__xludf.DUMMYFUNCTION("""COMPUTED_VALUE"""),"3 mos")</f>
        <v>3 mos</v>
      </c>
      <c r="H2970" s="1" t="str">
        <f ca="1">IFERROR(__xludf.DUMMYFUNCTION("""COMPUTED_VALUE"""),"comment")</f>
        <v>comment</v>
      </c>
      <c r="I2970" s="2" t="str">
        <f ca="1">IFERROR(__xludf.DUMMYFUNCTION("""COMPUTED_VALUE"""),"https://www.facebook.com/rapplerdotcom/photos/a.317154781638645/5594359700584767/")</f>
        <v>https://www.facebook.com/rapplerdotcom/photos/a.317154781638645/5594359700584767/</v>
      </c>
      <c r="J2970" s="1" t="str">
        <f ca="1">IFERROR(__xludf.DUMMYFUNCTION("""COMPUTED_VALUE"""),"2022-07-04T21:38:13.904Z")</f>
        <v>2022-07-04T21:38:13.904Z</v>
      </c>
    </row>
    <row r="2971" spans="1:10" x14ac:dyDescent="0.2">
      <c r="A2971" s="2" t="str">
        <f ca="1">IFERROR(__xludf.DUMMYFUNCTION("""COMPUTED_VALUE"""),"https://www.facebook.com/filemon.viduya.1")</f>
        <v>https://www.facebook.com/filemon.viduya.1</v>
      </c>
      <c r="B2971" s="1" t="str">
        <f ca="1">IFERROR(__xludf.DUMMYFUNCTION("""COMPUTED_VALUE"""),"Filemon Viduya")</f>
        <v>Filemon Viduya</v>
      </c>
      <c r="C2971" s="1" t="str">
        <f ca="1">IFERROR(__xludf.DUMMYFUNCTION("""COMPUTED_VALUE"""),"Filemon")</f>
        <v>Filemon</v>
      </c>
      <c r="D2971" s="1" t="str">
        <f ca="1">IFERROR(__xludf.DUMMYFUNCTION("""COMPUTED_VALUE"""),"Viduya")</f>
        <v>Viduya</v>
      </c>
      <c r="E2971" s="1" t="str">
        <f ca="1">IFERROR(__xludf.DUMMYFUNCTION("""COMPUTED_VALUE"""),"Mukha pera pera lang naman ang mamang ito. Pagkatapos ilaglag si lacson dahil hindi nakaya ang hinihinging napakalaking halaga, iyon lumipat sa ibang kandidato na maaring nakayanang ibigay ang hinihinging halaga. Kanino kaya muling makisukob kung hindi ma"&amp;"nanalo ang kanyang nilipatan. Hayyy mamang alvarez.")</f>
        <v>Mukha pera pera lang naman ang mamang ito. Pagkatapos ilaglag si lacson dahil hindi nakaya ang hinihinging napakalaking halaga, iyon lumipat sa ibang kandidato na maaring nakayanang ibigay ang hinihinging halaga. Kanino kaya muling makisukob kung hindi mananalo ang kanyang nilipatan. Hayyy mamang alvarez.</v>
      </c>
      <c r="F2971" s="1">
        <f ca="1">IFERROR(__xludf.DUMMYFUNCTION("""COMPUTED_VALUE"""),2)</f>
        <v>2</v>
      </c>
      <c r="G2971" s="1" t="str">
        <f ca="1">IFERROR(__xludf.DUMMYFUNCTION("""COMPUTED_VALUE"""),"3 mos")</f>
        <v>3 mos</v>
      </c>
      <c r="H2971" s="1" t="str">
        <f ca="1">IFERROR(__xludf.DUMMYFUNCTION("""COMPUTED_VALUE"""),"comment")</f>
        <v>comment</v>
      </c>
      <c r="I2971" s="2" t="str">
        <f ca="1">IFERROR(__xludf.DUMMYFUNCTION("""COMPUTED_VALUE"""),"https://www.facebook.com/rapplerdotcom/photos/a.317154781638645/5594359700584767/")</f>
        <v>https://www.facebook.com/rapplerdotcom/photos/a.317154781638645/5594359700584767/</v>
      </c>
      <c r="J2971" s="1" t="str">
        <f ca="1">IFERROR(__xludf.DUMMYFUNCTION("""COMPUTED_VALUE"""),"2022-07-04T21:38:13.904Z")</f>
        <v>2022-07-04T21:38:13.904Z</v>
      </c>
    </row>
    <row r="2972" spans="1:10" x14ac:dyDescent="0.2">
      <c r="A2972" s="2" t="str">
        <f ca="1">IFERROR(__xludf.DUMMYFUNCTION("""COMPUTED_VALUE"""),"https://www.facebook.com/mariatheresa.ooyama")</f>
        <v>https://www.facebook.com/mariatheresa.ooyama</v>
      </c>
      <c r="B2972" s="1" t="str">
        <f ca="1">IFERROR(__xludf.DUMMYFUNCTION("""COMPUTED_VALUE"""),"Maria Theresa Ooyama")</f>
        <v>Maria Theresa Ooyama</v>
      </c>
      <c r="C2972" s="1" t="str">
        <f ca="1">IFERROR(__xludf.DUMMYFUNCTION("""COMPUTED_VALUE"""),"Maria")</f>
        <v>Maria</v>
      </c>
      <c r="D2972" s="1" t="str">
        <f ca="1">IFERROR(__xludf.DUMMYFUNCTION("""COMPUTED_VALUE"""),"Theresa Ooyama")</f>
        <v>Theresa Ooyama</v>
      </c>
      <c r="E2972" s="1" t="str">
        <f ca="1">IFERROR(__xludf.DUMMYFUNCTION("""COMPUTED_VALUE"""),"Don’t vote this bad politician")</f>
        <v>Don’t vote this bad politician</v>
      </c>
      <c r="F2972" s="1"/>
      <c r="G2972" s="1" t="str">
        <f ca="1">IFERROR(__xludf.DUMMYFUNCTION("""COMPUTED_VALUE"""),"3 mos")</f>
        <v>3 mos</v>
      </c>
      <c r="H2972" s="1" t="str">
        <f ca="1">IFERROR(__xludf.DUMMYFUNCTION("""COMPUTED_VALUE"""),"comment")</f>
        <v>comment</v>
      </c>
      <c r="I2972" s="2" t="str">
        <f ca="1">IFERROR(__xludf.DUMMYFUNCTION("""COMPUTED_VALUE"""),"https://www.facebook.com/rapplerdotcom/photos/a.317154781638645/5594359700584767/")</f>
        <v>https://www.facebook.com/rapplerdotcom/photos/a.317154781638645/5594359700584767/</v>
      </c>
      <c r="J2972" s="1" t="str">
        <f ca="1">IFERROR(__xludf.DUMMYFUNCTION("""COMPUTED_VALUE"""),"2022-07-04T21:38:13.904Z")</f>
        <v>2022-07-04T21:38:13.904Z</v>
      </c>
    </row>
    <row r="2973" spans="1:10" x14ac:dyDescent="0.2">
      <c r="A2973" s="2" t="str">
        <f ca="1">IFERROR(__xludf.DUMMYFUNCTION("""COMPUTED_VALUE"""),"https://www.facebook.com/alvin.arellano.986")</f>
        <v>https://www.facebook.com/alvin.arellano.986</v>
      </c>
      <c r="B2973" s="1" t="str">
        <f ca="1">IFERROR(__xludf.DUMMYFUNCTION("""COMPUTED_VALUE"""),"Alvin Arellano")</f>
        <v>Alvin Arellano</v>
      </c>
      <c r="C2973" s="1" t="str">
        <f ca="1">IFERROR(__xludf.DUMMYFUNCTION("""COMPUTED_VALUE"""),"Alvin")</f>
        <v>Alvin</v>
      </c>
      <c r="D2973" s="1" t="str">
        <f ca="1">IFERROR(__xludf.DUMMYFUNCTION("""COMPUTED_VALUE"""),"Arellano")</f>
        <v>Arellano</v>
      </c>
      <c r="E2973" s="1" t="str">
        <f ca="1">IFERROR(__xludf.DUMMYFUNCTION("""COMPUTED_VALUE"""),"Opportunistic guy, i think b4 he was a loyal DU30 guy, till he seemed have challenge the Pres &amp; earned the wrath of Sara as such ousted as congress spkr, also was he the guy saying if your not an ally what fundin do u expect?")</f>
        <v>Opportunistic guy, i think b4 he was a loyal DU30 guy, till he seemed have challenge the Pres &amp; earned the wrath of Sara as such ousted as congress spkr, also was he the guy saying if your not an ally what fundin do u expect?</v>
      </c>
      <c r="F2973" s="1">
        <f ca="1">IFERROR(__xludf.DUMMYFUNCTION("""COMPUTED_VALUE"""),1)</f>
        <v>1</v>
      </c>
      <c r="G2973" s="1" t="str">
        <f ca="1">IFERROR(__xludf.DUMMYFUNCTION("""COMPUTED_VALUE"""),"3 mos")</f>
        <v>3 mos</v>
      </c>
      <c r="H2973" s="1" t="str">
        <f ca="1">IFERROR(__xludf.DUMMYFUNCTION("""COMPUTED_VALUE"""),"comment")</f>
        <v>comment</v>
      </c>
      <c r="I2973" s="2" t="str">
        <f ca="1">IFERROR(__xludf.DUMMYFUNCTION("""COMPUTED_VALUE"""),"https://www.facebook.com/rapplerdotcom/photos/a.317154781638645/5594359700584767/")</f>
        <v>https://www.facebook.com/rapplerdotcom/photos/a.317154781638645/5594359700584767/</v>
      </c>
      <c r="J2973" s="1" t="str">
        <f ca="1">IFERROR(__xludf.DUMMYFUNCTION("""COMPUTED_VALUE"""),"2022-07-04T21:38:13.904Z")</f>
        <v>2022-07-04T21:38:13.904Z</v>
      </c>
    </row>
    <row r="2974" spans="1:10" x14ac:dyDescent="0.2">
      <c r="A2974" s="2" t="str">
        <f ca="1">IFERROR(__xludf.DUMMYFUNCTION("""COMPUTED_VALUE"""),"https://www.facebook.com/rodulfojr.bumaat")</f>
        <v>https://www.facebook.com/rodulfojr.bumaat</v>
      </c>
      <c r="B2974" s="1" t="str">
        <f ca="1">IFERROR(__xludf.DUMMYFUNCTION("""COMPUTED_VALUE"""),"Rodulfo Jr Redulla Buma-at")</f>
        <v>Rodulfo Jr Redulla Buma-at</v>
      </c>
      <c r="C2974" s="1" t="str">
        <f ca="1">IFERROR(__xludf.DUMMYFUNCTION("""COMPUTED_VALUE"""),"Rodulfo")</f>
        <v>Rodulfo</v>
      </c>
      <c r="D2974" s="1" t="str">
        <f ca="1">IFERROR(__xludf.DUMMYFUNCTION("""COMPUTED_VALUE"""),"Jr Redulla Buma-at")</f>
        <v>Jr Redulla Buma-at</v>
      </c>
      <c r="E2974" s="1" t="str">
        <f ca="1">IFERROR(__xludf.DUMMYFUNCTION("""COMPUTED_VALUE"""),". . . . JUST BECAUSE . . . HE KNOWS WHERE THE FUNDS ARE . . . .")</f>
        <v>. . . . JUST BECAUSE . . . HE KNOWS WHERE THE FUNDS ARE . . . .</v>
      </c>
      <c r="F2974" s="1">
        <f ca="1">IFERROR(__xludf.DUMMYFUNCTION("""COMPUTED_VALUE"""),13)</f>
        <v>13</v>
      </c>
      <c r="G2974" s="1" t="str">
        <f ca="1">IFERROR(__xludf.DUMMYFUNCTION("""COMPUTED_VALUE"""),"3 mos")</f>
        <v>3 mos</v>
      </c>
      <c r="H2974" s="1" t="str">
        <f ca="1">IFERROR(__xludf.DUMMYFUNCTION("""COMPUTED_VALUE"""),"comment")</f>
        <v>comment</v>
      </c>
      <c r="I2974" s="2" t="str">
        <f ca="1">IFERROR(__xludf.DUMMYFUNCTION("""COMPUTED_VALUE"""),"https://www.facebook.com/rapplerdotcom/photos/a.317154781638645/5594359700584767/")</f>
        <v>https://www.facebook.com/rapplerdotcom/photos/a.317154781638645/5594359700584767/</v>
      </c>
      <c r="J2974" s="1" t="str">
        <f ca="1">IFERROR(__xludf.DUMMYFUNCTION("""COMPUTED_VALUE"""),"2022-07-04T21:38:13.904Z")</f>
        <v>2022-07-04T21:38:13.904Z</v>
      </c>
    </row>
    <row r="2975" spans="1:10" x14ac:dyDescent="0.2">
      <c r="A2975" s="2" t="str">
        <f ca="1">IFERROR(__xludf.DUMMYFUNCTION("""COMPUTED_VALUE"""),"https://www.facebook.com/jonathan.biwit")</f>
        <v>https://www.facebook.com/jonathan.biwit</v>
      </c>
      <c r="B2975" s="1" t="str">
        <f ca="1">IFERROR(__xludf.DUMMYFUNCTION("""COMPUTED_VALUE"""),"Jonathan D. Biwit")</f>
        <v>Jonathan D. Biwit</v>
      </c>
      <c r="C2975" s="1" t="str">
        <f ca="1">IFERROR(__xludf.DUMMYFUNCTION("""COMPUTED_VALUE"""),"Jonathan")</f>
        <v>Jonathan</v>
      </c>
      <c r="D2975" s="1" t="str">
        <f ca="1">IFERROR(__xludf.DUMMYFUNCTION("""COMPUTED_VALUE"""),"D. Biwit")</f>
        <v>D. Biwit</v>
      </c>
      <c r="E2975" s="1" t="str">
        <f ca="1">IFERROR(__xludf.DUMMYFUNCTION("""COMPUTED_VALUE"""),"Dark clouds looming for the political grasshopper! After May 9, where will he go from here?")</f>
        <v>Dark clouds looming for the political grasshopper! After May 9, where will he go from here?</v>
      </c>
      <c r="F2975" s="1">
        <f ca="1">IFERROR(__xludf.DUMMYFUNCTION("""COMPUTED_VALUE"""),5)</f>
        <v>5</v>
      </c>
      <c r="G2975" s="1" t="str">
        <f ca="1">IFERROR(__xludf.DUMMYFUNCTION("""COMPUTED_VALUE"""),"3 mos")</f>
        <v>3 mos</v>
      </c>
      <c r="H2975" s="1" t="str">
        <f ca="1">IFERROR(__xludf.DUMMYFUNCTION("""COMPUTED_VALUE"""),"comment")</f>
        <v>comment</v>
      </c>
      <c r="I2975" s="2" t="str">
        <f ca="1">IFERROR(__xludf.DUMMYFUNCTION("""COMPUTED_VALUE"""),"https://www.facebook.com/rapplerdotcom/photos/a.317154781638645/5594359700584767/")</f>
        <v>https://www.facebook.com/rapplerdotcom/photos/a.317154781638645/5594359700584767/</v>
      </c>
      <c r="J2975" s="1" t="str">
        <f ca="1">IFERROR(__xludf.DUMMYFUNCTION("""COMPUTED_VALUE"""),"2022-07-04T21:38:13.904Z")</f>
        <v>2022-07-04T21:38:13.904Z</v>
      </c>
    </row>
    <row r="2976" spans="1:10" x14ac:dyDescent="0.2">
      <c r="A2976" s="2" t="str">
        <f ca="1">IFERROR(__xludf.DUMMYFUNCTION("""COMPUTED_VALUE"""),"https://www.facebook.com/lut.aver.3")</f>
        <v>https://www.facebook.com/lut.aver.3</v>
      </c>
      <c r="B2976" s="1" t="str">
        <f ca="1">IFERROR(__xludf.DUMMYFUNCTION("""COMPUTED_VALUE"""),"Lut Aver")</f>
        <v>Lut Aver</v>
      </c>
      <c r="C2976" s="1" t="str">
        <f ca="1">IFERROR(__xludf.DUMMYFUNCTION("""COMPUTED_VALUE"""),"Lut")</f>
        <v>Lut</v>
      </c>
      <c r="D2976" s="1" t="str">
        <f ca="1">IFERROR(__xludf.DUMMYFUNCTION("""COMPUTED_VALUE"""),"Aver")</f>
        <v>Aver</v>
      </c>
      <c r="E2976" s="1" t="str">
        <f ca="1">IFERROR(__xludf.DUMMYFUNCTION("""COMPUTED_VALUE"""),"siya. ang tunay na. balimbing.  insecure")</f>
        <v>siya. ang tunay na. balimbing.  insecure</v>
      </c>
      <c r="F2976" s="1"/>
      <c r="G2976" s="1" t="str">
        <f ca="1">IFERROR(__xludf.DUMMYFUNCTION("""COMPUTED_VALUE"""),"3 mos")</f>
        <v>3 mos</v>
      </c>
      <c r="H2976" s="1" t="str">
        <f ca="1">IFERROR(__xludf.DUMMYFUNCTION("""COMPUTED_VALUE"""),"comment")</f>
        <v>comment</v>
      </c>
      <c r="I2976" s="2" t="str">
        <f ca="1">IFERROR(__xludf.DUMMYFUNCTION("""COMPUTED_VALUE"""),"https://www.facebook.com/rapplerdotcom/photos/a.317154781638645/5594359700584767/")</f>
        <v>https://www.facebook.com/rapplerdotcom/photos/a.317154781638645/5594359700584767/</v>
      </c>
      <c r="J2976" s="1" t="str">
        <f ca="1">IFERROR(__xludf.DUMMYFUNCTION("""COMPUTED_VALUE"""),"2022-07-04T21:38:13.904Z")</f>
        <v>2022-07-04T21:38:13.904Z</v>
      </c>
    </row>
    <row r="2977" spans="1:10" x14ac:dyDescent="0.2">
      <c r="A2977" s="2" t="str">
        <f ca="1">IFERROR(__xludf.DUMMYFUNCTION("""COMPUTED_VALUE"""),"https://www.facebook.com/profile.php?id=100002846509290")</f>
        <v>https://www.facebook.com/profile.php?id=100002846509290</v>
      </c>
      <c r="B2977" s="1" t="str">
        <f ca="1">IFERROR(__xludf.DUMMYFUNCTION("""COMPUTED_VALUE"""),"Teng Vic Kabisote")</f>
        <v>Teng Vic Kabisote</v>
      </c>
      <c r="C2977" s="1" t="str">
        <f ca="1">IFERROR(__xludf.DUMMYFUNCTION("""COMPUTED_VALUE"""),"Teng")</f>
        <v>Teng</v>
      </c>
      <c r="D2977" s="1" t="str">
        <f ca="1">IFERROR(__xludf.DUMMYFUNCTION("""COMPUTED_VALUE"""),"Vic Kabisote")</f>
        <v>Vic Kabisote</v>
      </c>
      <c r="E2977" s="1" t="str">
        <f ca="1">IFERROR(__xludf.DUMMYFUNCTION("""COMPUTED_VALUE"""),"Nako napakagaling nyan ni alvarez, paki fact check ung supposedly na daanan para sa brgy ikinonek at road end sa mansion nya.  Napakagaling sa kaban ng bayan kinuha ang pagpapagawa ng daan n iyon.. tapos ang laki.2 pa ng pondo.. ewwww.  ✌️😁")</f>
        <v>Nako napakagaling nyan ni alvarez, paki fact check ung supposedly na daanan para sa brgy ikinonek at road end sa mansion nya.  Napakagaling sa kaban ng bayan kinuha ang pagpapagawa ng daan n iyon.. tapos ang laki.2 pa ng pondo.. ewwww.  ✌️😁</v>
      </c>
      <c r="F2977" s="1">
        <f ca="1">IFERROR(__xludf.DUMMYFUNCTION("""COMPUTED_VALUE"""),3)</f>
        <v>3</v>
      </c>
      <c r="G2977" s="1" t="str">
        <f ca="1">IFERROR(__xludf.DUMMYFUNCTION("""COMPUTED_VALUE"""),"3 mos")</f>
        <v>3 mos</v>
      </c>
      <c r="H2977" s="1" t="str">
        <f ca="1">IFERROR(__xludf.DUMMYFUNCTION("""COMPUTED_VALUE"""),"comment")</f>
        <v>comment</v>
      </c>
      <c r="I2977" s="2" t="str">
        <f ca="1">IFERROR(__xludf.DUMMYFUNCTION("""COMPUTED_VALUE"""),"https://www.facebook.com/rapplerdotcom/photos/a.317154781638645/5594359700584767/")</f>
        <v>https://www.facebook.com/rapplerdotcom/photos/a.317154781638645/5594359700584767/</v>
      </c>
      <c r="J2977" s="1" t="str">
        <f ca="1">IFERROR(__xludf.DUMMYFUNCTION("""COMPUTED_VALUE"""),"2022-07-04T21:38:13.904Z")</f>
        <v>2022-07-04T21:38:13.904Z</v>
      </c>
    </row>
    <row r="2978" spans="1:10" x14ac:dyDescent="0.2">
      <c r="A2978" s="2" t="str">
        <f ca="1">IFERROR(__xludf.DUMMYFUNCTION("""COMPUTED_VALUE"""),"https://www.facebook.com/profile.php?id=100069246870332")</f>
        <v>https://www.facebook.com/profile.php?id=100069246870332</v>
      </c>
      <c r="B2978" s="1" t="str">
        <f ca="1">IFERROR(__xludf.DUMMYFUNCTION("""COMPUTED_VALUE"""),"Tata Abadiez")</f>
        <v>Tata Abadiez</v>
      </c>
      <c r="C2978" s="1" t="str">
        <f ca="1">IFERROR(__xludf.DUMMYFUNCTION("""COMPUTED_VALUE"""),"Tata")</f>
        <v>Tata</v>
      </c>
      <c r="D2978" s="1" t="str">
        <f ca="1">IFERROR(__xludf.DUMMYFUNCTION("""COMPUTED_VALUE"""),"Abadiez")</f>
        <v>Abadiez</v>
      </c>
      <c r="E2978" s="1" t="str">
        <f ca="1">IFERROR(__xludf.DUMMYFUNCTION("""COMPUTED_VALUE"""),"Teng Vic Kabisote tompak!!")</f>
        <v>Teng Vic Kabisote tompak!!</v>
      </c>
      <c r="F2978" s="1">
        <f ca="1">IFERROR(__xludf.DUMMYFUNCTION("""COMPUTED_VALUE"""),1)</f>
        <v>1</v>
      </c>
      <c r="G2978" s="1" t="str">
        <f ca="1">IFERROR(__xludf.DUMMYFUNCTION("""COMPUTED_VALUE"""),"3 mos")</f>
        <v>3 mos</v>
      </c>
      <c r="H2978" s="1" t="str">
        <f ca="1">IFERROR(__xludf.DUMMYFUNCTION("""COMPUTED_VALUE"""),"reply")</f>
        <v>reply</v>
      </c>
      <c r="I2978" s="2" t="str">
        <f ca="1">IFERROR(__xludf.DUMMYFUNCTION("""COMPUTED_VALUE"""),"https://www.facebook.com/rapplerdotcom/photos/a.317154781638645/5594359700584767/")</f>
        <v>https://www.facebook.com/rapplerdotcom/photos/a.317154781638645/5594359700584767/</v>
      </c>
      <c r="J2978" s="1" t="str">
        <f ca="1">IFERROR(__xludf.DUMMYFUNCTION("""COMPUTED_VALUE"""),"2022-07-04T21:38:13.904Z")</f>
        <v>2022-07-04T21:38:13.904Z</v>
      </c>
    </row>
    <row r="2979" spans="1:10" x14ac:dyDescent="0.2">
      <c r="A2979" s="2" t="str">
        <f ca="1">IFERROR(__xludf.DUMMYFUNCTION("""COMPUTED_VALUE"""),"https://www.facebook.com/fgancheta")</f>
        <v>https://www.facebook.com/fgancheta</v>
      </c>
      <c r="B2979" s="1" t="str">
        <f ca="1">IFERROR(__xludf.DUMMYFUNCTION("""COMPUTED_VALUE"""),"Frederick Ancheta")</f>
        <v>Frederick Ancheta</v>
      </c>
      <c r="C2979" s="1" t="str">
        <f ca="1">IFERROR(__xludf.DUMMYFUNCTION("""COMPUTED_VALUE"""),"Frederick")</f>
        <v>Frederick</v>
      </c>
      <c r="D2979" s="1" t="str">
        <f ca="1">IFERROR(__xludf.DUMMYFUNCTION("""COMPUTED_VALUE"""),"Ancheta")</f>
        <v>Ancheta</v>
      </c>
      <c r="E2979" s="1" t="str">
        <f ca="1">IFERROR(__xludf.DUMMYFUNCTION("""COMPUTED_VALUE"""),"You cannot trust this guy!")</f>
        <v>You cannot trust this guy!</v>
      </c>
      <c r="F2979" s="1">
        <f ca="1">IFERROR(__xludf.DUMMYFUNCTION("""COMPUTED_VALUE"""),9)</f>
        <v>9</v>
      </c>
      <c r="G2979" s="1" t="str">
        <f ca="1">IFERROR(__xludf.DUMMYFUNCTION("""COMPUTED_VALUE"""),"3 mos")</f>
        <v>3 mos</v>
      </c>
      <c r="H2979" s="1" t="str">
        <f ca="1">IFERROR(__xludf.DUMMYFUNCTION("""COMPUTED_VALUE"""),"comment")</f>
        <v>comment</v>
      </c>
      <c r="I2979" s="2" t="str">
        <f ca="1">IFERROR(__xludf.DUMMYFUNCTION("""COMPUTED_VALUE"""),"https://www.facebook.com/rapplerdotcom/photos/a.317154781638645/5594359700584767/")</f>
        <v>https://www.facebook.com/rapplerdotcom/photos/a.317154781638645/5594359700584767/</v>
      </c>
      <c r="J2979" s="1" t="str">
        <f ca="1">IFERROR(__xludf.DUMMYFUNCTION("""COMPUTED_VALUE"""),"2022-07-04T21:38:13.904Z")</f>
        <v>2022-07-04T21:38:13.904Z</v>
      </c>
    </row>
    <row r="2980" spans="1:10" x14ac:dyDescent="0.2">
      <c r="A2980" s="2" t="str">
        <f ca="1">IFERROR(__xludf.DUMMYFUNCTION("""COMPUTED_VALUE"""),"https://www.facebook.com/onie.abon.98")</f>
        <v>https://www.facebook.com/onie.abon.98</v>
      </c>
      <c r="B2980" s="1" t="str">
        <f ca="1">IFERROR(__xludf.DUMMYFUNCTION("""COMPUTED_VALUE"""),"Onie Abon")</f>
        <v>Onie Abon</v>
      </c>
      <c r="C2980" s="1" t="str">
        <f ca="1">IFERROR(__xludf.DUMMYFUNCTION("""COMPUTED_VALUE"""),"Onie")</f>
        <v>Onie</v>
      </c>
      <c r="D2980" s="1" t="str">
        <f ca="1">IFERROR(__xludf.DUMMYFUNCTION("""COMPUTED_VALUE"""),"Abon")</f>
        <v>Abon</v>
      </c>
      <c r="E2980" s="1" t="str">
        <f ca="1">IFERROR(__xludf.DUMMYFUNCTION("""COMPUTED_VALUE"""),"AKMANG AKMA UNG NAME N PANTALEON . .Lion n dapat sna ay naktira s gubat")</f>
        <v>AKMANG AKMA UNG NAME N PANTALEON . .Lion n dapat sna ay naktira s gubat</v>
      </c>
      <c r="F2980" s="1">
        <f ca="1">IFERROR(__xludf.DUMMYFUNCTION("""COMPUTED_VALUE"""),7)</f>
        <v>7</v>
      </c>
      <c r="G2980" s="1" t="str">
        <f ca="1">IFERROR(__xludf.DUMMYFUNCTION("""COMPUTED_VALUE"""),"3 mos")</f>
        <v>3 mos</v>
      </c>
      <c r="H2980" s="1" t="str">
        <f ca="1">IFERROR(__xludf.DUMMYFUNCTION("""COMPUTED_VALUE"""),"comment")</f>
        <v>comment</v>
      </c>
      <c r="I2980" s="2" t="str">
        <f ca="1">IFERROR(__xludf.DUMMYFUNCTION("""COMPUTED_VALUE"""),"https://www.facebook.com/rapplerdotcom/photos/a.317154781638645/5594359700584767/")</f>
        <v>https://www.facebook.com/rapplerdotcom/photos/a.317154781638645/5594359700584767/</v>
      </c>
      <c r="J2980" s="1" t="str">
        <f ca="1">IFERROR(__xludf.DUMMYFUNCTION("""COMPUTED_VALUE"""),"2022-07-04T21:38:13.904Z")</f>
        <v>2022-07-04T21:38:13.904Z</v>
      </c>
    </row>
    <row r="2981" spans="1:10" x14ac:dyDescent="0.2">
      <c r="A2981" s="2" t="str">
        <f ca="1">IFERROR(__xludf.DUMMYFUNCTION("""COMPUTED_VALUE"""),"https://www.facebook.com/allan.escalona.12")</f>
        <v>https://www.facebook.com/allan.escalona.12</v>
      </c>
      <c r="B2981" s="1" t="str">
        <f ca="1">IFERROR(__xludf.DUMMYFUNCTION("""COMPUTED_VALUE"""),"Jarheads Escalona")</f>
        <v>Jarheads Escalona</v>
      </c>
      <c r="C2981" s="1" t="str">
        <f ca="1">IFERROR(__xludf.DUMMYFUNCTION("""COMPUTED_VALUE"""),"Jarheads")</f>
        <v>Jarheads</v>
      </c>
      <c r="D2981" s="1" t="str">
        <f ca="1">IFERROR(__xludf.DUMMYFUNCTION("""COMPUTED_VALUE"""),"Escalona")</f>
        <v>Escalona</v>
      </c>
      <c r="E2981" s="1" t="str">
        <f ca="1">IFERROR(__xludf.DUMMYFUNCTION("""COMPUTED_VALUE"""),"Alvarez ang taong walang paninindigan sa pula sa puti walang prinsipyo")</f>
        <v>Alvarez ang taong walang paninindigan sa pula sa puti walang prinsipyo</v>
      </c>
      <c r="F2981" s="1">
        <f ca="1">IFERROR(__xludf.DUMMYFUNCTION("""COMPUTED_VALUE"""),1)</f>
        <v>1</v>
      </c>
      <c r="G2981" s="1" t="str">
        <f ca="1">IFERROR(__xludf.DUMMYFUNCTION("""COMPUTED_VALUE"""),"3 mos")</f>
        <v>3 mos</v>
      </c>
      <c r="H2981" s="1" t="str">
        <f ca="1">IFERROR(__xludf.DUMMYFUNCTION("""COMPUTED_VALUE"""),"comment")</f>
        <v>comment</v>
      </c>
      <c r="I2981" s="2" t="str">
        <f ca="1">IFERROR(__xludf.DUMMYFUNCTION("""COMPUTED_VALUE"""),"https://www.facebook.com/rapplerdotcom/photos/a.317154781638645/5594359700584767/")</f>
        <v>https://www.facebook.com/rapplerdotcom/photos/a.317154781638645/5594359700584767/</v>
      </c>
      <c r="J2981" s="1" t="str">
        <f ca="1">IFERROR(__xludf.DUMMYFUNCTION("""COMPUTED_VALUE"""),"2022-07-04T21:38:13.904Z")</f>
        <v>2022-07-04T21:38:13.904Z</v>
      </c>
    </row>
    <row r="2982" spans="1:10" x14ac:dyDescent="0.2">
      <c r="A2982" s="2" t="str">
        <f ca="1">IFERROR(__xludf.DUMMYFUNCTION("""COMPUTED_VALUE"""),"https://www.facebook.com/profile.php?id=100008274437577")</f>
        <v>https://www.facebook.com/profile.php?id=100008274437577</v>
      </c>
      <c r="B2982" s="1" t="str">
        <f ca="1">IFERROR(__xludf.DUMMYFUNCTION("""COMPUTED_VALUE"""),"Merly Kato")</f>
        <v>Merly Kato</v>
      </c>
      <c r="C2982" s="1" t="str">
        <f ca="1">IFERROR(__xludf.DUMMYFUNCTION("""COMPUTED_VALUE"""),"Merly")</f>
        <v>Merly</v>
      </c>
      <c r="D2982" s="1" t="str">
        <f ca="1">IFERROR(__xludf.DUMMYFUNCTION("""COMPUTED_VALUE"""),"Kato")</f>
        <v>Kato</v>
      </c>
      <c r="E2982" s="1" t="str">
        <f ca="1">IFERROR(__xludf.DUMMYFUNCTION("""COMPUTED_VALUE"""),"Mag BALINGBINGAN TAYO")</f>
        <v>Mag BALINGBINGAN TAYO</v>
      </c>
      <c r="F2982" s="1">
        <f ca="1">IFERROR(__xludf.DUMMYFUNCTION("""COMPUTED_VALUE"""),1)</f>
        <v>1</v>
      </c>
      <c r="G2982" s="1" t="str">
        <f ca="1">IFERROR(__xludf.DUMMYFUNCTION("""COMPUTED_VALUE"""),"3 mos")</f>
        <v>3 mos</v>
      </c>
      <c r="H2982" s="1" t="str">
        <f ca="1">IFERROR(__xludf.DUMMYFUNCTION("""COMPUTED_VALUE"""),"comment")</f>
        <v>comment</v>
      </c>
      <c r="I2982" s="2" t="str">
        <f ca="1">IFERROR(__xludf.DUMMYFUNCTION("""COMPUTED_VALUE"""),"https://www.facebook.com/rapplerdotcom/photos/a.317154781638645/5594359700584767/")</f>
        <v>https://www.facebook.com/rapplerdotcom/photos/a.317154781638645/5594359700584767/</v>
      </c>
      <c r="J2982" s="1" t="str">
        <f ca="1">IFERROR(__xludf.DUMMYFUNCTION("""COMPUTED_VALUE"""),"2022-07-04T21:38:13.904Z")</f>
        <v>2022-07-04T21:38:13.904Z</v>
      </c>
    </row>
    <row r="2983" spans="1:10" x14ac:dyDescent="0.2">
      <c r="A2983" s="2" t="str">
        <f ca="1">IFERROR(__xludf.DUMMYFUNCTION("""COMPUTED_VALUE"""),"https://www.facebook.com/manuel.cero.750")</f>
        <v>https://www.facebook.com/manuel.cero.750</v>
      </c>
      <c r="B2983" s="1" t="str">
        <f ca="1">IFERROR(__xludf.DUMMYFUNCTION("""COMPUTED_VALUE"""),"Manuel Cero")</f>
        <v>Manuel Cero</v>
      </c>
      <c r="C2983" s="1" t="str">
        <f ca="1">IFERROR(__xludf.DUMMYFUNCTION("""COMPUTED_VALUE"""),"Manuel")</f>
        <v>Manuel</v>
      </c>
      <c r="D2983" s="1" t="str">
        <f ca="1">IFERROR(__xludf.DUMMYFUNCTION("""COMPUTED_VALUE"""),"Cero")</f>
        <v>Cero</v>
      </c>
      <c r="E2983" s="1" t="str">
        <f ca="1">IFERROR(__xludf.DUMMYFUNCTION("""COMPUTED_VALUE"""),"Kong kina kylangan hukayin sa libengan para maramdaman nila ganano kasakit ginawa nila taong bayan Ang pilipinas noon")</f>
        <v>Kong kina kylangan hukayin sa libengan para maramdaman nila ganano kasakit ginawa nila taong bayan Ang pilipinas noon</v>
      </c>
      <c r="F2983" s="1"/>
      <c r="G2983" s="1" t="str">
        <f ca="1">IFERROR(__xludf.DUMMYFUNCTION("""COMPUTED_VALUE"""),"3 mos")</f>
        <v>3 mos</v>
      </c>
      <c r="H2983" s="1" t="str">
        <f ca="1">IFERROR(__xludf.DUMMYFUNCTION("""COMPUTED_VALUE"""),"comment")</f>
        <v>comment</v>
      </c>
      <c r="I2983" s="2" t="str">
        <f ca="1">IFERROR(__xludf.DUMMYFUNCTION("""COMPUTED_VALUE"""),"https://www.facebook.com/rapplerdotcom/photos/a.317154781638645/5594359700584767/")</f>
        <v>https://www.facebook.com/rapplerdotcom/photos/a.317154781638645/5594359700584767/</v>
      </c>
      <c r="J2983" s="1" t="str">
        <f ca="1">IFERROR(__xludf.DUMMYFUNCTION("""COMPUTED_VALUE"""),"2022-07-04T21:38:13.904Z")</f>
        <v>2022-07-04T21:38:13.904Z</v>
      </c>
    </row>
    <row r="2984" spans="1:10" x14ac:dyDescent="0.2">
      <c r="A2984" s="2" t="str">
        <f ca="1">IFERROR(__xludf.DUMMYFUNCTION("""COMPUTED_VALUE"""),"https://www.facebook.com/profile.php?id=100075205566420")</f>
        <v>https://www.facebook.com/profile.php?id=100075205566420</v>
      </c>
      <c r="B2984" s="1" t="str">
        <f ca="1">IFERROR(__xludf.DUMMYFUNCTION("""COMPUTED_VALUE"""),"Ram Rag")</f>
        <v>Ram Rag</v>
      </c>
      <c r="C2984" s="1" t="str">
        <f ca="1">IFERROR(__xludf.DUMMYFUNCTION("""COMPUTED_VALUE"""),"Ram")</f>
        <v>Ram</v>
      </c>
      <c r="D2984" s="1" t="str">
        <f ca="1">IFERROR(__xludf.DUMMYFUNCTION("""COMPUTED_VALUE"""),"Rag")</f>
        <v>Rag</v>
      </c>
      <c r="E2984" s="1" t="str">
        <f ca="1">IFERROR(__xludf.DUMMYFUNCTION("""COMPUTED_VALUE"""),"Alvarez is a confused man. Don't know where he would stand. A very dangerous ally.")</f>
        <v>Alvarez is a confused man. Don't know where he would stand. A very dangerous ally.</v>
      </c>
      <c r="F2984" s="1"/>
      <c r="G2984" s="1" t="str">
        <f ca="1">IFERROR(__xludf.DUMMYFUNCTION("""COMPUTED_VALUE"""),"3 mos")</f>
        <v>3 mos</v>
      </c>
      <c r="H2984" s="1" t="str">
        <f ca="1">IFERROR(__xludf.DUMMYFUNCTION("""COMPUTED_VALUE"""),"comment")</f>
        <v>comment</v>
      </c>
      <c r="I2984" s="2" t="str">
        <f ca="1">IFERROR(__xludf.DUMMYFUNCTION("""COMPUTED_VALUE"""),"https://www.facebook.com/rapplerdotcom/photos/a.317154781638645/5594359700584767/")</f>
        <v>https://www.facebook.com/rapplerdotcom/photos/a.317154781638645/5594359700584767/</v>
      </c>
      <c r="J2984" s="1" t="str">
        <f ca="1">IFERROR(__xludf.DUMMYFUNCTION("""COMPUTED_VALUE"""),"2022-07-04T21:38:13.904Z")</f>
        <v>2022-07-04T21:38:13.904Z</v>
      </c>
    </row>
    <row r="2985" spans="1:10" x14ac:dyDescent="0.2">
      <c r="A2985" s="2" t="str">
        <f ca="1">IFERROR(__xludf.DUMMYFUNCTION("""COMPUTED_VALUE"""),"https://www.facebook.com/udtohansamuel")</f>
        <v>https://www.facebook.com/udtohansamuel</v>
      </c>
      <c r="B2985" s="1" t="str">
        <f ca="1">IFERROR(__xludf.DUMMYFUNCTION("""COMPUTED_VALUE"""),"Samuel Udtohan")</f>
        <v>Samuel Udtohan</v>
      </c>
      <c r="C2985" s="1" t="str">
        <f ca="1">IFERROR(__xludf.DUMMYFUNCTION("""COMPUTED_VALUE"""),"Samuel")</f>
        <v>Samuel</v>
      </c>
      <c r="D2985" s="1" t="str">
        <f ca="1">IFERROR(__xludf.DUMMYFUNCTION("""COMPUTED_VALUE"""),"Udtohan")</f>
        <v>Udtohan</v>
      </c>
      <c r="E2985" s="1" t="str">
        <f ca="1">IFERROR(__xludf.DUMMYFUNCTION("""COMPUTED_VALUE"""),"Fighting for the private road project going to your farmland using million from public funds!")</f>
        <v>Fighting for the private road project going to your farmland using million from public funds!</v>
      </c>
      <c r="F2985" s="1"/>
      <c r="G2985" s="1" t="str">
        <f ca="1">IFERROR(__xludf.DUMMYFUNCTION("""COMPUTED_VALUE"""),"3 mos")</f>
        <v>3 mos</v>
      </c>
      <c r="H2985" s="1" t="str">
        <f ca="1">IFERROR(__xludf.DUMMYFUNCTION("""COMPUTED_VALUE"""),"comment")</f>
        <v>comment</v>
      </c>
      <c r="I2985" s="2" t="str">
        <f ca="1">IFERROR(__xludf.DUMMYFUNCTION("""COMPUTED_VALUE"""),"https://www.facebook.com/rapplerdotcom/photos/a.317154781638645/5594359700584767/")</f>
        <v>https://www.facebook.com/rapplerdotcom/photos/a.317154781638645/5594359700584767/</v>
      </c>
      <c r="J2985" s="1" t="str">
        <f ca="1">IFERROR(__xludf.DUMMYFUNCTION("""COMPUTED_VALUE"""),"2022-07-04T21:38:13.904Z")</f>
        <v>2022-07-04T21:38:13.904Z</v>
      </c>
    </row>
    <row r="2986" spans="1:10" x14ac:dyDescent="0.2">
      <c r="A2986" s="2" t="str">
        <f ca="1">IFERROR(__xludf.DUMMYFUNCTION("""COMPUTED_VALUE"""),"https://www.facebook.com/regie.basa.39")</f>
        <v>https://www.facebook.com/regie.basa.39</v>
      </c>
      <c r="B2986" s="1" t="str">
        <f ca="1">IFERROR(__xludf.DUMMYFUNCTION("""COMPUTED_VALUE"""),"Ibrahim Regie Basa")</f>
        <v>Ibrahim Regie Basa</v>
      </c>
      <c r="C2986" s="1" t="str">
        <f ca="1">IFERROR(__xludf.DUMMYFUNCTION("""COMPUTED_VALUE"""),"Ibrahim")</f>
        <v>Ibrahim</v>
      </c>
      <c r="D2986" s="1" t="str">
        <f ca="1">IFERROR(__xludf.DUMMYFUNCTION("""COMPUTED_VALUE"""),"Regie Basa")</f>
        <v>Regie Basa</v>
      </c>
      <c r="E2986" s="1" t="str">
        <f ca="1">IFERROR(__xludf.DUMMYFUNCTION("""COMPUTED_VALUE"""),"We call it politics Balimbing")</f>
        <v>We call it politics Balimbing</v>
      </c>
      <c r="F2986" s="1">
        <f ca="1">IFERROR(__xludf.DUMMYFUNCTION("""COMPUTED_VALUE"""),2)</f>
        <v>2</v>
      </c>
      <c r="G2986" s="1" t="str">
        <f ca="1">IFERROR(__xludf.DUMMYFUNCTION("""COMPUTED_VALUE"""),"3 mos")</f>
        <v>3 mos</v>
      </c>
      <c r="H2986" s="1" t="str">
        <f ca="1">IFERROR(__xludf.DUMMYFUNCTION("""COMPUTED_VALUE"""),"comment")</f>
        <v>comment</v>
      </c>
      <c r="I2986" s="2" t="str">
        <f ca="1">IFERROR(__xludf.DUMMYFUNCTION("""COMPUTED_VALUE"""),"https://www.facebook.com/rapplerdotcom/photos/a.317154781638645/5594359700584767/")</f>
        <v>https://www.facebook.com/rapplerdotcom/photos/a.317154781638645/5594359700584767/</v>
      </c>
      <c r="J2986" s="1" t="str">
        <f ca="1">IFERROR(__xludf.DUMMYFUNCTION("""COMPUTED_VALUE"""),"2022-07-04T21:38:13.904Z")</f>
        <v>2022-07-04T21:38:13.904Z</v>
      </c>
    </row>
    <row r="2987" spans="1:10" x14ac:dyDescent="0.2">
      <c r="A2987" s="2" t="str">
        <f ca="1">IFERROR(__xludf.DUMMYFUNCTION("""COMPUTED_VALUE"""),"https://www.facebook.com/mackoy.palang.7")</f>
        <v>https://www.facebook.com/mackoy.palang.7</v>
      </c>
      <c r="B2987" s="1" t="str">
        <f ca="1">IFERROR(__xludf.DUMMYFUNCTION("""COMPUTED_VALUE"""),"Mackoy Palang")</f>
        <v>Mackoy Palang</v>
      </c>
      <c r="C2987" s="1" t="str">
        <f ca="1">IFERROR(__xludf.DUMMYFUNCTION("""COMPUTED_VALUE"""),"Mackoy")</f>
        <v>Mackoy</v>
      </c>
      <c r="D2987" s="1" t="str">
        <f ca="1">IFERROR(__xludf.DUMMYFUNCTION("""COMPUTED_VALUE"""),"Palang")</f>
        <v>Palang</v>
      </c>
      <c r="E2987" s="1" t="str">
        <f ca="1">IFERROR(__xludf.DUMMYFUNCTION("""COMPUTED_VALUE"""),"Paglinta kakapit pag makaka SIPSIP ngayong patapos na bitaw na uli hnap uli ng masisipsip. 🤣🤣🤣")</f>
        <v>Paglinta kakapit pag makaka SIPSIP ngayong patapos na bitaw na uli hnap uli ng masisipsip. 🤣🤣🤣</v>
      </c>
      <c r="F2987" s="1"/>
      <c r="G2987" s="1" t="str">
        <f ca="1">IFERROR(__xludf.DUMMYFUNCTION("""COMPUTED_VALUE"""),"3 mos")</f>
        <v>3 mos</v>
      </c>
      <c r="H2987" s="1" t="str">
        <f ca="1">IFERROR(__xludf.DUMMYFUNCTION("""COMPUTED_VALUE"""),"comment")</f>
        <v>comment</v>
      </c>
      <c r="I2987" s="2" t="str">
        <f ca="1">IFERROR(__xludf.DUMMYFUNCTION("""COMPUTED_VALUE"""),"https://www.facebook.com/rapplerdotcom/photos/a.317154781638645/5594359700584767/")</f>
        <v>https://www.facebook.com/rapplerdotcom/photos/a.317154781638645/5594359700584767/</v>
      </c>
      <c r="J2987" s="1" t="str">
        <f ca="1">IFERROR(__xludf.DUMMYFUNCTION("""COMPUTED_VALUE"""),"2022-07-04T21:38:13.904Z")</f>
        <v>2022-07-04T21:38:13.904Z</v>
      </c>
    </row>
    <row r="2988" spans="1:10" x14ac:dyDescent="0.2">
      <c r="A2988" s="2" t="str">
        <f ca="1">IFERROR(__xludf.DUMMYFUNCTION("""COMPUTED_VALUE"""),"https://www.facebook.com/kobejacky.leoning.90")</f>
        <v>https://www.facebook.com/kobejacky.leoning.90</v>
      </c>
      <c r="B2988" s="1" t="str">
        <f ca="1">IFERROR(__xludf.DUMMYFUNCTION("""COMPUTED_VALUE"""),"Kobe Jacky Leoning")</f>
        <v>Kobe Jacky Leoning</v>
      </c>
      <c r="C2988" s="1" t="str">
        <f ca="1">IFERROR(__xludf.DUMMYFUNCTION("""COMPUTED_VALUE"""),"Kobe")</f>
        <v>Kobe</v>
      </c>
      <c r="D2988" s="1" t="str">
        <f ca="1">IFERROR(__xludf.DUMMYFUNCTION("""COMPUTED_VALUE"""),"Jacky Leoning")</f>
        <v>Jacky Leoning</v>
      </c>
      <c r="E2988" s="1" t="str">
        <f ca="1">IFERROR(__xludf.DUMMYFUNCTION("""COMPUTED_VALUE"""),"Akala mo naman maraming hatak c alvarez. Gising na mga tao sa mga kapalpakan nyo.. kahit anong gawin nyo ayaw na ng tao sa inyo")</f>
        <v>Akala mo naman maraming hatak c alvarez. Gising na mga tao sa mga kapalpakan nyo.. kahit anong gawin nyo ayaw na ng tao sa inyo</v>
      </c>
      <c r="F2988" s="1">
        <f ca="1">IFERROR(__xludf.DUMMYFUNCTION("""COMPUTED_VALUE"""),1)</f>
        <v>1</v>
      </c>
      <c r="G2988" s="1" t="str">
        <f ca="1">IFERROR(__xludf.DUMMYFUNCTION("""COMPUTED_VALUE"""),"3 mos")</f>
        <v>3 mos</v>
      </c>
      <c r="H2988" s="1" t="str">
        <f ca="1">IFERROR(__xludf.DUMMYFUNCTION("""COMPUTED_VALUE"""),"comment")</f>
        <v>comment</v>
      </c>
      <c r="I2988" s="2" t="str">
        <f ca="1">IFERROR(__xludf.DUMMYFUNCTION("""COMPUTED_VALUE"""),"https://www.facebook.com/rapplerdotcom/photos/a.317154781638645/5594359700584767/")</f>
        <v>https://www.facebook.com/rapplerdotcom/photos/a.317154781638645/5594359700584767/</v>
      </c>
      <c r="J2988" s="1" t="str">
        <f ca="1">IFERROR(__xludf.DUMMYFUNCTION("""COMPUTED_VALUE"""),"2022-07-04T21:38:13.904Z")</f>
        <v>2022-07-04T21:38:13.904Z</v>
      </c>
    </row>
    <row r="2989" spans="1:10" x14ac:dyDescent="0.2">
      <c r="A2989" s="2" t="str">
        <f ca="1">IFERROR(__xludf.DUMMYFUNCTION("""COMPUTED_VALUE"""),"https://www.facebook.com/efren.moral.10")</f>
        <v>https://www.facebook.com/efren.moral.10</v>
      </c>
      <c r="B2989" s="1" t="str">
        <f ca="1">IFERROR(__xludf.DUMMYFUNCTION("""COMPUTED_VALUE"""),"Efren Moral")</f>
        <v>Efren Moral</v>
      </c>
      <c r="C2989" s="1" t="str">
        <f ca="1">IFERROR(__xludf.DUMMYFUNCTION("""COMPUTED_VALUE"""),"Efren")</f>
        <v>Efren</v>
      </c>
      <c r="D2989" s="1" t="str">
        <f ca="1">IFERROR(__xludf.DUMMYFUNCTION("""COMPUTED_VALUE"""),"Moral")</f>
        <v>Moral</v>
      </c>
      <c r="E2989" s="1" t="str">
        <f ca="1">IFERROR(__xludf.DUMMYFUNCTION("""COMPUTED_VALUE"""),"GANYAN ANG PULITIKO KUNG SAAN MAGKK PERA DOON SILA ALVAREZ BALIMBING YAN")</f>
        <v>GANYAN ANG PULITIKO KUNG SAAN MAGKK PERA DOON SILA ALVAREZ BALIMBING YAN</v>
      </c>
      <c r="F2989" s="1"/>
      <c r="G2989" s="1" t="str">
        <f ca="1">IFERROR(__xludf.DUMMYFUNCTION("""COMPUTED_VALUE"""),"3 mos")</f>
        <v>3 mos</v>
      </c>
      <c r="H2989" s="1" t="str">
        <f ca="1">IFERROR(__xludf.DUMMYFUNCTION("""COMPUTED_VALUE"""),"comment")</f>
        <v>comment</v>
      </c>
      <c r="I2989" s="2" t="str">
        <f ca="1">IFERROR(__xludf.DUMMYFUNCTION("""COMPUTED_VALUE"""),"https://www.facebook.com/rapplerdotcom/photos/a.317154781638645/5594359700584767/")</f>
        <v>https://www.facebook.com/rapplerdotcom/photos/a.317154781638645/5594359700584767/</v>
      </c>
      <c r="J2989" s="1" t="str">
        <f ca="1">IFERROR(__xludf.DUMMYFUNCTION("""COMPUTED_VALUE"""),"2022-07-04T21:38:13.904Z")</f>
        <v>2022-07-04T21:38:13.904Z</v>
      </c>
    </row>
    <row r="2990" spans="1:10" x14ac:dyDescent="0.2">
      <c r="A2990" s="2" t="str">
        <f ca="1">IFERROR(__xludf.DUMMYFUNCTION("""COMPUTED_VALUE"""),"https://www.facebook.com/profile.php?id=1321814894")</f>
        <v>https://www.facebook.com/profile.php?id=1321814894</v>
      </c>
      <c r="B2990" s="1" t="str">
        <f ca="1">IFERROR(__xludf.DUMMYFUNCTION("""COMPUTED_VALUE"""),"Anto Florida")</f>
        <v>Anto Florida</v>
      </c>
      <c r="C2990" s="1" t="str">
        <f ca="1">IFERROR(__xludf.DUMMYFUNCTION("""COMPUTED_VALUE"""),"Anto")</f>
        <v>Anto</v>
      </c>
      <c r="D2990" s="1" t="str">
        <f ca="1">IFERROR(__xludf.DUMMYFUNCTION("""COMPUTED_VALUE"""),"Florida")</f>
        <v>Florida</v>
      </c>
      <c r="E2990" s="1" t="str">
        <f ca="1">IFERROR(__xludf.DUMMYFUNCTION("""COMPUTED_VALUE"""),"The very point of campaigning is to draw people and forces to our side, and to weaken the other.")</f>
        <v>The very point of campaigning is to draw people and forces to our side, and to weaken the other.</v>
      </c>
      <c r="F2990" s="1"/>
      <c r="G2990" s="1" t="str">
        <f ca="1">IFERROR(__xludf.DUMMYFUNCTION("""COMPUTED_VALUE"""),"3 mos")</f>
        <v>3 mos</v>
      </c>
      <c r="H2990" s="1" t="str">
        <f ca="1">IFERROR(__xludf.DUMMYFUNCTION("""COMPUTED_VALUE"""),"comment")</f>
        <v>comment</v>
      </c>
      <c r="I2990" s="2" t="str">
        <f ca="1">IFERROR(__xludf.DUMMYFUNCTION("""COMPUTED_VALUE"""),"https://www.facebook.com/rapplerdotcom/photos/a.317154781638645/5594359700584767/")</f>
        <v>https://www.facebook.com/rapplerdotcom/photos/a.317154781638645/5594359700584767/</v>
      </c>
      <c r="J2990" s="1" t="str">
        <f ca="1">IFERROR(__xludf.DUMMYFUNCTION("""COMPUTED_VALUE"""),"2022-07-04T21:38:13.904Z")</f>
        <v>2022-07-04T21:38:13.904Z</v>
      </c>
    </row>
    <row r="2991" spans="1:10" x14ac:dyDescent="0.2">
      <c r="A2991" s="2" t="str">
        <f ca="1">IFERROR(__xludf.DUMMYFUNCTION("""COMPUTED_VALUE"""),"https://www.facebook.com/neil.torreon.7")</f>
        <v>https://www.facebook.com/neil.torreon.7</v>
      </c>
      <c r="B2991" s="1" t="str">
        <f ca="1">IFERROR(__xludf.DUMMYFUNCTION("""COMPUTED_VALUE"""),"Neil Torreon")</f>
        <v>Neil Torreon</v>
      </c>
      <c r="C2991" s="1" t="str">
        <f ca="1">IFERROR(__xludf.DUMMYFUNCTION("""COMPUTED_VALUE"""),"Neil")</f>
        <v>Neil</v>
      </c>
      <c r="D2991" s="1" t="str">
        <f ca="1">IFERROR(__xludf.DUMMYFUNCTION("""COMPUTED_VALUE"""),"Torreon")</f>
        <v>Torreon</v>
      </c>
      <c r="E2991" s="1" t="str">
        <f ca="1">IFERROR(__xludf.DUMMYFUNCTION("""COMPUTED_VALUE"""),"Hirap tlga kpg tumatanda na nawawala na sa katinuan....haha....qng saan2 nlng napadpad.....Ito Yung Tao balimbing at sipsip walang dignidad")</f>
        <v>Hirap tlga kpg tumatanda na nawawala na sa katinuan....haha....qng saan2 nlng napadpad.....Ito Yung Tao balimbing at sipsip walang dignidad</v>
      </c>
      <c r="F2991" s="1"/>
      <c r="G2991" s="1" t="str">
        <f ca="1">IFERROR(__xludf.DUMMYFUNCTION("""COMPUTED_VALUE"""),"3 mos")</f>
        <v>3 mos</v>
      </c>
      <c r="H2991" s="1" t="str">
        <f ca="1">IFERROR(__xludf.DUMMYFUNCTION("""COMPUTED_VALUE"""),"comment")</f>
        <v>comment</v>
      </c>
      <c r="I2991" s="2" t="str">
        <f ca="1">IFERROR(__xludf.DUMMYFUNCTION("""COMPUTED_VALUE"""),"https://www.facebook.com/rapplerdotcom/photos/a.317154781638645/5594359700584767/")</f>
        <v>https://www.facebook.com/rapplerdotcom/photos/a.317154781638645/5594359700584767/</v>
      </c>
      <c r="J2991" s="1" t="str">
        <f ca="1">IFERROR(__xludf.DUMMYFUNCTION("""COMPUTED_VALUE"""),"2022-07-04T21:38:13.904Z")</f>
        <v>2022-07-04T21:38:13.904Z</v>
      </c>
    </row>
    <row r="2992" spans="1:10" x14ac:dyDescent="0.2">
      <c r="A2992" s="2" t="str">
        <f ca="1">IFERROR(__xludf.DUMMYFUNCTION("""COMPUTED_VALUE"""),"https://www.facebook.com/gerardocandano")</f>
        <v>https://www.facebook.com/gerardocandano</v>
      </c>
      <c r="B2992" s="1" t="str">
        <f ca="1">IFERROR(__xludf.DUMMYFUNCTION("""COMPUTED_VALUE"""),"Gerardo Candano")</f>
        <v>Gerardo Candano</v>
      </c>
      <c r="C2992" s="1" t="str">
        <f ca="1">IFERROR(__xludf.DUMMYFUNCTION("""COMPUTED_VALUE"""),"Gerardo")</f>
        <v>Gerardo</v>
      </c>
      <c r="D2992" s="1" t="str">
        <f ca="1">IFERROR(__xludf.DUMMYFUNCTION("""COMPUTED_VALUE"""),"Candano")</f>
        <v>Candano</v>
      </c>
      <c r="E2992" s="1" t="str">
        <f ca="1">IFERROR(__xludf.DUMMYFUNCTION("""COMPUTED_VALUE"""),"Ganyan talaga pag POWER HUNGRY personalities. Parang Isko lang, ilalaglag lahat matupad lang ang pangarap nila. 😤")</f>
        <v>Ganyan talaga pag POWER HUNGRY personalities. Parang Isko lang, ilalaglag lahat matupad lang ang pangarap nila. 😤</v>
      </c>
      <c r="F2992" s="1"/>
      <c r="G2992" s="1" t="str">
        <f ca="1">IFERROR(__xludf.DUMMYFUNCTION("""COMPUTED_VALUE"""),"3 mos")</f>
        <v>3 mos</v>
      </c>
      <c r="H2992" s="1" t="str">
        <f ca="1">IFERROR(__xludf.DUMMYFUNCTION("""COMPUTED_VALUE"""),"comment")</f>
        <v>comment</v>
      </c>
      <c r="I2992" s="2" t="str">
        <f ca="1">IFERROR(__xludf.DUMMYFUNCTION("""COMPUTED_VALUE"""),"https://www.facebook.com/rapplerdotcom/photos/a.317154781638645/5594359700584767/")</f>
        <v>https://www.facebook.com/rapplerdotcom/photos/a.317154781638645/5594359700584767/</v>
      </c>
      <c r="J2992" s="1" t="str">
        <f ca="1">IFERROR(__xludf.DUMMYFUNCTION("""COMPUTED_VALUE"""),"2022-07-04T21:38:13.904Z")</f>
        <v>2022-07-04T21:38:13.904Z</v>
      </c>
    </row>
    <row r="2993" spans="1:10" x14ac:dyDescent="0.2">
      <c r="A2993" s="2" t="str">
        <f ca="1">IFERROR(__xludf.DUMMYFUNCTION("""COMPUTED_VALUE"""),"https://www.facebook.com/tess.fuertez")</f>
        <v>https://www.facebook.com/tess.fuertez</v>
      </c>
      <c r="B2993" s="1" t="str">
        <f ca="1">IFERROR(__xludf.DUMMYFUNCTION("""COMPUTED_VALUE"""),"Tess Fuertez")</f>
        <v>Tess Fuertez</v>
      </c>
      <c r="C2993" s="1" t="str">
        <f ca="1">IFERROR(__xludf.DUMMYFUNCTION("""COMPUTED_VALUE"""),"Tess")</f>
        <v>Tess</v>
      </c>
      <c r="D2993" s="1" t="str">
        <f ca="1">IFERROR(__xludf.DUMMYFUNCTION("""COMPUTED_VALUE"""),"Fuertez")</f>
        <v>Fuertez</v>
      </c>
      <c r="E2993" s="1" t="str">
        <f ca="1">IFERROR(__xludf.DUMMYFUNCTION("""COMPUTED_VALUE"""),"Welcome cong alvarez godblessed you right choice ang yung tatahakin!!")</f>
        <v>Welcome cong alvarez godblessed you right choice ang yung tatahakin!!</v>
      </c>
      <c r="F2993" s="1">
        <f ca="1">IFERROR(__xludf.DUMMYFUNCTION("""COMPUTED_VALUE"""),3)</f>
        <v>3</v>
      </c>
      <c r="G2993" s="1" t="str">
        <f ca="1">IFERROR(__xludf.DUMMYFUNCTION("""COMPUTED_VALUE"""),"3 mos")</f>
        <v>3 mos</v>
      </c>
      <c r="H2993" s="1" t="str">
        <f ca="1">IFERROR(__xludf.DUMMYFUNCTION("""COMPUTED_VALUE"""),"comment")</f>
        <v>comment</v>
      </c>
      <c r="I2993" s="2" t="str">
        <f ca="1">IFERROR(__xludf.DUMMYFUNCTION("""COMPUTED_VALUE"""),"https://www.facebook.com/rapplerdotcom/photos/a.317154781638645/5594359700584767/")</f>
        <v>https://www.facebook.com/rapplerdotcom/photos/a.317154781638645/5594359700584767/</v>
      </c>
      <c r="J2993" s="1" t="str">
        <f ca="1">IFERROR(__xludf.DUMMYFUNCTION("""COMPUTED_VALUE"""),"2022-07-04T21:38:13.904Z")</f>
        <v>2022-07-04T21:38:13.904Z</v>
      </c>
    </row>
    <row r="2994" spans="1:10" x14ac:dyDescent="0.2">
      <c r="A2994" s="2" t="str">
        <f ca="1">IFERROR(__xludf.DUMMYFUNCTION("""COMPUTED_VALUE"""),"https://www.facebook.com/jeac2016")</f>
        <v>https://www.facebook.com/jeac2016</v>
      </c>
      <c r="B2994" s="1" t="str">
        <f ca="1">IFERROR(__xludf.DUMMYFUNCTION("""COMPUTED_VALUE"""),"Jeac Emerson Carasco")</f>
        <v>Jeac Emerson Carasco</v>
      </c>
      <c r="C2994" s="1" t="str">
        <f ca="1">IFERROR(__xludf.DUMMYFUNCTION("""COMPUTED_VALUE"""),"Jeac")</f>
        <v>Jeac</v>
      </c>
      <c r="D2994" s="1" t="str">
        <f ca="1">IFERROR(__xludf.DUMMYFUNCTION("""COMPUTED_VALUE"""),"Emerson Carasco")</f>
        <v>Emerson Carasco</v>
      </c>
      <c r="E2994" s="1" t="str">
        <f ca="1">IFERROR(__xludf.DUMMYFUNCTION("""COMPUTED_VALUE"""),"Nabuhay ang mga hunyango...")</f>
        <v>Nabuhay ang mga hunyango...</v>
      </c>
      <c r="F2994" s="1"/>
      <c r="G2994" s="1" t="str">
        <f ca="1">IFERROR(__xludf.DUMMYFUNCTION("""COMPUTED_VALUE"""),"3 mos")</f>
        <v>3 mos</v>
      </c>
      <c r="H2994" s="1" t="str">
        <f ca="1">IFERROR(__xludf.DUMMYFUNCTION("""COMPUTED_VALUE"""),"comment")</f>
        <v>comment</v>
      </c>
      <c r="I2994" s="2" t="str">
        <f ca="1">IFERROR(__xludf.DUMMYFUNCTION("""COMPUTED_VALUE"""),"https://www.facebook.com/rapplerdotcom/photos/a.317154781638645/5594359700584767/")</f>
        <v>https://www.facebook.com/rapplerdotcom/photos/a.317154781638645/5594359700584767/</v>
      </c>
      <c r="J2994" s="1" t="str">
        <f ca="1">IFERROR(__xludf.DUMMYFUNCTION("""COMPUTED_VALUE"""),"2022-07-04T21:38:13.904Z")</f>
        <v>2022-07-04T21:38:13.904Z</v>
      </c>
    </row>
    <row r="2995" spans="1:10" x14ac:dyDescent="0.2">
      <c r="A2995" s="2" t="str">
        <f ca="1">IFERROR(__xludf.DUMMYFUNCTION("""COMPUTED_VALUE"""),"https://www.facebook.com/edwin.nabong.790")</f>
        <v>https://www.facebook.com/edwin.nabong.790</v>
      </c>
      <c r="B2995" s="1" t="str">
        <f ca="1">IFERROR(__xludf.DUMMYFUNCTION("""COMPUTED_VALUE"""),"Edwin Nabong")</f>
        <v>Edwin Nabong</v>
      </c>
      <c r="C2995" s="1" t="str">
        <f ca="1">IFERROR(__xludf.DUMMYFUNCTION("""COMPUTED_VALUE"""),"Edwin")</f>
        <v>Edwin</v>
      </c>
      <c r="D2995" s="1" t="str">
        <f ca="1">IFERROR(__xludf.DUMMYFUNCTION("""COMPUTED_VALUE"""),"Nabong")</f>
        <v>Nabong</v>
      </c>
      <c r="E2995" s="1" t="str">
        <f ca="1">IFERROR(__xludf.DUMMYFUNCTION("""COMPUTED_VALUE"""),"kalungkot pero bawat eleksyon lagi to the highest bidder.")</f>
        <v>kalungkot pero bawat eleksyon lagi to the highest bidder.</v>
      </c>
      <c r="F2995" s="1">
        <f ca="1">IFERROR(__xludf.DUMMYFUNCTION("""COMPUTED_VALUE"""),1)</f>
        <v>1</v>
      </c>
      <c r="G2995" s="1" t="str">
        <f ca="1">IFERROR(__xludf.DUMMYFUNCTION("""COMPUTED_VALUE"""),"3 mos")</f>
        <v>3 mos</v>
      </c>
      <c r="H2995" s="1" t="str">
        <f ca="1">IFERROR(__xludf.DUMMYFUNCTION("""COMPUTED_VALUE"""),"comment")</f>
        <v>comment</v>
      </c>
      <c r="I2995" s="2" t="str">
        <f ca="1">IFERROR(__xludf.DUMMYFUNCTION("""COMPUTED_VALUE"""),"https://www.facebook.com/rapplerdotcom/photos/a.317154781638645/5594359700584767/")</f>
        <v>https://www.facebook.com/rapplerdotcom/photos/a.317154781638645/5594359700584767/</v>
      </c>
      <c r="J2995" s="1" t="str">
        <f ca="1">IFERROR(__xludf.DUMMYFUNCTION("""COMPUTED_VALUE"""),"2022-07-04T21:38:13.904Z")</f>
        <v>2022-07-04T21:38:13.904Z</v>
      </c>
    </row>
    <row r="2996" spans="1:10" x14ac:dyDescent="0.2">
      <c r="A2996" s="2" t="str">
        <f ca="1">IFERROR(__xludf.DUMMYFUNCTION("""COMPUTED_VALUE"""),"https://www.facebook.com/mary.lasquety")</f>
        <v>https://www.facebook.com/mary.lasquety</v>
      </c>
      <c r="B2996" s="1" t="str">
        <f ca="1">IFERROR(__xludf.DUMMYFUNCTION("""COMPUTED_VALUE"""),"Mary Lasquety")</f>
        <v>Mary Lasquety</v>
      </c>
      <c r="C2996" s="1" t="str">
        <f ca="1">IFERROR(__xludf.DUMMYFUNCTION("""COMPUTED_VALUE"""),"Mary")</f>
        <v>Mary</v>
      </c>
      <c r="D2996" s="1" t="str">
        <f ca="1">IFERROR(__xludf.DUMMYFUNCTION("""COMPUTED_VALUE"""),"Lasquety")</f>
        <v>Lasquety</v>
      </c>
      <c r="E2996" s="1" t="str">
        <f ca="1">IFERROR(__xludf.DUMMYFUNCTION("""COMPUTED_VALUE"""),"permanent ba or personal interest? hmmm")</f>
        <v>permanent ba or personal interest? hmmm</v>
      </c>
      <c r="F2996" s="1"/>
      <c r="G2996" s="1" t="str">
        <f ca="1">IFERROR(__xludf.DUMMYFUNCTION("""COMPUTED_VALUE"""),"3 mos")</f>
        <v>3 mos</v>
      </c>
      <c r="H2996" s="1" t="str">
        <f ca="1">IFERROR(__xludf.DUMMYFUNCTION("""COMPUTED_VALUE"""),"comment")</f>
        <v>comment</v>
      </c>
      <c r="I2996" s="2" t="str">
        <f ca="1">IFERROR(__xludf.DUMMYFUNCTION("""COMPUTED_VALUE"""),"https://www.facebook.com/rapplerdotcom/photos/a.317154781638645/5594359700584767/")</f>
        <v>https://www.facebook.com/rapplerdotcom/photos/a.317154781638645/5594359700584767/</v>
      </c>
      <c r="J2996" s="1" t="str">
        <f ca="1">IFERROR(__xludf.DUMMYFUNCTION("""COMPUTED_VALUE"""),"2022-07-04T21:38:13.904Z")</f>
        <v>2022-07-04T21:38:13.904Z</v>
      </c>
    </row>
    <row r="2997" spans="1:10" x14ac:dyDescent="0.2">
      <c r="A2997" s="2" t="str">
        <f ca="1">IFERROR(__xludf.DUMMYFUNCTION("""COMPUTED_VALUE"""),"https://www.facebook.com/profile.php?id=100070491889329")</f>
        <v>https://www.facebook.com/profile.php?id=100070491889329</v>
      </c>
      <c r="B2997" s="1" t="str">
        <f ca="1">IFERROR(__xludf.DUMMYFUNCTION("""COMPUTED_VALUE"""),"Ariel Pastor")</f>
        <v>Ariel Pastor</v>
      </c>
      <c r="C2997" s="1" t="str">
        <f ca="1">IFERROR(__xludf.DUMMYFUNCTION("""COMPUTED_VALUE"""),"Ariel")</f>
        <v>Ariel</v>
      </c>
      <c r="D2997" s="1" t="str">
        <f ca="1">IFERROR(__xludf.DUMMYFUNCTION("""COMPUTED_VALUE"""),"Pastor")</f>
        <v>Pastor</v>
      </c>
      <c r="E2997" s="1" t="str">
        <f ca="1">IFERROR(__xludf.DUMMYFUNCTION("""COMPUTED_VALUE"""),"Mary Lasquety may maitim na balak yan...bumabalimbing na. Hayyyyy")</f>
        <v>Mary Lasquety may maitim na balak yan...bumabalimbing na. Hayyyyy</v>
      </c>
      <c r="F2997" s="1"/>
      <c r="G2997" s="1" t="str">
        <f ca="1">IFERROR(__xludf.DUMMYFUNCTION("""COMPUTED_VALUE"""),"3 mos")</f>
        <v>3 mos</v>
      </c>
      <c r="H2997" s="1" t="str">
        <f ca="1">IFERROR(__xludf.DUMMYFUNCTION("""COMPUTED_VALUE"""),"reply")</f>
        <v>reply</v>
      </c>
      <c r="I2997" s="2" t="str">
        <f ca="1">IFERROR(__xludf.DUMMYFUNCTION("""COMPUTED_VALUE"""),"https://www.facebook.com/rapplerdotcom/photos/a.317154781638645/5594359700584767/")</f>
        <v>https://www.facebook.com/rapplerdotcom/photos/a.317154781638645/5594359700584767/</v>
      </c>
      <c r="J2997" s="1" t="str">
        <f ca="1">IFERROR(__xludf.DUMMYFUNCTION("""COMPUTED_VALUE"""),"2022-07-04T21:38:13.904Z")</f>
        <v>2022-07-04T21:38:13.904Z</v>
      </c>
    </row>
    <row r="2998" spans="1:10" x14ac:dyDescent="0.2">
      <c r="A2998" s="2" t="str">
        <f ca="1">IFERROR(__xludf.DUMMYFUNCTION("""COMPUTED_VALUE"""),"https://www.facebook.com/profile.php?id=100004150696757")</f>
        <v>https://www.facebook.com/profile.php?id=100004150696757</v>
      </c>
      <c r="B2998" s="1" t="str">
        <f ca="1">IFERROR(__xludf.DUMMYFUNCTION("""COMPUTED_VALUE"""),"Adelaida Munoz")</f>
        <v>Adelaida Munoz</v>
      </c>
      <c r="C2998" s="1" t="str">
        <f ca="1">IFERROR(__xludf.DUMMYFUNCTION("""COMPUTED_VALUE"""),"Adelaida")</f>
        <v>Adelaida</v>
      </c>
      <c r="D2998" s="1" t="str">
        <f ca="1">IFERROR(__xludf.DUMMYFUNCTION("""COMPUTED_VALUE"""),"Munoz")</f>
        <v>Munoz</v>
      </c>
      <c r="E2998" s="1" t="str">
        <f ca="1">IFERROR(__xludf.DUMMYFUNCTION("""COMPUTED_VALUE"""),"BB M Mabuhay Mabuhay Ang Pilipinas")</f>
        <v>BB M Mabuhay Mabuhay Ang Pilipinas</v>
      </c>
      <c r="F2998" s="1">
        <f ca="1">IFERROR(__xludf.DUMMYFUNCTION("""COMPUTED_VALUE"""),1)</f>
        <v>1</v>
      </c>
      <c r="G2998" s="1" t="str">
        <f ca="1">IFERROR(__xludf.DUMMYFUNCTION("""COMPUTED_VALUE"""),"3 mos")</f>
        <v>3 mos</v>
      </c>
      <c r="H2998" s="1" t="str">
        <f ca="1">IFERROR(__xludf.DUMMYFUNCTION("""COMPUTED_VALUE"""),"comment")</f>
        <v>comment</v>
      </c>
      <c r="I2998" s="2" t="str">
        <f ca="1">IFERROR(__xludf.DUMMYFUNCTION("""COMPUTED_VALUE"""),"https://www.facebook.com/rapplerdotcom/photos/a.317154781638645/5594359700584767/")</f>
        <v>https://www.facebook.com/rapplerdotcom/photos/a.317154781638645/5594359700584767/</v>
      </c>
      <c r="J2998" s="1" t="str">
        <f ca="1">IFERROR(__xludf.DUMMYFUNCTION("""COMPUTED_VALUE"""),"2022-07-04T21:38:13.904Z")</f>
        <v>2022-07-04T21:38:13.904Z</v>
      </c>
    </row>
    <row r="2999" spans="1:10" x14ac:dyDescent="0.2">
      <c r="A2999" s="2" t="str">
        <f ca="1">IFERROR(__xludf.DUMMYFUNCTION("""COMPUTED_VALUE"""),"https://www.facebook.com/rboy.escaran")</f>
        <v>https://www.facebook.com/rboy.escaran</v>
      </c>
      <c r="B2999" s="1" t="str">
        <f ca="1">IFERROR(__xludf.DUMMYFUNCTION("""COMPUTED_VALUE"""),"Rboy Escaran")</f>
        <v>Rboy Escaran</v>
      </c>
      <c r="C2999" s="1" t="str">
        <f ca="1">IFERROR(__xludf.DUMMYFUNCTION("""COMPUTED_VALUE"""),"Rboy")</f>
        <v>Rboy</v>
      </c>
      <c r="D2999" s="1" t="str">
        <f ca="1">IFERROR(__xludf.DUMMYFUNCTION("""COMPUTED_VALUE"""),"Escaran")</f>
        <v>Escaran</v>
      </c>
      <c r="E2999" s="1" t="str">
        <f ca="1">IFERROR(__xludf.DUMMYFUNCTION("""COMPUTED_VALUE"""),"The message is clear...credibility?")</f>
        <v>The message is clear...credibility?</v>
      </c>
      <c r="F2999" s="1"/>
      <c r="G2999" s="1" t="str">
        <f ca="1">IFERROR(__xludf.DUMMYFUNCTION("""COMPUTED_VALUE"""),"3 mos")</f>
        <v>3 mos</v>
      </c>
      <c r="H2999" s="1" t="str">
        <f ca="1">IFERROR(__xludf.DUMMYFUNCTION("""COMPUTED_VALUE"""),"comment")</f>
        <v>comment</v>
      </c>
      <c r="I2999" s="2" t="str">
        <f ca="1">IFERROR(__xludf.DUMMYFUNCTION("""COMPUTED_VALUE"""),"https://www.facebook.com/rapplerdotcom/photos/a.317154781638645/5594359700584767/")</f>
        <v>https://www.facebook.com/rapplerdotcom/photos/a.317154781638645/5594359700584767/</v>
      </c>
      <c r="J2999" s="1" t="str">
        <f ca="1">IFERROR(__xludf.DUMMYFUNCTION("""COMPUTED_VALUE"""),"2022-07-04T21:38:13.904Z")</f>
        <v>2022-07-04T21:38:13.904Z</v>
      </c>
    </row>
    <row r="3000" spans="1:10" x14ac:dyDescent="0.2">
      <c r="A3000" s="2" t="str">
        <f ca="1">IFERROR(__xludf.DUMMYFUNCTION("""COMPUTED_VALUE"""),"https://www.facebook.com/emman.bantad")</f>
        <v>https://www.facebook.com/emman.bantad</v>
      </c>
      <c r="B3000" s="1" t="str">
        <f ca="1">IFERROR(__xludf.DUMMYFUNCTION("""COMPUTED_VALUE"""),"Eman Bantad")</f>
        <v>Eman Bantad</v>
      </c>
      <c r="C3000" s="1" t="str">
        <f ca="1">IFERROR(__xludf.DUMMYFUNCTION("""COMPUTED_VALUE"""),"Eman")</f>
        <v>Eman</v>
      </c>
      <c r="D3000" s="1" t="str">
        <f ca="1">IFERROR(__xludf.DUMMYFUNCTION("""COMPUTED_VALUE"""),"Bantad")</f>
        <v>Bantad</v>
      </c>
      <c r="E3000" s="1" t="str">
        <f ca="1">IFERROR(__xludf.DUMMYFUNCTION("""COMPUTED_VALUE"""),"Minsan prutas, minsan tao")</f>
        <v>Minsan prutas, minsan tao</v>
      </c>
      <c r="F3000" s="1"/>
      <c r="G3000" s="1" t="str">
        <f ca="1">IFERROR(__xludf.DUMMYFUNCTION("""COMPUTED_VALUE"""),"3 mos")</f>
        <v>3 mos</v>
      </c>
      <c r="H3000" s="1" t="str">
        <f ca="1">IFERROR(__xludf.DUMMYFUNCTION("""COMPUTED_VALUE"""),"comment")</f>
        <v>comment</v>
      </c>
      <c r="I3000" s="2" t="str">
        <f ca="1">IFERROR(__xludf.DUMMYFUNCTION("""COMPUTED_VALUE"""),"https://www.facebook.com/rapplerdotcom/photos/a.317154781638645/5594359700584767/")</f>
        <v>https://www.facebook.com/rapplerdotcom/photos/a.317154781638645/5594359700584767/</v>
      </c>
      <c r="J3000" s="1" t="str">
        <f ca="1">IFERROR(__xludf.DUMMYFUNCTION("""COMPUTED_VALUE"""),"2022-07-04T21:38:13.904Z")</f>
        <v>2022-07-04T21:38:13.904Z</v>
      </c>
    </row>
    <row r="3001" spans="1:10" x14ac:dyDescent="0.2">
      <c r="A3001" s="2" t="str">
        <f ca="1">IFERROR(__xludf.DUMMYFUNCTION("""COMPUTED_VALUE"""),"https://www.facebook.com/mcdolawcarla")</f>
        <v>https://www.facebook.com/mcdolawcarla</v>
      </c>
      <c r="B3001" s="1" t="str">
        <f ca="1">IFERROR(__xludf.DUMMYFUNCTION("""COMPUTED_VALUE"""),"Carla Ofilada")</f>
        <v>Carla Ofilada</v>
      </c>
      <c r="C3001" s="1" t="str">
        <f ca="1">IFERROR(__xludf.DUMMYFUNCTION("""COMPUTED_VALUE"""),"Carla")</f>
        <v>Carla</v>
      </c>
      <c r="D3001" s="1" t="str">
        <f ca="1">IFERROR(__xludf.DUMMYFUNCTION("""COMPUTED_VALUE"""),"Ofilada")</f>
        <v>Ofilada</v>
      </c>
      <c r="E3001" s="1" t="str">
        <f ca="1">IFERROR(__xludf.DUMMYFUNCTION("""COMPUTED_VALUE"""),"Everybody welcome Naman.... Pero Ang mga kakamPINKs ay volunteers.... Kami Ang nagbibigay Hindi kami namimigay.... Lahat Ng ginagawa namin ay WALANG KAPALIT! ngayon pa lang magkalinawagan na Tayo....")</f>
        <v>Everybody welcome Naman.... Pero Ang mga kakamPINKs ay volunteers.... Kami Ang nagbibigay Hindi kami namimigay.... Lahat Ng ginagawa namin ay WALANG KAPALIT! ngayon pa lang magkalinawagan na Tayo....</v>
      </c>
      <c r="F3001" s="1">
        <f ca="1">IFERROR(__xludf.DUMMYFUNCTION("""COMPUTED_VALUE"""),4)</f>
        <v>4</v>
      </c>
      <c r="G3001" s="1" t="str">
        <f ca="1">IFERROR(__xludf.DUMMYFUNCTION("""COMPUTED_VALUE"""),"3 mos")</f>
        <v>3 mos</v>
      </c>
      <c r="H3001" s="1" t="str">
        <f ca="1">IFERROR(__xludf.DUMMYFUNCTION("""COMPUTED_VALUE"""),"comment")</f>
        <v>comment</v>
      </c>
      <c r="I3001" s="2" t="str">
        <f ca="1">IFERROR(__xludf.DUMMYFUNCTION("""COMPUTED_VALUE"""),"https://www.facebook.com/rapplerdotcom/photos/a.317154781638645/5594359700584767/")</f>
        <v>https://www.facebook.com/rapplerdotcom/photos/a.317154781638645/5594359700584767/</v>
      </c>
      <c r="J3001" s="1" t="str">
        <f ca="1">IFERROR(__xludf.DUMMYFUNCTION("""COMPUTED_VALUE"""),"2022-07-04T21:38:13.904Z")</f>
        <v>2022-07-04T21:38:13.904Z</v>
      </c>
    </row>
    <row r="3002" spans="1:10" x14ac:dyDescent="0.2">
      <c r="A3002" s="2" t="str">
        <f ca="1">IFERROR(__xludf.DUMMYFUNCTION("""COMPUTED_VALUE"""),"https://www.facebook.com/jun.buama1")</f>
        <v>https://www.facebook.com/jun.buama1</v>
      </c>
      <c r="B3002" s="1" t="str">
        <f ca="1">IFERROR(__xludf.DUMMYFUNCTION("""COMPUTED_VALUE"""),"Jun Buama")</f>
        <v>Jun Buama</v>
      </c>
      <c r="C3002" s="1" t="str">
        <f ca="1">IFERROR(__xludf.DUMMYFUNCTION("""COMPUTED_VALUE"""),"Jun")</f>
        <v>Jun</v>
      </c>
      <c r="D3002" s="1" t="str">
        <f ca="1">IFERROR(__xludf.DUMMYFUNCTION("""COMPUTED_VALUE"""),"Buama")</f>
        <v>Buama</v>
      </c>
      <c r="E3002" s="1" t="str">
        <f ca="1">IFERROR(__xludf.DUMMYFUNCTION("""COMPUTED_VALUE"""),"Ano namn ang connection ng pamimili ng partido sa pagiging makatao at pagbibigay respeto na inaakala mong tama lang sa isang tao na namayapa na. Karapatan ng bawat individual yun tila gusto nyong palabasin na yun sa inyo lang ang tama at yun kagustuhan ng"&amp;" iba ay mali. Pare pareho lang tayo ng karapatan na isa lang ang bilang ng boto pero yun pagendorso ng kandidato natural lang yun ang hindi natural ay yun ipagpilitan nyo kung sino ang gusto nyang iboto.")</f>
        <v>Ano namn ang connection ng pamimili ng partido sa pagiging makatao at pagbibigay respeto na inaakala mong tama lang sa isang tao na namayapa na. Karapatan ng bawat individual yun tila gusto nyong palabasin na yun sa inyo lang ang tama at yun kagustuhan ng iba ay mali. Pare pareho lang tayo ng karapatan na isa lang ang bilang ng boto pero yun pagendorso ng kandidato natural lang yun ang hindi natural ay yun ipagpilitan nyo kung sino ang gusto nyang iboto.</v>
      </c>
      <c r="F3002" s="1"/>
      <c r="G3002" s="1" t="str">
        <f ca="1">IFERROR(__xludf.DUMMYFUNCTION("""COMPUTED_VALUE"""),"3 mos")</f>
        <v>3 mos</v>
      </c>
      <c r="H3002" s="1" t="str">
        <f ca="1">IFERROR(__xludf.DUMMYFUNCTION("""COMPUTED_VALUE"""),"comment")</f>
        <v>comment</v>
      </c>
      <c r="I3002" s="2" t="str">
        <f ca="1">IFERROR(__xludf.DUMMYFUNCTION("""COMPUTED_VALUE"""),"https://www.facebook.com/rapplerdotcom/photos/a.317154781638645/5594359700584767/")</f>
        <v>https://www.facebook.com/rapplerdotcom/photos/a.317154781638645/5594359700584767/</v>
      </c>
      <c r="J3002" s="1" t="str">
        <f ca="1">IFERROR(__xludf.DUMMYFUNCTION("""COMPUTED_VALUE"""),"2022-07-04T21:38:13.904Z")</f>
        <v>2022-07-04T21:38:13.904Z</v>
      </c>
    </row>
    <row r="3003" spans="1:10" x14ac:dyDescent="0.2">
      <c r="A3003" s="2" t="str">
        <f ca="1">IFERROR(__xludf.DUMMYFUNCTION("""COMPUTED_VALUE"""),"https://www.facebook.com/roberto.jabon.9")</f>
        <v>https://www.facebook.com/roberto.jabon.9</v>
      </c>
      <c r="B3003" s="1" t="str">
        <f ca="1">IFERROR(__xludf.DUMMYFUNCTION("""COMPUTED_VALUE"""),"Roberto Jabon")</f>
        <v>Roberto Jabon</v>
      </c>
      <c r="C3003" s="1" t="str">
        <f ca="1">IFERROR(__xludf.DUMMYFUNCTION("""COMPUTED_VALUE"""),"Roberto")</f>
        <v>Roberto</v>
      </c>
      <c r="D3003" s="1" t="str">
        <f ca="1">IFERROR(__xludf.DUMMYFUNCTION("""COMPUTED_VALUE"""),"Jabon")</f>
        <v>Jabon</v>
      </c>
      <c r="E3003" s="1" t="str">
        <f ca="1">IFERROR(__xludf.DUMMYFUNCTION("""COMPUTED_VALUE"""),"SA PANAHON NGAYON KAILANGAN ANG SUPORTA NI CONG. ALVAREZ  SILA ANG NAGPATAOB SA FLORENDO,DEL ROSARIO SA DAVAO DEL NORTE.ELEKSYON IS ADDITION.KAILANGAN NATIN YANG NGAYON WAG MAGING EPOKRETO")</f>
        <v>SA PANAHON NGAYON KAILANGAN ANG SUPORTA NI CONG. ALVAREZ  SILA ANG NAGPATAOB SA FLORENDO,DEL ROSARIO SA DAVAO DEL NORTE.ELEKSYON IS ADDITION.KAILANGAN NATIN YANG NGAYON WAG MAGING EPOKRETO</v>
      </c>
      <c r="F3003" s="1"/>
      <c r="G3003" s="1" t="str">
        <f ca="1">IFERROR(__xludf.DUMMYFUNCTION("""COMPUTED_VALUE"""),"3 mos")</f>
        <v>3 mos</v>
      </c>
      <c r="H3003" s="1" t="str">
        <f ca="1">IFERROR(__xludf.DUMMYFUNCTION("""COMPUTED_VALUE"""),"comment")</f>
        <v>comment</v>
      </c>
      <c r="I3003" s="2" t="str">
        <f ca="1">IFERROR(__xludf.DUMMYFUNCTION("""COMPUTED_VALUE"""),"https://www.facebook.com/rapplerdotcom/photos/a.317154781638645/5594359700584767/")</f>
        <v>https://www.facebook.com/rapplerdotcom/photos/a.317154781638645/5594359700584767/</v>
      </c>
      <c r="J3003" s="1" t="str">
        <f ca="1">IFERROR(__xludf.DUMMYFUNCTION("""COMPUTED_VALUE"""),"2022-07-04T21:38:13.904Z")</f>
        <v>2022-07-04T21:38:13.904Z</v>
      </c>
    </row>
    <row r="3004" spans="1:10" x14ac:dyDescent="0.2">
      <c r="A3004" s="2" t="str">
        <f ca="1">IFERROR(__xludf.DUMMYFUNCTION("""COMPUTED_VALUE"""),"https://www.facebook.com/eddie.soriente")</f>
        <v>https://www.facebook.com/eddie.soriente</v>
      </c>
      <c r="B3004" s="1" t="str">
        <f ca="1">IFERROR(__xludf.DUMMYFUNCTION("""COMPUTED_VALUE"""),"Eddie Soriente")</f>
        <v>Eddie Soriente</v>
      </c>
      <c r="C3004" s="1" t="str">
        <f ca="1">IFERROR(__xludf.DUMMYFUNCTION("""COMPUTED_VALUE"""),"Eddie")</f>
        <v>Eddie</v>
      </c>
      <c r="D3004" s="1" t="str">
        <f ca="1">IFERROR(__xludf.DUMMYFUNCTION("""COMPUTED_VALUE"""),"Soriente")</f>
        <v>Soriente</v>
      </c>
      <c r="E3004" s="1" t="str">
        <f ca="1">IFERROR(__xludf.DUMMYFUNCTION("""COMPUTED_VALUE"""),"Pag napanood nyo ang interview ni pinky webb kay alvarez sa ANC malalamang mo kung anong tunay ng kulay at pagkatao ni alvarez  wala syang pinagka-iba sa hayop na hunyango, papalit palit ng kulay kung ano ang kulay ng kinapitan nya un din ang kulay nya")</f>
        <v>Pag napanood nyo ang interview ni pinky webb kay alvarez sa ANC malalamang mo kung anong tunay ng kulay at pagkatao ni alvarez  wala syang pinagka-iba sa hayop na hunyango, papalit palit ng kulay kung ano ang kulay ng kinapitan nya un din ang kulay nya</v>
      </c>
      <c r="F3004" s="1"/>
      <c r="G3004" s="1" t="str">
        <f ca="1">IFERROR(__xludf.DUMMYFUNCTION("""COMPUTED_VALUE"""),"3 mos")</f>
        <v>3 mos</v>
      </c>
      <c r="H3004" s="1" t="str">
        <f ca="1">IFERROR(__xludf.DUMMYFUNCTION("""COMPUTED_VALUE"""),"comment")</f>
        <v>comment</v>
      </c>
      <c r="I3004" s="2" t="str">
        <f ca="1">IFERROR(__xludf.DUMMYFUNCTION("""COMPUTED_VALUE"""),"https://www.facebook.com/rapplerdotcom/photos/a.317154781638645/5594359700584767/")</f>
        <v>https://www.facebook.com/rapplerdotcom/photos/a.317154781638645/5594359700584767/</v>
      </c>
      <c r="J3004" s="1" t="str">
        <f ca="1">IFERROR(__xludf.DUMMYFUNCTION("""COMPUTED_VALUE"""),"2022-07-04T21:38:13.904Z")</f>
        <v>2022-07-04T21:38:13.904Z</v>
      </c>
    </row>
    <row r="3005" spans="1:10" x14ac:dyDescent="0.2">
      <c r="A3005" s="2" t="str">
        <f ca="1">IFERROR(__xludf.DUMMYFUNCTION("""COMPUTED_VALUE"""),"https://www.facebook.com/gerry.guevara.3")</f>
        <v>https://www.facebook.com/gerry.guevara.3</v>
      </c>
      <c r="B3005" s="1" t="str">
        <f ca="1">IFERROR(__xludf.DUMMYFUNCTION("""COMPUTED_VALUE"""),"Gerardo T Guevara")</f>
        <v>Gerardo T Guevara</v>
      </c>
      <c r="C3005" s="1" t="str">
        <f ca="1">IFERROR(__xludf.DUMMYFUNCTION("""COMPUTED_VALUE"""),"Gerardo")</f>
        <v>Gerardo</v>
      </c>
      <c r="D3005" s="1" t="str">
        <f ca="1">IFERROR(__xludf.DUMMYFUNCTION("""COMPUTED_VALUE"""),"T Guevara")</f>
        <v>T Guevara</v>
      </c>
      <c r="E3005" s="1" t="str">
        <f ca="1">IFERROR(__xludf.DUMMYFUNCTION("""COMPUTED_VALUE"""),"huwag basta basta magtitiwala Mdm VP")</f>
        <v>huwag basta basta magtitiwala Mdm VP</v>
      </c>
      <c r="F3005" s="1"/>
      <c r="G3005" s="1" t="str">
        <f ca="1">IFERROR(__xludf.DUMMYFUNCTION("""COMPUTED_VALUE"""),"3 mos")</f>
        <v>3 mos</v>
      </c>
      <c r="H3005" s="1" t="str">
        <f ca="1">IFERROR(__xludf.DUMMYFUNCTION("""COMPUTED_VALUE"""),"comment")</f>
        <v>comment</v>
      </c>
      <c r="I3005" s="2" t="str">
        <f ca="1">IFERROR(__xludf.DUMMYFUNCTION("""COMPUTED_VALUE"""),"https://www.facebook.com/rapplerdotcom/photos/a.317154781638645/5594359700584767/")</f>
        <v>https://www.facebook.com/rapplerdotcom/photos/a.317154781638645/5594359700584767/</v>
      </c>
      <c r="J3005" s="1" t="str">
        <f ca="1">IFERROR(__xludf.DUMMYFUNCTION("""COMPUTED_VALUE"""),"2022-07-04T21:38:13.904Z")</f>
        <v>2022-07-04T21:38:13.904Z</v>
      </c>
    </row>
    <row r="3006" spans="1:10" x14ac:dyDescent="0.2">
      <c r="A3006" s="2" t="str">
        <f ca="1">IFERROR(__xludf.DUMMYFUNCTION("""COMPUTED_VALUE"""),"https://www.facebook.com/benjie.paralta")</f>
        <v>https://www.facebook.com/benjie.paralta</v>
      </c>
      <c r="B3006" s="1" t="str">
        <f ca="1">IFERROR(__xludf.DUMMYFUNCTION("""COMPUTED_VALUE"""),"Benjie Paralta")</f>
        <v>Benjie Paralta</v>
      </c>
      <c r="C3006" s="1" t="str">
        <f ca="1">IFERROR(__xludf.DUMMYFUNCTION("""COMPUTED_VALUE"""),"Benjie")</f>
        <v>Benjie</v>
      </c>
      <c r="D3006" s="1" t="str">
        <f ca="1">IFERROR(__xludf.DUMMYFUNCTION("""COMPUTED_VALUE"""),"Paralta")</f>
        <v>Paralta</v>
      </c>
      <c r="E3006" s="1" t="str">
        <f ca="1">IFERROR(__xludf.DUMMYFUNCTION("""COMPUTED_VALUE"""),"Manay watchout around u mukhang may plano sila come election mahirap pagkstiwalaan ang mga yan pailalim kung bumanat")</f>
        <v>Manay watchout around u mukhang may plano sila come election mahirap pagkstiwalaan ang mga yan pailalim kung bumanat</v>
      </c>
      <c r="F3006" s="1">
        <f ca="1">IFERROR(__xludf.DUMMYFUNCTION("""COMPUTED_VALUE"""),4)</f>
        <v>4</v>
      </c>
      <c r="G3006" s="1" t="str">
        <f ca="1">IFERROR(__xludf.DUMMYFUNCTION("""COMPUTED_VALUE"""),"3 mos")</f>
        <v>3 mos</v>
      </c>
      <c r="H3006" s="1" t="str">
        <f ca="1">IFERROR(__xludf.DUMMYFUNCTION("""COMPUTED_VALUE"""),"comment")</f>
        <v>comment</v>
      </c>
      <c r="I3006" s="2" t="str">
        <f ca="1">IFERROR(__xludf.DUMMYFUNCTION("""COMPUTED_VALUE"""),"https://www.facebook.com/rapplerdotcom/photos/a.317154781638645/5594359700584767/")</f>
        <v>https://www.facebook.com/rapplerdotcom/photos/a.317154781638645/5594359700584767/</v>
      </c>
      <c r="J3006" s="1" t="str">
        <f ca="1">IFERROR(__xludf.DUMMYFUNCTION("""COMPUTED_VALUE"""),"2022-07-04T21:38:13.904Z")</f>
        <v>2022-07-04T21:38:13.904Z</v>
      </c>
    </row>
    <row r="3007" spans="1:10" x14ac:dyDescent="0.2">
      <c r="A3007" s="2" t="str">
        <f ca="1">IFERROR(__xludf.DUMMYFUNCTION("""COMPUTED_VALUE"""),"https://www.facebook.com/zenyrj")</f>
        <v>https://www.facebook.com/zenyrj</v>
      </c>
      <c r="B3007" s="1" t="str">
        <f ca="1">IFERROR(__xludf.DUMMYFUNCTION("""COMPUTED_VALUE"""),"Zeny Reyes Jacob")</f>
        <v>Zeny Reyes Jacob</v>
      </c>
      <c r="C3007" s="1" t="str">
        <f ca="1">IFERROR(__xludf.DUMMYFUNCTION("""COMPUTED_VALUE"""),"Zeny")</f>
        <v>Zeny</v>
      </c>
      <c r="D3007" s="1" t="str">
        <f ca="1">IFERROR(__xludf.DUMMYFUNCTION("""COMPUTED_VALUE"""),"Reyes Jacob")</f>
        <v>Reyes Jacob</v>
      </c>
      <c r="E3007" s="1" t="str">
        <f ca="1">IFERROR(__xludf.DUMMYFUNCTION("""COMPUTED_VALUE"""),"bayaan na nyo laman tyan din yan")</f>
        <v>bayaan na nyo laman tyan din yan</v>
      </c>
      <c r="F3007" s="1"/>
      <c r="G3007" s="1" t="str">
        <f ca="1">IFERROR(__xludf.DUMMYFUNCTION("""COMPUTED_VALUE"""),"3 mos")</f>
        <v>3 mos</v>
      </c>
      <c r="H3007" s="1" t="str">
        <f ca="1">IFERROR(__xludf.DUMMYFUNCTION("""COMPUTED_VALUE"""),"comment")</f>
        <v>comment</v>
      </c>
      <c r="I3007" s="2" t="str">
        <f ca="1">IFERROR(__xludf.DUMMYFUNCTION("""COMPUTED_VALUE"""),"https://www.facebook.com/rapplerdotcom/photos/a.317154781638645/5594359700584767/")</f>
        <v>https://www.facebook.com/rapplerdotcom/photos/a.317154781638645/5594359700584767/</v>
      </c>
      <c r="J3007" s="1" t="str">
        <f ca="1">IFERROR(__xludf.DUMMYFUNCTION("""COMPUTED_VALUE"""),"2022-07-04T21:38:13.904Z")</f>
        <v>2022-07-04T21:38:13.904Z</v>
      </c>
    </row>
    <row r="3008" spans="1:10" x14ac:dyDescent="0.2">
      <c r="A3008" s="2" t="str">
        <f ca="1">IFERROR(__xludf.DUMMYFUNCTION("""COMPUTED_VALUE"""),"https://www.facebook.com/profile.php?id=100047766465936")</f>
        <v>https://www.facebook.com/profile.php?id=100047766465936</v>
      </c>
      <c r="B3008" s="1" t="str">
        <f ca="1">IFERROR(__xludf.DUMMYFUNCTION("""COMPUTED_VALUE"""),"Rene G. Alcantara")</f>
        <v>Rene G. Alcantara</v>
      </c>
      <c r="C3008" s="1" t="str">
        <f ca="1">IFERROR(__xludf.DUMMYFUNCTION("""COMPUTED_VALUE"""),"Rene")</f>
        <v>Rene</v>
      </c>
      <c r="D3008" s="1" t="str">
        <f ca="1">IFERROR(__xludf.DUMMYFUNCTION("""COMPUTED_VALUE"""),"G. Alcantara")</f>
        <v>G. Alcantara</v>
      </c>
      <c r="E3008" s="1" t="str">
        <f ca="1">IFERROR(__xludf.DUMMYFUNCTION("""COMPUTED_VALUE"""),"Walang sariling paninindigan umayaw kay lacson dahil walang pera na ma ibibigay sa partido nila.")</f>
        <v>Walang sariling paninindigan umayaw kay lacson dahil walang pera na ma ibibigay sa partido nila.</v>
      </c>
      <c r="F3008" s="1">
        <f ca="1">IFERROR(__xludf.DUMMYFUNCTION("""COMPUTED_VALUE"""),1)</f>
        <v>1</v>
      </c>
      <c r="G3008" s="1" t="str">
        <f ca="1">IFERROR(__xludf.DUMMYFUNCTION("""COMPUTED_VALUE"""),"3 mos")</f>
        <v>3 mos</v>
      </c>
      <c r="H3008" s="1" t="str">
        <f ca="1">IFERROR(__xludf.DUMMYFUNCTION("""COMPUTED_VALUE"""),"comment")</f>
        <v>comment</v>
      </c>
      <c r="I3008" s="2" t="str">
        <f ca="1">IFERROR(__xludf.DUMMYFUNCTION("""COMPUTED_VALUE"""),"https://www.facebook.com/rapplerdotcom/photos/a.317154781638645/5594359700584767/")</f>
        <v>https://www.facebook.com/rapplerdotcom/photos/a.317154781638645/5594359700584767/</v>
      </c>
      <c r="J3008" s="1" t="str">
        <f ca="1">IFERROR(__xludf.DUMMYFUNCTION("""COMPUTED_VALUE"""),"2022-07-04T21:38:13.904Z")</f>
        <v>2022-07-04T21:38:13.904Z</v>
      </c>
    </row>
    <row r="3009" spans="1:10" x14ac:dyDescent="0.2">
      <c r="A3009" s="2" t="str">
        <f ca="1">IFERROR(__xludf.DUMMYFUNCTION("""COMPUTED_VALUE"""),"https://www.facebook.com/luther.staromana1")</f>
        <v>https://www.facebook.com/luther.staromana1</v>
      </c>
      <c r="B3009" s="1" t="str">
        <f ca="1">IFERROR(__xludf.DUMMYFUNCTION("""COMPUTED_VALUE"""),"Luther Sta Romana")</f>
        <v>Luther Sta Romana</v>
      </c>
      <c r="C3009" s="1" t="str">
        <f ca="1">IFERROR(__xludf.DUMMYFUNCTION("""COMPUTED_VALUE"""),"Luther")</f>
        <v>Luther</v>
      </c>
      <c r="D3009" s="1" t="str">
        <f ca="1">IFERROR(__xludf.DUMMYFUNCTION("""COMPUTED_VALUE"""),"Sta Romana")</f>
        <v>Sta Romana</v>
      </c>
      <c r="E3009" s="1" t="str">
        <f ca="1">IFERROR(__xludf.DUMMYFUNCTION("""COMPUTED_VALUE"""),"Rene G. Alcantara hindi… walang panalo si Lacson … pangulo lang siya…")</f>
        <v>Rene G. Alcantara hindi… walang panalo si Lacson … pangulo lang siya…</v>
      </c>
      <c r="F3009" s="1"/>
      <c r="G3009" s="1" t="str">
        <f ca="1">IFERROR(__xludf.DUMMYFUNCTION("""COMPUTED_VALUE"""),"3 mos")</f>
        <v>3 mos</v>
      </c>
      <c r="H3009" s="1" t="str">
        <f ca="1">IFERROR(__xludf.DUMMYFUNCTION("""COMPUTED_VALUE"""),"reply")</f>
        <v>reply</v>
      </c>
      <c r="I3009" s="2" t="str">
        <f ca="1">IFERROR(__xludf.DUMMYFUNCTION("""COMPUTED_VALUE"""),"https://www.facebook.com/rapplerdotcom/photos/a.317154781638645/5594359700584767/")</f>
        <v>https://www.facebook.com/rapplerdotcom/photos/a.317154781638645/5594359700584767/</v>
      </c>
      <c r="J3009" s="1" t="str">
        <f ca="1">IFERROR(__xludf.DUMMYFUNCTION("""COMPUTED_VALUE"""),"2022-07-04T21:38:13.905Z")</f>
        <v>2022-07-04T21:38:13.905Z</v>
      </c>
    </row>
    <row r="3010" spans="1:10" x14ac:dyDescent="0.2">
      <c r="A3010" s="2" t="str">
        <f ca="1">IFERROR(__xludf.DUMMYFUNCTION("""COMPUTED_VALUE"""),"https://www.facebook.com/profile.php?id=100047766465936")</f>
        <v>https://www.facebook.com/profile.php?id=100047766465936</v>
      </c>
      <c r="B3010" s="1" t="str">
        <f ca="1">IFERROR(__xludf.DUMMYFUNCTION("""COMPUTED_VALUE"""),"Rene G. Alcantara")</f>
        <v>Rene G. Alcantara</v>
      </c>
      <c r="C3010" s="1" t="str">
        <f ca="1">IFERROR(__xludf.DUMMYFUNCTION("""COMPUTED_VALUE"""),"Rene")</f>
        <v>Rene</v>
      </c>
      <c r="D3010" s="1" t="str">
        <f ca="1">IFERROR(__xludf.DUMMYFUNCTION("""COMPUTED_VALUE"""),"G. Alcantara")</f>
        <v>G. Alcantara</v>
      </c>
      <c r="E3010" s="1" t="str">
        <f ca="1">IFERROR(__xludf.DUMMYFUNCTION("""COMPUTED_VALUE"""),"Kahit walang laban ang pinapanigan mo ang mahalaga may pa labra d honor xia. Bakit si len2x ba mananalo yan dyn xia nag ka mali.")</f>
        <v>Kahit walang laban ang pinapanigan mo ang mahalaga may pa labra d honor xia. Bakit si len2x ba mananalo yan dyn xia nag ka mali.</v>
      </c>
      <c r="F3010" s="1"/>
      <c r="G3010" s="1" t="str">
        <f ca="1">IFERROR(__xludf.DUMMYFUNCTION("""COMPUTED_VALUE"""),"3 mos")</f>
        <v>3 mos</v>
      </c>
      <c r="H3010" s="1" t="str">
        <f ca="1">IFERROR(__xludf.DUMMYFUNCTION("""COMPUTED_VALUE"""),"reply")</f>
        <v>reply</v>
      </c>
      <c r="I3010" s="2" t="str">
        <f ca="1">IFERROR(__xludf.DUMMYFUNCTION("""COMPUTED_VALUE"""),"https://www.facebook.com/rapplerdotcom/photos/a.317154781638645/5594359700584767/")</f>
        <v>https://www.facebook.com/rapplerdotcom/photos/a.317154781638645/5594359700584767/</v>
      </c>
      <c r="J3010" s="1" t="str">
        <f ca="1">IFERROR(__xludf.DUMMYFUNCTION("""COMPUTED_VALUE"""),"2022-07-04T21:38:13.905Z")</f>
        <v>2022-07-04T21:38:13.905Z</v>
      </c>
    </row>
    <row r="3011" spans="1:10" x14ac:dyDescent="0.2">
      <c r="A3011" s="2" t="str">
        <f ca="1">IFERROR(__xludf.DUMMYFUNCTION("""COMPUTED_VALUE"""),"https://www.facebook.com/danilo.betitaleoncito.9")</f>
        <v>https://www.facebook.com/danilo.betitaleoncito.9</v>
      </c>
      <c r="B3011" s="1" t="str">
        <f ca="1">IFERROR(__xludf.DUMMYFUNCTION("""COMPUTED_VALUE"""),"Danilo Betita Leoncito")</f>
        <v>Danilo Betita Leoncito</v>
      </c>
      <c r="C3011" s="1" t="str">
        <f ca="1">IFERROR(__xludf.DUMMYFUNCTION("""COMPUTED_VALUE"""),"Danilo")</f>
        <v>Danilo</v>
      </c>
      <c r="D3011" s="1" t="str">
        <f ca="1">IFERROR(__xludf.DUMMYFUNCTION("""COMPUTED_VALUE"""),"Betita Leoncito")</f>
        <v>Betita Leoncito</v>
      </c>
      <c r="E3011" s="1" t="str">
        <f ca="1">IFERROR(__xludf.DUMMYFUNCTION("""COMPUTED_VALUE"""),"Ang kawayan baw.")</f>
        <v>Ang kawayan baw.</v>
      </c>
      <c r="F3011" s="1"/>
      <c r="G3011" s="1" t="str">
        <f ca="1">IFERROR(__xludf.DUMMYFUNCTION("""COMPUTED_VALUE"""),"3 mos")</f>
        <v>3 mos</v>
      </c>
      <c r="H3011" s="1" t="str">
        <f ca="1">IFERROR(__xludf.DUMMYFUNCTION("""COMPUTED_VALUE"""),"comment")</f>
        <v>comment</v>
      </c>
      <c r="I3011" s="2" t="str">
        <f ca="1">IFERROR(__xludf.DUMMYFUNCTION("""COMPUTED_VALUE"""),"https://www.facebook.com/rapplerdotcom/photos/a.317154781638645/5594359700584767/")</f>
        <v>https://www.facebook.com/rapplerdotcom/photos/a.317154781638645/5594359700584767/</v>
      </c>
      <c r="J3011" s="1" t="str">
        <f ca="1">IFERROR(__xludf.DUMMYFUNCTION("""COMPUTED_VALUE"""),"2022-07-04T21:38:13.905Z")</f>
        <v>2022-07-04T21:38:13.905Z</v>
      </c>
    </row>
    <row r="3012" spans="1:10" x14ac:dyDescent="0.2">
      <c r="A3012" s="2" t="str">
        <f ca="1">IFERROR(__xludf.DUMMYFUNCTION("""COMPUTED_VALUE"""),"https://www.facebook.com/eugene.arat")</f>
        <v>https://www.facebook.com/eugene.arat</v>
      </c>
      <c r="B3012" s="1" t="str">
        <f ca="1">IFERROR(__xludf.DUMMYFUNCTION("""COMPUTED_VALUE"""),"Eugene Arat")</f>
        <v>Eugene Arat</v>
      </c>
      <c r="C3012" s="1" t="str">
        <f ca="1">IFERROR(__xludf.DUMMYFUNCTION("""COMPUTED_VALUE"""),"Eugene")</f>
        <v>Eugene</v>
      </c>
      <c r="D3012" s="1" t="str">
        <f ca="1">IFERROR(__xludf.DUMMYFUNCTION("""COMPUTED_VALUE"""),"Arat")</f>
        <v>Arat</v>
      </c>
      <c r="E3012" s="1" t="str">
        <f ca="1">IFERROR(__xludf.DUMMYFUNCTION("""COMPUTED_VALUE"""),"Pera2 lang yang ganyang ang mga politico.")</f>
        <v>Pera2 lang yang ganyang ang mga politico.</v>
      </c>
      <c r="F3012" s="1">
        <f ca="1">IFERROR(__xludf.DUMMYFUNCTION("""COMPUTED_VALUE"""),1)</f>
        <v>1</v>
      </c>
      <c r="G3012" s="1" t="str">
        <f ca="1">IFERROR(__xludf.DUMMYFUNCTION("""COMPUTED_VALUE"""),"3 mos")</f>
        <v>3 mos</v>
      </c>
      <c r="H3012" s="1" t="str">
        <f ca="1">IFERROR(__xludf.DUMMYFUNCTION("""COMPUTED_VALUE"""),"comment")</f>
        <v>comment</v>
      </c>
      <c r="I3012" s="2" t="str">
        <f ca="1">IFERROR(__xludf.DUMMYFUNCTION("""COMPUTED_VALUE"""),"https://www.facebook.com/rapplerdotcom/photos/a.317154781638645/5594359700584767/")</f>
        <v>https://www.facebook.com/rapplerdotcom/photos/a.317154781638645/5594359700584767/</v>
      </c>
      <c r="J3012" s="1" t="str">
        <f ca="1">IFERROR(__xludf.DUMMYFUNCTION("""COMPUTED_VALUE"""),"2022-07-04T21:38:13.905Z")</f>
        <v>2022-07-04T21:38:13.905Z</v>
      </c>
    </row>
    <row r="3013" spans="1:10" x14ac:dyDescent="0.2">
      <c r="A3013" s="2" t="str">
        <f ca="1">IFERROR(__xludf.DUMMYFUNCTION("""COMPUTED_VALUE"""),"https://www.facebook.com/rebecca.rupal")</f>
        <v>https://www.facebook.com/rebecca.rupal</v>
      </c>
      <c r="B3013" s="1" t="str">
        <f ca="1">IFERROR(__xludf.DUMMYFUNCTION("""COMPUTED_VALUE"""),"Rebecca Gerundio Rupal")</f>
        <v>Rebecca Gerundio Rupal</v>
      </c>
      <c r="C3013" s="1" t="str">
        <f ca="1">IFERROR(__xludf.DUMMYFUNCTION("""COMPUTED_VALUE"""),"Rebecca")</f>
        <v>Rebecca</v>
      </c>
      <c r="D3013" s="1" t="str">
        <f ca="1">IFERROR(__xludf.DUMMYFUNCTION("""COMPUTED_VALUE"""),"Gerundio Rupal")</f>
        <v>Gerundio Rupal</v>
      </c>
      <c r="E3013" s="1" t="str">
        <f ca="1">IFERROR(__xludf.DUMMYFUNCTION("""COMPUTED_VALUE"""),"Langaw Puwa Lubot")</f>
        <v>Langaw Puwa Lubot</v>
      </c>
      <c r="F3013" s="1"/>
      <c r="G3013" s="1" t="str">
        <f ca="1">IFERROR(__xludf.DUMMYFUNCTION("""COMPUTED_VALUE"""),"3 mos")</f>
        <v>3 mos</v>
      </c>
      <c r="H3013" s="1" t="str">
        <f ca="1">IFERROR(__xludf.DUMMYFUNCTION("""COMPUTED_VALUE"""),"comment")</f>
        <v>comment</v>
      </c>
      <c r="I3013" s="2" t="str">
        <f ca="1">IFERROR(__xludf.DUMMYFUNCTION("""COMPUTED_VALUE"""),"https://www.facebook.com/rapplerdotcom/photos/a.317154781638645/5594359700584767/")</f>
        <v>https://www.facebook.com/rapplerdotcom/photos/a.317154781638645/5594359700584767/</v>
      </c>
      <c r="J3013" s="1" t="str">
        <f ca="1">IFERROR(__xludf.DUMMYFUNCTION("""COMPUTED_VALUE"""),"2022-07-04T21:38:13.905Z")</f>
        <v>2022-07-04T21:38:13.905Z</v>
      </c>
    </row>
    <row r="3014" spans="1:10" x14ac:dyDescent="0.2">
      <c r="A3014" s="2" t="str">
        <f ca="1">IFERROR(__xludf.DUMMYFUNCTION("""COMPUTED_VALUE"""),"https://www.facebook.com/barry.jave")</f>
        <v>https://www.facebook.com/barry.jave</v>
      </c>
      <c r="B3014" s="1" t="str">
        <f ca="1">IFERROR(__xludf.DUMMYFUNCTION("""COMPUTED_VALUE"""),"Barry Jave")</f>
        <v>Barry Jave</v>
      </c>
      <c r="C3014" s="1" t="str">
        <f ca="1">IFERROR(__xludf.DUMMYFUNCTION("""COMPUTED_VALUE"""),"Barry")</f>
        <v>Barry</v>
      </c>
      <c r="D3014" s="1" t="str">
        <f ca="1">IFERROR(__xludf.DUMMYFUNCTION("""COMPUTED_VALUE"""),"Jave")</f>
        <v>Jave</v>
      </c>
      <c r="E3014" s="1" t="str">
        <f ca="1">IFERROR(__xludf.DUMMYFUNCTION("""COMPUTED_VALUE"""),"mag plastikan kayo gat gusto nyo! 😁🤦‍♂️")</f>
        <v>mag plastikan kayo gat gusto nyo! 😁🤦‍♂️</v>
      </c>
      <c r="F3014" s="1">
        <f ca="1">IFERROR(__xludf.DUMMYFUNCTION("""COMPUTED_VALUE"""),2)</f>
        <v>2</v>
      </c>
      <c r="G3014" s="1" t="str">
        <f ca="1">IFERROR(__xludf.DUMMYFUNCTION("""COMPUTED_VALUE"""),"3 mos")</f>
        <v>3 mos</v>
      </c>
      <c r="H3014" s="1" t="str">
        <f ca="1">IFERROR(__xludf.DUMMYFUNCTION("""COMPUTED_VALUE"""),"comment")</f>
        <v>comment</v>
      </c>
      <c r="I3014" s="2" t="str">
        <f ca="1">IFERROR(__xludf.DUMMYFUNCTION("""COMPUTED_VALUE"""),"https://www.facebook.com/rapplerdotcom/photos/a.317154781638645/5594359700584767/")</f>
        <v>https://www.facebook.com/rapplerdotcom/photos/a.317154781638645/5594359700584767/</v>
      </c>
      <c r="J3014" s="1" t="str">
        <f ca="1">IFERROR(__xludf.DUMMYFUNCTION("""COMPUTED_VALUE"""),"2022-07-04T21:38:13.905Z")</f>
        <v>2022-07-04T21:38:13.905Z</v>
      </c>
    </row>
    <row r="3015" spans="1:10" x14ac:dyDescent="0.2">
      <c r="A3015" s="2" t="str">
        <f ca="1">IFERROR(__xludf.DUMMYFUNCTION("""COMPUTED_VALUE"""),"https://www.facebook.com/pipo.anos.5")</f>
        <v>https://www.facebook.com/pipo.anos.5</v>
      </c>
      <c r="B3015" s="1" t="str">
        <f ca="1">IFERROR(__xludf.DUMMYFUNCTION("""COMPUTED_VALUE"""),"Pipo Anos")</f>
        <v>Pipo Anos</v>
      </c>
      <c r="C3015" s="1" t="str">
        <f ca="1">IFERROR(__xludf.DUMMYFUNCTION("""COMPUTED_VALUE"""),"Pipo")</f>
        <v>Pipo</v>
      </c>
      <c r="D3015" s="1" t="str">
        <f ca="1">IFERROR(__xludf.DUMMYFUNCTION("""COMPUTED_VALUE"""),"Anos")</f>
        <v>Anos</v>
      </c>
      <c r="E3015" s="1" t="str">
        <f ca="1">IFERROR(__xludf.DUMMYFUNCTION("""COMPUTED_VALUE"""),"otro sad ni endorso endorso murag korek kgigil")</f>
        <v>otro sad ni endorso endorso murag korek kgigil</v>
      </c>
      <c r="F3015" s="1"/>
      <c r="G3015" s="1" t="str">
        <f ca="1">IFERROR(__xludf.DUMMYFUNCTION("""COMPUTED_VALUE"""),"3 mos")</f>
        <v>3 mos</v>
      </c>
      <c r="H3015" s="1" t="str">
        <f ca="1">IFERROR(__xludf.DUMMYFUNCTION("""COMPUTED_VALUE"""),"comment")</f>
        <v>comment</v>
      </c>
      <c r="I3015" s="2" t="str">
        <f ca="1">IFERROR(__xludf.DUMMYFUNCTION("""COMPUTED_VALUE"""),"https://www.facebook.com/rapplerdotcom/photos/a.317154781638645/5594359700584767/")</f>
        <v>https://www.facebook.com/rapplerdotcom/photos/a.317154781638645/5594359700584767/</v>
      </c>
      <c r="J3015" s="1" t="str">
        <f ca="1">IFERROR(__xludf.DUMMYFUNCTION("""COMPUTED_VALUE"""),"2022-07-04T21:38:13.905Z")</f>
        <v>2022-07-04T21:38:13.905Z</v>
      </c>
    </row>
    <row r="3016" spans="1:10" x14ac:dyDescent="0.2">
      <c r="A3016" s="2" t="str">
        <f ca="1">IFERROR(__xludf.DUMMYFUNCTION("""COMPUTED_VALUE"""),"https://www.facebook.com/johnhenry.santos.3958")</f>
        <v>https://www.facebook.com/johnhenry.santos.3958</v>
      </c>
      <c r="B3016" s="1" t="str">
        <f ca="1">IFERROR(__xludf.DUMMYFUNCTION("""COMPUTED_VALUE"""),"Johnhenry Santos")</f>
        <v>Johnhenry Santos</v>
      </c>
      <c r="C3016" s="1" t="str">
        <f ca="1">IFERROR(__xludf.DUMMYFUNCTION("""COMPUTED_VALUE"""),"Johnhenry")</f>
        <v>Johnhenry</v>
      </c>
      <c r="D3016" s="1" t="str">
        <f ca="1">IFERROR(__xludf.DUMMYFUNCTION("""COMPUTED_VALUE"""),"Santos")</f>
        <v>Santos</v>
      </c>
      <c r="E3016" s="1" t="str">
        <f ca="1">IFERROR(__xludf.DUMMYFUNCTION("""COMPUTED_VALUE"""),"I quote the words of former iloilo mayor ang congeessman og oscar garin of iloilo, wag pasobrahan ng lait or mura ang kalaban mo sa politika dahil someday mgsama kayo sa isang partido.")</f>
        <v>I quote the words of former iloilo mayor ang congeessman og oscar garin of iloilo, wag pasobrahan ng lait or mura ang kalaban mo sa politika dahil someday mgsama kayo sa isang partido.</v>
      </c>
      <c r="F3016" s="1"/>
      <c r="G3016" s="1" t="str">
        <f ca="1">IFERROR(__xludf.DUMMYFUNCTION("""COMPUTED_VALUE"""),"3 mos")</f>
        <v>3 mos</v>
      </c>
      <c r="H3016" s="1" t="str">
        <f ca="1">IFERROR(__xludf.DUMMYFUNCTION("""COMPUTED_VALUE"""),"comment")</f>
        <v>comment</v>
      </c>
      <c r="I3016" s="2" t="str">
        <f ca="1">IFERROR(__xludf.DUMMYFUNCTION("""COMPUTED_VALUE"""),"https://www.facebook.com/rapplerdotcom/photos/a.317154781638645/5594359700584767/")</f>
        <v>https://www.facebook.com/rapplerdotcom/photos/a.317154781638645/5594359700584767/</v>
      </c>
      <c r="J3016" s="1" t="str">
        <f ca="1">IFERROR(__xludf.DUMMYFUNCTION("""COMPUTED_VALUE"""),"2022-07-04T21:38:13.905Z")</f>
        <v>2022-07-04T21:38:13.905Z</v>
      </c>
    </row>
    <row r="3017" spans="1:10" x14ac:dyDescent="0.2">
      <c r="A3017" s="2" t="str">
        <f ca="1">IFERROR(__xludf.DUMMYFUNCTION("""COMPUTED_VALUE"""),"https://www.facebook.com/angelica.banag")</f>
        <v>https://www.facebook.com/angelica.banag</v>
      </c>
      <c r="B3017" s="1" t="str">
        <f ca="1">IFERROR(__xludf.DUMMYFUNCTION("""COMPUTED_VALUE"""),"Angie Banag")</f>
        <v>Angie Banag</v>
      </c>
      <c r="C3017" s="1" t="str">
        <f ca="1">IFERROR(__xludf.DUMMYFUNCTION("""COMPUTED_VALUE"""),"Angie")</f>
        <v>Angie</v>
      </c>
      <c r="D3017" s="1" t="str">
        <f ca="1">IFERROR(__xludf.DUMMYFUNCTION("""COMPUTED_VALUE"""),"Banag")</f>
        <v>Banag</v>
      </c>
      <c r="E3017" s="1" t="str">
        <f ca="1">IFERROR(__xludf.DUMMYFUNCTION("""COMPUTED_VALUE"""),"Balimbing..")</f>
        <v>Balimbing..</v>
      </c>
      <c r="F3017" s="1"/>
      <c r="G3017" s="1" t="str">
        <f ca="1">IFERROR(__xludf.DUMMYFUNCTION("""COMPUTED_VALUE"""),"3 mos")</f>
        <v>3 mos</v>
      </c>
      <c r="H3017" s="1" t="str">
        <f ca="1">IFERROR(__xludf.DUMMYFUNCTION("""COMPUTED_VALUE"""),"comment")</f>
        <v>comment</v>
      </c>
      <c r="I3017" s="2" t="str">
        <f ca="1">IFERROR(__xludf.DUMMYFUNCTION("""COMPUTED_VALUE"""),"https://www.facebook.com/rapplerdotcom/photos/a.317154781638645/5594359700584767/")</f>
        <v>https://www.facebook.com/rapplerdotcom/photos/a.317154781638645/5594359700584767/</v>
      </c>
      <c r="J3017" s="1" t="str">
        <f ca="1">IFERROR(__xludf.DUMMYFUNCTION("""COMPUTED_VALUE"""),"2022-07-04T21:38:13.905Z")</f>
        <v>2022-07-04T21:38:13.905Z</v>
      </c>
    </row>
    <row r="3018" spans="1:10" x14ac:dyDescent="0.2">
      <c r="A3018" s="2" t="str">
        <f ca="1">IFERROR(__xludf.DUMMYFUNCTION("""COMPUTED_VALUE"""),"https://www.facebook.com/maxbrunofranco")</f>
        <v>https://www.facebook.com/maxbrunofranco</v>
      </c>
      <c r="B3018" s="1" t="str">
        <f ca="1">IFERROR(__xludf.DUMMYFUNCTION("""COMPUTED_VALUE"""),"Max Franco")</f>
        <v>Max Franco</v>
      </c>
      <c r="C3018" s="1" t="str">
        <f ca="1">IFERROR(__xludf.DUMMYFUNCTION("""COMPUTED_VALUE"""),"Max")</f>
        <v>Max</v>
      </c>
      <c r="D3018" s="1" t="str">
        <f ca="1">IFERROR(__xludf.DUMMYFUNCTION("""COMPUTED_VALUE"""),"Franco")</f>
        <v>Franco</v>
      </c>
      <c r="E3018" s="1" t="str">
        <f ca="1">IFERROR(__xludf.DUMMYFUNCTION("""COMPUTED_VALUE"""),"Ganyan ang pulitika pag may pakinabang ka sayo ako pero pag nakikita ko na nawawala kana bahala kana sa buhay mo")</f>
        <v>Ganyan ang pulitika pag may pakinabang ka sayo ako pero pag nakikita ko na nawawala kana bahala kana sa buhay mo</v>
      </c>
      <c r="F3018" s="1">
        <f ca="1">IFERROR(__xludf.DUMMYFUNCTION("""COMPUTED_VALUE"""),4)</f>
        <v>4</v>
      </c>
      <c r="G3018" s="1" t="str">
        <f ca="1">IFERROR(__xludf.DUMMYFUNCTION("""COMPUTED_VALUE"""),"3 mos")</f>
        <v>3 mos</v>
      </c>
      <c r="H3018" s="1" t="str">
        <f ca="1">IFERROR(__xludf.DUMMYFUNCTION("""COMPUTED_VALUE"""),"comment")</f>
        <v>comment</v>
      </c>
      <c r="I3018" s="2" t="str">
        <f ca="1">IFERROR(__xludf.DUMMYFUNCTION("""COMPUTED_VALUE"""),"https://www.facebook.com/rapplerdotcom/photos/a.317154781638645/5594359700584767/")</f>
        <v>https://www.facebook.com/rapplerdotcom/photos/a.317154781638645/5594359700584767/</v>
      </c>
      <c r="J3018" s="1" t="str">
        <f ca="1">IFERROR(__xludf.DUMMYFUNCTION("""COMPUTED_VALUE"""),"2022-07-04T21:38:13.905Z")</f>
        <v>2022-07-04T21:38:13.905Z</v>
      </c>
    </row>
    <row r="3019" spans="1:10" x14ac:dyDescent="0.2">
      <c r="A3019" s="2" t="str">
        <f ca="1">IFERROR(__xludf.DUMMYFUNCTION("""COMPUTED_VALUE"""),"https://www.facebook.com/julsrey.nioko")</f>
        <v>https://www.facebook.com/julsrey.nioko</v>
      </c>
      <c r="B3019" s="1" t="str">
        <f ca="1">IFERROR(__xludf.DUMMYFUNCTION("""COMPUTED_VALUE"""),"Julsrey Nioko")</f>
        <v>Julsrey Nioko</v>
      </c>
      <c r="C3019" s="1" t="str">
        <f ca="1">IFERROR(__xludf.DUMMYFUNCTION("""COMPUTED_VALUE"""),"Julsrey")</f>
        <v>Julsrey</v>
      </c>
      <c r="D3019" s="1" t="str">
        <f ca="1">IFERROR(__xludf.DUMMYFUNCTION("""COMPUTED_VALUE"""),"Nioko")</f>
        <v>Nioko</v>
      </c>
      <c r="E3019" s="1" t="str">
        <f ca="1">IFERROR(__xludf.DUMMYFUNCTION("""COMPUTED_VALUE"""),"Uso ngayon ang Political Butterfly, Paro Paro G")</f>
        <v>Uso ngayon ang Political Butterfly, Paro Paro G</v>
      </c>
      <c r="F3019" s="1">
        <f ca="1">IFERROR(__xludf.DUMMYFUNCTION("""COMPUTED_VALUE"""),2)</f>
        <v>2</v>
      </c>
      <c r="G3019" s="1" t="str">
        <f ca="1">IFERROR(__xludf.DUMMYFUNCTION("""COMPUTED_VALUE"""),"3 mos")</f>
        <v>3 mos</v>
      </c>
      <c r="H3019" s="1" t="str">
        <f ca="1">IFERROR(__xludf.DUMMYFUNCTION("""COMPUTED_VALUE"""),"comment")</f>
        <v>comment</v>
      </c>
      <c r="I3019" s="2" t="str">
        <f ca="1">IFERROR(__xludf.DUMMYFUNCTION("""COMPUTED_VALUE"""),"https://www.facebook.com/rapplerdotcom/photos/a.317154781638645/5594359700584767/")</f>
        <v>https://www.facebook.com/rapplerdotcom/photos/a.317154781638645/5594359700584767/</v>
      </c>
      <c r="J3019" s="1" t="str">
        <f ca="1">IFERROR(__xludf.DUMMYFUNCTION("""COMPUTED_VALUE"""),"2022-07-04T21:38:13.905Z")</f>
        <v>2022-07-04T21:38:13.905Z</v>
      </c>
    </row>
    <row r="3020" spans="1:10" x14ac:dyDescent="0.2">
      <c r="A3020" s="2" t="str">
        <f ca="1">IFERROR(__xludf.DUMMYFUNCTION("""COMPUTED_VALUE"""),"https://www.facebook.com/clocie.rinocar")</f>
        <v>https://www.facebook.com/clocie.rinocar</v>
      </c>
      <c r="B3020" s="1" t="str">
        <f ca="1">IFERROR(__xludf.DUMMYFUNCTION("""COMPUTED_VALUE"""),"Pinghien Tanxie Hong")</f>
        <v>Pinghien Tanxie Hong</v>
      </c>
      <c r="C3020" s="1" t="str">
        <f ca="1">IFERROR(__xludf.DUMMYFUNCTION("""COMPUTED_VALUE"""),"Pinghien")</f>
        <v>Pinghien</v>
      </c>
      <c r="D3020" s="1" t="str">
        <f ca="1">IFERROR(__xludf.DUMMYFUNCTION("""COMPUTED_VALUE"""),"Tanxie Hong")</f>
        <v>Tanxie Hong</v>
      </c>
      <c r="E3020" s="1" t="str">
        <f ca="1">IFERROR(__xludf.DUMMYFUNCTION("""COMPUTED_VALUE"""),"Julsrey Nioko nman")</f>
        <v>Julsrey Nioko nman</v>
      </c>
      <c r="F3020" s="1"/>
      <c r="G3020" s="1" t="str">
        <f ca="1">IFERROR(__xludf.DUMMYFUNCTION("""COMPUTED_VALUE"""),"3 mos")</f>
        <v>3 mos</v>
      </c>
      <c r="H3020" s="1" t="str">
        <f ca="1">IFERROR(__xludf.DUMMYFUNCTION("""COMPUTED_VALUE"""),"reply")</f>
        <v>reply</v>
      </c>
      <c r="I3020" s="2" t="str">
        <f ca="1">IFERROR(__xludf.DUMMYFUNCTION("""COMPUTED_VALUE"""),"https://www.facebook.com/rapplerdotcom/photos/a.317154781638645/5594359700584767/")</f>
        <v>https://www.facebook.com/rapplerdotcom/photos/a.317154781638645/5594359700584767/</v>
      </c>
      <c r="J3020" s="1" t="str">
        <f ca="1">IFERROR(__xludf.DUMMYFUNCTION("""COMPUTED_VALUE"""),"2022-07-04T21:38:13.905Z")</f>
        <v>2022-07-04T21:38:13.905Z</v>
      </c>
    </row>
    <row r="3021" spans="1:10" x14ac:dyDescent="0.2">
      <c r="A3021" s="2" t="str">
        <f ca="1">IFERROR(__xludf.DUMMYFUNCTION("""COMPUTED_VALUE"""),"https://www.facebook.com/profile.php?id=100053379136272")</f>
        <v>https://www.facebook.com/profile.php?id=100053379136272</v>
      </c>
      <c r="B3021" s="1" t="str">
        <f ca="1">IFERROR(__xludf.DUMMYFUNCTION("""COMPUTED_VALUE"""),"Ernie Ramirez")</f>
        <v>Ernie Ramirez</v>
      </c>
      <c r="C3021" s="1" t="str">
        <f ca="1">IFERROR(__xludf.DUMMYFUNCTION("""COMPUTED_VALUE"""),"Ernie")</f>
        <v>Ernie</v>
      </c>
      <c r="D3021" s="1" t="str">
        <f ca="1">IFERROR(__xludf.DUMMYFUNCTION("""COMPUTED_VALUE"""),"Ramirez")</f>
        <v>Ramirez</v>
      </c>
      <c r="E3021" s="1" t="str">
        <f ca="1">IFERROR(__xludf.DUMMYFUNCTION("""COMPUTED_VALUE"""),"yan ang tunay na balimbing iniiwan lagi ng mga kakampi bakit kaya")</f>
        <v>yan ang tunay na balimbing iniiwan lagi ng mga kakampi bakit kaya</v>
      </c>
      <c r="F3021" s="1"/>
      <c r="G3021" s="1" t="str">
        <f ca="1">IFERROR(__xludf.DUMMYFUNCTION("""COMPUTED_VALUE"""),"3 mos")</f>
        <v>3 mos</v>
      </c>
      <c r="H3021" s="1" t="str">
        <f ca="1">IFERROR(__xludf.DUMMYFUNCTION("""COMPUTED_VALUE"""),"comment")</f>
        <v>comment</v>
      </c>
      <c r="I3021" s="2" t="str">
        <f ca="1">IFERROR(__xludf.DUMMYFUNCTION("""COMPUTED_VALUE"""),"https://www.facebook.com/rapplerdotcom/photos/a.317154781638645/5594359700584767/")</f>
        <v>https://www.facebook.com/rapplerdotcom/photos/a.317154781638645/5594359700584767/</v>
      </c>
      <c r="J3021" s="1" t="str">
        <f ca="1">IFERROR(__xludf.DUMMYFUNCTION("""COMPUTED_VALUE"""),"2022-07-04T21:38:13.905Z")</f>
        <v>2022-07-04T21:38:13.905Z</v>
      </c>
    </row>
    <row r="3022" spans="1:10" x14ac:dyDescent="0.2">
      <c r="A3022" s="2" t="str">
        <f ca="1">IFERROR(__xludf.DUMMYFUNCTION("""COMPUTED_VALUE"""),"https://www.facebook.com/rebecca.serato.9")</f>
        <v>https://www.facebook.com/rebecca.serato.9</v>
      </c>
      <c r="B3022" s="1" t="str">
        <f ca="1">IFERROR(__xludf.DUMMYFUNCTION("""COMPUTED_VALUE"""),"Rebecca Serato")</f>
        <v>Rebecca Serato</v>
      </c>
      <c r="C3022" s="1" t="str">
        <f ca="1">IFERROR(__xludf.DUMMYFUNCTION("""COMPUTED_VALUE"""),"Rebecca")</f>
        <v>Rebecca</v>
      </c>
      <c r="D3022" s="1" t="str">
        <f ca="1">IFERROR(__xludf.DUMMYFUNCTION("""COMPUTED_VALUE"""),"Serato")</f>
        <v>Serato</v>
      </c>
      <c r="E3022" s="1" t="str">
        <f ca="1">IFERROR(__xludf.DUMMYFUNCTION("""COMPUTED_VALUE"""),"Mokhang Per")</f>
        <v>Mokhang Per</v>
      </c>
      <c r="F3022" s="1"/>
      <c r="G3022" s="1" t="str">
        <f ca="1">IFERROR(__xludf.DUMMYFUNCTION("""COMPUTED_VALUE"""),"3 mos")</f>
        <v>3 mos</v>
      </c>
      <c r="H3022" s="1" t="str">
        <f ca="1">IFERROR(__xludf.DUMMYFUNCTION("""COMPUTED_VALUE"""),"comment")</f>
        <v>comment</v>
      </c>
      <c r="I3022" s="2" t="str">
        <f ca="1">IFERROR(__xludf.DUMMYFUNCTION("""COMPUTED_VALUE"""),"https://www.facebook.com/rapplerdotcom/photos/a.317154781638645/5594359700584767/")</f>
        <v>https://www.facebook.com/rapplerdotcom/photos/a.317154781638645/5594359700584767/</v>
      </c>
      <c r="J3022" s="1" t="str">
        <f ca="1">IFERROR(__xludf.DUMMYFUNCTION("""COMPUTED_VALUE"""),"2022-07-04T21:38:13.905Z")</f>
        <v>2022-07-04T21:38:13.905Z</v>
      </c>
    </row>
    <row r="3023" spans="1:10" x14ac:dyDescent="0.2">
      <c r="A3023" s="2" t="str">
        <f ca="1">IFERROR(__xludf.DUMMYFUNCTION("""COMPUTED_VALUE"""),"https://www.facebook.com/fe.cordero1")</f>
        <v>https://www.facebook.com/fe.cordero1</v>
      </c>
      <c r="B3023" s="1" t="str">
        <f ca="1">IFERROR(__xludf.DUMMYFUNCTION("""COMPUTED_VALUE"""),"Fe Cordero")</f>
        <v>Fe Cordero</v>
      </c>
      <c r="C3023" s="1" t="str">
        <f ca="1">IFERROR(__xludf.DUMMYFUNCTION("""COMPUTED_VALUE"""),"Fe")</f>
        <v>Fe</v>
      </c>
      <c r="D3023" s="1" t="str">
        <f ca="1">IFERROR(__xludf.DUMMYFUNCTION("""COMPUTED_VALUE"""),"Cordero")</f>
        <v>Cordero</v>
      </c>
      <c r="E3023" s="1" t="str">
        <f ca="1">IFERROR(__xludf.DUMMYFUNCTION("""COMPUTED_VALUE"""),"Maraming balimbing ngaun! Uso n nmn ang pambansang prutas ng pinas!")</f>
        <v>Maraming balimbing ngaun! Uso n nmn ang pambansang prutas ng pinas!</v>
      </c>
      <c r="F3023" s="1">
        <f ca="1">IFERROR(__xludf.DUMMYFUNCTION("""COMPUTED_VALUE"""),1)</f>
        <v>1</v>
      </c>
      <c r="G3023" s="1" t="str">
        <f ca="1">IFERROR(__xludf.DUMMYFUNCTION("""COMPUTED_VALUE"""),"3 mos")</f>
        <v>3 mos</v>
      </c>
      <c r="H3023" s="1" t="str">
        <f ca="1">IFERROR(__xludf.DUMMYFUNCTION("""COMPUTED_VALUE"""),"comment")</f>
        <v>comment</v>
      </c>
      <c r="I3023" s="2" t="str">
        <f ca="1">IFERROR(__xludf.DUMMYFUNCTION("""COMPUTED_VALUE"""),"https://www.facebook.com/rapplerdotcom/photos/a.317154781638645/5594359700584767/")</f>
        <v>https://www.facebook.com/rapplerdotcom/photos/a.317154781638645/5594359700584767/</v>
      </c>
      <c r="J3023" s="1" t="str">
        <f ca="1">IFERROR(__xludf.DUMMYFUNCTION("""COMPUTED_VALUE"""),"2022-07-04T21:38:13.905Z")</f>
        <v>2022-07-04T21:38:13.905Z</v>
      </c>
    </row>
    <row r="3024" spans="1:10" x14ac:dyDescent="0.2">
      <c r="A3024" s="2" t="str">
        <f ca="1">IFERROR(__xludf.DUMMYFUNCTION("""COMPUTED_VALUE"""),"https://www.facebook.com/roland.romero.39")</f>
        <v>https://www.facebook.com/roland.romero.39</v>
      </c>
      <c r="B3024" s="1" t="str">
        <f ca="1">IFERROR(__xludf.DUMMYFUNCTION("""COMPUTED_VALUE"""),"Roland Romero")</f>
        <v>Roland Romero</v>
      </c>
      <c r="C3024" s="1" t="str">
        <f ca="1">IFERROR(__xludf.DUMMYFUNCTION("""COMPUTED_VALUE"""),"Roland")</f>
        <v>Roland</v>
      </c>
      <c r="D3024" s="1" t="str">
        <f ca="1">IFERROR(__xludf.DUMMYFUNCTION("""COMPUTED_VALUE"""),"Romero")</f>
        <v>Romero</v>
      </c>
      <c r="E3024" s="1" t="str">
        <f ca="1">IFERROR(__xludf.DUMMYFUNCTION("""COMPUTED_VALUE"""),"Ingat, ingat...")</f>
        <v>Ingat, ingat...</v>
      </c>
      <c r="F3024" s="1"/>
      <c r="G3024" s="1" t="str">
        <f ca="1">IFERROR(__xludf.DUMMYFUNCTION("""COMPUTED_VALUE"""),"3 mos")</f>
        <v>3 mos</v>
      </c>
      <c r="H3024" s="1" t="str">
        <f ca="1">IFERROR(__xludf.DUMMYFUNCTION("""COMPUTED_VALUE"""),"comment")</f>
        <v>comment</v>
      </c>
      <c r="I3024" s="2" t="str">
        <f ca="1">IFERROR(__xludf.DUMMYFUNCTION("""COMPUTED_VALUE"""),"https://www.facebook.com/rapplerdotcom/photos/a.317154781638645/5594359700584767/")</f>
        <v>https://www.facebook.com/rapplerdotcom/photos/a.317154781638645/5594359700584767/</v>
      </c>
      <c r="J3024" s="1" t="str">
        <f ca="1">IFERROR(__xludf.DUMMYFUNCTION("""COMPUTED_VALUE"""),"2022-07-04T21:38:13.905Z")</f>
        <v>2022-07-04T21:38:13.905Z</v>
      </c>
    </row>
    <row r="3025" spans="1:10" x14ac:dyDescent="0.2">
      <c r="A3025" s="2" t="str">
        <f ca="1">IFERROR(__xludf.DUMMYFUNCTION("""COMPUTED_VALUE"""),"https://www.facebook.com/eramc.cuaton")</f>
        <v>https://www.facebook.com/eramc.cuaton</v>
      </c>
      <c r="B3025" s="1" t="str">
        <f ca="1">IFERROR(__xludf.DUMMYFUNCTION("""COMPUTED_VALUE"""),"Mera Jing Cuaton")</f>
        <v>Mera Jing Cuaton</v>
      </c>
      <c r="C3025" s="1" t="str">
        <f ca="1">IFERROR(__xludf.DUMMYFUNCTION("""COMPUTED_VALUE"""),"Mera")</f>
        <v>Mera</v>
      </c>
      <c r="D3025" s="1" t="str">
        <f ca="1">IFERROR(__xludf.DUMMYFUNCTION("""COMPUTED_VALUE"""),"Jing Cuaton")</f>
        <v>Jing Cuaton</v>
      </c>
      <c r="E3025" s="1" t="str">
        <f ca="1">IFERROR(__xludf.DUMMYFUNCTION("""COMPUTED_VALUE"""),"iba maglaro ang mga trapong politiko..careful lang po VP...")</f>
        <v>iba maglaro ang mga trapong politiko..careful lang po VP...</v>
      </c>
      <c r="F3025" s="1">
        <f ca="1">IFERROR(__xludf.DUMMYFUNCTION("""COMPUTED_VALUE"""),2)</f>
        <v>2</v>
      </c>
      <c r="G3025" s="1" t="str">
        <f ca="1">IFERROR(__xludf.DUMMYFUNCTION("""COMPUTED_VALUE"""),"3 mos")</f>
        <v>3 mos</v>
      </c>
      <c r="H3025" s="1" t="str">
        <f ca="1">IFERROR(__xludf.DUMMYFUNCTION("""COMPUTED_VALUE"""),"comment")</f>
        <v>comment</v>
      </c>
      <c r="I3025" s="2" t="str">
        <f ca="1">IFERROR(__xludf.DUMMYFUNCTION("""COMPUTED_VALUE"""),"https://www.facebook.com/rapplerdotcom/photos/a.317154781638645/5594359700584767/")</f>
        <v>https://www.facebook.com/rapplerdotcom/photos/a.317154781638645/5594359700584767/</v>
      </c>
      <c r="J3025" s="1" t="str">
        <f ca="1">IFERROR(__xludf.DUMMYFUNCTION("""COMPUTED_VALUE"""),"2022-07-04T21:38:13.905Z")</f>
        <v>2022-07-04T21:38:13.905Z</v>
      </c>
    </row>
    <row r="3026" spans="1:10" x14ac:dyDescent="0.2">
      <c r="A3026" s="2" t="str">
        <f ca="1">IFERROR(__xludf.DUMMYFUNCTION("""COMPUTED_VALUE"""),"https://www.facebook.com/danilo.mica")</f>
        <v>https://www.facebook.com/danilo.mica</v>
      </c>
      <c r="B3026" s="1" t="str">
        <f ca="1">IFERROR(__xludf.DUMMYFUNCTION("""COMPUTED_VALUE"""),"Dan Mike Matt Mica")</f>
        <v>Dan Mike Matt Mica</v>
      </c>
      <c r="C3026" s="1" t="str">
        <f ca="1">IFERROR(__xludf.DUMMYFUNCTION("""COMPUTED_VALUE"""),"Dan")</f>
        <v>Dan</v>
      </c>
      <c r="D3026" s="1" t="str">
        <f ca="1">IFERROR(__xludf.DUMMYFUNCTION("""COMPUTED_VALUE"""),"Mike Matt Mica")</f>
        <v>Mike Matt Mica</v>
      </c>
      <c r="E3026" s="1" t="str">
        <f ca="1">IFERROR(__xludf.DUMMYFUNCTION("""COMPUTED_VALUE"""),"Yan ang tinatawag na lumabas na ang tunay na color hahaha")</f>
        <v>Yan ang tinatawag na lumabas na ang tunay na color hahaha</v>
      </c>
      <c r="F3026" s="1"/>
      <c r="G3026" s="1" t="str">
        <f ca="1">IFERROR(__xludf.DUMMYFUNCTION("""COMPUTED_VALUE"""),"3 mos")</f>
        <v>3 mos</v>
      </c>
      <c r="H3026" s="1" t="str">
        <f ca="1">IFERROR(__xludf.DUMMYFUNCTION("""COMPUTED_VALUE"""),"comment")</f>
        <v>comment</v>
      </c>
      <c r="I3026" s="2" t="str">
        <f ca="1">IFERROR(__xludf.DUMMYFUNCTION("""COMPUTED_VALUE"""),"https://www.facebook.com/rapplerdotcom/photos/a.317154781638645/5594359700584767/")</f>
        <v>https://www.facebook.com/rapplerdotcom/photos/a.317154781638645/5594359700584767/</v>
      </c>
      <c r="J3026" s="1" t="str">
        <f ca="1">IFERROR(__xludf.DUMMYFUNCTION("""COMPUTED_VALUE"""),"2022-07-04T21:38:13.905Z")</f>
        <v>2022-07-04T21:38:13.905Z</v>
      </c>
    </row>
    <row r="3027" spans="1:10" x14ac:dyDescent="0.2">
      <c r="A3027" s="2" t="str">
        <f ca="1">IFERROR(__xludf.DUMMYFUNCTION("""COMPUTED_VALUE"""),"https://www.facebook.com/rodolfo.dampios.1")</f>
        <v>https://www.facebook.com/rodolfo.dampios.1</v>
      </c>
      <c r="B3027" s="1" t="str">
        <f ca="1">IFERROR(__xludf.DUMMYFUNCTION("""COMPUTED_VALUE"""),"Dampios Rudy")</f>
        <v>Dampios Rudy</v>
      </c>
      <c r="C3027" s="1" t="str">
        <f ca="1">IFERROR(__xludf.DUMMYFUNCTION("""COMPUTED_VALUE"""),"Dampios")</f>
        <v>Dampios</v>
      </c>
      <c r="D3027" s="1" t="str">
        <f ca="1">IFERROR(__xludf.DUMMYFUNCTION("""COMPUTED_VALUE"""),"Rudy")</f>
        <v>Rudy</v>
      </c>
      <c r="E3027" s="1" t="str">
        <f ca="1">IFERROR(__xludf.DUMMYFUNCTION("""COMPUTED_VALUE"""),"Sana wala ng  dayaan muli..magaganap sana pumarehas na.")</f>
        <v>Sana wala ng  dayaan muli..magaganap sana pumarehas na.</v>
      </c>
      <c r="F3027" s="1"/>
      <c r="G3027" s="1" t="str">
        <f ca="1">IFERROR(__xludf.DUMMYFUNCTION("""COMPUTED_VALUE"""),"3 mos")</f>
        <v>3 mos</v>
      </c>
      <c r="H3027" s="1" t="str">
        <f ca="1">IFERROR(__xludf.DUMMYFUNCTION("""COMPUTED_VALUE"""),"comment")</f>
        <v>comment</v>
      </c>
      <c r="I3027" s="2" t="str">
        <f ca="1">IFERROR(__xludf.DUMMYFUNCTION("""COMPUTED_VALUE"""),"https://www.facebook.com/rapplerdotcom/photos/a.317154781638645/5594359700584767/")</f>
        <v>https://www.facebook.com/rapplerdotcom/photos/a.317154781638645/5594359700584767/</v>
      </c>
      <c r="J3027" s="1" t="str">
        <f ca="1">IFERROR(__xludf.DUMMYFUNCTION("""COMPUTED_VALUE"""),"2022-07-04T21:38:13.905Z")</f>
        <v>2022-07-04T21:38:13.905Z</v>
      </c>
    </row>
    <row r="3028" spans="1:10" x14ac:dyDescent="0.2">
      <c r="A3028" s="2" t="str">
        <f ca="1">IFERROR(__xludf.DUMMYFUNCTION("""COMPUTED_VALUE"""),"https://www.facebook.com/mayonggarcia")</f>
        <v>https://www.facebook.com/mayonggarcia</v>
      </c>
      <c r="B3028" s="1" t="str">
        <f ca="1">IFERROR(__xludf.DUMMYFUNCTION("""COMPUTED_VALUE"""),"Mayong Garcia")</f>
        <v>Mayong Garcia</v>
      </c>
      <c r="C3028" s="1" t="str">
        <f ca="1">IFERROR(__xludf.DUMMYFUNCTION("""COMPUTED_VALUE"""),"Mayong")</f>
        <v>Mayong</v>
      </c>
      <c r="D3028" s="1" t="str">
        <f ca="1">IFERROR(__xludf.DUMMYFUNCTION("""COMPUTED_VALUE"""),"Garcia")</f>
        <v>Garcia</v>
      </c>
      <c r="E3028" s="1" t="str">
        <f ca="1">IFERROR(__xludf.DUMMYFUNCTION("""COMPUTED_VALUE"""),"Nkktakot...sobra balimbing...")</f>
        <v>Nkktakot...sobra balimbing...</v>
      </c>
      <c r="F3028" s="1">
        <f ca="1">IFERROR(__xludf.DUMMYFUNCTION("""COMPUTED_VALUE"""),2)</f>
        <v>2</v>
      </c>
      <c r="G3028" s="1" t="str">
        <f ca="1">IFERROR(__xludf.DUMMYFUNCTION("""COMPUTED_VALUE"""),"3 mos")</f>
        <v>3 mos</v>
      </c>
      <c r="H3028" s="1" t="str">
        <f ca="1">IFERROR(__xludf.DUMMYFUNCTION("""COMPUTED_VALUE"""),"comment")</f>
        <v>comment</v>
      </c>
      <c r="I3028" s="2" t="str">
        <f ca="1">IFERROR(__xludf.DUMMYFUNCTION("""COMPUTED_VALUE"""),"https://www.facebook.com/rapplerdotcom/photos/a.317154781638645/5594359700584767/")</f>
        <v>https://www.facebook.com/rapplerdotcom/photos/a.317154781638645/5594359700584767/</v>
      </c>
      <c r="J3028" s="1" t="str">
        <f ca="1">IFERROR(__xludf.DUMMYFUNCTION("""COMPUTED_VALUE"""),"2022-07-04T21:38:13.905Z")</f>
        <v>2022-07-04T21:38:13.905Z</v>
      </c>
    </row>
    <row r="3029" spans="1:10" x14ac:dyDescent="0.2">
      <c r="A3029" s="2" t="str">
        <f ca="1">IFERROR(__xludf.DUMMYFUNCTION("""COMPUTED_VALUE"""),"https://www.facebook.com/profile.php?id=100072849818660")</f>
        <v>https://www.facebook.com/profile.php?id=100072849818660</v>
      </c>
      <c r="B3029" s="1" t="str">
        <f ca="1">IFERROR(__xludf.DUMMYFUNCTION("""COMPUTED_VALUE"""),"Danilo Gacelo")</f>
        <v>Danilo Gacelo</v>
      </c>
      <c r="C3029" s="1" t="str">
        <f ca="1">IFERROR(__xludf.DUMMYFUNCTION("""COMPUTED_VALUE"""),"Danilo")</f>
        <v>Danilo</v>
      </c>
      <c r="D3029" s="1" t="str">
        <f ca="1">IFERROR(__xludf.DUMMYFUNCTION("""COMPUTED_VALUE"""),"Gacelo")</f>
        <v>Gacelo</v>
      </c>
      <c r="E3029" s="1" t="str">
        <f ca="1">IFERROR(__xludf.DUMMYFUNCTION("""COMPUTED_VALUE"""),"walang puwersa yan kahit sumama pa yan sa pink wala ng matatakbuhan")</f>
        <v>walang puwersa yan kahit sumama pa yan sa pink wala ng matatakbuhan</v>
      </c>
      <c r="F3029" s="1"/>
      <c r="G3029" s="1" t="str">
        <f ca="1">IFERROR(__xludf.DUMMYFUNCTION("""COMPUTED_VALUE"""),"3 mos")</f>
        <v>3 mos</v>
      </c>
      <c r="H3029" s="1" t="str">
        <f ca="1">IFERROR(__xludf.DUMMYFUNCTION("""COMPUTED_VALUE"""),"comment")</f>
        <v>comment</v>
      </c>
      <c r="I3029" s="2" t="str">
        <f ca="1">IFERROR(__xludf.DUMMYFUNCTION("""COMPUTED_VALUE"""),"https://www.facebook.com/rapplerdotcom/photos/a.317154781638645/5594359700584767/")</f>
        <v>https://www.facebook.com/rapplerdotcom/photos/a.317154781638645/5594359700584767/</v>
      </c>
      <c r="J3029" s="1" t="str">
        <f ca="1">IFERROR(__xludf.DUMMYFUNCTION("""COMPUTED_VALUE"""),"2022-07-04T21:38:13.905Z")</f>
        <v>2022-07-04T21:38:13.905Z</v>
      </c>
    </row>
    <row r="3030" spans="1:10" x14ac:dyDescent="0.2">
      <c r="A3030" s="2" t="str">
        <f ca="1">IFERROR(__xludf.DUMMYFUNCTION("""COMPUTED_VALUE"""),"https://www.facebook.com/tony.alcazar.127")</f>
        <v>https://www.facebook.com/tony.alcazar.127</v>
      </c>
      <c r="B3030" s="1" t="str">
        <f ca="1">IFERROR(__xludf.DUMMYFUNCTION("""COMPUTED_VALUE"""),"Tony Alcazar")</f>
        <v>Tony Alcazar</v>
      </c>
      <c r="C3030" s="1" t="str">
        <f ca="1">IFERROR(__xludf.DUMMYFUNCTION("""COMPUTED_VALUE"""),"Tony")</f>
        <v>Tony</v>
      </c>
      <c r="D3030" s="1" t="str">
        <f ca="1">IFERROR(__xludf.DUMMYFUNCTION("""COMPUTED_VALUE"""),"Alcazar")</f>
        <v>Alcazar</v>
      </c>
      <c r="E3030" s="1" t="str">
        <f ca="1">IFERROR(__xludf.DUMMYFUNCTION("""COMPUTED_VALUE"""),"NAKAREALIZE SI PANTALON. Palit barko. Alis sa mga Pirata")</f>
        <v>NAKAREALIZE SI PANTALON. Palit barko. Alis sa mga Pirata</v>
      </c>
      <c r="F3030" s="1"/>
      <c r="G3030" s="1" t="str">
        <f ca="1">IFERROR(__xludf.DUMMYFUNCTION("""COMPUTED_VALUE"""),"3 mos")</f>
        <v>3 mos</v>
      </c>
      <c r="H3030" s="1" t="str">
        <f ca="1">IFERROR(__xludf.DUMMYFUNCTION("""COMPUTED_VALUE"""),"comment")</f>
        <v>comment</v>
      </c>
      <c r="I3030" s="2" t="str">
        <f ca="1">IFERROR(__xludf.DUMMYFUNCTION("""COMPUTED_VALUE"""),"https://www.facebook.com/rapplerdotcom/photos/a.317154781638645/5594359700584767/")</f>
        <v>https://www.facebook.com/rapplerdotcom/photos/a.317154781638645/5594359700584767/</v>
      </c>
      <c r="J3030" s="1" t="str">
        <f ca="1">IFERROR(__xludf.DUMMYFUNCTION("""COMPUTED_VALUE"""),"2022-07-04T21:38:13.905Z")</f>
        <v>2022-07-04T21:38:13.905Z</v>
      </c>
    </row>
    <row r="3031" spans="1:10" x14ac:dyDescent="0.2">
      <c r="A3031" s="2" t="str">
        <f ca="1">IFERROR(__xludf.DUMMYFUNCTION("""COMPUTED_VALUE"""),"https://www.facebook.com/johnhenry.santos.3958")</f>
        <v>https://www.facebook.com/johnhenry.santos.3958</v>
      </c>
      <c r="B3031" s="1" t="str">
        <f ca="1">IFERROR(__xludf.DUMMYFUNCTION("""COMPUTED_VALUE"""),"Johnhenry Santos")</f>
        <v>Johnhenry Santos</v>
      </c>
      <c r="C3031" s="1" t="str">
        <f ca="1">IFERROR(__xludf.DUMMYFUNCTION("""COMPUTED_VALUE"""),"Johnhenry")</f>
        <v>Johnhenry</v>
      </c>
      <c r="D3031" s="1" t="str">
        <f ca="1">IFERROR(__xludf.DUMMYFUNCTION("""COMPUTED_VALUE"""),"Santos")</f>
        <v>Santos</v>
      </c>
      <c r="E3031" s="1" t="str">
        <f ca="1">IFERROR(__xludf.DUMMYFUNCTION("""COMPUTED_VALUE"""),"Sipsip c alvarez wag nyo botohin")</f>
        <v>Sipsip c alvarez wag nyo botohin</v>
      </c>
      <c r="F3031" s="1"/>
      <c r="G3031" s="1" t="str">
        <f ca="1">IFERROR(__xludf.DUMMYFUNCTION("""COMPUTED_VALUE"""),"3 mos")</f>
        <v>3 mos</v>
      </c>
      <c r="H3031" s="1" t="str">
        <f ca="1">IFERROR(__xludf.DUMMYFUNCTION("""COMPUTED_VALUE"""),"comment")</f>
        <v>comment</v>
      </c>
      <c r="I3031" s="2" t="str">
        <f ca="1">IFERROR(__xludf.DUMMYFUNCTION("""COMPUTED_VALUE"""),"https://www.facebook.com/rapplerdotcom/photos/a.317154781638645/5594359700584767/")</f>
        <v>https://www.facebook.com/rapplerdotcom/photos/a.317154781638645/5594359700584767/</v>
      </c>
      <c r="J3031" s="1" t="str">
        <f ca="1">IFERROR(__xludf.DUMMYFUNCTION("""COMPUTED_VALUE"""),"2022-07-04T21:38:13.905Z")</f>
        <v>2022-07-04T21:38:13.905Z</v>
      </c>
    </row>
    <row r="3032" spans="1:10" x14ac:dyDescent="0.2">
      <c r="A3032" s="2" t="str">
        <f ca="1">IFERROR(__xludf.DUMMYFUNCTION("""COMPUTED_VALUE"""),"https://www.facebook.com/profile.php?id=100061205663342")</f>
        <v>https://www.facebook.com/profile.php?id=100061205663342</v>
      </c>
      <c r="B3032" s="1" t="str">
        <f ca="1">IFERROR(__xludf.DUMMYFUNCTION("""COMPUTED_VALUE"""),"Ernesto Perez")</f>
        <v>Ernesto Perez</v>
      </c>
      <c r="C3032" s="1" t="str">
        <f ca="1">IFERROR(__xludf.DUMMYFUNCTION("""COMPUTED_VALUE"""),"Ernesto")</f>
        <v>Ernesto</v>
      </c>
      <c r="D3032" s="1" t="str">
        <f ca="1">IFERROR(__xludf.DUMMYFUNCTION("""COMPUTED_VALUE"""),"Perez")</f>
        <v>Perez</v>
      </c>
      <c r="E3032" s="1" t="str">
        <f ca="1">IFERROR(__xludf.DUMMYFUNCTION("""COMPUTED_VALUE"""),"Ganyan ang mga pulitiko bumabalimbing pag alam na tumatagilid na ung bangka")</f>
        <v>Ganyan ang mga pulitiko bumabalimbing pag alam na tumatagilid na ung bangka</v>
      </c>
      <c r="F3032" s="1"/>
      <c r="G3032" s="1" t="str">
        <f ca="1">IFERROR(__xludf.DUMMYFUNCTION("""COMPUTED_VALUE"""),"3 mos")</f>
        <v>3 mos</v>
      </c>
      <c r="H3032" s="1" t="str">
        <f ca="1">IFERROR(__xludf.DUMMYFUNCTION("""COMPUTED_VALUE"""),"comment")</f>
        <v>comment</v>
      </c>
      <c r="I3032" s="2" t="str">
        <f ca="1">IFERROR(__xludf.DUMMYFUNCTION("""COMPUTED_VALUE"""),"https://www.facebook.com/rapplerdotcom/photos/a.317154781638645/5594359700584767/")</f>
        <v>https://www.facebook.com/rapplerdotcom/photos/a.317154781638645/5594359700584767/</v>
      </c>
      <c r="J3032" s="1" t="str">
        <f ca="1">IFERROR(__xludf.DUMMYFUNCTION("""COMPUTED_VALUE"""),"2022-07-04T21:38:13.905Z")</f>
        <v>2022-07-04T21:38:13.905Z</v>
      </c>
    </row>
    <row r="3033" spans="1:10" x14ac:dyDescent="0.2">
      <c r="A3033" s="2" t="str">
        <f ca="1">IFERROR(__xludf.DUMMYFUNCTION("""COMPUTED_VALUE"""),"https://www.facebook.com/noberto.montuya.9")</f>
        <v>https://www.facebook.com/noberto.montuya.9</v>
      </c>
      <c r="B3033" s="1" t="str">
        <f ca="1">IFERROR(__xludf.DUMMYFUNCTION("""COMPUTED_VALUE"""),"Noberto Montuya")</f>
        <v>Noberto Montuya</v>
      </c>
      <c r="C3033" s="1" t="str">
        <f ca="1">IFERROR(__xludf.DUMMYFUNCTION("""COMPUTED_VALUE"""),"Noberto")</f>
        <v>Noberto</v>
      </c>
      <c r="D3033" s="1" t="str">
        <f ca="1">IFERROR(__xludf.DUMMYFUNCTION("""COMPUTED_VALUE"""),"Montuya")</f>
        <v>Montuya</v>
      </c>
      <c r="E3033" s="1" t="str">
        <f ca="1">IFERROR(__xludf.DUMMYFUNCTION("""COMPUTED_VALUE"""),"Bingbalim, tawag jn,,")</f>
        <v>Bingbalim, tawag jn,,</v>
      </c>
      <c r="F3033" s="1"/>
      <c r="G3033" s="1" t="str">
        <f ca="1">IFERROR(__xludf.DUMMYFUNCTION("""COMPUTED_VALUE"""),"3 mos")</f>
        <v>3 mos</v>
      </c>
      <c r="H3033" s="1" t="str">
        <f ca="1">IFERROR(__xludf.DUMMYFUNCTION("""COMPUTED_VALUE"""),"comment")</f>
        <v>comment</v>
      </c>
      <c r="I3033" s="2" t="str">
        <f ca="1">IFERROR(__xludf.DUMMYFUNCTION("""COMPUTED_VALUE"""),"https://www.facebook.com/rapplerdotcom/photos/a.317154781638645/5594359700584767/")</f>
        <v>https://www.facebook.com/rapplerdotcom/photos/a.317154781638645/5594359700584767/</v>
      </c>
      <c r="J3033" s="1" t="str">
        <f ca="1">IFERROR(__xludf.DUMMYFUNCTION("""COMPUTED_VALUE"""),"2022-07-04T21:38:13.905Z")</f>
        <v>2022-07-04T21:38:13.905Z</v>
      </c>
    </row>
    <row r="3034" spans="1:10" x14ac:dyDescent="0.2">
      <c r="A3034" s="2" t="str">
        <f ca="1">IFERROR(__xludf.DUMMYFUNCTION("""COMPUTED_VALUE"""),"https://www.facebook.com/teri.j.li")</f>
        <v>https://www.facebook.com/teri.j.li</v>
      </c>
      <c r="B3034" s="1" t="str">
        <f ca="1">IFERROR(__xludf.DUMMYFUNCTION("""COMPUTED_VALUE"""),"Teri Juban Li")</f>
        <v>Teri Juban Li</v>
      </c>
      <c r="C3034" s="1" t="str">
        <f ca="1">IFERROR(__xludf.DUMMYFUNCTION("""COMPUTED_VALUE"""),"Teri")</f>
        <v>Teri</v>
      </c>
      <c r="D3034" s="1" t="str">
        <f ca="1">IFERROR(__xludf.DUMMYFUNCTION("""COMPUTED_VALUE"""),"Juban Li")</f>
        <v>Juban Li</v>
      </c>
      <c r="E3034" s="1" t="str">
        <f ca="1">IFERROR(__xludf.DUMMYFUNCTION("""COMPUTED_VALUE"""),"Ang Pambansang Balimbjng😅😅🤣")</f>
        <v>Ang Pambansang Balimbjng😅😅🤣</v>
      </c>
      <c r="F3034" s="1"/>
      <c r="G3034" s="1" t="str">
        <f ca="1">IFERROR(__xludf.DUMMYFUNCTION("""COMPUTED_VALUE"""),"3 mos")</f>
        <v>3 mos</v>
      </c>
      <c r="H3034" s="1" t="str">
        <f ca="1">IFERROR(__xludf.DUMMYFUNCTION("""COMPUTED_VALUE"""),"comment")</f>
        <v>comment</v>
      </c>
      <c r="I3034" s="2" t="str">
        <f ca="1">IFERROR(__xludf.DUMMYFUNCTION("""COMPUTED_VALUE"""),"https://www.facebook.com/rapplerdotcom/photos/a.317154781638645/5594359700584767/")</f>
        <v>https://www.facebook.com/rapplerdotcom/photos/a.317154781638645/5594359700584767/</v>
      </c>
      <c r="J3034" s="1" t="str">
        <f ca="1">IFERROR(__xludf.DUMMYFUNCTION("""COMPUTED_VALUE"""),"2022-07-04T21:38:13.905Z")</f>
        <v>2022-07-04T21:38:13.905Z</v>
      </c>
    </row>
    <row r="3035" spans="1:10" x14ac:dyDescent="0.2">
      <c r="A3035" s="2" t="str">
        <f ca="1">IFERROR(__xludf.DUMMYFUNCTION("""COMPUTED_VALUE"""),"https://www.facebook.com/fotee.rimas")</f>
        <v>https://www.facebook.com/fotee.rimas</v>
      </c>
      <c r="B3035" s="1" t="str">
        <f ca="1">IFERROR(__xludf.DUMMYFUNCTION("""COMPUTED_VALUE"""),"Fotee Rimas")</f>
        <v>Fotee Rimas</v>
      </c>
      <c r="C3035" s="1" t="str">
        <f ca="1">IFERROR(__xludf.DUMMYFUNCTION("""COMPUTED_VALUE"""),"Fotee")</f>
        <v>Fotee</v>
      </c>
      <c r="D3035" s="1" t="str">
        <f ca="1">IFERROR(__xludf.DUMMYFUNCTION("""COMPUTED_VALUE"""),"Rimas")</f>
        <v>Rimas</v>
      </c>
      <c r="E3035" s="1" t="str">
        <f ca="1">IFERROR(__xludf.DUMMYFUNCTION("""COMPUTED_VALUE"""),"Opportunista balimbing traydor yn sya pwe")</f>
        <v>Opportunista balimbing traydor yn sya pwe</v>
      </c>
      <c r="F3035" s="1"/>
      <c r="G3035" s="1" t="str">
        <f ca="1">IFERROR(__xludf.DUMMYFUNCTION("""COMPUTED_VALUE"""),"3 mos")</f>
        <v>3 mos</v>
      </c>
      <c r="H3035" s="1" t="str">
        <f ca="1">IFERROR(__xludf.DUMMYFUNCTION("""COMPUTED_VALUE"""),"comment")</f>
        <v>comment</v>
      </c>
      <c r="I3035" s="2" t="str">
        <f ca="1">IFERROR(__xludf.DUMMYFUNCTION("""COMPUTED_VALUE"""),"https://www.facebook.com/rapplerdotcom/photos/a.317154781638645/5594359700584767/")</f>
        <v>https://www.facebook.com/rapplerdotcom/photos/a.317154781638645/5594359700584767/</v>
      </c>
      <c r="J3035" s="1" t="str">
        <f ca="1">IFERROR(__xludf.DUMMYFUNCTION("""COMPUTED_VALUE"""),"2022-07-04T21:38:13.905Z")</f>
        <v>2022-07-04T21:38:13.905Z</v>
      </c>
    </row>
    <row r="3036" spans="1:10" x14ac:dyDescent="0.2">
      <c r="A3036" s="2" t="str">
        <f ca="1">IFERROR(__xludf.DUMMYFUNCTION("""COMPUTED_VALUE"""),"https://www.facebook.com/raymondpastoral")</f>
        <v>https://www.facebook.com/raymondpastoral</v>
      </c>
      <c r="B3036" s="1" t="str">
        <f ca="1">IFERROR(__xludf.DUMMYFUNCTION("""COMPUTED_VALUE"""),"Raymond Pastoral")</f>
        <v>Raymond Pastoral</v>
      </c>
      <c r="C3036" s="1" t="str">
        <f ca="1">IFERROR(__xludf.DUMMYFUNCTION("""COMPUTED_VALUE"""),"Raymond")</f>
        <v>Raymond</v>
      </c>
      <c r="D3036" s="1" t="str">
        <f ca="1">IFERROR(__xludf.DUMMYFUNCTION("""COMPUTED_VALUE"""),"Pastoral")</f>
        <v>Pastoral</v>
      </c>
      <c r="E3036" s="1" t="str">
        <f ca="1">IFERROR(__xludf.DUMMYFUNCTION("""COMPUTED_VALUE"""),"Awit.")</f>
        <v>Awit.</v>
      </c>
      <c r="F3036" s="1"/>
      <c r="G3036" s="1" t="str">
        <f ca="1">IFERROR(__xludf.DUMMYFUNCTION("""COMPUTED_VALUE"""),"3 mos")</f>
        <v>3 mos</v>
      </c>
      <c r="H3036" s="1" t="str">
        <f ca="1">IFERROR(__xludf.DUMMYFUNCTION("""COMPUTED_VALUE"""),"comment")</f>
        <v>comment</v>
      </c>
      <c r="I3036" s="2" t="str">
        <f ca="1">IFERROR(__xludf.DUMMYFUNCTION("""COMPUTED_VALUE"""),"https://www.facebook.com/rapplerdotcom/photos/a.317154781638645/5594359700584767/")</f>
        <v>https://www.facebook.com/rapplerdotcom/photos/a.317154781638645/5594359700584767/</v>
      </c>
      <c r="J3036" s="1" t="str">
        <f ca="1">IFERROR(__xludf.DUMMYFUNCTION("""COMPUTED_VALUE"""),"2022-07-04T21:38:13.905Z")</f>
        <v>2022-07-04T21:38:13.905Z</v>
      </c>
    </row>
    <row r="3037" spans="1:10" x14ac:dyDescent="0.2">
      <c r="A3037" s="2" t="str">
        <f ca="1">IFERROR(__xludf.DUMMYFUNCTION("""COMPUTED_VALUE"""),"https://www.facebook.com/alex.wabinga")</f>
        <v>https://www.facebook.com/alex.wabinga</v>
      </c>
      <c r="B3037" s="1" t="str">
        <f ca="1">IFERROR(__xludf.DUMMYFUNCTION("""COMPUTED_VALUE"""),"Alex Wabinga")</f>
        <v>Alex Wabinga</v>
      </c>
      <c r="C3037" s="1" t="str">
        <f ca="1">IFERROR(__xludf.DUMMYFUNCTION("""COMPUTED_VALUE"""),"Alex")</f>
        <v>Alex</v>
      </c>
      <c r="D3037" s="1" t="str">
        <f ca="1">IFERROR(__xludf.DUMMYFUNCTION("""COMPUTED_VALUE"""),"Wabinga")</f>
        <v>Wabinga</v>
      </c>
      <c r="E3037" s="1" t="str">
        <f ca="1">IFERROR(__xludf.DUMMYFUNCTION("""COMPUTED_VALUE"""),"Hahahaha politika talaga ohhhh ang kulit!!!!!!")</f>
        <v>Hahahaha politika talaga ohhhh ang kulit!!!!!!</v>
      </c>
      <c r="F3037" s="1"/>
      <c r="G3037" s="1" t="str">
        <f ca="1">IFERROR(__xludf.DUMMYFUNCTION("""COMPUTED_VALUE"""),"3 mos")</f>
        <v>3 mos</v>
      </c>
      <c r="H3037" s="1" t="str">
        <f ca="1">IFERROR(__xludf.DUMMYFUNCTION("""COMPUTED_VALUE"""),"comment")</f>
        <v>comment</v>
      </c>
      <c r="I3037" s="2" t="str">
        <f ca="1">IFERROR(__xludf.DUMMYFUNCTION("""COMPUTED_VALUE"""),"https://www.facebook.com/rapplerdotcom/photos/a.317154781638645/5594359700584767/")</f>
        <v>https://www.facebook.com/rapplerdotcom/photos/a.317154781638645/5594359700584767/</v>
      </c>
      <c r="J3037" s="1" t="str">
        <f ca="1">IFERROR(__xludf.DUMMYFUNCTION("""COMPUTED_VALUE"""),"2022-07-04T21:38:13.905Z")</f>
        <v>2022-07-04T21:38:13.905Z</v>
      </c>
    </row>
    <row r="3038" spans="1:10" x14ac:dyDescent="0.2">
      <c r="A3038" s="2" t="str">
        <f ca="1">IFERROR(__xludf.DUMMYFUNCTION("""COMPUTED_VALUE"""),"https://www.facebook.com/jonniemaganes")</f>
        <v>https://www.facebook.com/jonniemaganes</v>
      </c>
      <c r="B3038" s="1" t="str">
        <f ca="1">IFERROR(__xludf.DUMMYFUNCTION("""COMPUTED_VALUE"""),"Jonathan Maganes")</f>
        <v>Jonathan Maganes</v>
      </c>
      <c r="C3038" s="1" t="str">
        <f ca="1">IFERROR(__xludf.DUMMYFUNCTION("""COMPUTED_VALUE"""),"Jonathan")</f>
        <v>Jonathan</v>
      </c>
      <c r="D3038" s="1" t="str">
        <f ca="1">IFERROR(__xludf.DUMMYFUNCTION("""COMPUTED_VALUE"""),"Maganes")</f>
        <v>Maganes</v>
      </c>
      <c r="E3038" s="1" t="str">
        <f ca="1">IFERROR(__xludf.DUMMYFUNCTION("""COMPUTED_VALUE"""),"Kaya ingat jan Alvarez may hidden agenda yan😁")</f>
        <v>Kaya ingat jan Alvarez may hidden agenda yan😁</v>
      </c>
      <c r="F3038" s="1">
        <f ca="1">IFERROR(__xludf.DUMMYFUNCTION("""COMPUTED_VALUE"""),1)</f>
        <v>1</v>
      </c>
      <c r="G3038" s="1" t="str">
        <f ca="1">IFERROR(__xludf.DUMMYFUNCTION("""COMPUTED_VALUE"""),"3 mos")</f>
        <v>3 mos</v>
      </c>
      <c r="H3038" s="1" t="str">
        <f ca="1">IFERROR(__xludf.DUMMYFUNCTION("""COMPUTED_VALUE"""),"comment")</f>
        <v>comment</v>
      </c>
      <c r="I3038" s="2" t="str">
        <f ca="1">IFERROR(__xludf.DUMMYFUNCTION("""COMPUTED_VALUE"""),"https://www.facebook.com/rapplerdotcom/photos/a.317154781638645/5594359700584767/")</f>
        <v>https://www.facebook.com/rapplerdotcom/photos/a.317154781638645/5594359700584767/</v>
      </c>
      <c r="J3038" s="1" t="str">
        <f ca="1">IFERROR(__xludf.DUMMYFUNCTION("""COMPUTED_VALUE"""),"2022-07-04T21:38:13.905Z")</f>
        <v>2022-07-04T21:38:13.905Z</v>
      </c>
    </row>
    <row r="3039" spans="1:10" x14ac:dyDescent="0.2">
      <c r="A3039" s="2" t="str">
        <f ca="1">IFERROR(__xludf.DUMMYFUNCTION("""COMPUTED_VALUE"""),"https://www.facebook.com/enrico.aragon.56")</f>
        <v>https://www.facebook.com/enrico.aragon.56</v>
      </c>
      <c r="B3039" s="1" t="str">
        <f ca="1">IFERROR(__xludf.DUMMYFUNCTION("""COMPUTED_VALUE"""),"Enrico Aragon")</f>
        <v>Enrico Aragon</v>
      </c>
      <c r="C3039" s="1" t="str">
        <f ca="1">IFERROR(__xludf.DUMMYFUNCTION("""COMPUTED_VALUE"""),"Enrico")</f>
        <v>Enrico</v>
      </c>
      <c r="D3039" s="1" t="str">
        <f ca="1">IFERROR(__xludf.DUMMYFUNCTION("""COMPUTED_VALUE"""),"Aragon")</f>
        <v>Aragon</v>
      </c>
      <c r="E3039" s="1" t="str">
        <f ca="1">IFERROR(__xludf.DUMMYFUNCTION("""COMPUTED_VALUE"""),"Balimbing")</f>
        <v>Balimbing</v>
      </c>
      <c r="F3039" s="1"/>
      <c r="G3039" s="1" t="str">
        <f ca="1">IFERROR(__xludf.DUMMYFUNCTION("""COMPUTED_VALUE"""),"3 mos")</f>
        <v>3 mos</v>
      </c>
      <c r="H3039" s="1" t="str">
        <f ca="1">IFERROR(__xludf.DUMMYFUNCTION("""COMPUTED_VALUE"""),"comment")</f>
        <v>comment</v>
      </c>
      <c r="I3039" s="2" t="str">
        <f ca="1">IFERROR(__xludf.DUMMYFUNCTION("""COMPUTED_VALUE"""),"https://www.facebook.com/rapplerdotcom/photos/a.317154781638645/5594359700584767/")</f>
        <v>https://www.facebook.com/rapplerdotcom/photos/a.317154781638645/5594359700584767/</v>
      </c>
      <c r="J3039" s="1" t="str">
        <f ca="1">IFERROR(__xludf.DUMMYFUNCTION("""COMPUTED_VALUE"""),"2022-07-04T21:38:13.905Z")</f>
        <v>2022-07-04T21:38:13.905Z</v>
      </c>
    </row>
    <row r="3040" spans="1:10" x14ac:dyDescent="0.2">
      <c r="A3040" s="2" t="str">
        <f ca="1">IFERROR(__xludf.DUMMYFUNCTION("""COMPUTED_VALUE"""),"https://www.facebook.com/ngaela")</f>
        <v>https://www.facebook.com/ngaela</v>
      </c>
      <c r="B3040" s="1" t="str">
        <f ca="1">IFERROR(__xludf.DUMMYFUNCTION("""COMPUTED_VALUE"""),"Leon HG")</f>
        <v>Leon HG</v>
      </c>
      <c r="C3040" s="1" t="str">
        <f ca="1">IFERROR(__xludf.DUMMYFUNCTION("""COMPUTED_VALUE"""),"Leon")</f>
        <v>Leon</v>
      </c>
      <c r="D3040" s="1" t="str">
        <f ca="1">IFERROR(__xludf.DUMMYFUNCTION("""COMPUTED_VALUE"""),"HG")</f>
        <v>HG</v>
      </c>
      <c r="E3040" s="1" t="str">
        <f ca="1">IFERROR(__xludf.DUMMYFUNCTION("""COMPUTED_VALUE"""),"Parang may nagapapagalaw sa likod ng ganitong hakbangin ni LINTA......")</f>
        <v>Parang may nagapapagalaw sa likod ng ganitong hakbangin ni LINTA......</v>
      </c>
      <c r="F3040" s="1">
        <f ca="1">IFERROR(__xludf.DUMMYFUNCTION("""COMPUTED_VALUE"""),7)</f>
        <v>7</v>
      </c>
      <c r="G3040" s="1" t="str">
        <f ca="1">IFERROR(__xludf.DUMMYFUNCTION("""COMPUTED_VALUE"""),"3 mos")</f>
        <v>3 mos</v>
      </c>
      <c r="H3040" s="1" t="str">
        <f ca="1">IFERROR(__xludf.DUMMYFUNCTION("""COMPUTED_VALUE"""),"comment")</f>
        <v>comment</v>
      </c>
      <c r="I3040" s="2" t="str">
        <f ca="1">IFERROR(__xludf.DUMMYFUNCTION("""COMPUTED_VALUE"""),"https://www.facebook.com/rapplerdotcom/photos/a.317154781638645/5594359700584767/")</f>
        <v>https://www.facebook.com/rapplerdotcom/photos/a.317154781638645/5594359700584767/</v>
      </c>
      <c r="J3040" s="1" t="str">
        <f ca="1">IFERROR(__xludf.DUMMYFUNCTION("""COMPUTED_VALUE"""),"2022-07-04T21:38:13.905Z")</f>
        <v>2022-07-04T21:38:13.905Z</v>
      </c>
    </row>
    <row r="3041" spans="1:10" x14ac:dyDescent="0.2">
      <c r="A3041" s="2" t="str">
        <f ca="1">IFERROR(__xludf.DUMMYFUNCTION("""COMPUTED_VALUE"""),"https://www.facebook.com/ragrag.alb")</f>
        <v>https://www.facebook.com/ragrag.alb</v>
      </c>
      <c r="B3041" s="1" t="str">
        <f ca="1">IFERROR(__xludf.DUMMYFUNCTION("""COMPUTED_VALUE"""),"Rag Rag Alb")</f>
        <v>Rag Rag Alb</v>
      </c>
      <c r="C3041" s="1" t="str">
        <f ca="1">IFERROR(__xludf.DUMMYFUNCTION("""COMPUTED_VALUE"""),"Rag")</f>
        <v>Rag</v>
      </c>
      <c r="D3041" s="1" t="str">
        <f ca="1">IFERROR(__xludf.DUMMYFUNCTION("""COMPUTED_VALUE"""),"Rag Alb")</f>
        <v>Rag Alb</v>
      </c>
      <c r="E3041" s="1" t="str">
        <f ca="1">IFERROR(__xludf.DUMMYFUNCTION("""COMPUTED_VALUE"""),"Leon HG tama ka sir")</f>
        <v>Leon HG tama ka sir</v>
      </c>
      <c r="F3041" s="1"/>
      <c r="G3041" s="1" t="str">
        <f ca="1">IFERROR(__xludf.DUMMYFUNCTION("""COMPUTED_VALUE"""),"3 mos")</f>
        <v>3 mos</v>
      </c>
      <c r="H3041" s="1" t="str">
        <f ca="1">IFERROR(__xludf.DUMMYFUNCTION("""COMPUTED_VALUE"""),"reply")</f>
        <v>reply</v>
      </c>
      <c r="I3041" s="2" t="str">
        <f ca="1">IFERROR(__xludf.DUMMYFUNCTION("""COMPUTED_VALUE"""),"https://www.facebook.com/rapplerdotcom/photos/a.317154781638645/5594359700584767/")</f>
        <v>https://www.facebook.com/rapplerdotcom/photos/a.317154781638645/5594359700584767/</v>
      </c>
      <c r="J3041" s="1" t="str">
        <f ca="1">IFERROR(__xludf.DUMMYFUNCTION("""COMPUTED_VALUE"""),"2022-07-04T21:38:13.905Z")</f>
        <v>2022-07-04T21:38:13.905Z</v>
      </c>
    </row>
    <row r="3042" spans="1:10" x14ac:dyDescent="0.2">
      <c r="A3042" s="2" t="str">
        <f ca="1">IFERROR(__xludf.DUMMYFUNCTION("""COMPUTED_VALUE"""),"https://www.facebook.com/aldrin.reyes.3760430")</f>
        <v>https://www.facebook.com/aldrin.reyes.3760430</v>
      </c>
      <c r="B3042" s="1" t="str">
        <f ca="1">IFERROR(__xludf.DUMMYFUNCTION("""COMPUTED_VALUE"""),"Aldrin Reyes")</f>
        <v>Aldrin Reyes</v>
      </c>
      <c r="C3042" s="1" t="str">
        <f ca="1">IFERROR(__xludf.DUMMYFUNCTION("""COMPUTED_VALUE"""),"Aldrin")</f>
        <v>Aldrin</v>
      </c>
      <c r="D3042" s="1" t="str">
        <f ca="1">IFERROR(__xludf.DUMMYFUNCTION("""COMPUTED_VALUE"""),"Reyes")</f>
        <v>Reyes</v>
      </c>
      <c r="E3042" s="1" t="str">
        <f ca="1">IFERROR(__xludf.DUMMYFUNCTION("""COMPUTED_VALUE"""),"Hindi kaya may HIDDEN AGENDA si pogi...")</f>
        <v>Hindi kaya may HIDDEN AGENDA si pogi...</v>
      </c>
      <c r="F3042" s="1"/>
      <c r="G3042" s="1" t="str">
        <f ca="1">IFERROR(__xludf.DUMMYFUNCTION("""COMPUTED_VALUE"""),"3 mos")</f>
        <v>3 mos</v>
      </c>
      <c r="H3042" s="1" t="str">
        <f ca="1">IFERROR(__xludf.DUMMYFUNCTION("""COMPUTED_VALUE"""),"comment")</f>
        <v>comment</v>
      </c>
      <c r="I3042" s="2" t="str">
        <f ca="1">IFERROR(__xludf.DUMMYFUNCTION("""COMPUTED_VALUE"""),"https://www.facebook.com/rapplerdotcom/photos/a.317154781638645/5594359700584767/")</f>
        <v>https://www.facebook.com/rapplerdotcom/photos/a.317154781638645/5594359700584767/</v>
      </c>
      <c r="J3042" s="1" t="str">
        <f ca="1">IFERROR(__xludf.DUMMYFUNCTION("""COMPUTED_VALUE"""),"2022-07-04T21:38:13.905Z")</f>
        <v>2022-07-04T21:38:13.905Z</v>
      </c>
    </row>
    <row r="3043" spans="1:10" x14ac:dyDescent="0.2">
      <c r="A3043" s="2" t="str">
        <f ca="1">IFERROR(__xludf.DUMMYFUNCTION("""COMPUTED_VALUE"""),"https://www.facebook.com/edwin.asis.58")</f>
        <v>https://www.facebook.com/edwin.asis.58</v>
      </c>
      <c r="B3043" s="1" t="str">
        <f ca="1">IFERROR(__xludf.DUMMYFUNCTION("""COMPUTED_VALUE"""),"Edwin Llames Asis")</f>
        <v>Edwin Llames Asis</v>
      </c>
      <c r="C3043" s="1" t="str">
        <f ca="1">IFERROR(__xludf.DUMMYFUNCTION("""COMPUTED_VALUE"""),"Edwin")</f>
        <v>Edwin</v>
      </c>
      <c r="D3043" s="1" t="str">
        <f ca="1">IFERROR(__xludf.DUMMYFUNCTION("""COMPUTED_VALUE"""),"Llames Asis")</f>
        <v>Llames Asis</v>
      </c>
      <c r="E3043" s="1" t="str">
        <f ca="1">IFERROR(__xludf.DUMMYFUNCTION("""COMPUTED_VALUE"""),"Honyango")</f>
        <v>Honyango</v>
      </c>
      <c r="F3043" s="1"/>
      <c r="G3043" s="1" t="str">
        <f ca="1">IFERROR(__xludf.DUMMYFUNCTION("""COMPUTED_VALUE"""),"3 mos")</f>
        <v>3 mos</v>
      </c>
      <c r="H3043" s="1" t="str">
        <f ca="1">IFERROR(__xludf.DUMMYFUNCTION("""COMPUTED_VALUE"""),"comment")</f>
        <v>comment</v>
      </c>
      <c r="I3043" s="2" t="str">
        <f ca="1">IFERROR(__xludf.DUMMYFUNCTION("""COMPUTED_VALUE"""),"https://www.facebook.com/rapplerdotcom/photos/a.317154781638645/5594359700584767/")</f>
        <v>https://www.facebook.com/rapplerdotcom/photos/a.317154781638645/5594359700584767/</v>
      </c>
      <c r="J3043" s="1" t="str">
        <f ca="1">IFERROR(__xludf.DUMMYFUNCTION("""COMPUTED_VALUE"""),"2022-07-04T21:38:13.905Z")</f>
        <v>2022-07-04T21:38:13.905Z</v>
      </c>
    </row>
    <row r="3044" spans="1:10" x14ac:dyDescent="0.2">
      <c r="A3044" s="2" t="str">
        <f ca="1">IFERROR(__xludf.DUMMYFUNCTION("""COMPUTED_VALUE"""),"https://www.facebook.com/profile.php?id=100005251668716")</f>
        <v>https://www.facebook.com/profile.php?id=100005251668716</v>
      </c>
      <c r="B3044" s="1" t="str">
        <f ca="1">IFERROR(__xludf.DUMMYFUNCTION("""COMPUTED_VALUE"""),"Mario Natural")</f>
        <v>Mario Natural</v>
      </c>
      <c r="C3044" s="1" t="str">
        <f ca="1">IFERROR(__xludf.DUMMYFUNCTION("""COMPUTED_VALUE"""),"Mario")</f>
        <v>Mario</v>
      </c>
      <c r="D3044" s="1" t="str">
        <f ca="1">IFERROR(__xludf.DUMMYFUNCTION("""COMPUTED_VALUE"""),"Natural")</f>
        <v>Natural</v>
      </c>
      <c r="E3044" s="1" t="str">
        <f ca="1">IFERROR(__xludf.DUMMYFUNCTION("""COMPUTED_VALUE"""),"All smile, Kwarta! na.🤣")</f>
        <v>All smile, Kwarta! na.🤣</v>
      </c>
      <c r="F3044" s="1">
        <f ca="1">IFERROR(__xludf.DUMMYFUNCTION("""COMPUTED_VALUE"""),1)</f>
        <v>1</v>
      </c>
      <c r="G3044" s="1" t="str">
        <f ca="1">IFERROR(__xludf.DUMMYFUNCTION("""COMPUTED_VALUE"""),"3 mos")</f>
        <v>3 mos</v>
      </c>
      <c r="H3044" s="1" t="str">
        <f ca="1">IFERROR(__xludf.DUMMYFUNCTION("""COMPUTED_VALUE"""),"comment")</f>
        <v>comment</v>
      </c>
      <c r="I3044" s="2" t="str">
        <f ca="1">IFERROR(__xludf.DUMMYFUNCTION("""COMPUTED_VALUE"""),"https://www.facebook.com/rapplerdotcom/photos/a.317154781638645/5594359700584767/")</f>
        <v>https://www.facebook.com/rapplerdotcom/photos/a.317154781638645/5594359700584767/</v>
      </c>
      <c r="J3044" s="1" t="str">
        <f ca="1">IFERROR(__xludf.DUMMYFUNCTION("""COMPUTED_VALUE"""),"2022-07-04T21:38:13.905Z")</f>
        <v>2022-07-04T21:38:13.905Z</v>
      </c>
    </row>
    <row r="3045" spans="1:10" x14ac:dyDescent="0.2">
      <c r="A3045" s="2" t="str">
        <f ca="1">IFERROR(__xludf.DUMMYFUNCTION("""COMPUTED_VALUE"""),"https://www.facebook.com/355wat")</f>
        <v>https://www.facebook.com/355wat</v>
      </c>
      <c r="B3045" s="1" t="str">
        <f ca="1">IFERROR(__xludf.DUMMYFUNCTION("""COMPUTED_VALUE"""),"Jack Diy")</f>
        <v>Jack Diy</v>
      </c>
      <c r="C3045" s="1" t="str">
        <f ca="1">IFERROR(__xludf.DUMMYFUNCTION("""COMPUTED_VALUE"""),"Jack")</f>
        <v>Jack</v>
      </c>
      <c r="D3045" s="1" t="str">
        <f ca="1">IFERROR(__xludf.DUMMYFUNCTION("""COMPUTED_VALUE"""),"Diy")</f>
        <v>Diy</v>
      </c>
      <c r="E3045" s="1" t="str">
        <f ca="1">IFERROR(__xludf.DUMMYFUNCTION("""COMPUTED_VALUE"""),"Desperadong hunyango!")</f>
        <v>Desperadong hunyango!</v>
      </c>
      <c r="F3045" s="1"/>
      <c r="G3045" s="1" t="str">
        <f ca="1">IFERROR(__xludf.DUMMYFUNCTION("""COMPUTED_VALUE"""),"3 mos")</f>
        <v>3 mos</v>
      </c>
      <c r="H3045" s="1" t="str">
        <f ca="1">IFERROR(__xludf.DUMMYFUNCTION("""COMPUTED_VALUE"""),"comment")</f>
        <v>comment</v>
      </c>
      <c r="I3045" s="2" t="str">
        <f ca="1">IFERROR(__xludf.DUMMYFUNCTION("""COMPUTED_VALUE"""),"https://www.facebook.com/rapplerdotcom/photos/a.317154781638645/5594359700584767/")</f>
        <v>https://www.facebook.com/rapplerdotcom/photos/a.317154781638645/5594359700584767/</v>
      </c>
      <c r="J3045" s="1" t="str">
        <f ca="1">IFERROR(__xludf.DUMMYFUNCTION("""COMPUTED_VALUE"""),"2022-07-04T21:38:13.905Z")</f>
        <v>2022-07-04T21:38:13.905Z</v>
      </c>
    </row>
    <row r="3046" spans="1:10" x14ac:dyDescent="0.2">
      <c r="A3046" s="2" t="str">
        <f ca="1">IFERROR(__xludf.DUMMYFUNCTION("""COMPUTED_VALUE"""),"https://www.facebook.com/antonio.yap.712")</f>
        <v>https://www.facebook.com/antonio.yap.712</v>
      </c>
      <c r="B3046" s="1" t="str">
        <f ca="1">IFERROR(__xludf.DUMMYFUNCTION("""COMPUTED_VALUE"""),"Antonio Yap")</f>
        <v>Antonio Yap</v>
      </c>
      <c r="C3046" s="1" t="str">
        <f ca="1">IFERROR(__xludf.DUMMYFUNCTION("""COMPUTED_VALUE"""),"Antonio")</f>
        <v>Antonio</v>
      </c>
      <c r="D3046" s="1" t="str">
        <f ca="1">IFERROR(__xludf.DUMMYFUNCTION("""COMPUTED_VALUE"""),"Yap")</f>
        <v>Yap</v>
      </c>
      <c r="E3046" s="1" t="str">
        <f ca="1">IFERROR(__xludf.DUMMYFUNCTION("""COMPUTED_VALUE"""),"baLIMBING YAN.")</f>
        <v>baLIMBING YAN.</v>
      </c>
      <c r="F3046" s="1"/>
      <c r="G3046" s="1" t="str">
        <f ca="1">IFERROR(__xludf.DUMMYFUNCTION("""COMPUTED_VALUE"""),"3 mos")</f>
        <v>3 mos</v>
      </c>
      <c r="H3046" s="1" t="str">
        <f ca="1">IFERROR(__xludf.DUMMYFUNCTION("""COMPUTED_VALUE"""),"comment")</f>
        <v>comment</v>
      </c>
      <c r="I3046" s="2" t="str">
        <f ca="1">IFERROR(__xludf.DUMMYFUNCTION("""COMPUTED_VALUE"""),"https://www.facebook.com/rapplerdotcom/photos/a.317154781638645/5594359700584767/")</f>
        <v>https://www.facebook.com/rapplerdotcom/photos/a.317154781638645/5594359700584767/</v>
      </c>
      <c r="J3046" s="1" t="str">
        <f ca="1">IFERROR(__xludf.DUMMYFUNCTION("""COMPUTED_VALUE"""),"2022-07-04T21:38:13.905Z")</f>
        <v>2022-07-04T21:38:13.905Z</v>
      </c>
    </row>
    <row r="3047" spans="1:10" x14ac:dyDescent="0.2">
      <c r="A3047" s="2" t="str">
        <f ca="1">IFERROR(__xludf.DUMMYFUNCTION("""COMPUTED_VALUE"""),"https://www.facebook.com/perryjun.agustin")</f>
        <v>https://www.facebook.com/perryjun.agustin</v>
      </c>
      <c r="B3047" s="1" t="str">
        <f ca="1">IFERROR(__xludf.DUMMYFUNCTION("""COMPUTED_VALUE"""),"Jun Ags")</f>
        <v>Jun Ags</v>
      </c>
      <c r="C3047" s="1" t="str">
        <f ca="1">IFERROR(__xludf.DUMMYFUNCTION("""COMPUTED_VALUE"""),"Jun")</f>
        <v>Jun</v>
      </c>
      <c r="D3047" s="1" t="str">
        <f ca="1">IFERROR(__xludf.DUMMYFUNCTION("""COMPUTED_VALUE"""),"Ags")</f>
        <v>Ags</v>
      </c>
      <c r="E3047" s="1" t="str">
        <f ca="1">IFERROR(__xludf.DUMMYFUNCTION("""COMPUTED_VALUE"""),"ganyan talaga and balimbing")</f>
        <v>ganyan talaga and balimbing</v>
      </c>
      <c r="F3047" s="1">
        <f ca="1">IFERROR(__xludf.DUMMYFUNCTION("""COMPUTED_VALUE"""),3)</f>
        <v>3</v>
      </c>
      <c r="G3047" s="1" t="str">
        <f ca="1">IFERROR(__xludf.DUMMYFUNCTION("""COMPUTED_VALUE"""),"3 mos")</f>
        <v>3 mos</v>
      </c>
      <c r="H3047" s="1" t="str">
        <f ca="1">IFERROR(__xludf.DUMMYFUNCTION("""COMPUTED_VALUE"""),"comment")</f>
        <v>comment</v>
      </c>
      <c r="I3047" s="2" t="str">
        <f ca="1">IFERROR(__xludf.DUMMYFUNCTION("""COMPUTED_VALUE"""),"https://www.facebook.com/rapplerdotcom/photos/a.317154781638645/5594359700584767/")</f>
        <v>https://www.facebook.com/rapplerdotcom/photos/a.317154781638645/5594359700584767/</v>
      </c>
      <c r="J3047" s="1" t="str">
        <f ca="1">IFERROR(__xludf.DUMMYFUNCTION("""COMPUTED_VALUE"""),"2022-07-04T21:38:13.905Z")</f>
        <v>2022-07-04T21:38:13.905Z</v>
      </c>
    </row>
    <row r="3048" spans="1:10" x14ac:dyDescent="0.2">
      <c r="A3048" s="2" t="str">
        <f ca="1">IFERROR(__xludf.DUMMYFUNCTION("""COMPUTED_VALUE"""),"https://www.facebook.com/maribeth.algodon")</f>
        <v>https://www.facebook.com/maribeth.algodon</v>
      </c>
      <c r="B3048" s="1" t="str">
        <f ca="1">IFERROR(__xludf.DUMMYFUNCTION("""COMPUTED_VALUE"""),"Reman Remandaban Rabannmde")</f>
        <v>Reman Remandaban Rabannmde</v>
      </c>
      <c r="C3048" s="1" t="str">
        <f ca="1">IFERROR(__xludf.DUMMYFUNCTION("""COMPUTED_VALUE"""),"Reman")</f>
        <v>Reman</v>
      </c>
      <c r="D3048" s="1" t="str">
        <f ca="1">IFERROR(__xludf.DUMMYFUNCTION("""COMPUTED_VALUE"""),"Remandaban Rabannmde")</f>
        <v>Remandaban Rabannmde</v>
      </c>
      <c r="E3048" s="1" t="str">
        <f ca="1">IFERROR(__xludf.DUMMYFUNCTION("""COMPUTED_VALUE"""),"Back2backperaperalang")</f>
        <v>Back2backperaperalang</v>
      </c>
      <c r="F3048" s="1">
        <f ca="1">IFERROR(__xludf.DUMMYFUNCTION("""COMPUTED_VALUE"""),1)</f>
        <v>1</v>
      </c>
      <c r="G3048" s="1" t="str">
        <f ca="1">IFERROR(__xludf.DUMMYFUNCTION("""COMPUTED_VALUE"""),"3 mos")</f>
        <v>3 mos</v>
      </c>
      <c r="H3048" s="1" t="str">
        <f ca="1">IFERROR(__xludf.DUMMYFUNCTION("""COMPUTED_VALUE"""),"comment")</f>
        <v>comment</v>
      </c>
      <c r="I3048" s="2" t="str">
        <f ca="1">IFERROR(__xludf.DUMMYFUNCTION("""COMPUTED_VALUE"""),"https://www.facebook.com/rapplerdotcom/photos/a.317154781638645/5594359700584767/")</f>
        <v>https://www.facebook.com/rapplerdotcom/photos/a.317154781638645/5594359700584767/</v>
      </c>
      <c r="J3048" s="1" t="str">
        <f ca="1">IFERROR(__xludf.DUMMYFUNCTION("""COMPUTED_VALUE"""),"2022-07-04T21:38:13.905Z")</f>
        <v>2022-07-04T21:38:13.905Z</v>
      </c>
    </row>
    <row r="3049" spans="1:10" x14ac:dyDescent="0.2">
      <c r="A3049" s="2" t="str">
        <f ca="1">IFERROR(__xludf.DUMMYFUNCTION("""COMPUTED_VALUE"""),"https://www.facebook.com/verminda.raymundo.96")</f>
        <v>https://www.facebook.com/verminda.raymundo.96</v>
      </c>
      <c r="B3049" s="1" t="str">
        <f ca="1">IFERROR(__xludf.DUMMYFUNCTION("""COMPUTED_VALUE"""),"Verminda Raymundo")</f>
        <v>Verminda Raymundo</v>
      </c>
      <c r="C3049" s="1" t="str">
        <f ca="1">IFERROR(__xludf.DUMMYFUNCTION("""COMPUTED_VALUE"""),"Verminda")</f>
        <v>Verminda</v>
      </c>
      <c r="D3049" s="1" t="str">
        <f ca="1">IFERROR(__xludf.DUMMYFUNCTION("""COMPUTED_VALUE"""),"Raymundo")</f>
        <v>Raymundo</v>
      </c>
      <c r="E3049" s="1" t="str">
        <f ca="1">IFERROR(__xludf.DUMMYFUNCTION("""COMPUTED_VALUE"""),"Uso pa ba ang balimbing ngayon?🤔")</f>
        <v>Uso pa ba ang balimbing ngayon?🤔</v>
      </c>
      <c r="F3049" s="1"/>
      <c r="G3049" s="1" t="str">
        <f ca="1">IFERROR(__xludf.DUMMYFUNCTION("""COMPUTED_VALUE"""),"3 mos")</f>
        <v>3 mos</v>
      </c>
      <c r="H3049" s="1" t="str">
        <f ca="1">IFERROR(__xludf.DUMMYFUNCTION("""COMPUTED_VALUE"""),"comment")</f>
        <v>comment</v>
      </c>
      <c r="I3049" s="2" t="str">
        <f ca="1">IFERROR(__xludf.DUMMYFUNCTION("""COMPUTED_VALUE"""),"https://www.facebook.com/rapplerdotcom/photos/a.317154781638645/5594359700584767/")</f>
        <v>https://www.facebook.com/rapplerdotcom/photos/a.317154781638645/5594359700584767/</v>
      </c>
      <c r="J3049" s="1" t="str">
        <f ca="1">IFERROR(__xludf.DUMMYFUNCTION("""COMPUTED_VALUE"""),"2022-07-04T21:38:13.905Z")</f>
        <v>2022-07-04T21:38:13.905Z</v>
      </c>
    </row>
    <row r="3050" spans="1:10" x14ac:dyDescent="0.2">
      <c r="A3050" s="2" t="str">
        <f ca="1">IFERROR(__xludf.DUMMYFUNCTION("""COMPUTED_VALUE"""),"https://www.facebook.com/profile.php?id=100069846437904")</f>
        <v>https://www.facebook.com/profile.php?id=100069846437904</v>
      </c>
      <c r="B3050" s="1" t="str">
        <f ca="1">IFERROR(__xludf.DUMMYFUNCTION("""COMPUTED_VALUE"""),"Romelito Boiser")</f>
        <v>Romelito Boiser</v>
      </c>
      <c r="C3050" s="1" t="str">
        <f ca="1">IFERROR(__xludf.DUMMYFUNCTION("""COMPUTED_VALUE"""),"Romelito")</f>
        <v>Romelito</v>
      </c>
      <c r="D3050" s="1" t="str">
        <f ca="1">IFERROR(__xludf.DUMMYFUNCTION("""COMPUTED_VALUE"""),"Boiser")</f>
        <v>Boiser</v>
      </c>
      <c r="E3050" s="1" t="str">
        <f ca="1">IFERROR(__xludf.DUMMYFUNCTION("""COMPUTED_VALUE"""),"Dapat hindi na yan ibuto.ng taga davao del norte.")</f>
        <v>Dapat hindi na yan ibuto.ng taga davao del norte.</v>
      </c>
      <c r="F3050" s="1"/>
      <c r="G3050" s="1" t="str">
        <f ca="1">IFERROR(__xludf.DUMMYFUNCTION("""COMPUTED_VALUE"""),"3 mos")</f>
        <v>3 mos</v>
      </c>
      <c r="H3050" s="1" t="str">
        <f ca="1">IFERROR(__xludf.DUMMYFUNCTION("""COMPUTED_VALUE"""),"comment")</f>
        <v>comment</v>
      </c>
      <c r="I3050" s="2" t="str">
        <f ca="1">IFERROR(__xludf.DUMMYFUNCTION("""COMPUTED_VALUE"""),"https://www.facebook.com/rapplerdotcom/photos/a.317154781638645/5594359700584767/")</f>
        <v>https://www.facebook.com/rapplerdotcom/photos/a.317154781638645/5594359700584767/</v>
      </c>
      <c r="J3050" s="1" t="str">
        <f ca="1">IFERROR(__xludf.DUMMYFUNCTION("""COMPUTED_VALUE"""),"2022-07-04T21:38:13.905Z")</f>
        <v>2022-07-04T21:38:13.905Z</v>
      </c>
    </row>
    <row r="3051" spans="1:10" x14ac:dyDescent="0.2">
      <c r="A3051" s="2" t="str">
        <f ca="1">IFERROR(__xludf.DUMMYFUNCTION("""COMPUTED_VALUE"""),"https://www.facebook.com/maldz.marcial04")</f>
        <v>https://www.facebook.com/maldz.marcial04</v>
      </c>
      <c r="B3051" s="1" t="str">
        <f ca="1">IFERROR(__xludf.DUMMYFUNCTION("""COMPUTED_VALUE"""),"Maldz Marcial")</f>
        <v>Maldz Marcial</v>
      </c>
      <c r="C3051" s="1" t="str">
        <f ca="1">IFERROR(__xludf.DUMMYFUNCTION("""COMPUTED_VALUE"""),"Maldz")</f>
        <v>Maldz</v>
      </c>
      <c r="D3051" s="1" t="str">
        <f ca="1">IFERROR(__xludf.DUMMYFUNCTION("""COMPUTED_VALUE"""),"Marcial")</f>
        <v>Marcial</v>
      </c>
      <c r="E3051" s="1" t="str">
        <f ca="1">IFERROR(__xludf.DUMMYFUNCTION("""COMPUTED_VALUE"""),"Ganid at mukhang pera talaga")</f>
        <v>Ganid at mukhang pera talaga</v>
      </c>
      <c r="F3051" s="1"/>
      <c r="G3051" s="1" t="str">
        <f ca="1">IFERROR(__xludf.DUMMYFUNCTION("""COMPUTED_VALUE"""),"3 mos")</f>
        <v>3 mos</v>
      </c>
      <c r="H3051" s="1" t="str">
        <f ca="1">IFERROR(__xludf.DUMMYFUNCTION("""COMPUTED_VALUE"""),"comment")</f>
        <v>comment</v>
      </c>
      <c r="I3051" s="2" t="str">
        <f ca="1">IFERROR(__xludf.DUMMYFUNCTION("""COMPUTED_VALUE"""),"https://www.facebook.com/rapplerdotcom/photos/a.317154781638645/5594359700584767/")</f>
        <v>https://www.facebook.com/rapplerdotcom/photos/a.317154781638645/5594359700584767/</v>
      </c>
      <c r="J3051" s="1" t="str">
        <f ca="1">IFERROR(__xludf.DUMMYFUNCTION("""COMPUTED_VALUE"""),"2022-07-04T21:38:13.905Z")</f>
        <v>2022-07-04T21:38:13.905Z</v>
      </c>
    </row>
    <row r="3052" spans="1:10" x14ac:dyDescent="0.2">
      <c r="A3052" s="2" t="str">
        <f ca="1">IFERROR(__xludf.DUMMYFUNCTION("""COMPUTED_VALUE"""),"https://www.facebook.com/eusebiobutchgarcia")</f>
        <v>https://www.facebook.com/eusebiobutchgarcia</v>
      </c>
      <c r="B3052" s="1" t="str">
        <f ca="1">IFERROR(__xludf.DUMMYFUNCTION("""COMPUTED_VALUE"""),"Eusebio Butch Garcia")</f>
        <v>Eusebio Butch Garcia</v>
      </c>
      <c r="C3052" s="1" t="str">
        <f ca="1">IFERROR(__xludf.DUMMYFUNCTION("""COMPUTED_VALUE"""),"Eusebio")</f>
        <v>Eusebio</v>
      </c>
      <c r="D3052" s="1" t="str">
        <f ca="1">IFERROR(__xludf.DUMMYFUNCTION("""COMPUTED_VALUE"""),"Butch Garcia")</f>
        <v>Butch Garcia</v>
      </c>
      <c r="E3052" s="1" t="str">
        <f ca="1">IFERROR(__xludf.DUMMYFUNCTION("""COMPUTED_VALUE"""),"Wala na bang makakapitan?")</f>
        <v>Wala na bang makakapitan?</v>
      </c>
      <c r="F3052" s="1"/>
      <c r="G3052" s="1" t="str">
        <f ca="1">IFERROR(__xludf.DUMMYFUNCTION("""COMPUTED_VALUE"""),"3 mos")</f>
        <v>3 mos</v>
      </c>
      <c r="H3052" s="1" t="str">
        <f ca="1">IFERROR(__xludf.DUMMYFUNCTION("""COMPUTED_VALUE"""),"comment")</f>
        <v>comment</v>
      </c>
      <c r="I3052" s="2" t="str">
        <f ca="1">IFERROR(__xludf.DUMMYFUNCTION("""COMPUTED_VALUE"""),"https://www.facebook.com/rapplerdotcom/photos/a.317154781638645/5594359700584767/")</f>
        <v>https://www.facebook.com/rapplerdotcom/photos/a.317154781638645/5594359700584767/</v>
      </c>
      <c r="J3052" s="1" t="str">
        <f ca="1">IFERROR(__xludf.DUMMYFUNCTION("""COMPUTED_VALUE"""),"2022-07-04T21:38:13.905Z")</f>
        <v>2022-07-04T21:38:13.905Z</v>
      </c>
    </row>
    <row r="3053" spans="1:10" x14ac:dyDescent="0.2">
      <c r="A3053" s="2" t="str">
        <f ca="1">IFERROR(__xludf.DUMMYFUNCTION("""COMPUTED_VALUE"""),"https://www.facebook.com/sue.idaloy")</f>
        <v>https://www.facebook.com/sue.idaloy</v>
      </c>
      <c r="B3053" s="1" t="str">
        <f ca="1">IFERROR(__xludf.DUMMYFUNCTION("""COMPUTED_VALUE"""),"NhoySue Bautista Idaloy")</f>
        <v>NhoySue Bautista Idaloy</v>
      </c>
      <c r="C3053" s="1" t="str">
        <f ca="1">IFERROR(__xludf.DUMMYFUNCTION("""COMPUTED_VALUE"""),"NhoySue")</f>
        <v>NhoySue</v>
      </c>
      <c r="D3053" s="1" t="str">
        <f ca="1">IFERROR(__xludf.DUMMYFUNCTION("""COMPUTED_VALUE"""),"Bautista Idaloy")</f>
        <v>Bautista Idaloy</v>
      </c>
      <c r="E3053" s="1" t="str">
        <f ca="1">IFERROR(__xludf.DUMMYFUNCTION("""COMPUTED_VALUE"""),"Itaas ang kamay ng mga balimbing,Mabuhay ang mga balimbing😂😂😂")</f>
        <v>Itaas ang kamay ng mga balimbing,Mabuhay ang mga balimbing😂😂😂</v>
      </c>
      <c r="F3053" s="1"/>
      <c r="G3053" s="1" t="str">
        <f ca="1">IFERROR(__xludf.DUMMYFUNCTION("""COMPUTED_VALUE"""),"3 mos")</f>
        <v>3 mos</v>
      </c>
      <c r="H3053" s="1" t="str">
        <f ca="1">IFERROR(__xludf.DUMMYFUNCTION("""COMPUTED_VALUE"""),"comment")</f>
        <v>comment</v>
      </c>
      <c r="I3053" s="2" t="str">
        <f ca="1">IFERROR(__xludf.DUMMYFUNCTION("""COMPUTED_VALUE"""),"https://www.facebook.com/rapplerdotcom/photos/a.317154781638645/5594359700584767/")</f>
        <v>https://www.facebook.com/rapplerdotcom/photos/a.317154781638645/5594359700584767/</v>
      </c>
      <c r="J3053" s="1" t="str">
        <f ca="1">IFERROR(__xludf.DUMMYFUNCTION("""COMPUTED_VALUE"""),"2022-07-04T21:38:13.905Z")</f>
        <v>2022-07-04T21:38:13.905Z</v>
      </c>
    </row>
    <row r="3054" spans="1:10" x14ac:dyDescent="0.2">
      <c r="A3054" s="2" t="str">
        <f ca="1">IFERROR(__xludf.DUMMYFUNCTION("""COMPUTED_VALUE"""),"https://www.facebook.com/phol.sanchez05")</f>
        <v>https://www.facebook.com/phol.sanchez05</v>
      </c>
      <c r="B3054" s="1" t="str">
        <f ca="1">IFERROR(__xludf.DUMMYFUNCTION("""COMPUTED_VALUE"""),"Phol Sanchez")</f>
        <v>Phol Sanchez</v>
      </c>
      <c r="C3054" s="1" t="str">
        <f ca="1">IFERROR(__xludf.DUMMYFUNCTION("""COMPUTED_VALUE"""),"Phol")</f>
        <v>Phol</v>
      </c>
      <c r="D3054" s="1" t="str">
        <f ca="1">IFERROR(__xludf.DUMMYFUNCTION("""COMPUTED_VALUE"""),"Sanchez")</f>
        <v>Sanchez</v>
      </c>
      <c r="E3054" s="1" t="str">
        <f ca="1">IFERROR(__xludf.DUMMYFUNCTION("""COMPUTED_VALUE"""),"bka mahirapan si jj idrived yan.")</f>
        <v>bka mahirapan si jj idrived yan.</v>
      </c>
      <c r="F3054" s="1"/>
      <c r="G3054" s="1" t="str">
        <f ca="1">IFERROR(__xludf.DUMMYFUNCTION("""COMPUTED_VALUE"""),"3 mos")</f>
        <v>3 mos</v>
      </c>
      <c r="H3054" s="1" t="str">
        <f ca="1">IFERROR(__xludf.DUMMYFUNCTION("""COMPUTED_VALUE"""),"comment")</f>
        <v>comment</v>
      </c>
      <c r="I3054" s="2" t="str">
        <f ca="1">IFERROR(__xludf.DUMMYFUNCTION("""COMPUTED_VALUE"""),"https://www.facebook.com/rapplerdotcom/photos/a.317154781638645/5594359700584767/")</f>
        <v>https://www.facebook.com/rapplerdotcom/photos/a.317154781638645/5594359700584767/</v>
      </c>
      <c r="J3054" s="1" t="str">
        <f ca="1">IFERROR(__xludf.DUMMYFUNCTION("""COMPUTED_VALUE"""),"2022-07-04T21:38:13.905Z")</f>
        <v>2022-07-04T21:38:13.905Z</v>
      </c>
    </row>
    <row r="3055" spans="1:10" x14ac:dyDescent="0.2">
      <c r="A3055" s="2" t="str">
        <f ca="1">IFERROR(__xludf.DUMMYFUNCTION("""COMPUTED_VALUE"""),"https://www.facebook.com/jake.arceno.new")</f>
        <v>https://www.facebook.com/jake.arceno.new</v>
      </c>
      <c r="B3055" s="1" t="str">
        <f ca="1">IFERROR(__xludf.DUMMYFUNCTION("""COMPUTED_VALUE"""),"Jąke Arcęno")</f>
        <v>Jąke Arcęno</v>
      </c>
      <c r="C3055" s="1" t="str">
        <f ca="1">IFERROR(__xludf.DUMMYFUNCTION("""COMPUTED_VALUE"""),"Jąke")</f>
        <v>Jąke</v>
      </c>
      <c r="D3055" s="1" t="str">
        <f ca="1">IFERROR(__xludf.DUMMYFUNCTION("""COMPUTED_VALUE"""),"Arcęno")</f>
        <v>Arcęno</v>
      </c>
      <c r="E3055" s="1" t="str">
        <f ca="1">IFERROR(__xludf.DUMMYFUNCTION("""COMPUTED_VALUE"""),"ingat sa mga balimbing.....")</f>
        <v>ingat sa mga balimbing.....</v>
      </c>
      <c r="F3055" s="1"/>
      <c r="G3055" s="1" t="str">
        <f ca="1">IFERROR(__xludf.DUMMYFUNCTION("""COMPUTED_VALUE"""),"3 mos")</f>
        <v>3 mos</v>
      </c>
      <c r="H3055" s="1" t="str">
        <f ca="1">IFERROR(__xludf.DUMMYFUNCTION("""COMPUTED_VALUE"""),"comment")</f>
        <v>comment</v>
      </c>
      <c r="I3055" s="2" t="str">
        <f ca="1">IFERROR(__xludf.DUMMYFUNCTION("""COMPUTED_VALUE"""),"https://www.facebook.com/rapplerdotcom/photos/a.317154781638645/5594359700584767/")</f>
        <v>https://www.facebook.com/rapplerdotcom/photos/a.317154781638645/5594359700584767/</v>
      </c>
      <c r="J3055" s="1" t="str">
        <f ca="1">IFERROR(__xludf.DUMMYFUNCTION("""COMPUTED_VALUE"""),"2022-07-04T21:38:13.905Z")</f>
        <v>2022-07-04T21:38:13.905Z</v>
      </c>
    </row>
    <row r="3056" spans="1:10" x14ac:dyDescent="0.2">
      <c r="A3056" s="2" t="str">
        <f ca="1">IFERROR(__xludf.DUMMYFUNCTION("""COMPUTED_VALUE"""),"https://www.facebook.com/merly.vederas")</f>
        <v>https://www.facebook.com/merly.vederas</v>
      </c>
      <c r="B3056" s="1" t="str">
        <f ca="1">IFERROR(__xludf.DUMMYFUNCTION("""COMPUTED_VALUE"""),"Merly Vederas")</f>
        <v>Merly Vederas</v>
      </c>
      <c r="C3056" s="1" t="str">
        <f ca="1">IFERROR(__xludf.DUMMYFUNCTION("""COMPUTED_VALUE"""),"Merly")</f>
        <v>Merly</v>
      </c>
      <c r="D3056" s="1" t="str">
        <f ca="1">IFERROR(__xludf.DUMMYFUNCTION("""COMPUTED_VALUE"""),"Vederas")</f>
        <v>Vederas</v>
      </c>
      <c r="E3056" s="1" t="str">
        <f ca="1">IFERROR(__xludf.DUMMYFUNCTION("""COMPUTED_VALUE"""),"Balimbing lang peg")</f>
        <v>Balimbing lang peg</v>
      </c>
      <c r="F3056" s="1"/>
      <c r="G3056" s="1" t="str">
        <f ca="1">IFERROR(__xludf.DUMMYFUNCTION("""COMPUTED_VALUE"""),"3 mos")</f>
        <v>3 mos</v>
      </c>
      <c r="H3056" s="1" t="str">
        <f ca="1">IFERROR(__xludf.DUMMYFUNCTION("""COMPUTED_VALUE"""),"comment")</f>
        <v>comment</v>
      </c>
      <c r="I3056" s="2" t="str">
        <f ca="1">IFERROR(__xludf.DUMMYFUNCTION("""COMPUTED_VALUE"""),"https://www.facebook.com/rapplerdotcom/photos/a.317154781638645/5594359700584767/")</f>
        <v>https://www.facebook.com/rapplerdotcom/photos/a.317154781638645/5594359700584767/</v>
      </c>
      <c r="J3056" s="1" t="str">
        <f ca="1">IFERROR(__xludf.DUMMYFUNCTION("""COMPUTED_VALUE"""),"2022-07-04T21:38:13.905Z")</f>
        <v>2022-07-04T21:38:13.905Z</v>
      </c>
    </row>
    <row r="3057" spans="1:10" x14ac:dyDescent="0.2">
      <c r="A3057" s="2" t="str">
        <f ca="1">IFERROR(__xludf.DUMMYFUNCTION("""COMPUTED_VALUE"""),"https://www.facebook.com/ces.lopez")</f>
        <v>https://www.facebook.com/ces.lopez</v>
      </c>
      <c r="B3057" s="1" t="str">
        <f ca="1">IFERROR(__xludf.DUMMYFUNCTION("""COMPUTED_VALUE"""),"Frances Lopez")</f>
        <v>Frances Lopez</v>
      </c>
      <c r="C3057" s="1" t="str">
        <f ca="1">IFERROR(__xludf.DUMMYFUNCTION("""COMPUTED_VALUE"""),"Frances")</f>
        <v>Frances</v>
      </c>
      <c r="D3057" s="1" t="str">
        <f ca="1">IFERROR(__xludf.DUMMYFUNCTION("""COMPUTED_VALUE"""),"Lopez")</f>
        <v>Lopez</v>
      </c>
      <c r="E3057" s="1" t="str">
        <f ca="1">IFERROR(__xludf.DUMMYFUNCTION("""COMPUTED_VALUE"""),"HAHAHAHAHAH! NAGKAGULO NA ANG MGA TRAYDOR.✌️✌️✌️")</f>
        <v>HAHAHAHAHAH! NAGKAGULO NA ANG MGA TRAYDOR.✌️✌️✌️</v>
      </c>
      <c r="F3057" s="1">
        <f ca="1">IFERROR(__xludf.DUMMYFUNCTION("""COMPUTED_VALUE"""),3)</f>
        <v>3</v>
      </c>
      <c r="G3057" s="1" t="str">
        <f ca="1">IFERROR(__xludf.DUMMYFUNCTION("""COMPUTED_VALUE"""),"3 mos")</f>
        <v>3 mos</v>
      </c>
      <c r="H3057" s="1" t="str">
        <f ca="1">IFERROR(__xludf.DUMMYFUNCTION("""COMPUTED_VALUE"""),"comment")</f>
        <v>comment</v>
      </c>
      <c r="I3057" s="2" t="str">
        <f ca="1">IFERROR(__xludf.DUMMYFUNCTION("""COMPUTED_VALUE"""),"https://www.facebook.com/rapplerdotcom/photos/a.317154781638645/5594359700584767/")</f>
        <v>https://www.facebook.com/rapplerdotcom/photos/a.317154781638645/5594359700584767/</v>
      </c>
      <c r="J3057" s="1" t="str">
        <f ca="1">IFERROR(__xludf.DUMMYFUNCTION("""COMPUTED_VALUE"""),"2022-07-04T21:38:13.905Z")</f>
        <v>2022-07-04T21:38:13.905Z</v>
      </c>
    </row>
    <row r="3058" spans="1:10" x14ac:dyDescent="0.2">
      <c r="A3058" s="2" t="str">
        <f ca="1">IFERROR(__xludf.DUMMYFUNCTION("""COMPUTED_VALUE"""),"https://www.facebook.com/jenny.o.lew")</f>
        <v>https://www.facebook.com/jenny.o.lew</v>
      </c>
      <c r="B3058" s="1" t="str">
        <f ca="1">IFERROR(__xludf.DUMMYFUNCTION("""COMPUTED_VALUE"""),"Jenny Oliva Lew")</f>
        <v>Jenny Oliva Lew</v>
      </c>
      <c r="C3058" s="1" t="str">
        <f ca="1">IFERROR(__xludf.DUMMYFUNCTION("""COMPUTED_VALUE"""),"Jenny")</f>
        <v>Jenny</v>
      </c>
      <c r="D3058" s="1" t="str">
        <f ca="1">IFERROR(__xludf.DUMMYFUNCTION("""COMPUTED_VALUE"""),"Oliva Lew")</f>
        <v>Oliva Lew</v>
      </c>
      <c r="E3058" s="1" t="str">
        <f ca="1">IFERROR(__xludf.DUMMYFUNCTION("""COMPUTED_VALUE"""),"Kasi gong gong yan na Tao.")</f>
        <v>Kasi gong gong yan na Tao.</v>
      </c>
      <c r="F3058" s="1"/>
      <c r="G3058" s="1" t="str">
        <f ca="1">IFERROR(__xludf.DUMMYFUNCTION("""COMPUTED_VALUE"""),"3 mos")</f>
        <v>3 mos</v>
      </c>
      <c r="H3058" s="1" t="str">
        <f ca="1">IFERROR(__xludf.DUMMYFUNCTION("""COMPUTED_VALUE"""),"comment")</f>
        <v>comment</v>
      </c>
      <c r="I3058" s="2" t="str">
        <f ca="1">IFERROR(__xludf.DUMMYFUNCTION("""COMPUTED_VALUE"""),"https://www.facebook.com/rapplerdotcom/photos/a.317154781638645/5594359700584767/")</f>
        <v>https://www.facebook.com/rapplerdotcom/photos/a.317154781638645/5594359700584767/</v>
      </c>
      <c r="J3058" s="1" t="str">
        <f ca="1">IFERROR(__xludf.DUMMYFUNCTION("""COMPUTED_VALUE"""),"2022-07-04T21:38:13.905Z")</f>
        <v>2022-07-04T21:38:13.905Z</v>
      </c>
    </row>
    <row r="3059" spans="1:10" x14ac:dyDescent="0.2">
      <c r="A3059" s="2" t="str">
        <f ca="1">IFERROR(__xludf.DUMMYFUNCTION("""COMPUTED_VALUE"""),"https://www.facebook.com/profile.php?id=100078610847597")</f>
        <v>https://www.facebook.com/profile.php?id=100078610847597</v>
      </c>
      <c r="B3059" s="1" t="str">
        <f ca="1">IFERROR(__xludf.DUMMYFUNCTION("""COMPUTED_VALUE"""),"Erin Domingo")</f>
        <v>Erin Domingo</v>
      </c>
      <c r="C3059" s="1" t="str">
        <f ca="1">IFERROR(__xludf.DUMMYFUNCTION("""COMPUTED_VALUE"""),"Erin")</f>
        <v>Erin</v>
      </c>
      <c r="D3059" s="1" t="str">
        <f ca="1">IFERROR(__xludf.DUMMYFUNCTION("""COMPUTED_VALUE"""),"Domingo")</f>
        <v>Domingo</v>
      </c>
      <c r="E3059" s="1" t="str">
        <f ca="1">IFERROR(__xludf.DUMMYFUNCTION("""COMPUTED_VALUE"""),"isko lang ang boboto namin. I wish Isko for president of our country")</f>
        <v>isko lang ang boboto namin. I wish Isko for president of our country</v>
      </c>
      <c r="F3059" s="1">
        <f ca="1">IFERROR(__xludf.DUMMYFUNCTION("""COMPUTED_VALUE"""),1)</f>
        <v>1</v>
      </c>
      <c r="G3059" s="1" t="str">
        <f ca="1">IFERROR(__xludf.DUMMYFUNCTION("""COMPUTED_VALUE"""),"3 mos")</f>
        <v>3 mos</v>
      </c>
      <c r="H3059" s="1" t="str">
        <f ca="1">IFERROR(__xludf.DUMMYFUNCTION("""COMPUTED_VALUE"""),"comment")</f>
        <v>comment</v>
      </c>
      <c r="I3059"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59" s="1" t="str">
        <f ca="1">IFERROR(__xludf.DUMMYFUNCTION("""COMPUTED_VALUE"""),"2022-07-04T21:38:41.009Z")</f>
        <v>2022-07-04T21:38:41.009Z</v>
      </c>
    </row>
    <row r="3060" spans="1:10" x14ac:dyDescent="0.2">
      <c r="A3060" s="2" t="str">
        <f ca="1">IFERROR(__xludf.DUMMYFUNCTION("""COMPUTED_VALUE"""),"https://www.facebook.com/profile.php?id=100078704860464")</f>
        <v>https://www.facebook.com/profile.php?id=100078704860464</v>
      </c>
      <c r="B3060" s="1" t="str">
        <f ca="1">IFERROR(__xludf.DUMMYFUNCTION("""COMPUTED_VALUE"""),"Fermina Hadjirul")</f>
        <v>Fermina Hadjirul</v>
      </c>
      <c r="C3060" s="1" t="str">
        <f ca="1">IFERROR(__xludf.DUMMYFUNCTION("""COMPUTED_VALUE"""),"Fermina")</f>
        <v>Fermina</v>
      </c>
      <c r="D3060" s="1" t="str">
        <f ca="1">IFERROR(__xludf.DUMMYFUNCTION("""COMPUTED_VALUE"""),"Hadjirul")</f>
        <v>Hadjirul</v>
      </c>
      <c r="E3060" s="1" t="str">
        <f ca="1">IFERROR(__xludf.DUMMYFUNCTION("""COMPUTED_VALUE"""),"kay kaya ni isko usbon ang bansa saan kapa duon kana sa leader na maaasahan talaga kungdi si Isko 💙 #3ParaKayIsko #3forme  Isko has proven something so I will vote for him")</f>
        <v>kay kaya ni isko usbon ang bansa saan kapa duon kana sa leader na maaasahan talaga kungdi si Isko 💙 #3ParaKayIsko #3forme  Isko has proven something so I will vote for him</v>
      </c>
      <c r="F3060" s="1"/>
      <c r="G3060" s="1" t="str">
        <f ca="1">IFERROR(__xludf.DUMMYFUNCTION("""COMPUTED_VALUE"""),"3 mos")</f>
        <v>3 mos</v>
      </c>
      <c r="H3060" s="1" t="str">
        <f ca="1">IFERROR(__xludf.DUMMYFUNCTION("""COMPUTED_VALUE"""),"comment")</f>
        <v>comment</v>
      </c>
      <c r="I3060"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60" s="1" t="str">
        <f ca="1">IFERROR(__xludf.DUMMYFUNCTION("""COMPUTED_VALUE"""),"2022-07-04T21:38:41.009Z")</f>
        <v>2022-07-04T21:38:41.009Z</v>
      </c>
    </row>
    <row r="3061" spans="1:10" x14ac:dyDescent="0.2">
      <c r="A3061" s="2" t="str">
        <f ca="1">IFERROR(__xludf.DUMMYFUNCTION("""COMPUTED_VALUE"""),"https://www.facebook.com/profile.php?id=100078424016875")</f>
        <v>https://www.facebook.com/profile.php?id=100078424016875</v>
      </c>
      <c r="B3061" s="1" t="str">
        <f ca="1">IFERROR(__xludf.DUMMYFUNCTION("""COMPUTED_VALUE"""),"Luiza Talon")</f>
        <v>Luiza Talon</v>
      </c>
      <c r="C3061" s="1" t="str">
        <f ca="1">IFERROR(__xludf.DUMMYFUNCTION("""COMPUTED_VALUE"""),"Luiza")</f>
        <v>Luiza</v>
      </c>
      <c r="D3061" s="1" t="str">
        <f ca="1">IFERROR(__xludf.DUMMYFUNCTION("""COMPUTED_VALUE"""),"Talon")</f>
        <v>Talon</v>
      </c>
      <c r="E3061" s="1" t="str">
        <f ca="1">IFERROR(__xludf.DUMMYFUNCTION("""COMPUTED_VALUE"""),"Gumanda maynila dahil kay Isko kaya siya ang mananalo Nice Yorme sana marami ka maantig si isko talaga ang pag asa ng bayan na ito")</f>
        <v>Gumanda maynila dahil kay Isko kaya siya ang mananalo Nice Yorme sana marami ka maantig si isko talaga ang pag asa ng bayan na ito</v>
      </c>
      <c r="F3061" s="1"/>
      <c r="G3061" s="1" t="str">
        <f ca="1">IFERROR(__xludf.DUMMYFUNCTION("""COMPUTED_VALUE"""),"3 mos")</f>
        <v>3 mos</v>
      </c>
      <c r="H3061" s="1" t="str">
        <f ca="1">IFERROR(__xludf.DUMMYFUNCTION("""COMPUTED_VALUE"""),"comment")</f>
        <v>comment</v>
      </c>
      <c r="I3061"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61" s="1" t="str">
        <f ca="1">IFERROR(__xludf.DUMMYFUNCTION("""COMPUTED_VALUE"""),"2022-07-04T21:38:41.009Z")</f>
        <v>2022-07-04T21:38:41.009Z</v>
      </c>
    </row>
    <row r="3062" spans="1:10" x14ac:dyDescent="0.2">
      <c r="A3062" s="2" t="str">
        <f ca="1">IFERROR(__xludf.DUMMYFUNCTION("""COMPUTED_VALUE"""),"https://www.facebook.com/profile.php?id=100077431578233")</f>
        <v>https://www.facebook.com/profile.php?id=100077431578233</v>
      </c>
      <c r="B3062" s="1" t="str">
        <f ca="1">IFERROR(__xludf.DUMMYFUNCTION("""COMPUTED_VALUE"""),"Mollie Verano")</f>
        <v>Mollie Verano</v>
      </c>
      <c r="C3062" s="1" t="str">
        <f ca="1">IFERROR(__xludf.DUMMYFUNCTION("""COMPUTED_VALUE"""),"Mollie")</f>
        <v>Mollie</v>
      </c>
      <c r="D3062" s="1" t="str">
        <f ca="1">IFERROR(__xludf.DUMMYFUNCTION("""COMPUTED_VALUE"""),"Verano")</f>
        <v>Verano</v>
      </c>
      <c r="E3062" s="1" t="str">
        <f ca="1">IFERROR(__xludf.DUMMYFUNCTION("""COMPUTED_VALUE"""),"Aahon tayo sa kahirapan pag nanalo si Isko ikaw ang may malaking naitulong mayor isko")</f>
        <v>Aahon tayo sa kahirapan pag nanalo si Isko ikaw ang may malaking naitulong mayor isko</v>
      </c>
      <c r="F3062" s="1"/>
      <c r="G3062" s="1" t="str">
        <f ca="1">IFERROR(__xludf.DUMMYFUNCTION("""COMPUTED_VALUE"""),"3 mos")</f>
        <v>3 mos</v>
      </c>
      <c r="H3062" s="1" t="str">
        <f ca="1">IFERROR(__xludf.DUMMYFUNCTION("""COMPUTED_VALUE"""),"comment")</f>
        <v>comment</v>
      </c>
      <c r="I3062"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62" s="1" t="str">
        <f ca="1">IFERROR(__xludf.DUMMYFUNCTION("""COMPUTED_VALUE"""),"2022-07-04T21:38:41.009Z")</f>
        <v>2022-07-04T21:38:41.009Z</v>
      </c>
    </row>
    <row r="3063" spans="1:10" x14ac:dyDescent="0.2">
      <c r="A3063" s="2" t="str">
        <f ca="1">IFERROR(__xludf.DUMMYFUNCTION("""COMPUTED_VALUE"""),"https://www.facebook.com/vsalmario")</f>
        <v>https://www.facebook.com/vsalmario</v>
      </c>
      <c r="B3063" s="1" t="str">
        <f ca="1">IFERROR(__xludf.DUMMYFUNCTION("""COMPUTED_VALUE"""),"Virgilio Almario")</f>
        <v>Virgilio Almario</v>
      </c>
      <c r="C3063" s="1" t="str">
        <f ca="1">IFERROR(__xludf.DUMMYFUNCTION("""COMPUTED_VALUE"""),"Virgilio")</f>
        <v>Virgilio</v>
      </c>
      <c r="D3063" s="1" t="str">
        <f ca="1">IFERROR(__xludf.DUMMYFUNCTION("""COMPUTED_VALUE"""),"Almario")</f>
        <v>Almario</v>
      </c>
      <c r="E3063" s="1" t="str">
        <f ca="1">IFERROR(__xludf.DUMMYFUNCTION("""COMPUTED_VALUE"""),"E magkapareho lang naman ng takbo ng utak si isko at si banayo.")</f>
        <v>E magkapareho lang naman ng takbo ng utak si isko at si banayo.</v>
      </c>
      <c r="F3063" s="1">
        <f ca="1">IFERROR(__xludf.DUMMYFUNCTION("""COMPUTED_VALUE"""),8)</f>
        <v>8</v>
      </c>
      <c r="G3063" s="1" t="str">
        <f ca="1">IFERROR(__xludf.DUMMYFUNCTION("""COMPUTED_VALUE"""),"3 mos")</f>
        <v>3 mos</v>
      </c>
      <c r="H3063" s="1" t="str">
        <f ca="1">IFERROR(__xludf.DUMMYFUNCTION("""COMPUTED_VALUE"""),"comment")</f>
        <v>comment</v>
      </c>
      <c r="I3063"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63" s="1" t="str">
        <f ca="1">IFERROR(__xludf.DUMMYFUNCTION("""COMPUTED_VALUE"""),"2022-07-04T21:38:41.009Z")</f>
        <v>2022-07-04T21:38:41.009Z</v>
      </c>
    </row>
    <row r="3064" spans="1:10" x14ac:dyDescent="0.2">
      <c r="A3064" s="2" t="str">
        <f ca="1">IFERROR(__xludf.DUMMYFUNCTION("""COMPUTED_VALUE"""),"https://www.facebook.com/bin.abdulmalikimam")</f>
        <v>https://www.facebook.com/bin.abdulmalikimam</v>
      </c>
      <c r="B3064" s="1" t="str">
        <f ca="1">IFERROR(__xludf.DUMMYFUNCTION("""COMPUTED_VALUE"""),"Bin Malik")</f>
        <v>Bin Malik</v>
      </c>
      <c r="C3064" s="1" t="str">
        <f ca="1">IFERROR(__xludf.DUMMYFUNCTION("""COMPUTED_VALUE"""),"Bin")</f>
        <v>Bin</v>
      </c>
      <c r="D3064" s="1" t="str">
        <f ca="1">IFERROR(__xludf.DUMMYFUNCTION("""COMPUTED_VALUE"""),"Malik")</f>
        <v>Malik</v>
      </c>
      <c r="E3064" s="1" t="str">
        <f ca="1">IFERROR(__xludf.DUMMYFUNCTION("""COMPUTED_VALUE"""),"Virgilio Almario ndi nga ano to feeling magaLing sa mundo😅☝️💙")</f>
        <v>Virgilio Almario ndi nga ano to feeling magaLing sa mundo😅☝️💙</v>
      </c>
      <c r="F3064" s="1">
        <f ca="1">IFERROR(__xludf.DUMMYFUNCTION("""COMPUTED_VALUE"""),2)</f>
        <v>2</v>
      </c>
      <c r="G3064" s="1" t="str">
        <f ca="1">IFERROR(__xludf.DUMMYFUNCTION("""COMPUTED_VALUE"""),"3 mos")</f>
        <v>3 mos</v>
      </c>
      <c r="H3064" s="1" t="str">
        <f ca="1">IFERROR(__xludf.DUMMYFUNCTION("""COMPUTED_VALUE"""),"reply")</f>
        <v>reply</v>
      </c>
      <c r="I3064"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64" s="1" t="str">
        <f ca="1">IFERROR(__xludf.DUMMYFUNCTION("""COMPUTED_VALUE"""),"2022-07-04T21:38:41.009Z")</f>
        <v>2022-07-04T21:38:41.009Z</v>
      </c>
    </row>
    <row r="3065" spans="1:10" x14ac:dyDescent="0.2">
      <c r="A3065" s="2" t="str">
        <f ca="1">IFERROR(__xludf.DUMMYFUNCTION("""COMPUTED_VALUE"""),"https://www.facebook.com/mariajovitzzz")</f>
        <v>https://www.facebook.com/mariajovitzzz</v>
      </c>
      <c r="B3065" s="1" t="str">
        <f ca="1">IFERROR(__xludf.DUMMYFUNCTION("""COMPUTED_VALUE"""),"Maria Jovita")</f>
        <v>Maria Jovita</v>
      </c>
      <c r="C3065" s="1" t="str">
        <f ca="1">IFERROR(__xludf.DUMMYFUNCTION("""COMPUTED_VALUE"""),"Maria")</f>
        <v>Maria</v>
      </c>
      <c r="D3065" s="1" t="str">
        <f ca="1">IFERROR(__xludf.DUMMYFUNCTION("""COMPUTED_VALUE"""),"Jovita")</f>
        <v>Jovita</v>
      </c>
      <c r="E3065" s="1" t="str">
        <f ca="1">IFERROR(__xludf.DUMMYFUNCTION("""COMPUTED_VALUE"""),"Virgilio Almario utak biya!")</f>
        <v>Virgilio Almario utak biya!</v>
      </c>
      <c r="F3065" s="1"/>
      <c r="G3065" s="1" t="str">
        <f ca="1">IFERROR(__xludf.DUMMYFUNCTION("""COMPUTED_VALUE"""),"3 mos")</f>
        <v>3 mos</v>
      </c>
      <c r="H3065" s="1" t="str">
        <f ca="1">IFERROR(__xludf.DUMMYFUNCTION("""COMPUTED_VALUE"""),"reply")</f>
        <v>reply</v>
      </c>
      <c r="I3065"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65" s="1" t="str">
        <f ca="1">IFERROR(__xludf.DUMMYFUNCTION("""COMPUTED_VALUE"""),"2022-07-04T21:38:41.009Z")</f>
        <v>2022-07-04T21:38:41.009Z</v>
      </c>
    </row>
    <row r="3066" spans="1:10" x14ac:dyDescent="0.2">
      <c r="A3066" s="2" t="str">
        <f ca="1">IFERROR(__xludf.DUMMYFUNCTION("""COMPUTED_VALUE"""),"https://www.facebook.com/profile.php?id=100077170219530")</f>
        <v>https://www.facebook.com/profile.php?id=100077170219530</v>
      </c>
      <c r="B3066" s="1" t="str">
        <f ca="1">IFERROR(__xludf.DUMMYFUNCTION("""COMPUTED_VALUE"""),"Juanetta Jenkins")</f>
        <v>Juanetta Jenkins</v>
      </c>
      <c r="C3066" s="1" t="str">
        <f ca="1">IFERROR(__xludf.DUMMYFUNCTION("""COMPUTED_VALUE"""),"Juanetta")</f>
        <v>Juanetta</v>
      </c>
      <c r="D3066" s="1" t="str">
        <f ca="1">IFERROR(__xludf.DUMMYFUNCTION("""COMPUTED_VALUE"""),"Jenkins")</f>
        <v>Jenkins</v>
      </c>
      <c r="E3066" s="1" t="str">
        <f ca="1">IFERROR(__xludf.DUMMYFUNCTION("""COMPUTED_VALUE"""),"Salamat sa mabubuting gawa isko si Mayor Isko Moreno ang sagot sa Bayan Magaling si isko kaya sya ang iboboto ko.")</f>
        <v>Salamat sa mabubuting gawa isko si Mayor Isko Moreno ang sagot sa Bayan Magaling si isko kaya sya ang iboboto ko.</v>
      </c>
      <c r="F3066" s="1"/>
      <c r="G3066" s="1" t="str">
        <f ca="1">IFERROR(__xludf.DUMMYFUNCTION("""COMPUTED_VALUE"""),"3 mos")</f>
        <v>3 mos</v>
      </c>
      <c r="H3066" s="1" t="str">
        <f ca="1">IFERROR(__xludf.DUMMYFUNCTION("""COMPUTED_VALUE"""),"comment")</f>
        <v>comment</v>
      </c>
      <c r="I3066"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66" s="1" t="str">
        <f ca="1">IFERROR(__xludf.DUMMYFUNCTION("""COMPUTED_VALUE"""),"2022-07-04T21:38:41.009Z")</f>
        <v>2022-07-04T21:38:41.009Z</v>
      </c>
    </row>
    <row r="3067" spans="1:10" x14ac:dyDescent="0.2">
      <c r="A3067" s="2" t="str">
        <f ca="1">IFERROR(__xludf.DUMMYFUNCTION("""COMPUTED_VALUE"""),"https://www.facebook.com/profile.php?id=100075805955471")</f>
        <v>https://www.facebook.com/profile.php?id=100075805955471</v>
      </c>
      <c r="B3067" s="1" t="str">
        <f ca="1">IFERROR(__xludf.DUMMYFUNCTION("""COMPUTED_VALUE"""),"Kita Sharif")</f>
        <v>Kita Sharif</v>
      </c>
      <c r="C3067" s="1" t="str">
        <f ca="1">IFERROR(__xludf.DUMMYFUNCTION("""COMPUTED_VALUE"""),"Kita")</f>
        <v>Kita</v>
      </c>
      <c r="D3067" s="1" t="str">
        <f ca="1">IFERROR(__xludf.DUMMYFUNCTION("""COMPUTED_VALUE"""),"Sharif")</f>
        <v>Sharif</v>
      </c>
      <c r="E3067" s="1" t="str">
        <f ca="1">IFERROR(__xludf.DUMMYFUNCTION("""COMPUTED_VALUE"""),"si Mayor Isko Moreno talaga ang aking iboboto go lang po yorme#3ParaKayIsko #3forme #3ParaKayIsko #3forme #3ParaKayIsko #3forme #3ParaKayIsko #3forme")</f>
        <v>si Mayor Isko Moreno talaga ang aking iboboto go lang po yorme#3ParaKayIsko #3forme #3ParaKayIsko #3forme #3ParaKayIsko #3forme #3ParaKayIsko #3forme</v>
      </c>
      <c r="F3067" s="1"/>
      <c r="G3067" s="1" t="str">
        <f ca="1">IFERROR(__xludf.DUMMYFUNCTION("""COMPUTED_VALUE"""),"3 mos")</f>
        <v>3 mos</v>
      </c>
      <c r="H3067" s="1" t="str">
        <f ca="1">IFERROR(__xludf.DUMMYFUNCTION("""COMPUTED_VALUE"""),"comment")</f>
        <v>comment</v>
      </c>
      <c r="I3067"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67" s="1" t="str">
        <f ca="1">IFERROR(__xludf.DUMMYFUNCTION("""COMPUTED_VALUE"""),"2022-07-04T21:38:41.009Z")</f>
        <v>2022-07-04T21:38:41.009Z</v>
      </c>
    </row>
    <row r="3068" spans="1:10" x14ac:dyDescent="0.2">
      <c r="A3068" s="2" t="str">
        <f ca="1">IFERROR(__xludf.DUMMYFUNCTION("""COMPUTED_VALUE"""),"https://www.facebook.com/profile.php?id=100078360290135")</f>
        <v>https://www.facebook.com/profile.php?id=100078360290135</v>
      </c>
      <c r="B3068" s="1" t="str">
        <f ca="1">IFERROR(__xludf.DUMMYFUNCTION("""COMPUTED_VALUE"""),"Anbessa Paulin")</f>
        <v>Anbessa Paulin</v>
      </c>
      <c r="C3068" s="1" t="str">
        <f ca="1">IFERROR(__xludf.DUMMYFUNCTION("""COMPUTED_VALUE"""),"Anbessa")</f>
        <v>Anbessa</v>
      </c>
      <c r="D3068" s="1" t="str">
        <f ca="1">IFERROR(__xludf.DUMMYFUNCTION("""COMPUTED_VALUE"""),"Paulin")</f>
        <v>Paulin</v>
      </c>
      <c r="E3068" s="1" t="str">
        <f ca="1">IFERROR(__xludf.DUMMYFUNCTION("""COMPUTED_VALUE"""),"ang pagmamahal sa bayan ay si isko ang mayroon Kudos kay isko sayo kami. Kanunay nga adunay buhaton si Isko ug dali nga molihok")</f>
        <v>ang pagmamahal sa bayan ay si isko ang mayroon Kudos kay isko sayo kami. Kanunay nga adunay buhaton si Isko ug dali nga molihok</v>
      </c>
      <c r="F3068" s="1"/>
      <c r="G3068" s="1" t="str">
        <f ca="1">IFERROR(__xludf.DUMMYFUNCTION("""COMPUTED_VALUE"""),"3 mos")</f>
        <v>3 mos</v>
      </c>
      <c r="H3068" s="1" t="str">
        <f ca="1">IFERROR(__xludf.DUMMYFUNCTION("""COMPUTED_VALUE"""),"comment")</f>
        <v>comment</v>
      </c>
      <c r="I3068"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68" s="1" t="str">
        <f ca="1">IFERROR(__xludf.DUMMYFUNCTION("""COMPUTED_VALUE"""),"2022-07-04T21:38:41.009Z")</f>
        <v>2022-07-04T21:38:41.009Z</v>
      </c>
    </row>
    <row r="3069" spans="1:10" x14ac:dyDescent="0.2">
      <c r="A3069" s="2" t="str">
        <f ca="1">IFERROR(__xludf.DUMMYFUNCTION("""COMPUTED_VALUE"""),"https://www.facebook.com/profile.php?id=100078889116529")</f>
        <v>https://www.facebook.com/profile.php?id=100078889116529</v>
      </c>
      <c r="B3069" s="1" t="str">
        <f ca="1">IFERROR(__xludf.DUMMYFUNCTION("""COMPUTED_VALUE"""),"Leilani Daculug")</f>
        <v>Leilani Daculug</v>
      </c>
      <c r="C3069" s="1" t="str">
        <f ca="1">IFERROR(__xludf.DUMMYFUNCTION("""COMPUTED_VALUE"""),"Leilani")</f>
        <v>Leilani</v>
      </c>
      <c r="D3069" s="1" t="str">
        <f ca="1">IFERROR(__xludf.DUMMYFUNCTION("""COMPUTED_VALUE"""),"Daculug")</f>
        <v>Daculug</v>
      </c>
      <c r="E3069" s="1" t="str">
        <f ca="1">IFERROR(__xludf.DUMMYFUNCTION("""COMPUTED_VALUE"""),"si isko the best talaga sa lahat. Isko never do such corruption , he will serve as a good leader we should vote for him #3ParaKayIsko #3forme  Kay isko may boses ang mahihirap.")</f>
        <v>si isko the best talaga sa lahat. Isko never do such corruption , he will serve as a good leader we should vote for him #3ParaKayIsko #3forme  Kay isko may boses ang mahihirap.</v>
      </c>
      <c r="F3069" s="1"/>
      <c r="G3069" s="1" t="str">
        <f ca="1">IFERROR(__xludf.DUMMYFUNCTION("""COMPUTED_VALUE"""),"3 mos")</f>
        <v>3 mos</v>
      </c>
      <c r="H3069" s="1" t="str">
        <f ca="1">IFERROR(__xludf.DUMMYFUNCTION("""COMPUTED_VALUE"""),"comment")</f>
        <v>comment</v>
      </c>
      <c r="I3069"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69" s="1" t="str">
        <f ca="1">IFERROR(__xludf.DUMMYFUNCTION("""COMPUTED_VALUE"""),"2022-07-04T21:38:41.009Z")</f>
        <v>2022-07-04T21:38:41.009Z</v>
      </c>
    </row>
    <row r="3070" spans="1:10" x14ac:dyDescent="0.2">
      <c r="A3070" s="2" t="str">
        <f ca="1">IFERROR(__xludf.DUMMYFUNCTION("""COMPUTED_VALUE"""),"https://www.facebook.com/profile.php?id=100077311853138")</f>
        <v>https://www.facebook.com/profile.php?id=100077311853138</v>
      </c>
      <c r="B3070" s="1" t="str">
        <f ca="1">IFERROR(__xludf.DUMMYFUNCTION("""COMPUTED_VALUE"""),"David Dilanggalen")</f>
        <v>David Dilanggalen</v>
      </c>
      <c r="C3070" s="1" t="str">
        <f ca="1">IFERROR(__xludf.DUMMYFUNCTION("""COMPUTED_VALUE"""),"David")</f>
        <v>David</v>
      </c>
      <c r="D3070" s="1" t="str">
        <f ca="1">IFERROR(__xludf.DUMMYFUNCTION("""COMPUTED_VALUE"""),"Dilanggalen")</f>
        <v>Dilanggalen</v>
      </c>
      <c r="E3070" s="1" t="str">
        <f ca="1">IFERROR(__xludf.DUMMYFUNCTION("""COMPUTED_VALUE"""),"Lagi talagang may aksyon si Isko kay isko kami talagang magaling. Talagang si isko ang nararapat.")</f>
        <v>Lagi talagang may aksyon si Isko kay isko kami talagang magaling. Talagang si isko ang nararapat.</v>
      </c>
      <c r="F3070" s="1"/>
      <c r="G3070" s="1" t="str">
        <f ca="1">IFERROR(__xludf.DUMMYFUNCTION("""COMPUTED_VALUE"""),"3 mos")</f>
        <v>3 mos</v>
      </c>
      <c r="H3070" s="1" t="str">
        <f ca="1">IFERROR(__xludf.DUMMYFUNCTION("""COMPUTED_VALUE"""),"comment")</f>
        <v>comment</v>
      </c>
      <c r="I3070"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70" s="1" t="str">
        <f ca="1">IFERROR(__xludf.DUMMYFUNCTION("""COMPUTED_VALUE"""),"2022-07-04T21:38:41.009Z")</f>
        <v>2022-07-04T21:38:41.009Z</v>
      </c>
    </row>
    <row r="3071" spans="1:10" x14ac:dyDescent="0.2">
      <c r="A3071" s="2" t="str">
        <f ca="1">IFERROR(__xludf.DUMMYFUNCTION("""COMPUTED_VALUE"""),"https://www.facebook.com/profile.php?id=100078635051322")</f>
        <v>https://www.facebook.com/profile.php?id=100078635051322</v>
      </c>
      <c r="B3071" s="1" t="str">
        <f ca="1">IFERROR(__xludf.DUMMYFUNCTION("""COMPUTED_VALUE"""),"Madelyn Caldero")</f>
        <v>Madelyn Caldero</v>
      </c>
      <c r="C3071" s="1" t="str">
        <f ca="1">IFERROR(__xludf.DUMMYFUNCTION("""COMPUTED_VALUE"""),"Madelyn")</f>
        <v>Madelyn</v>
      </c>
      <c r="D3071" s="1" t="str">
        <f ca="1">IFERROR(__xludf.DUMMYFUNCTION("""COMPUTED_VALUE"""),"Caldero")</f>
        <v>Caldero</v>
      </c>
      <c r="E3071" s="1" t="str">
        <f ca="1">IFERROR(__xludf.DUMMYFUNCTION("""COMPUTED_VALUE"""),"Kaya ko iboboto si Isko kase marami nagawa at mapapatunayan Salute to isko moreno. Totoo at maasahan natin si Isko")</f>
        <v>Kaya ko iboboto si Isko kase marami nagawa at mapapatunayan Salute to isko moreno. Totoo at maasahan natin si Isko</v>
      </c>
      <c r="F3071" s="1"/>
      <c r="G3071" s="1" t="str">
        <f ca="1">IFERROR(__xludf.DUMMYFUNCTION("""COMPUTED_VALUE"""),"3 mos")</f>
        <v>3 mos</v>
      </c>
      <c r="H3071" s="1" t="str">
        <f ca="1">IFERROR(__xludf.DUMMYFUNCTION("""COMPUTED_VALUE"""),"comment")</f>
        <v>comment</v>
      </c>
      <c r="I3071"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71" s="1" t="str">
        <f ca="1">IFERROR(__xludf.DUMMYFUNCTION("""COMPUTED_VALUE"""),"2022-07-04T21:38:41.009Z")</f>
        <v>2022-07-04T21:38:41.009Z</v>
      </c>
    </row>
    <row r="3072" spans="1:10" x14ac:dyDescent="0.2">
      <c r="A3072" s="2" t="str">
        <f ca="1">IFERROR(__xludf.DUMMYFUNCTION("""COMPUTED_VALUE"""),"https://www.facebook.com/profile.php?id=100078958080591")</f>
        <v>https://www.facebook.com/profile.php?id=100078958080591</v>
      </c>
      <c r="B3072" s="1" t="str">
        <f ca="1">IFERROR(__xludf.DUMMYFUNCTION("""COMPUTED_VALUE"""),"Valentina Salvador")</f>
        <v>Valentina Salvador</v>
      </c>
      <c r="C3072" s="1" t="str">
        <f ca="1">IFERROR(__xludf.DUMMYFUNCTION("""COMPUTED_VALUE"""),"Valentina")</f>
        <v>Valentina</v>
      </c>
      <c r="D3072" s="1" t="str">
        <f ca="1">IFERROR(__xludf.DUMMYFUNCTION("""COMPUTED_VALUE"""),"Salvador")</f>
        <v>Salvador</v>
      </c>
      <c r="E3072" s="1" t="str">
        <f ca="1">IFERROR(__xludf.DUMMYFUNCTION("""COMPUTED_VALUE"""),"Sge nga? Sino lang ba ang kandidatong maraming gawa? ISKO MORENO DBA? ikaw ang susuportahan namin")</f>
        <v>Sge nga? Sino lang ba ang kandidatong maraming gawa? ISKO MORENO DBA? ikaw ang susuportahan namin</v>
      </c>
      <c r="F3072" s="1"/>
      <c r="G3072" s="1" t="str">
        <f ca="1">IFERROR(__xludf.DUMMYFUNCTION("""COMPUTED_VALUE"""),"3 mos")</f>
        <v>3 mos</v>
      </c>
      <c r="H3072" s="1" t="str">
        <f ca="1">IFERROR(__xludf.DUMMYFUNCTION("""COMPUTED_VALUE"""),"comment")</f>
        <v>comment</v>
      </c>
      <c r="I3072"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72" s="1" t="str">
        <f ca="1">IFERROR(__xludf.DUMMYFUNCTION("""COMPUTED_VALUE"""),"2022-07-04T21:38:41.009Z")</f>
        <v>2022-07-04T21:38:41.009Z</v>
      </c>
    </row>
    <row r="3073" spans="1:10" x14ac:dyDescent="0.2">
      <c r="A3073" s="2" t="str">
        <f ca="1">IFERROR(__xludf.DUMMYFUNCTION("""COMPUTED_VALUE"""),"https://www.facebook.com/profile.php?id=100078791799526")</f>
        <v>https://www.facebook.com/profile.php?id=100078791799526</v>
      </c>
      <c r="B3073" s="1" t="str">
        <f ca="1">IFERROR(__xludf.DUMMYFUNCTION("""COMPUTED_VALUE"""),"Connor Magalona")</f>
        <v>Connor Magalona</v>
      </c>
      <c r="C3073" s="1" t="str">
        <f ca="1">IFERROR(__xludf.DUMMYFUNCTION("""COMPUTED_VALUE"""),"Connor")</f>
        <v>Connor</v>
      </c>
      <c r="D3073" s="1" t="str">
        <f ca="1">IFERROR(__xludf.DUMMYFUNCTION("""COMPUTED_VALUE"""),"Magalona")</f>
        <v>Magalona</v>
      </c>
      <c r="E3073" s="1" t="str">
        <f ca="1">IFERROR(__xludf.DUMMYFUNCTION("""COMPUTED_VALUE"""),"Mabisa maging leader si isko. Grabe umaksyon si isko kaya dyan kami. Isko is diligent in his duty")</f>
        <v>Mabisa maging leader si isko. Grabe umaksyon si isko kaya dyan kami. Isko is diligent in his duty</v>
      </c>
      <c r="F3073" s="1"/>
      <c r="G3073" s="1" t="str">
        <f ca="1">IFERROR(__xludf.DUMMYFUNCTION("""COMPUTED_VALUE"""),"3 mos")</f>
        <v>3 mos</v>
      </c>
      <c r="H3073" s="1" t="str">
        <f ca="1">IFERROR(__xludf.DUMMYFUNCTION("""COMPUTED_VALUE"""),"comment")</f>
        <v>comment</v>
      </c>
      <c r="I3073"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73" s="1" t="str">
        <f ca="1">IFERROR(__xludf.DUMMYFUNCTION("""COMPUTED_VALUE"""),"2022-07-04T21:38:41.009Z")</f>
        <v>2022-07-04T21:38:41.009Z</v>
      </c>
    </row>
    <row r="3074" spans="1:10" x14ac:dyDescent="0.2">
      <c r="A3074" s="2" t="str">
        <f ca="1">IFERROR(__xludf.DUMMYFUNCTION("""COMPUTED_VALUE"""),"https://www.facebook.com/profile.php?id=100078910084321")</f>
        <v>https://www.facebook.com/profile.php?id=100078910084321</v>
      </c>
      <c r="B3074" s="1" t="str">
        <f ca="1">IFERROR(__xludf.DUMMYFUNCTION("""COMPUTED_VALUE"""),"Kyleigh Lauzon")</f>
        <v>Kyleigh Lauzon</v>
      </c>
      <c r="C3074" s="1" t="str">
        <f ca="1">IFERROR(__xludf.DUMMYFUNCTION("""COMPUTED_VALUE"""),"Kyleigh")</f>
        <v>Kyleigh</v>
      </c>
      <c r="D3074" s="1" t="str">
        <f ca="1">IFERROR(__xludf.DUMMYFUNCTION("""COMPUTED_VALUE"""),"Lauzon")</f>
        <v>Lauzon</v>
      </c>
      <c r="E3074" s="1" t="str">
        <f ca="1">IFERROR(__xludf.DUMMYFUNCTION("""COMPUTED_VALUE"""),"isa ako sa mga natulungan mo na po Isko always has action that helps filipino Kanunay adunay buhaton si Isko")</f>
        <v>isa ako sa mga natulungan mo na po Isko always has action that helps filipino Kanunay adunay buhaton si Isko</v>
      </c>
      <c r="F3074" s="1"/>
      <c r="G3074" s="1" t="str">
        <f ca="1">IFERROR(__xludf.DUMMYFUNCTION("""COMPUTED_VALUE"""),"3 mos")</f>
        <v>3 mos</v>
      </c>
      <c r="H3074" s="1" t="str">
        <f ca="1">IFERROR(__xludf.DUMMYFUNCTION("""COMPUTED_VALUE"""),"comment")</f>
        <v>comment</v>
      </c>
      <c r="I3074"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74" s="1" t="str">
        <f ca="1">IFERROR(__xludf.DUMMYFUNCTION("""COMPUTED_VALUE"""),"2022-07-04T21:38:41.009Z")</f>
        <v>2022-07-04T21:38:41.009Z</v>
      </c>
    </row>
    <row r="3075" spans="1:10" x14ac:dyDescent="0.2">
      <c r="A3075" s="2" t="str">
        <f ca="1">IFERROR(__xludf.DUMMYFUNCTION("""COMPUTED_VALUE"""),"https://www.facebook.com/profile.php?id=100078431061985")</f>
        <v>https://www.facebook.com/profile.php?id=100078431061985</v>
      </c>
      <c r="B3075" s="1" t="str">
        <f ca="1">IFERROR(__xludf.DUMMYFUNCTION("""COMPUTED_VALUE"""),"Orquidia Sason")</f>
        <v>Orquidia Sason</v>
      </c>
      <c r="C3075" s="1" t="str">
        <f ca="1">IFERROR(__xludf.DUMMYFUNCTION("""COMPUTED_VALUE"""),"Orquidia")</f>
        <v>Orquidia</v>
      </c>
      <c r="D3075" s="1" t="str">
        <f ca="1">IFERROR(__xludf.DUMMYFUNCTION("""COMPUTED_VALUE"""),"Sason")</f>
        <v>Sason</v>
      </c>
      <c r="E3075" s="1" t="str">
        <f ca="1">IFERROR(__xludf.DUMMYFUNCTION("""COMPUTED_VALUE"""),"Kahit anong mangyare isko parin. go Isko, nasa likod mo ang buong bansa#3ParaKayIsko #3forme")</f>
        <v>Kahit anong mangyare isko parin. go Isko, nasa likod mo ang buong bansa#3ParaKayIsko #3forme</v>
      </c>
      <c r="F3075" s="1"/>
      <c r="G3075" s="1" t="str">
        <f ca="1">IFERROR(__xludf.DUMMYFUNCTION("""COMPUTED_VALUE"""),"3 mos")</f>
        <v>3 mos</v>
      </c>
      <c r="H3075" s="1" t="str">
        <f ca="1">IFERROR(__xludf.DUMMYFUNCTION("""COMPUTED_VALUE"""),"comment")</f>
        <v>comment</v>
      </c>
      <c r="I3075"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75" s="1" t="str">
        <f ca="1">IFERROR(__xludf.DUMMYFUNCTION("""COMPUTED_VALUE"""),"2022-07-04T21:38:41.009Z")</f>
        <v>2022-07-04T21:38:41.009Z</v>
      </c>
    </row>
    <row r="3076" spans="1:10" x14ac:dyDescent="0.2">
      <c r="A3076" s="2" t="str">
        <f ca="1">IFERROR(__xludf.DUMMYFUNCTION("""COMPUTED_VALUE"""),"https://www.facebook.com/profile.php?id=100078847867707")</f>
        <v>https://www.facebook.com/profile.php?id=100078847867707</v>
      </c>
      <c r="B3076" s="1" t="str">
        <f ca="1">IFERROR(__xludf.DUMMYFUNCTION("""COMPUTED_VALUE"""),"Adrien Magsino")</f>
        <v>Adrien Magsino</v>
      </c>
      <c r="C3076" s="1" t="str">
        <f ca="1">IFERROR(__xludf.DUMMYFUNCTION("""COMPUTED_VALUE"""),"Adrien")</f>
        <v>Adrien</v>
      </c>
      <c r="D3076" s="1" t="str">
        <f ca="1">IFERROR(__xludf.DUMMYFUNCTION("""COMPUTED_VALUE"""),"Magsino")</f>
        <v>Magsino</v>
      </c>
      <c r="E3076" s="1" t="str">
        <f ca="1">IFERROR(__xludf.DUMMYFUNCTION("""COMPUTED_VALUE"""),"sa mahihirap nandiyan si Isko noon paman tiwala na ako kay Isko #3ParaKayIsko #3forme")</f>
        <v>sa mahihirap nandiyan si Isko noon paman tiwala na ako kay Isko #3ParaKayIsko #3forme</v>
      </c>
      <c r="F3076" s="1"/>
      <c r="G3076" s="1" t="str">
        <f ca="1">IFERROR(__xludf.DUMMYFUNCTION("""COMPUTED_VALUE"""),"3 mos")</f>
        <v>3 mos</v>
      </c>
      <c r="H3076" s="1" t="str">
        <f ca="1">IFERROR(__xludf.DUMMYFUNCTION("""COMPUTED_VALUE"""),"comment")</f>
        <v>comment</v>
      </c>
      <c r="I3076"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76" s="1" t="str">
        <f ca="1">IFERROR(__xludf.DUMMYFUNCTION("""COMPUTED_VALUE"""),"2022-07-04T21:38:41.009Z")</f>
        <v>2022-07-04T21:38:41.009Z</v>
      </c>
    </row>
    <row r="3077" spans="1:10" x14ac:dyDescent="0.2">
      <c r="A3077" s="2" t="str">
        <f ca="1">IFERROR(__xludf.DUMMYFUNCTION("""COMPUTED_VALUE"""),"https://www.facebook.com/rey.delabe.988")</f>
        <v>https://www.facebook.com/rey.delabe.988</v>
      </c>
      <c r="B3077" s="1" t="str">
        <f ca="1">IFERROR(__xludf.DUMMYFUNCTION("""COMPUTED_VALUE"""),"Rey Delabe")</f>
        <v>Rey Delabe</v>
      </c>
      <c r="C3077" s="1" t="str">
        <f ca="1">IFERROR(__xludf.DUMMYFUNCTION("""COMPUTED_VALUE"""),"Rey")</f>
        <v>Rey</v>
      </c>
      <c r="D3077" s="1" t="str">
        <f ca="1">IFERROR(__xludf.DUMMYFUNCTION("""COMPUTED_VALUE"""),"Delabe")</f>
        <v>Delabe</v>
      </c>
      <c r="E3077" s="1" t="str">
        <f ca="1">IFERROR(__xludf.DUMMYFUNCTION("""COMPUTED_VALUE"""),"Hahaha kahit ke Madam Lugs lotayan si Eskopatiko🤣🤣🤣")</f>
        <v>Hahaha kahit ke Madam Lugs lotayan si Eskopatiko🤣🤣🤣</v>
      </c>
      <c r="F3077" s="1"/>
      <c r="G3077" s="1" t="str">
        <f ca="1">IFERROR(__xludf.DUMMYFUNCTION("""COMPUTED_VALUE"""),"3 mos")</f>
        <v>3 mos</v>
      </c>
      <c r="H3077" s="1" t="str">
        <f ca="1">IFERROR(__xludf.DUMMYFUNCTION("""COMPUTED_VALUE"""),"comment")</f>
        <v>comment</v>
      </c>
      <c r="I3077"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77" s="1" t="str">
        <f ca="1">IFERROR(__xludf.DUMMYFUNCTION("""COMPUTED_VALUE"""),"2022-07-04T21:38:41.009Z")</f>
        <v>2022-07-04T21:38:41.009Z</v>
      </c>
    </row>
    <row r="3078" spans="1:10" x14ac:dyDescent="0.2">
      <c r="A3078" s="2" t="str">
        <f ca="1">IFERROR(__xludf.DUMMYFUNCTION("""COMPUTED_VALUE"""),"https://www.facebook.com/profile.php?id=100078672788984")</f>
        <v>https://www.facebook.com/profile.php?id=100078672788984</v>
      </c>
      <c r="B3078" s="1" t="str">
        <f ca="1">IFERROR(__xludf.DUMMYFUNCTION("""COMPUTED_VALUE"""),"Harry Lacsamana")</f>
        <v>Harry Lacsamana</v>
      </c>
      <c r="C3078" s="1" t="str">
        <f ca="1">IFERROR(__xludf.DUMMYFUNCTION("""COMPUTED_VALUE"""),"Harry")</f>
        <v>Harry</v>
      </c>
      <c r="D3078" s="1" t="str">
        <f ca="1">IFERROR(__xludf.DUMMYFUNCTION("""COMPUTED_VALUE"""),"Lacsamana")</f>
        <v>Lacsamana</v>
      </c>
      <c r="E3078" s="1" t="str">
        <f ca="1">IFERROR(__xludf.DUMMYFUNCTION("""COMPUTED_VALUE"""),"Dyan kami kay isko solid mangalaga. isko moreno talagang marunong kaya dyan ako.")</f>
        <v>Dyan kami kay isko solid mangalaga. isko moreno talagang marunong kaya dyan ako.</v>
      </c>
      <c r="F3078" s="1"/>
      <c r="G3078" s="1" t="str">
        <f ca="1">IFERROR(__xludf.DUMMYFUNCTION("""COMPUTED_VALUE"""),"3 mos")</f>
        <v>3 mos</v>
      </c>
      <c r="H3078" s="1" t="str">
        <f ca="1">IFERROR(__xludf.DUMMYFUNCTION("""COMPUTED_VALUE"""),"comment")</f>
        <v>comment</v>
      </c>
      <c r="I3078"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78" s="1" t="str">
        <f ca="1">IFERROR(__xludf.DUMMYFUNCTION("""COMPUTED_VALUE"""),"2022-07-04T21:38:41.009Z")</f>
        <v>2022-07-04T21:38:41.009Z</v>
      </c>
    </row>
    <row r="3079" spans="1:10" x14ac:dyDescent="0.2">
      <c r="A3079" s="2" t="str">
        <f ca="1">IFERROR(__xludf.DUMMYFUNCTION("""COMPUTED_VALUE"""),"https://www.facebook.com/bin.abdulmalikimam")</f>
        <v>https://www.facebook.com/bin.abdulmalikimam</v>
      </c>
      <c r="B3079" s="1" t="str">
        <f ca="1">IFERROR(__xludf.DUMMYFUNCTION("""COMPUTED_VALUE"""),"Bin Malik")</f>
        <v>Bin Malik</v>
      </c>
      <c r="C3079" s="1" t="str">
        <f ca="1">IFERROR(__xludf.DUMMYFUNCTION("""COMPUTED_VALUE"""),"Bin")</f>
        <v>Bin</v>
      </c>
      <c r="D3079" s="1" t="str">
        <f ca="1">IFERROR(__xludf.DUMMYFUNCTION("""COMPUTED_VALUE"""),"Malik")</f>
        <v>Malik</v>
      </c>
      <c r="E3079" s="1" t="str">
        <f ca="1">IFERROR(__xludf.DUMMYFUNCTION("""COMPUTED_VALUE"""),"Good job drieza ang sumalpal kay weak leader sa senado☝️💙 isko lang kami wala ng iba☝️")</f>
        <v>Good job drieza ang sumalpal kay weak leader sa senado☝️💙 isko lang kami wala ng iba☝️</v>
      </c>
      <c r="F3079" s="1"/>
      <c r="G3079" s="1" t="str">
        <f ca="1">IFERROR(__xludf.DUMMYFUNCTION("""COMPUTED_VALUE"""),"3 mos")</f>
        <v>3 mos</v>
      </c>
      <c r="H3079" s="1" t="str">
        <f ca="1">IFERROR(__xludf.DUMMYFUNCTION("""COMPUTED_VALUE"""),"comment")</f>
        <v>comment</v>
      </c>
      <c r="I3079"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79" s="1" t="str">
        <f ca="1">IFERROR(__xludf.DUMMYFUNCTION("""COMPUTED_VALUE"""),"2022-07-04T21:38:41.009Z")</f>
        <v>2022-07-04T21:38:41.009Z</v>
      </c>
    </row>
    <row r="3080" spans="1:10" x14ac:dyDescent="0.2">
      <c r="A3080" s="2" t="str">
        <f ca="1">IFERROR(__xludf.DUMMYFUNCTION("""COMPUTED_VALUE"""),"https://www.facebook.com/dennismanaladd")</f>
        <v>https://www.facebook.com/dennismanaladd</v>
      </c>
      <c r="B3080" s="1" t="str">
        <f ca="1">IFERROR(__xludf.DUMMYFUNCTION("""COMPUTED_VALUE"""),"Dennis Manalad")</f>
        <v>Dennis Manalad</v>
      </c>
      <c r="C3080" s="1" t="str">
        <f ca="1">IFERROR(__xludf.DUMMYFUNCTION("""COMPUTED_VALUE"""),"Dennis")</f>
        <v>Dennis</v>
      </c>
      <c r="D3080" s="1" t="str">
        <f ca="1">IFERROR(__xludf.DUMMYFUNCTION("""COMPUTED_VALUE"""),"Manalad")</f>
        <v>Manalad</v>
      </c>
      <c r="E3080" s="1" t="str">
        <f ca="1">IFERROR(__xludf.DUMMYFUNCTION("""COMPUTED_VALUE"""),"kung nakukulangan po sa strategy  campaign sana po suggest tayo para mas gumanda at maging successful ang campaign rally ng ating pambato. Isko Moreno Domagoso for President.")</f>
        <v>kung nakukulangan po sa strategy  campaign sana po suggest tayo para mas gumanda at maging successful ang campaign rally ng ating pambato. Isko Moreno Domagoso for President.</v>
      </c>
      <c r="F3080" s="1"/>
      <c r="G3080" s="1" t="str">
        <f ca="1">IFERROR(__xludf.DUMMYFUNCTION("""COMPUTED_VALUE"""),"3 mos")</f>
        <v>3 mos</v>
      </c>
      <c r="H3080" s="1" t="str">
        <f ca="1">IFERROR(__xludf.DUMMYFUNCTION("""COMPUTED_VALUE"""),"comment")</f>
        <v>comment</v>
      </c>
      <c r="I3080"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80" s="1" t="str">
        <f ca="1">IFERROR(__xludf.DUMMYFUNCTION("""COMPUTED_VALUE"""),"2022-07-04T21:38:41.009Z")</f>
        <v>2022-07-04T21:38:41.009Z</v>
      </c>
    </row>
    <row r="3081" spans="1:10" x14ac:dyDescent="0.2">
      <c r="A3081" s="2" t="str">
        <f ca="1">IFERROR(__xludf.DUMMYFUNCTION("""COMPUTED_VALUE"""),"https://www.facebook.com/profile.php?id=100074253206798")</f>
        <v>https://www.facebook.com/profile.php?id=100074253206798</v>
      </c>
      <c r="B3081" s="1" t="str">
        <f ca="1">IFERROR(__xludf.DUMMYFUNCTION("""COMPUTED_VALUE"""),"Allan Guerrero Gaddi")</f>
        <v>Allan Guerrero Gaddi</v>
      </c>
      <c r="C3081" s="1" t="str">
        <f ca="1">IFERROR(__xludf.DUMMYFUNCTION("""COMPUTED_VALUE"""),"Allan")</f>
        <v>Allan</v>
      </c>
      <c r="D3081" s="1" t="str">
        <f ca="1">IFERROR(__xludf.DUMMYFUNCTION("""COMPUTED_VALUE"""),"Guerrero Gaddi")</f>
        <v>Guerrero Gaddi</v>
      </c>
      <c r="E3081" s="1" t="str">
        <f ca="1">IFERROR(__xludf.DUMMYFUNCTION("""COMPUTED_VALUE"""),"ISKO NA TALAGA!! #SWITCHTOISKO #BILISKILOS")</f>
        <v>ISKO NA TALAGA!! #SWITCHTOISKO #BILISKILOS</v>
      </c>
      <c r="F3081" s="1">
        <f ca="1">IFERROR(__xludf.DUMMYFUNCTION("""COMPUTED_VALUE"""),3)</f>
        <v>3</v>
      </c>
      <c r="G3081" s="1" t="str">
        <f ca="1">IFERROR(__xludf.DUMMYFUNCTION("""COMPUTED_VALUE"""),"3 mos")</f>
        <v>3 mos</v>
      </c>
      <c r="H3081" s="1" t="str">
        <f ca="1">IFERROR(__xludf.DUMMYFUNCTION("""COMPUTED_VALUE"""),"comment")</f>
        <v>comment</v>
      </c>
      <c r="I3081"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81" s="1" t="str">
        <f ca="1">IFERROR(__xludf.DUMMYFUNCTION("""COMPUTED_VALUE"""),"2022-07-04T21:38:41.009Z")</f>
        <v>2022-07-04T21:38:41.009Z</v>
      </c>
    </row>
    <row r="3082" spans="1:10" x14ac:dyDescent="0.2">
      <c r="A3082" s="2" t="str">
        <f ca="1">IFERROR(__xludf.DUMMYFUNCTION("""COMPUTED_VALUE"""),"https://www.facebook.com/jed.alegado")</f>
        <v>https://www.facebook.com/jed.alegado</v>
      </c>
      <c r="B3082" s="1" t="str">
        <f ca="1">IFERROR(__xludf.DUMMYFUNCTION("""COMPUTED_VALUE"""),"Jed Baluyot Alegado")</f>
        <v>Jed Baluyot Alegado</v>
      </c>
      <c r="C3082" s="1" t="str">
        <f ca="1">IFERROR(__xludf.DUMMYFUNCTION("""COMPUTED_VALUE"""),"Jed")</f>
        <v>Jed</v>
      </c>
      <c r="D3082" s="1" t="str">
        <f ca="1">IFERROR(__xludf.DUMMYFUNCTION("""COMPUTED_VALUE"""),"Baluyot Alegado")</f>
        <v>Baluyot Alegado</v>
      </c>
      <c r="E3082" s="1" t="str">
        <f ca="1">IFERROR(__xludf.DUMMYFUNCTION("""COMPUTED_VALUE"""),"Argee Gallardo")</f>
        <v>Argee Gallardo</v>
      </c>
      <c r="F3082" s="1"/>
      <c r="G3082" s="1" t="str">
        <f ca="1">IFERROR(__xludf.DUMMYFUNCTION("""COMPUTED_VALUE"""),"3 mos")</f>
        <v>3 mos</v>
      </c>
      <c r="H3082" s="1" t="str">
        <f ca="1">IFERROR(__xludf.DUMMYFUNCTION("""COMPUTED_VALUE"""),"comment")</f>
        <v>comment</v>
      </c>
      <c r="I3082"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82" s="1" t="str">
        <f ca="1">IFERROR(__xludf.DUMMYFUNCTION("""COMPUTED_VALUE"""),"2022-07-04T21:38:41.009Z")</f>
        <v>2022-07-04T21:38:41.009Z</v>
      </c>
    </row>
    <row r="3083" spans="1:10" x14ac:dyDescent="0.2">
      <c r="A3083" s="2" t="str">
        <f ca="1">IFERROR(__xludf.DUMMYFUNCTION("""COMPUTED_VALUE"""),"https://www.facebook.com/gobi.castle.9")</f>
        <v>https://www.facebook.com/gobi.castle.9</v>
      </c>
      <c r="B3083" s="1" t="str">
        <f ca="1">IFERROR(__xludf.DUMMYFUNCTION("""COMPUTED_VALUE"""),"Rommel Constantine Castillo")</f>
        <v>Rommel Constantine Castillo</v>
      </c>
      <c r="C3083" s="1" t="str">
        <f ca="1">IFERROR(__xludf.DUMMYFUNCTION("""COMPUTED_VALUE"""),"Rommel")</f>
        <v>Rommel</v>
      </c>
      <c r="D3083" s="1" t="str">
        <f ca="1">IFERROR(__xludf.DUMMYFUNCTION("""COMPUTED_VALUE"""),"Constantine Castillo")</f>
        <v>Constantine Castillo</v>
      </c>
      <c r="E3083" s="1" t="str">
        <f ca="1">IFERROR(__xludf.DUMMYFUNCTION("""COMPUTED_VALUE"""),"Eh DDS halos lahat ng campaign team nya and DDS naman talaga si Isko di nya maitatago ... Trapo in short.")</f>
        <v>Eh DDS halos lahat ng campaign team nya and DDS naman talaga si Isko di nya maitatago ... Trapo in short.</v>
      </c>
      <c r="F3083" s="1"/>
      <c r="G3083" s="1" t="str">
        <f ca="1">IFERROR(__xludf.DUMMYFUNCTION("""COMPUTED_VALUE"""),"3 mos")</f>
        <v>3 mos</v>
      </c>
      <c r="H3083" s="1" t="str">
        <f ca="1">IFERROR(__xludf.DUMMYFUNCTION("""COMPUTED_VALUE"""),"comment")</f>
        <v>comment</v>
      </c>
      <c r="I3083" s="2" t="str">
        <f ca="1">IFERROR(__xludf.DUMMYFUNCTION("""COMPUTED_VALUE"""),"https://www.facebook.com/rapplerdotcom/posts/pfbid0JJW97xH5fR5tDSLUQ8AnEgkPMU9Aigs9CgcNy2Q7AzJY4R8mRoicBgu3PLdqpf2Tl")</f>
        <v>https://www.facebook.com/rapplerdotcom/posts/pfbid0JJW97xH5fR5tDSLUQ8AnEgkPMU9Aigs9CgcNy2Q7AzJY4R8mRoicBgu3PLdqpf2Tl</v>
      </c>
      <c r="J3083" s="1" t="str">
        <f ca="1">IFERROR(__xludf.DUMMYFUNCTION("""COMPUTED_VALUE"""),"2022-07-04T21:38:41.009Z")</f>
        <v>2022-07-04T21:38:41.009Z</v>
      </c>
    </row>
    <row r="3084" spans="1:10" x14ac:dyDescent="0.2">
      <c r="A3084" s="2" t="str">
        <f ca="1">IFERROR(__xludf.DUMMYFUNCTION("""COMPUTED_VALUE"""),"https://www.facebook.com/johndiazcortez")</f>
        <v>https://www.facebook.com/johndiazcortez</v>
      </c>
      <c r="B3084" s="1" t="str">
        <f ca="1">IFERROR(__xludf.DUMMYFUNCTION("""COMPUTED_VALUE"""),"John Diaz Cortez")</f>
        <v>John Diaz Cortez</v>
      </c>
      <c r="C3084" s="1" t="str">
        <f ca="1">IFERROR(__xludf.DUMMYFUNCTION("""COMPUTED_VALUE"""),"John")</f>
        <v>John</v>
      </c>
      <c r="D3084" s="1" t="str">
        <f ca="1">IFERROR(__xludf.DUMMYFUNCTION("""COMPUTED_VALUE"""),"Diaz Cortez")</f>
        <v>Diaz Cortez</v>
      </c>
      <c r="E3084" s="1" t="str">
        <f ca="1">IFERROR(__xludf.DUMMYFUNCTION("""COMPUTED_VALUE"""),"#LetLeniLead #LeniKiko2022 #AngatBuhayLahat #KulayRosasAngBukas")</f>
        <v>#LetLeniLead #LeniKiko2022 #AngatBuhayLahat #KulayRosasAngBukas</v>
      </c>
      <c r="F3084" s="1">
        <f ca="1">IFERROR(__xludf.DUMMYFUNCTION("""COMPUTED_VALUE"""),4)</f>
        <v>4</v>
      </c>
      <c r="G3084" s="1" t="str">
        <f ca="1">IFERROR(__xludf.DUMMYFUNCTION("""COMPUTED_VALUE"""),"3 mos")</f>
        <v>3 mos</v>
      </c>
      <c r="H3084" s="1" t="str">
        <f ca="1">IFERROR(__xludf.DUMMYFUNCTION("""COMPUTED_VALUE"""),"comment")</f>
        <v>comment</v>
      </c>
      <c r="I3084" s="2" t="str">
        <f ca="1">IFERROR(__xludf.DUMMYFUNCTION("""COMPUTED_VALUE"""),"https://www.facebook.com/watch/?v=684555919511830")</f>
        <v>https://www.facebook.com/watch/?v=684555919511830</v>
      </c>
      <c r="J3084" s="1" t="str">
        <f ca="1">IFERROR(__xludf.DUMMYFUNCTION("""COMPUTED_VALUE"""),"2022-07-04T21:38:52.760Z")</f>
        <v>2022-07-04T21:38:52.760Z</v>
      </c>
    </row>
    <row r="3085" spans="1:10" x14ac:dyDescent="0.2">
      <c r="A3085" s="2" t="str">
        <f ca="1">IFERROR(__xludf.DUMMYFUNCTION("""COMPUTED_VALUE"""),"https://www.facebook.com/honesto.pabilando.7")</f>
        <v>https://www.facebook.com/honesto.pabilando.7</v>
      </c>
      <c r="B3085" s="1" t="str">
        <f ca="1">IFERROR(__xludf.DUMMYFUNCTION("""COMPUTED_VALUE"""),"Honesto Pabilando")</f>
        <v>Honesto Pabilando</v>
      </c>
      <c r="C3085" s="1" t="str">
        <f ca="1">IFERROR(__xludf.DUMMYFUNCTION("""COMPUTED_VALUE"""),"Honesto")</f>
        <v>Honesto</v>
      </c>
      <c r="D3085" s="1" t="str">
        <f ca="1">IFERROR(__xludf.DUMMYFUNCTION("""COMPUTED_VALUE"""),"Pabilando")</f>
        <v>Pabilando</v>
      </c>
      <c r="E3085" s="1" t="str">
        <f ca="1">IFERROR(__xludf.DUMMYFUNCTION("""COMPUTED_VALUE"""),"Robredo for a better Philippines!")</f>
        <v>Robredo for a better Philippines!</v>
      </c>
      <c r="F3085" s="1">
        <f ca="1">IFERROR(__xludf.DUMMYFUNCTION("""COMPUTED_VALUE"""),3)</f>
        <v>3</v>
      </c>
      <c r="G3085" s="1" t="str">
        <f ca="1">IFERROR(__xludf.DUMMYFUNCTION("""COMPUTED_VALUE"""),"3 mos")</f>
        <v>3 mos</v>
      </c>
      <c r="H3085" s="1" t="str">
        <f ca="1">IFERROR(__xludf.DUMMYFUNCTION("""COMPUTED_VALUE"""),"comment")</f>
        <v>comment</v>
      </c>
      <c r="I3085" s="2" t="str">
        <f ca="1">IFERROR(__xludf.DUMMYFUNCTION("""COMPUTED_VALUE"""),"https://www.facebook.com/watch/?v=684555919511830")</f>
        <v>https://www.facebook.com/watch/?v=684555919511830</v>
      </c>
      <c r="J3085" s="1" t="str">
        <f ca="1">IFERROR(__xludf.DUMMYFUNCTION("""COMPUTED_VALUE"""),"2022-07-04T21:38:52.760Z")</f>
        <v>2022-07-04T21:38:52.760Z</v>
      </c>
    </row>
    <row r="3086" spans="1:10" x14ac:dyDescent="0.2">
      <c r="A3086" s="2" t="str">
        <f ca="1">IFERROR(__xludf.DUMMYFUNCTION("""COMPUTED_VALUE"""),"https://www.facebook.com/mayette.miranda.9")</f>
        <v>https://www.facebook.com/mayette.miranda.9</v>
      </c>
      <c r="B3086" s="1" t="str">
        <f ca="1">IFERROR(__xludf.DUMMYFUNCTION("""COMPUTED_VALUE"""),"Mayette Miranda")</f>
        <v>Mayette Miranda</v>
      </c>
      <c r="C3086" s="1" t="str">
        <f ca="1">IFERROR(__xludf.DUMMYFUNCTION("""COMPUTED_VALUE"""),"Mayette")</f>
        <v>Mayette</v>
      </c>
      <c r="D3086" s="1" t="str">
        <f ca="1">IFERROR(__xludf.DUMMYFUNCTION("""COMPUTED_VALUE"""),"Miranda")</f>
        <v>Miranda</v>
      </c>
      <c r="E3086" s="1" t="str">
        <f ca="1">IFERROR(__xludf.DUMMYFUNCTION("""COMPUTED_VALUE"""),"#10RobredoForPresident  #7KikoPangilinanVicePresident  #TropangAngat  Vote Straight LeniKiko and Senatorial Slate-Tropang #PHVote  #WeDecide")</f>
        <v>#10RobredoForPresident  #7KikoPangilinanVicePresident  #TropangAngat  Vote Straight LeniKiko and Senatorial Slate-Tropang #PHVote  #WeDecide</v>
      </c>
      <c r="F3086" s="1"/>
      <c r="G3086" s="1" t="str">
        <f ca="1">IFERROR(__xludf.DUMMYFUNCTION("""COMPUTED_VALUE"""),"3 mos")</f>
        <v>3 mos</v>
      </c>
      <c r="H3086" s="1" t="str">
        <f ca="1">IFERROR(__xludf.DUMMYFUNCTION("""COMPUTED_VALUE"""),"comment")</f>
        <v>comment</v>
      </c>
      <c r="I3086" s="2" t="str">
        <f ca="1">IFERROR(__xludf.DUMMYFUNCTION("""COMPUTED_VALUE"""),"https://www.facebook.com/watch/?v=684555919511830")</f>
        <v>https://www.facebook.com/watch/?v=684555919511830</v>
      </c>
      <c r="J3086" s="1" t="str">
        <f ca="1">IFERROR(__xludf.DUMMYFUNCTION("""COMPUTED_VALUE"""),"2022-07-04T21:38:52.760Z")</f>
        <v>2022-07-04T21:38:52.760Z</v>
      </c>
    </row>
    <row r="3087" spans="1:10" x14ac:dyDescent="0.2">
      <c r="A3087" s="2" t="str">
        <f ca="1">IFERROR(__xludf.DUMMYFUNCTION("""COMPUTED_VALUE"""),"https://www.facebook.com/julio.quian")</f>
        <v>https://www.facebook.com/julio.quian</v>
      </c>
      <c r="B3087" s="1" t="str">
        <f ca="1">IFERROR(__xludf.DUMMYFUNCTION("""COMPUTED_VALUE"""),"Julio Quian")</f>
        <v>Julio Quian</v>
      </c>
      <c r="C3087" s="1" t="str">
        <f ca="1">IFERROR(__xludf.DUMMYFUNCTION("""COMPUTED_VALUE"""),"Julio")</f>
        <v>Julio</v>
      </c>
      <c r="D3087" s="1" t="str">
        <f ca="1">IFERROR(__xludf.DUMMYFUNCTION("""COMPUTED_VALUE"""),"Quian")</f>
        <v>Quian</v>
      </c>
      <c r="E3087" s="1" t="str">
        <f ca="1">IFERROR(__xludf.DUMMYFUNCTION("""COMPUTED_VALUE"""),"Solid Sarah @Marco's nlang ako he is very good leader...!!!!")</f>
        <v>Solid Sarah @Marco's nlang ako he is very good leader...!!!!</v>
      </c>
      <c r="F3087" s="1">
        <f ca="1">IFERROR(__xludf.DUMMYFUNCTION("""COMPUTED_VALUE"""),2)</f>
        <v>2</v>
      </c>
      <c r="G3087" s="1" t="str">
        <f ca="1">IFERROR(__xludf.DUMMYFUNCTION("""COMPUTED_VALUE"""),"3 mos")</f>
        <v>3 mos</v>
      </c>
      <c r="H3087" s="1" t="str">
        <f ca="1">IFERROR(__xludf.DUMMYFUNCTION("""COMPUTED_VALUE"""),"comment")</f>
        <v>comment</v>
      </c>
      <c r="I3087" s="2" t="str">
        <f ca="1">IFERROR(__xludf.DUMMYFUNCTION("""COMPUTED_VALUE"""),"https://www.facebook.com/watch/?v=684555919511830")</f>
        <v>https://www.facebook.com/watch/?v=684555919511830</v>
      </c>
      <c r="J3087" s="1" t="str">
        <f ca="1">IFERROR(__xludf.DUMMYFUNCTION("""COMPUTED_VALUE"""),"2022-07-04T21:38:52.760Z")</f>
        <v>2022-07-04T21:38:52.760Z</v>
      </c>
    </row>
    <row r="3088" spans="1:10" x14ac:dyDescent="0.2">
      <c r="A3088" s="2" t="str">
        <f ca="1">IFERROR(__xludf.DUMMYFUNCTION("""COMPUTED_VALUE"""),"https://www.facebook.com/mary.magaling.583")</f>
        <v>https://www.facebook.com/mary.magaling.583</v>
      </c>
      <c r="B3088" s="1" t="str">
        <f ca="1">IFERROR(__xludf.DUMMYFUNCTION("""COMPUTED_VALUE"""),"Princess Magaling")</f>
        <v>Princess Magaling</v>
      </c>
      <c r="C3088" s="1" t="str">
        <f ca="1">IFERROR(__xludf.DUMMYFUNCTION("""COMPUTED_VALUE"""),"Princess")</f>
        <v>Princess</v>
      </c>
      <c r="D3088" s="1" t="str">
        <f ca="1">IFERROR(__xludf.DUMMYFUNCTION("""COMPUTED_VALUE"""),"Magaling")</f>
        <v>Magaling</v>
      </c>
      <c r="E3088" s="1" t="str">
        <f ca="1">IFERROR(__xludf.DUMMYFUNCTION("""COMPUTED_VALUE"""),"Angat sa katalinuhan at lutang na lutang sa katalinuhan")</f>
        <v>Angat sa katalinuhan at lutang na lutang sa katalinuhan</v>
      </c>
      <c r="F3088" s="1">
        <f ca="1">IFERROR(__xludf.DUMMYFUNCTION("""COMPUTED_VALUE"""),4)</f>
        <v>4</v>
      </c>
      <c r="G3088" s="1" t="str">
        <f ca="1">IFERROR(__xludf.DUMMYFUNCTION("""COMPUTED_VALUE"""),"3 mos")</f>
        <v>3 mos</v>
      </c>
      <c r="H3088" s="1" t="str">
        <f ca="1">IFERROR(__xludf.DUMMYFUNCTION("""COMPUTED_VALUE"""),"comment")</f>
        <v>comment</v>
      </c>
      <c r="I3088" s="2" t="str">
        <f ca="1">IFERROR(__xludf.DUMMYFUNCTION("""COMPUTED_VALUE"""),"https://www.facebook.com/watch/?v=684555919511830")</f>
        <v>https://www.facebook.com/watch/?v=684555919511830</v>
      </c>
      <c r="J3088" s="1" t="str">
        <f ca="1">IFERROR(__xludf.DUMMYFUNCTION("""COMPUTED_VALUE"""),"2022-07-04T21:38:52.760Z")</f>
        <v>2022-07-04T21:38:52.760Z</v>
      </c>
    </row>
    <row r="3089" spans="1:10" x14ac:dyDescent="0.2">
      <c r="A3089" s="2" t="str">
        <f ca="1">IFERROR(__xludf.DUMMYFUNCTION("""COMPUTED_VALUE"""),"https://www.facebook.com/addie.arano")</f>
        <v>https://www.facebook.com/addie.arano</v>
      </c>
      <c r="B3089" s="1" t="str">
        <f ca="1">IFERROR(__xludf.DUMMYFUNCTION("""COMPUTED_VALUE"""),"Jullian Gaviola")</f>
        <v>Jullian Gaviola</v>
      </c>
      <c r="C3089" s="1" t="str">
        <f ca="1">IFERROR(__xludf.DUMMYFUNCTION("""COMPUTED_VALUE"""),"Jullian")</f>
        <v>Jullian</v>
      </c>
      <c r="D3089" s="1" t="str">
        <f ca="1">IFERROR(__xludf.DUMMYFUNCTION("""COMPUTED_VALUE"""),"Gaviola")</f>
        <v>Gaviola</v>
      </c>
      <c r="E3089" s="1" t="str">
        <f ca="1">IFERROR(__xludf.DUMMYFUNCTION("""COMPUTED_VALUE"""),"Princess Magaling bakit ganito Ang sulusyon niya sa simpling math na eto 160x40=1600, kung Lutang cya sa katalinuhan?? Hehehe Hilo Kapa yata dahilan na nasabio Yan..")</f>
        <v>Princess Magaling bakit ganito Ang sulusyon niya sa simpling math na eto 160x40=1600, kung Lutang cya sa katalinuhan?? Hehehe Hilo Kapa yata dahilan na nasabio Yan..</v>
      </c>
      <c r="F3089" s="1"/>
      <c r="G3089" s="1" t="str">
        <f ca="1">IFERROR(__xludf.DUMMYFUNCTION("""COMPUTED_VALUE"""),"3 mos")</f>
        <v>3 mos</v>
      </c>
      <c r="H3089" s="1" t="str">
        <f ca="1">IFERROR(__xludf.DUMMYFUNCTION("""COMPUTED_VALUE"""),"reply")</f>
        <v>reply</v>
      </c>
      <c r="I3089" s="2" t="str">
        <f ca="1">IFERROR(__xludf.DUMMYFUNCTION("""COMPUTED_VALUE"""),"https://www.facebook.com/watch/?v=684555919511830")</f>
        <v>https://www.facebook.com/watch/?v=684555919511830</v>
      </c>
      <c r="J3089" s="1" t="str">
        <f ca="1">IFERROR(__xludf.DUMMYFUNCTION("""COMPUTED_VALUE"""),"2022-07-04T21:38:52.760Z")</f>
        <v>2022-07-04T21:38:52.760Z</v>
      </c>
    </row>
    <row r="3090" spans="1:10" x14ac:dyDescent="0.2">
      <c r="A3090" s="2" t="str">
        <f ca="1">IFERROR(__xludf.DUMMYFUNCTION("""COMPUTED_VALUE"""),"https://www.facebook.com/tony.deguzman.104")</f>
        <v>https://www.facebook.com/tony.deguzman.104</v>
      </c>
      <c r="B3090" s="1" t="str">
        <f ca="1">IFERROR(__xludf.DUMMYFUNCTION("""COMPUTED_VALUE"""),"Tony de Guzman")</f>
        <v>Tony de Guzman</v>
      </c>
      <c r="C3090" s="1" t="str">
        <f ca="1">IFERROR(__xludf.DUMMYFUNCTION("""COMPUTED_VALUE"""),"Tony")</f>
        <v>Tony</v>
      </c>
      <c r="D3090" s="1" t="str">
        <f ca="1">IFERROR(__xludf.DUMMYFUNCTION("""COMPUTED_VALUE"""),"de Guzman")</f>
        <v>de Guzman</v>
      </c>
      <c r="E3090" s="1" t="str">
        <f ca="1">IFERROR(__xludf.DUMMYFUNCTION("""COMPUTED_VALUE"""),"Princess Magaling electric current sa baha,😂😂😂😂😂")</f>
        <v>Princess Magaling electric current sa baha,😂😂😂😂😂</v>
      </c>
      <c r="F3090" s="1"/>
      <c r="G3090" s="1" t="str">
        <f ca="1">IFERROR(__xludf.DUMMYFUNCTION("""COMPUTED_VALUE"""),"3 mos")</f>
        <v>3 mos</v>
      </c>
      <c r="H3090" s="1" t="str">
        <f ca="1">IFERROR(__xludf.DUMMYFUNCTION("""COMPUTED_VALUE"""),"reply")</f>
        <v>reply</v>
      </c>
      <c r="I3090" s="2" t="str">
        <f ca="1">IFERROR(__xludf.DUMMYFUNCTION("""COMPUTED_VALUE"""),"https://www.facebook.com/watch/?v=684555919511830")</f>
        <v>https://www.facebook.com/watch/?v=684555919511830</v>
      </c>
      <c r="J3090" s="1" t="str">
        <f ca="1">IFERROR(__xludf.DUMMYFUNCTION("""COMPUTED_VALUE"""),"2022-07-04T21:38:52.760Z")</f>
        <v>2022-07-04T21:38:52.760Z</v>
      </c>
    </row>
    <row r="3091" spans="1:10" x14ac:dyDescent="0.2">
      <c r="A3091" s="2" t="str">
        <f ca="1">IFERROR(__xludf.DUMMYFUNCTION("""COMPUTED_VALUE"""),"https://www.facebook.com/tambay.lang.7792")</f>
        <v>https://www.facebook.com/tambay.lang.7792</v>
      </c>
      <c r="B3091" s="1" t="str">
        <f ca="1">IFERROR(__xludf.DUMMYFUNCTION("""COMPUTED_VALUE"""),"Jb Walker")</f>
        <v>Jb Walker</v>
      </c>
      <c r="C3091" s="1" t="str">
        <f ca="1">IFERROR(__xludf.DUMMYFUNCTION("""COMPUTED_VALUE"""),"Jb")</f>
        <v>Jb</v>
      </c>
      <c r="D3091" s="1" t="str">
        <f ca="1">IFERROR(__xludf.DUMMYFUNCTION("""COMPUTED_VALUE"""),"Walker")</f>
        <v>Walker</v>
      </c>
      <c r="E3091" s="1" t="str">
        <f ca="1">IFERROR(__xludf.DUMMYFUNCTION("""COMPUTED_VALUE"""),"Do  DAYUNYOR will be able to answer that....  Yes  He would answer this way... PAGKAKAISA ..  and he was ask about SOLO PARENTS.... dayunyor answer with DAYCARE...  🤣🤣🤣🤣🤣🤣🤣")</f>
        <v>Do  DAYUNYOR will be able to answer that....  Yes  He would answer this way... PAGKAKAISA ..  and he was ask about SOLO PARENTS.... dayunyor answer with DAYCARE...  🤣🤣🤣🤣🤣🤣🤣</v>
      </c>
      <c r="F3091" s="1">
        <f ca="1">IFERROR(__xludf.DUMMYFUNCTION("""COMPUTED_VALUE"""),5)</f>
        <v>5</v>
      </c>
      <c r="G3091" s="1" t="str">
        <f ca="1">IFERROR(__xludf.DUMMYFUNCTION("""COMPUTED_VALUE"""),"3 mos")</f>
        <v>3 mos</v>
      </c>
      <c r="H3091" s="1" t="str">
        <f ca="1">IFERROR(__xludf.DUMMYFUNCTION("""COMPUTED_VALUE"""),"comment")</f>
        <v>comment</v>
      </c>
      <c r="I3091" s="2" t="str">
        <f ca="1">IFERROR(__xludf.DUMMYFUNCTION("""COMPUTED_VALUE"""),"https://www.facebook.com/watch/?v=684555919511830")</f>
        <v>https://www.facebook.com/watch/?v=684555919511830</v>
      </c>
      <c r="J3091" s="1" t="str">
        <f ca="1">IFERROR(__xludf.DUMMYFUNCTION("""COMPUTED_VALUE"""),"2022-07-04T21:38:52.760Z")</f>
        <v>2022-07-04T21:38:52.760Z</v>
      </c>
    </row>
    <row r="3092" spans="1:10" x14ac:dyDescent="0.2">
      <c r="A3092" s="2" t="str">
        <f ca="1">IFERROR(__xludf.DUMMYFUNCTION("""COMPUTED_VALUE"""),"https://www.facebook.com/irisbadinas")</f>
        <v>https://www.facebook.com/irisbadinas</v>
      </c>
      <c r="B3092" s="1" t="str">
        <f ca="1">IFERROR(__xludf.DUMMYFUNCTION("""COMPUTED_VALUE"""),"Mar JE Iv Iris")</f>
        <v>Mar JE Iv Iris</v>
      </c>
      <c r="C3092" s="1" t="str">
        <f ca="1">IFERROR(__xludf.DUMMYFUNCTION("""COMPUTED_VALUE"""),"Mar")</f>
        <v>Mar</v>
      </c>
      <c r="D3092" s="1" t="str">
        <f ca="1">IFERROR(__xludf.DUMMYFUNCTION("""COMPUTED_VALUE"""),"JE Iv Iris")</f>
        <v>JE Iv Iris</v>
      </c>
      <c r="E3092" s="1" t="str">
        <f ca="1">IFERROR(__xludf.DUMMYFUNCTION("""COMPUTED_VALUE"""),"Jb Walker ano nga po ginagawa sa atin pag lagi po tayo absent sa college- Drop out. Labas.. ay kaya pala..🤭🤫")</f>
        <v>Jb Walker ano nga po ginagawa sa atin pag lagi po tayo absent sa college- Drop out. Labas.. ay kaya pala..🤭🤫</v>
      </c>
      <c r="F3092" s="1">
        <f ca="1">IFERROR(__xludf.DUMMYFUNCTION("""COMPUTED_VALUE"""),1)</f>
        <v>1</v>
      </c>
      <c r="G3092" s="1" t="str">
        <f ca="1">IFERROR(__xludf.DUMMYFUNCTION("""COMPUTED_VALUE"""),"3 mos")</f>
        <v>3 mos</v>
      </c>
      <c r="H3092" s="1" t="str">
        <f ca="1">IFERROR(__xludf.DUMMYFUNCTION("""COMPUTED_VALUE"""),"reply")</f>
        <v>reply</v>
      </c>
      <c r="I3092" s="2" t="str">
        <f ca="1">IFERROR(__xludf.DUMMYFUNCTION("""COMPUTED_VALUE"""),"https://www.facebook.com/watch/?v=684555919511830")</f>
        <v>https://www.facebook.com/watch/?v=684555919511830</v>
      </c>
      <c r="J3092" s="1" t="str">
        <f ca="1">IFERROR(__xludf.DUMMYFUNCTION("""COMPUTED_VALUE"""),"2022-07-04T21:38:52.760Z")</f>
        <v>2022-07-04T21:38:52.760Z</v>
      </c>
    </row>
    <row r="3093" spans="1:10" x14ac:dyDescent="0.2">
      <c r="A3093" s="2" t="str">
        <f ca="1">IFERROR(__xludf.DUMMYFUNCTION("""COMPUTED_VALUE"""),"https://www.facebook.com/geronima.hansen")</f>
        <v>https://www.facebook.com/geronima.hansen</v>
      </c>
      <c r="B3093" s="1" t="str">
        <f ca="1">IFERROR(__xludf.DUMMYFUNCTION("""COMPUTED_VALUE"""),"Angie Hansen Hansen")</f>
        <v>Angie Hansen Hansen</v>
      </c>
      <c r="C3093" s="1" t="str">
        <f ca="1">IFERROR(__xludf.DUMMYFUNCTION("""COMPUTED_VALUE"""),"Angie")</f>
        <v>Angie</v>
      </c>
      <c r="D3093" s="1" t="str">
        <f ca="1">IFERROR(__xludf.DUMMYFUNCTION("""COMPUTED_VALUE"""),"Hansen Hansen")</f>
        <v>Hansen Hansen</v>
      </c>
      <c r="E3093" s="1" t="str">
        <f ca="1">IFERROR(__xludf.DUMMYFUNCTION("""COMPUTED_VALUE"""),"Eh bakit wala syang ginawa since naging politiko sya?????")</f>
        <v>Eh bakit wala syang ginawa since naging politiko sya?????</v>
      </c>
      <c r="F3093" s="1">
        <f ca="1">IFERROR(__xludf.DUMMYFUNCTION("""COMPUTED_VALUE"""),5)</f>
        <v>5</v>
      </c>
      <c r="G3093" s="1" t="str">
        <f ca="1">IFERROR(__xludf.DUMMYFUNCTION("""COMPUTED_VALUE"""),"3 mos")</f>
        <v>3 mos</v>
      </c>
      <c r="H3093" s="1" t="str">
        <f ca="1">IFERROR(__xludf.DUMMYFUNCTION("""COMPUTED_VALUE"""),"comment")</f>
        <v>comment</v>
      </c>
      <c r="I3093" s="2" t="str">
        <f ca="1">IFERROR(__xludf.DUMMYFUNCTION("""COMPUTED_VALUE"""),"https://www.facebook.com/watch/?v=684555919511830")</f>
        <v>https://www.facebook.com/watch/?v=684555919511830</v>
      </c>
      <c r="J3093" s="1" t="str">
        <f ca="1">IFERROR(__xludf.DUMMYFUNCTION("""COMPUTED_VALUE"""),"2022-07-04T21:38:52.760Z")</f>
        <v>2022-07-04T21:38:52.760Z</v>
      </c>
    </row>
    <row r="3094" spans="1:10" x14ac:dyDescent="0.2">
      <c r="A3094" s="2" t="str">
        <f ca="1">IFERROR(__xludf.DUMMYFUNCTION("""COMPUTED_VALUE"""),"https://www.facebook.com/mary.magaling.583")</f>
        <v>https://www.facebook.com/mary.magaling.583</v>
      </c>
      <c r="B3094" s="1" t="str">
        <f ca="1">IFERROR(__xludf.DUMMYFUNCTION("""COMPUTED_VALUE"""),"Princess Magaling")</f>
        <v>Princess Magaling</v>
      </c>
      <c r="C3094" s="1" t="str">
        <f ca="1">IFERROR(__xludf.DUMMYFUNCTION("""COMPUTED_VALUE"""),"Princess")</f>
        <v>Princess</v>
      </c>
      <c r="D3094" s="1" t="str">
        <f ca="1">IFERROR(__xludf.DUMMYFUNCTION("""COMPUTED_VALUE"""),"Magaling")</f>
        <v>Magaling</v>
      </c>
      <c r="E3094" s="1" t="str">
        <f ca="1">IFERROR(__xludf.DUMMYFUNCTION("""COMPUTED_VALUE"""),"Dami n nmsn ingit, klaro kase Ang Plano sa bansa")</f>
        <v>Dami n nmsn ingit, klaro kase Ang Plano sa bansa</v>
      </c>
      <c r="F3094" s="1">
        <f ca="1">IFERROR(__xludf.DUMMYFUNCTION("""COMPUTED_VALUE"""),4)</f>
        <v>4</v>
      </c>
      <c r="G3094" s="1" t="str">
        <f ca="1">IFERROR(__xludf.DUMMYFUNCTION("""COMPUTED_VALUE"""),"3 mos")</f>
        <v>3 mos</v>
      </c>
      <c r="H3094" s="1" t="str">
        <f ca="1">IFERROR(__xludf.DUMMYFUNCTION("""COMPUTED_VALUE"""),"comment")</f>
        <v>comment</v>
      </c>
      <c r="I3094" s="2" t="str">
        <f ca="1">IFERROR(__xludf.DUMMYFUNCTION("""COMPUTED_VALUE"""),"https://www.facebook.com/watch/?v=684555919511830")</f>
        <v>https://www.facebook.com/watch/?v=684555919511830</v>
      </c>
      <c r="J3094" s="1" t="str">
        <f ca="1">IFERROR(__xludf.DUMMYFUNCTION("""COMPUTED_VALUE"""),"2022-07-04T21:38:52.760Z")</f>
        <v>2022-07-04T21:38:52.760Z</v>
      </c>
    </row>
    <row r="3095" spans="1:10" x14ac:dyDescent="0.2">
      <c r="A3095" s="2" t="str">
        <f ca="1">IFERROR(__xludf.DUMMYFUNCTION("""COMPUTED_VALUE"""),"https://www.facebook.com/profile.php?id=100079559509251")</f>
        <v>https://www.facebook.com/profile.php?id=100079559509251</v>
      </c>
      <c r="B3095" s="1" t="str">
        <f ca="1">IFERROR(__xludf.DUMMYFUNCTION("""COMPUTED_VALUE"""),"Afa Kin Ho")</f>
        <v>Afa Kin Ho</v>
      </c>
      <c r="C3095" s="1" t="str">
        <f ca="1">IFERROR(__xludf.DUMMYFUNCTION("""COMPUTED_VALUE"""),"Afa")</f>
        <v>Afa</v>
      </c>
      <c r="D3095" s="1" t="str">
        <f ca="1">IFERROR(__xludf.DUMMYFUNCTION("""COMPUTED_VALUE"""),"Kin Ho")</f>
        <v>Kin Ho</v>
      </c>
      <c r="E3095" s="1" t="str">
        <f ca="1">IFERROR(__xludf.DUMMYFUNCTION("""COMPUTED_VALUE"""),"kesa naman puro unity yung sinasabi parang ibon na e ulit ulit")</f>
        <v>kesa naman puro unity yung sinasabi parang ibon na e ulit ulit</v>
      </c>
      <c r="F3095" s="1">
        <f ca="1">IFERROR(__xludf.DUMMYFUNCTION("""COMPUTED_VALUE"""),1)</f>
        <v>1</v>
      </c>
      <c r="G3095" s="1" t="str">
        <f ca="1">IFERROR(__xludf.DUMMYFUNCTION("""COMPUTED_VALUE"""),"3 mos")</f>
        <v>3 mos</v>
      </c>
      <c r="H3095" s="1" t="str">
        <f ca="1">IFERROR(__xludf.DUMMYFUNCTION("""COMPUTED_VALUE"""),"comment")</f>
        <v>comment</v>
      </c>
      <c r="I3095" s="2" t="str">
        <f ca="1">IFERROR(__xludf.DUMMYFUNCTION("""COMPUTED_VALUE"""),"https://www.facebook.com/watch/?v=684555919511830")</f>
        <v>https://www.facebook.com/watch/?v=684555919511830</v>
      </c>
      <c r="J3095" s="1" t="str">
        <f ca="1">IFERROR(__xludf.DUMMYFUNCTION("""COMPUTED_VALUE"""),"2022-07-04T21:38:52.761Z")</f>
        <v>2022-07-04T21:38:52.761Z</v>
      </c>
    </row>
    <row r="3096" spans="1:10" x14ac:dyDescent="0.2">
      <c r="A3096" s="2" t="str">
        <f ca="1">IFERROR(__xludf.DUMMYFUNCTION("""COMPUTED_VALUE"""),"https://www.facebook.com/olracyer.nadneba.3")</f>
        <v>https://www.facebook.com/olracyer.nadneba.3</v>
      </c>
      <c r="B3096" s="1" t="str">
        <f ca="1">IFERROR(__xludf.DUMMYFUNCTION("""COMPUTED_VALUE"""),"Olrac Yer Nadneba")</f>
        <v>Olrac Yer Nadneba</v>
      </c>
      <c r="C3096" s="1" t="str">
        <f ca="1">IFERROR(__xludf.DUMMYFUNCTION("""COMPUTED_VALUE"""),"Olrac")</f>
        <v>Olrac</v>
      </c>
      <c r="D3096" s="1" t="str">
        <f ca="1">IFERROR(__xludf.DUMMYFUNCTION("""COMPUTED_VALUE"""),"Yer Nadneba")</f>
        <v>Yer Nadneba</v>
      </c>
      <c r="E3096" s="1" t="str">
        <f ca="1">IFERROR(__xludf.DUMMYFUNCTION("""COMPUTED_VALUE"""),"Wag niyong gawing biro yan dahil pagdating naman ng 2015, hindi lang natin mapapabilis ang biyahe mula Baclaran hanggang Bacoor kundi madadagdagan din tayo ng tinatayong 250,000 na pasahero ang maisasakay kada araw dahil sa LRT Line 1 extension. At pag hi"&amp;"ndi ho nangyari ito, nandiyan po si Secretary Abaya na mangangasiwa ng proyektong to, dalawa na kaming magpapasagasa siguro sa tren.")</f>
        <v>Wag niyong gawing biro yan dahil pagdating naman ng 2015, hindi lang natin mapapabilis ang biyahe mula Baclaran hanggang Bacoor kundi madadagdagan din tayo ng tinatayong 250,000 na pasahero ang maisasakay kada araw dahil sa LRT Line 1 extension. At pag hindi ho nangyari ito, nandiyan po si Secretary Abaya na mangangasiwa ng proyektong to, dalawa na kaming magpapasagasa siguro sa tren.</v>
      </c>
      <c r="F3096" s="1"/>
      <c r="G3096" s="1" t="str">
        <f ca="1">IFERROR(__xludf.DUMMYFUNCTION("""COMPUTED_VALUE"""),"3 mos")</f>
        <v>3 mos</v>
      </c>
      <c r="H3096" s="1" t="str">
        <f ca="1">IFERROR(__xludf.DUMMYFUNCTION("""COMPUTED_VALUE"""),"comment")</f>
        <v>comment</v>
      </c>
      <c r="I3096" s="2" t="str">
        <f ca="1">IFERROR(__xludf.DUMMYFUNCTION("""COMPUTED_VALUE"""),"https://www.facebook.com/watch/?v=684555919511830")</f>
        <v>https://www.facebook.com/watch/?v=684555919511830</v>
      </c>
      <c r="J3096" s="1" t="str">
        <f ca="1">IFERROR(__xludf.DUMMYFUNCTION("""COMPUTED_VALUE"""),"2022-07-04T21:38:52.761Z")</f>
        <v>2022-07-04T21:38:52.761Z</v>
      </c>
    </row>
    <row r="3097" spans="1:10" x14ac:dyDescent="0.2">
      <c r="A3097" s="2" t="str">
        <f ca="1">IFERROR(__xludf.DUMMYFUNCTION("""COMPUTED_VALUE"""),"https://www.facebook.com/profile.php?id=100008940702894")</f>
        <v>https://www.facebook.com/profile.php?id=100008940702894</v>
      </c>
      <c r="B3097" s="1" t="str">
        <f ca="1">IFERROR(__xludf.DUMMYFUNCTION("""COMPUTED_VALUE"""),"Ebang Abdon")</f>
        <v>Ebang Abdon</v>
      </c>
      <c r="C3097" s="1" t="str">
        <f ca="1">IFERROR(__xludf.DUMMYFUNCTION("""COMPUTED_VALUE"""),"Ebang")</f>
        <v>Ebang</v>
      </c>
      <c r="D3097" s="1" t="str">
        <f ca="1">IFERROR(__xludf.DUMMYFUNCTION("""COMPUTED_VALUE"""),"Abdon")</f>
        <v>Abdon</v>
      </c>
      <c r="E3097" s="1" t="str">
        <f ca="1">IFERROR(__xludf.DUMMYFUNCTION("""COMPUTED_VALUE"""),"go,go,go madam support kami syo samagagamnda mong plano para sa bansa")</f>
        <v>go,go,go madam support kami syo samagagamnda mong plano para sa bansa</v>
      </c>
      <c r="F3097" s="1">
        <f ca="1">IFERROR(__xludf.DUMMYFUNCTION("""COMPUTED_VALUE"""),3)</f>
        <v>3</v>
      </c>
      <c r="G3097" s="1" t="str">
        <f ca="1">IFERROR(__xludf.DUMMYFUNCTION("""COMPUTED_VALUE"""),"3 mos")</f>
        <v>3 mos</v>
      </c>
      <c r="H3097" s="1" t="str">
        <f ca="1">IFERROR(__xludf.DUMMYFUNCTION("""COMPUTED_VALUE"""),"comment")</f>
        <v>comment</v>
      </c>
      <c r="I3097" s="2" t="str">
        <f ca="1">IFERROR(__xludf.DUMMYFUNCTION("""COMPUTED_VALUE"""),"https://www.facebook.com/watch/?v=684555919511830")</f>
        <v>https://www.facebook.com/watch/?v=684555919511830</v>
      </c>
      <c r="J3097" s="1" t="str">
        <f ca="1">IFERROR(__xludf.DUMMYFUNCTION("""COMPUTED_VALUE"""),"2022-07-04T21:38:52.761Z")</f>
        <v>2022-07-04T21:38:52.761Z</v>
      </c>
    </row>
    <row r="3098" spans="1:10" x14ac:dyDescent="0.2">
      <c r="A3098" s="2" t="str">
        <f ca="1">IFERROR(__xludf.DUMMYFUNCTION("""COMPUTED_VALUE"""),"https://www.facebook.com/argen.azarcon.7")</f>
        <v>https://www.facebook.com/argen.azarcon.7</v>
      </c>
      <c r="B3098" s="1" t="str">
        <f ca="1">IFERROR(__xludf.DUMMYFUNCTION("""COMPUTED_VALUE"""),"TomBonbon ArgenCarpio Azarcon")</f>
        <v>TomBonbon ArgenCarpio Azarcon</v>
      </c>
      <c r="C3098" s="1" t="str">
        <f ca="1">IFERROR(__xludf.DUMMYFUNCTION("""COMPUTED_VALUE"""),"TomBonbon")</f>
        <v>TomBonbon</v>
      </c>
      <c r="D3098" s="1" t="str">
        <f ca="1">IFERROR(__xludf.DUMMYFUNCTION("""COMPUTED_VALUE"""),"ArgenCarpio Azarcon")</f>
        <v>ArgenCarpio Azarcon</v>
      </c>
      <c r="E3098" s="1" t="str">
        <f ca="1">IFERROR(__xludf.DUMMYFUNCTION("""COMPUTED_VALUE"""),"Dami dami mo nang pangako nanay lenlen!!!")</f>
        <v>Dami dami mo nang pangako nanay lenlen!!!</v>
      </c>
      <c r="F3098" s="1">
        <f ca="1">IFERROR(__xludf.DUMMYFUNCTION("""COMPUTED_VALUE"""),1)</f>
        <v>1</v>
      </c>
      <c r="G3098" s="1" t="str">
        <f ca="1">IFERROR(__xludf.DUMMYFUNCTION("""COMPUTED_VALUE"""),"3 mos")</f>
        <v>3 mos</v>
      </c>
      <c r="H3098" s="1" t="str">
        <f ca="1">IFERROR(__xludf.DUMMYFUNCTION("""COMPUTED_VALUE"""),"comment")</f>
        <v>comment</v>
      </c>
      <c r="I3098" s="2" t="str">
        <f ca="1">IFERROR(__xludf.DUMMYFUNCTION("""COMPUTED_VALUE"""),"https://www.facebook.com/watch/?v=684555919511830")</f>
        <v>https://www.facebook.com/watch/?v=684555919511830</v>
      </c>
      <c r="J3098" s="1" t="str">
        <f ca="1">IFERROR(__xludf.DUMMYFUNCTION("""COMPUTED_VALUE"""),"2022-07-04T21:38:52.761Z")</f>
        <v>2022-07-04T21:38:52.761Z</v>
      </c>
    </row>
    <row r="3099" spans="1:10" x14ac:dyDescent="0.2">
      <c r="A3099" s="2" t="str">
        <f ca="1">IFERROR(__xludf.DUMMYFUNCTION("""COMPUTED_VALUE"""),"https://www.facebook.com/mayette.miranda.9")</f>
        <v>https://www.facebook.com/mayette.miranda.9</v>
      </c>
      <c r="B3099" s="1" t="str">
        <f ca="1">IFERROR(__xludf.DUMMYFUNCTION("""COMPUTED_VALUE"""),"Mayette Miranda")</f>
        <v>Mayette Miranda</v>
      </c>
      <c r="C3099" s="1" t="str">
        <f ca="1">IFERROR(__xludf.DUMMYFUNCTION("""COMPUTED_VALUE"""),"Mayette")</f>
        <v>Mayette</v>
      </c>
      <c r="D3099" s="1" t="str">
        <f ca="1">IFERROR(__xludf.DUMMYFUNCTION("""COMPUTED_VALUE"""),"Miranda")</f>
        <v>Miranda</v>
      </c>
      <c r="E3099" s="1" t="str">
        <f ca="1">IFERROR(__xludf.DUMMYFUNCTION("""COMPUTED_VALUE"""),"#10RobredoForPresident  #7KikoPangilinanVicePresident  Vote Straight LeniKiko and Senatorial Slate-Tropang Angat")</f>
        <v>#10RobredoForPresident  #7KikoPangilinanVicePresident  Vote Straight LeniKiko and Senatorial Slate-Tropang Angat</v>
      </c>
      <c r="F3099" s="1"/>
      <c r="G3099" s="1" t="str">
        <f ca="1">IFERROR(__xludf.DUMMYFUNCTION("""COMPUTED_VALUE"""),"3 mos")</f>
        <v>3 mos</v>
      </c>
      <c r="H3099" s="1" t="str">
        <f ca="1">IFERROR(__xludf.DUMMYFUNCTION("""COMPUTED_VALUE"""),"comment")</f>
        <v>comment</v>
      </c>
      <c r="I3099" s="2" t="str">
        <f ca="1">IFERROR(__xludf.DUMMYFUNCTION("""COMPUTED_VALUE"""),"https://www.facebook.com/watch/?v=684555919511830")</f>
        <v>https://www.facebook.com/watch/?v=684555919511830</v>
      </c>
      <c r="J3099" s="1" t="str">
        <f ca="1">IFERROR(__xludf.DUMMYFUNCTION("""COMPUTED_VALUE"""),"2022-07-04T21:38:52.761Z")</f>
        <v>2022-07-04T21:38:52.761Z</v>
      </c>
    </row>
    <row r="3100" spans="1:10" x14ac:dyDescent="0.2">
      <c r="A3100" s="2" t="str">
        <f ca="1">IFERROR(__xludf.DUMMYFUNCTION("""COMPUTED_VALUE"""),"https://www.facebook.com/profile.php?id=100045960874317")</f>
        <v>https://www.facebook.com/profile.php?id=100045960874317</v>
      </c>
      <c r="B3100" s="1" t="str">
        <f ca="1">IFERROR(__xludf.DUMMYFUNCTION("""COMPUTED_VALUE"""),"Net Solis Fernandez")</f>
        <v>Net Solis Fernandez</v>
      </c>
      <c r="C3100" s="1" t="str">
        <f ca="1">IFERROR(__xludf.DUMMYFUNCTION("""COMPUTED_VALUE"""),"Net")</f>
        <v>Net</v>
      </c>
      <c r="D3100" s="1" t="str">
        <f ca="1">IFERROR(__xludf.DUMMYFUNCTION("""COMPUTED_VALUE"""),"Solis Fernandez")</f>
        <v>Solis Fernandez</v>
      </c>
      <c r="E3100" s="1" t="str">
        <f ca="1">IFERROR(__xludf.DUMMYFUNCTION("""COMPUTED_VALUE"""),"Eto presidente ko para sa mga employee")</f>
        <v>Eto presidente ko para sa mga employee</v>
      </c>
      <c r="F3100" s="1">
        <f ca="1">IFERROR(__xludf.DUMMYFUNCTION("""COMPUTED_VALUE"""),1)</f>
        <v>1</v>
      </c>
      <c r="G3100" s="1" t="str">
        <f ca="1">IFERROR(__xludf.DUMMYFUNCTION("""COMPUTED_VALUE"""),"3 mos")</f>
        <v>3 mos</v>
      </c>
      <c r="H3100" s="1" t="str">
        <f ca="1">IFERROR(__xludf.DUMMYFUNCTION("""COMPUTED_VALUE"""),"comment")</f>
        <v>comment</v>
      </c>
      <c r="I3100" s="2" t="str">
        <f ca="1">IFERROR(__xludf.DUMMYFUNCTION("""COMPUTED_VALUE"""),"https://www.facebook.com/watch/?v=684555919511830")</f>
        <v>https://www.facebook.com/watch/?v=684555919511830</v>
      </c>
      <c r="J3100" s="1" t="str">
        <f ca="1">IFERROR(__xludf.DUMMYFUNCTION("""COMPUTED_VALUE"""),"2022-07-04T21:38:52.761Z")</f>
        <v>2022-07-04T21:38:52.761Z</v>
      </c>
    </row>
    <row r="3101" spans="1:10" x14ac:dyDescent="0.2">
      <c r="A3101" s="2" t="str">
        <f ca="1">IFERROR(__xludf.DUMMYFUNCTION("""COMPUTED_VALUE"""),"https://www.facebook.com/angeles.soriben")</f>
        <v>https://www.facebook.com/angeles.soriben</v>
      </c>
      <c r="B3101" s="1" t="str">
        <f ca="1">IFERROR(__xludf.DUMMYFUNCTION("""COMPUTED_VALUE"""),"Angeles Soriben")</f>
        <v>Angeles Soriben</v>
      </c>
      <c r="C3101" s="1" t="str">
        <f ca="1">IFERROR(__xludf.DUMMYFUNCTION("""COMPUTED_VALUE"""),"Angeles")</f>
        <v>Angeles</v>
      </c>
      <c r="D3101" s="1" t="str">
        <f ca="1">IFERROR(__xludf.DUMMYFUNCTION("""COMPUTED_VALUE"""),"Soriben")</f>
        <v>Soriben</v>
      </c>
      <c r="E3101" s="1" t="str">
        <f ca="1">IFERROR(__xludf.DUMMYFUNCTION("""COMPUTED_VALUE"""),"Nangarap na gising..never in your dreams.. Cge ngawngaw")</f>
        <v>Nangarap na gising..never in your dreams.. Cge ngawngaw</v>
      </c>
      <c r="F3101" s="1"/>
      <c r="G3101" s="1" t="str">
        <f ca="1">IFERROR(__xludf.DUMMYFUNCTION("""COMPUTED_VALUE"""),"3 mos")</f>
        <v>3 mos</v>
      </c>
      <c r="H3101" s="1" t="str">
        <f ca="1">IFERROR(__xludf.DUMMYFUNCTION("""COMPUTED_VALUE"""),"comment")</f>
        <v>comment</v>
      </c>
      <c r="I3101" s="2" t="str">
        <f ca="1">IFERROR(__xludf.DUMMYFUNCTION("""COMPUTED_VALUE"""),"https://www.facebook.com/watch/?v=684555919511830")</f>
        <v>https://www.facebook.com/watch/?v=684555919511830</v>
      </c>
      <c r="J3101" s="1" t="str">
        <f ca="1">IFERROR(__xludf.DUMMYFUNCTION("""COMPUTED_VALUE"""),"2022-07-04T21:38:52.761Z")</f>
        <v>2022-07-04T21:38:52.761Z</v>
      </c>
    </row>
    <row r="3102" spans="1:10" x14ac:dyDescent="0.2">
      <c r="A3102" s="2" t="str">
        <f ca="1">IFERROR(__xludf.DUMMYFUNCTION("""COMPUTED_VALUE"""),"https://www.facebook.com/yztik.yaj")</f>
        <v>https://www.facebook.com/yztik.yaj</v>
      </c>
      <c r="B3102" s="1" t="str">
        <f ca="1">IFERROR(__xludf.DUMMYFUNCTION("""COMPUTED_VALUE"""),"Yaj Zetans")</f>
        <v>Yaj Zetans</v>
      </c>
      <c r="C3102" s="1" t="str">
        <f ca="1">IFERROR(__xludf.DUMMYFUNCTION("""COMPUTED_VALUE"""),"Yaj")</f>
        <v>Yaj</v>
      </c>
      <c r="D3102" s="1" t="str">
        <f ca="1">IFERROR(__xludf.DUMMYFUNCTION("""COMPUTED_VALUE"""),"Zetans")</f>
        <v>Zetans</v>
      </c>
      <c r="E3102" s="1" t="str">
        <f ca="1">IFERROR(__xludf.DUMMYFUNCTION("""COMPUTED_VALUE"""),"Hay nako narinig na namin yan sa mga nag daan mga presidente 🙄🙄")</f>
        <v>Hay nako narinig na namin yan sa mga nag daan mga presidente 🙄🙄</v>
      </c>
      <c r="F3102" s="1"/>
      <c r="G3102" s="1" t="str">
        <f ca="1">IFERROR(__xludf.DUMMYFUNCTION("""COMPUTED_VALUE"""),"3 mos")</f>
        <v>3 mos</v>
      </c>
      <c r="H3102" s="1" t="str">
        <f ca="1">IFERROR(__xludf.DUMMYFUNCTION("""COMPUTED_VALUE"""),"comment")</f>
        <v>comment</v>
      </c>
      <c r="I3102" s="2" t="str">
        <f ca="1">IFERROR(__xludf.DUMMYFUNCTION("""COMPUTED_VALUE"""),"https://www.facebook.com/watch/?v=684555919511830")</f>
        <v>https://www.facebook.com/watch/?v=684555919511830</v>
      </c>
      <c r="J3102" s="1" t="str">
        <f ca="1">IFERROR(__xludf.DUMMYFUNCTION("""COMPUTED_VALUE"""),"2022-07-04T21:38:52.761Z")</f>
        <v>2022-07-04T21:38:52.761Z</v>
      </c>
    </row>
    <row r="3103" spans="1:10" x14ac:dyDescent="0.2">
      <c r="A3103" s="2" t="str">
        <f ca="1">IFERROR(__xludf.DUMMYFUNCTION("""COMPUTED_VALUE"""),"https://www.facebook.com/profile.php?id=100010435327642")</f>
        <v>https://www.facebook.com/profile.php?id=100010435327642</v>
      </c>
      <c r="B3103" s="1" t="str">
        <f ca="1">IFERROR(__xludf.DUMMYFUNCTION("""COMPUTED_VALUE"""),"Bobby Mabanta")</f>
        <v>Bobby Mabanta</v>
      </c>
      <c r="C3103" s="1" t="str">
        <f ca="1">IFERROR(__xludf.DUMMYFUNCTION("""COMPUTED_VALUE"""),"Bobby")</f>
        <v>Bobby</v>
      </c>
      <c r="D3103" s="1" t="str">
        <f ca="1">IFERROR(__xludf.DUMMYFUNCTION("""COMPUTED_VALUE"""),"Mabanta")</f>
        <v>Mabanta</v>
      </c>
      <c r="E3103" s="1" t="str">
        <f ca="1">IFERROR(__xludf.DUMMYFUNCTION("""COMPUTED_VALUE"""),"Kung mananalo ka kaso hindi.")</f>
        <v>Kung mananalo ka kaso hindi.</v>
      </c>
      <c r="F3103" s="1"/>
      <c r="G3103" s="1" t="str">
        <f ca="1">IFERROR(__xludf.DUMMYFUNCTION("""COMPUTED_VALUE"""),"3 mos")</f>
        <v>3 mos</v>
      </c>
      <c r="H3103" s="1" t="str">
        <f ca="1">IFERROR(__xludf.DUMMYFUNCTION("""COMPUTED_VALUE"""),"comment")</f>
        <v>comment</v>
      </c>
      <c r="I3103" s="2" t="str">
        <f ca="1">IFERROR(__xludf.DUMMYFUNCTION("""COMPUTED_VALUE"""),"https://www.facebook.com/watch/?v=684555919511830")</f>
        <v>https://www.facebook.com/watch/?v=684555919511830</v>
      </c>
      <c r="J3103" s="1" t="str">
        <f ca="1">IFERROR(__xludf.DUMMYFUNCTION("""COMPUTED_VALUE"""),"2022-07-04T21:38:52.761Z")</f>
        <v>2022-07-04T21:38:52.761Z</v>
      </c>
    </row>
    <row r="3104" spans="1:10" x14ac:dyDescent="0.2">
      <c r="A3104" s="2" t="str">
        <f ca="1">IFERROR(__xludf.DUMMYFUNCTION("""COMPUTED_VALUE"""),"https://www.facebook.com/profile.php?id=100010628258142")</f>
        <v>https://www.facebook.com/profile.php?id=100010628258142</v>
      </c>
      <c r="B3104" s="1" t="str">
        <f ca="1">IFERROR(__xludf.DUMMYFUNCTION("""COMPUTED_VALUE"""),"Valera Dandan")</f>
        <v>Valera Dandan</v>
      </c>
      <c r="C3104" s="1" t="str">
        <f ca="1">IFERROR(__xludf.DUMMYFUNCTION("""COMPUTED_VALUE"""),"Valera")</f>
        <v>Valera</v>
      </c>
      <c r="D3104" s="1" t="str">
        <f ca="1">IFERROR(__xludf.DUMMYFUNCTION("""COMPUTED_VALUE"""),"Dandan")</f>
        <v>Dandan</v>
      </c>
      <c r="E3104" s="1" t="str">
        <f ca="1">IFERROR(__xludf.DUMMYFUNCTION("""COMPUTED_VALUE"""),"HAHAHA LOKOHIN MO LELONG MO")</f>
        <v>HAHAHA LOKOHIN MO LELONG MO</v>
      </c>
      <c r="F3104" s="1">
        <f ca="1">IFERROR(__xludf.DUMMYFUNCTION("""COMPUTED_VALUE"""),2)</f>
        <v>2</v>
      </c>
      <c r="G3104" s="1" t="str">
        <f ca="1">IFERROR(__xludf.DUMMYFUNCTION("""COMPUTED_VALUE"""),"3 mos")</f>
        <v>3 mos</v>
      </c>
      <c r="H3104" s="1" t="str">
        <f ca="1">IFERROR(__xludf.DUMMYFUNCTION("""COMPUTED_VALUE"""),"comment")</f>
        <v>comment</v>
      </c>
      <c r="I3104" s="2" t="str">
        <f ca="1">IFERROR(__xludf.DUMMYFUNCTION("""COMPUTED_VALUE"""),"https://www.facebook.com/watch/?v=684555919511830")</f>
        <v>https://www.facebook.com/watch/?v=684555919511830</v>
      </c>
      <c r="J3104" s="1" t="str">
        <f ca="1">IFERROR(__xludf.DUMMYFUNCTION("""COMPUTED_VALUE"""),"2022-07-04T21:38:52.761Z")</f>
        <v>2022-07-04T21:38:52.761Z</v>
      </c>
    </row>
    <row r="3105" spans="1:10" x14ac:dyDescent="0.2">
      <c r="A3105" s="2" t="str">
        <f ca="1">IFERROR(__xludf.DUMMYFUNCTION("""COMPUTED_VALUE"""),"https://www.facebook.com/ryan.ampasu.9")</f>
        <v>https://www.facebook.com/ryan.ampasu.9</v>
      </c>
      <c r="B3105" s="1" t="str">
        <f ca="1">IFERROR(__xludf.DUMMYFUNCTION("""COMPUTED_VALUE"""),"Ryan Ampasu")</f>
        <v>Ryan Ampasu</v>
      </c>
      <c r="C3105" s="1" t="str">
        <f ca="1">IFERROR(__xludf.DUMMYFUNCTION("""COMPUTED_VALUE"""),"Ryan")</f>
        <v>Ryan</v>
      </c>
      <c r="D3105" s="1" t="str">
        <f ca="1">IFERROR(__xludf.DUMMYFUNCTION("""COMPUTED_VALUE"""),"Ampasu")</f>
        <v>Ampasu</v>
      </c>
      <c r="E3105" s="1" t="str">
        <f ca="1">IFERROR(__xludf.DUMMYFUNCTION("""COMPUTED_VALUE"""),"👍👍👍👍👍👍💗💗💗💗")</f>
        <v>👍👍👍👍👍👍💗💗💗💗</v>
      </c>
      <c r="F3105" s="1"/>
      <c r="G3105" s="1" t="str">
        <f ca="1">IFERROR(__xludf.DUMMYFUNCTION("""COMPUTED_VALUE"""),"3 mos")</f>
        <v>3 mos</v>
      </c>
      <c r="H3105" s="1" t="str">
        <f ca="1">IFERROR(__xludf.DUMMYFUNCTION("""COMPUTED_VALUE"""),"comment")</f>
        <v>comment</v>
      </c>
      <c r="I3105" s="2" t="str">
        <f ca="1">IFERROR(__xludf.DUMMYFUNCTION("""COMPUTED_VALUE"""),"https://www.facebook.com/watch/?v=684555919511830")</f>
        <v>https://www.facebook.com/watch/?v=684555919511830</v>
      </c>
      <c r="J3105" s="1" t="str">
        <f ca="1">IFERROR(__xludf.DUMMYFUNCTION("""COMPUTED_VALUE"""),"2022-07-04T21:38:52.761Z")</f>
        <v>2022-07-04T21:38:52.761Z</v>
      </c>
    </row>
    <row r="3106" spans="1:10" x14ac:dyDescent="0.2">
      <c r="A3106" s="2" t="str">
        <f ca="1">IFERROR(__xludf.DUMMYFUNCTION("""COMPUTED_VALUE"""),"https://www.facebook.com/rlyn.caipang")</f>
        <v>https://www.facebook.com/rlyn.caipang</v>
      </c>
      <c r="B3106" s="1" t="str">
        <f ca="1">IFERROR(__xludf.DUMMYFUNCTION("""COMPUTED_VALUE"""),"Are Lene Caipang")</f>
        <v>Are Lene Caipang</v>
      </c>
      <c r="C3106" s="1" t="str">
        <f ca="1">IFERROR(__xludf.DUMMYFUNCTION("""COMPUTED_VALUE"""),"Are")</f>
        <v>Are</v>
      </c>
      <c r="D3106" s="1" t="str">
        <f ca="1">IFERROR(__xludf.DUMMYFUNCTION("""COMPUTED_VALUE"""),"Lene Caipang")</f>
        <v>Lene Caipang</v>
      </c>
      <c r="E3106" s="1" t="str">
        <f ca="1">IFERROR(__xludf.DUMMYFUNCTION("""COMPUTED_VALUE"""),"Are Lene Caipang")</f>
        <v>Are Lene Caipang</v>
      </c>
      <c r="F3106" s="1">
        <f ca="1">IFERROR(__xludf.DUMMYFUNCTION("""COMPUTED_VALUE"""),2)</f>
        <v>2</v>
      </c>
      <c r="G3106" s="1" t="str">
        <f ca="1">IFERROR(__xludf.DUMMYFUNCTION("""COMPUTED_VALUE"""),"3 mos")</f>
        <v>3 mos</v>
      </c>
      <c r="H3106" s="1" t="str">
        <f ca="1">IFERROR(__xludf.DUMMYFUNCTION("""COMPUTED_VALUE"""),"comment")</f>
        <v>comment</v>
      </c>
      <c r="I3106" s="2" t="str">
        <f ca="1">IFERROR(__xludf.DUMMYFUNCTION("""COMPUTED_VALUE"""),"https://www.facebook.com/watch/?v=684555919511830")</f>
        <v>https://www.facebook.com/watch/?v=684555919511830</v>
      </c>
      <c r="J3106" s="1" t="str">
        <f ca="1">IFERROR(__xludf.DUMMYFUNCTION("""COMPUTED_VALUE"""),"2022-07-04T21:38:52.761Z")</f>
        <v>2022-07-04T21:38:52.761Z</v>
      </c>
    </row>
    <row r="3107" spans="1:10" x14ac:dyDescent="0.2">
      <c r="A3107" s="2" t="str">
        <f ca="1">IFERROR(__xludf.DUMMYFUNCTION("""COMPUTED_VALUE"""),"https://www.facebook.com/donna.arepiso")</f>
        <v>https://www.facebook.com/donna.arepiso</v>
      </c>
      <c r="B3107" s="1" t="str">
        <f ca="1">IFERROR(__xludf.DUMMYFUNCTION("""COMPUTED_VALUE"""),"Madonna R. Araña")</f>
        <v>Madonna R. Araña</v>
      </c>
      <c r="C3107" s="1" t="str">
        <f ca="1">IFERROR(__xludf.DUMMYFUNCTION("""COMPUTED_VALUE"""),"Madonna")</f>
        <v>Madonna</v>
      </c>
      <c r="D3107" s="1" t="str">
        <f ca="1">IFERROR(__xludf.DUMMYFUNCTION("""COMPUTED_VALUE"""),"R. Araña")</f>
        <v>R. Araña</v>
      </c>
      <c r="E3107" s="1" t="str">
        <f ca="1">IFERROR(__xludf.DUMMYFUNCTION("""COMPUTED_VALUE"""),"c duterte.matagal na nya sana ginawa kasu lng marami naman ang mawalan ng trabaho oh di na mkapag trabaho ngtrabaho aku sa sm my kilala aku regular antayin dw ng h.r magresing yun bago cla ulit mghire😂😂😂")</f>
        <v>c duterte.matagal na nya sana ginawa kasu lng marami naman ang mawalan ng trabaho oh di na mkapag trabaho ngtrabaho aku sa sm my kilala aku regular antayin dw ng h.r magresing yun bago cla ulit mghire😂😂😂</v>
      </c>
      <c r="F3107" s="1"/>
      <c r="G3107" s="1" t="str">
        <f ca="1">IFERROR(__xludf.DUMMYFUNCTION("""COMPUTED_VALUE"""),"3 mos")</f>
        <v>3 mos</v>
      </c>
      <c r="H3107" s="1" t="str">
        <f ca="1">IFERROR(__xludf.DUMMYFUNCTION("""COMPUTED_VALUE"""),"comment")</f>
        <v>comment</v>
      </c>
      <c r="I3107" s="2" t="str">
        <f ca="1">IFERROR(__xludf.DUMMYFUNCTION("""COMPUTED_VALUE"""),"https://www.facebook.com/watch/?v=684555919511830")</f>
        <v>https://www.facebook.com/watch/?v=684555919511830</v>
      </c>
      <c r="J3107" s="1" t="str">
        <f ca="1">IFERROR(__xludf.DUMMYFUNCTION("""COMPUTED_VALUE"""),"2022-07-04T21:38:52.761Z")</f>
        <v>2022-07-04T21:38:52.761Z</v>
      </c>
    </row>
    <row r="3108" spans="1:10" x14ac:dyDescent="0.2">
      <c r="A3108" s="2" t="str">
        <f ca="1">IFERROR(__xludf.DUMMYFUNCTION("""COMPUTED_VALUE"""),"https://www.facebook.com/profile.php?id=100069544954062")</f>
        <v>https://www.facebook.com/profile.php?id=100069544954062</v>
      </c>
      <c r="B3108" s="1" t="str">
        <f ca="1">IFERROR(__xludf.DUMMYFUNCTION("""COMPUTED_VALUE"""),"Leonora Deligero")</f>
        <v>Leonora Deligero</v>
      </c>
      <c r="C3108" s="1" t="str">
        <f ca="1">IFERROR(__xludf.DUMMYFUNCTION("""COMPUTED_VALUE"""),"Leonora")</f>
        <v>Leonora</v>
      </c>
      <c r="D3108" s="1" t="str">
        <f ca="1">IFERROR(__xludf.DUMMYFUNCTION("""COMPUTED_VALUE"""),"Deligero")</f>
        <v>Deligero</v>
      </c>
      <c r="E3108" s="1" t="str">
        <f ca="1">IFERROR(__xludf.DUMMYFUNCTION("""COMPUTED_VALUE"""),"nku lutang")</f>
        <v>nku lutang</v>
      </c>
      <c r="F3108" s="1">
        <f ca="1">IFERROR(__xludf.DUMMYFUNCTION("""COMPUTED_VALUE"""),1)</f>
        <v>1</v>
      </c>
      <c r="G3108" s="1" t="str">
        <f ca="1">IFERROR(__xludf.DUMMYFUNCTION("""COMPUTED_VALUE"""),"3 mos")</f>
        <v>3 mos</v>
      </c>
      <c r="H3108" s="1" t="str">
        <f ca="1">IFERROR(__xludf.DUMMYFUNCTION("""COMPUTED_VALUE"""),"comment")</f>
        <v>comment</v>
      </c>
      <c r="I3108" s="2" t="str">
        <f ca="1">IFERROR(__xludf.DUMMYFUNCTION("""COMPUTED_VALUE"""),"https://www.facebook.com/watch/?v=684555919511830")</f>
        <v>https://www.facebook.com/watch/?v=684555919511830</v>
      </c>
      <c r="J3108" s="1" t="str">
        <f ca="1">IFERROR(__xludf.DUMMYFUNCTION("""COMPUTED_VALUE"""),"2022-07-04T21:38:52.761Z")</f>
        <v>2022-07-04T21:38:52.761Z</v>
      </c>
    </row>
    <row r="3109" spans="1:10" x14ac:dyDescent="0.2">
      <c r="A3109" s="2" t="str">
        <f ca="1">IFERROR(__xludf.DUMMYFUNCTION("""COMPUTED_VALUE"""),"https://www.facebook.com/rolly.dejesus.18")</f>
        <v>https://www.facebook.com/rolly.dejesus.18</v>
      </c>
      <c r="B3109" s="1" t="str">
        <f ca="1">IFERROR(__xludf.DUMMYFUNCTION("""COMPUTED_VALUE"""),"Rolly de Jesus")</f>
        <v>Rolly de Jesus</v>
      </c>
      <c r="C3109" s="1" t="str">
        <f ca="1">IFERROR(__xludf.DUMMYFUNCTION("""COMPUTED_VALUE"""),"Rolly")</f>
        <v>Rolly</v>
      </c>
      <c r="D3109" s="1" t="str">
        <f ca="1">IFERROR(__xludf.DUMMYFUNCTION("""COMPUTED_VALUE"""),"de Jesus")</f>
        <v>de Jesus</v>
      </c>
      <c r="E3109" s="1" t="str">
        <f ca="1">IFERROR(__xludf.DUMMYFUNCTION("""COMPUTED_VALUE"""),"Wag npo kyo mangarap madam")</f>
        <v>Wag npo kyo mangarap madam</v>
      </c>
      <c r="F3109" s="1"/>
      <c r="G3109" s="1" t="str">
        <f ca="1">IFERROR(__xludf.DUMMYFUNCTION("""COMPUTED_VALUE"""),"3 mos")</f>
        <v>3 mos</v>
      </c>
      <c r="H3109" s="1" t="str">
        <f ca="1">IFERROR(__xludf.DUMMYFUNCTION("""COMPUTED_VALUE"""),"comment")</f>
        <v>comment</v>
      </c>
      <c r="I3109" s="2" t="str">
        <f ca="1">IFERROR(__xludf.DUMMYFUNCTION("""COMPUTED_VALUE"""),"https://www.facebook.com/watch/?v=684555919511830")</f>
        <v>https://www.facebook.com/watch/?v=684555919511830</v>
      </c>
      <c r="J3109" s="1" t="str">
        <f ca="1">IFERROR(__xludf.DUMMYFUNCTION("""COMPUTED_VALUE"""),"2022-07-04T21:38:52.761Z")</f>
        <v>2022-07-04T21:38:52.761Z</v>
      </c>
    </row>
    <row r="3110" spans="1:10" x14ac:dyDescent="0.2">
      <c r="A3110" s="2" t="str">
        <f ca="1">IFERROR(__xludf.DUMMYFUNCTION("""COMPUTED_VALUE"""),"https://www.facebook.com/rigelle.fernandez.39")</f>
        <v>https://www.facebook.com/rigelle.fernandez.39</v>
      </c>
      <c r="B3110" s="1" t="str">
        <f ca="1">IFERROR(__xludf.DUMMYFUNCTION("""COMPUTED_VALUE"""),"Rigelle Fernandez")</f>
        <v>Rigelle Fernandez</v>
      </c>
      <c r="C3110" s="1" t="str">
        <f ca="1">IFERROR(__xludf.DUMMYFUNCTION("""COMPUTED_VALUE"""),"Rigelle")</f>
        <v>Rigelle</v>
      </c>
      <c r="D3110" s="1" t="str">
        <f ca="1">IFERROR(__xludf.DUMMYFUNCTION("""COMPUTED_VALUE"""),"Fernandez")</f>
        <v>Fernandez</v>
      </c>
      <c r="E3110" s="1" t="str">
        <f ca="1">IFERROR(__xludf.DUMMYFUNCTION("""COMPUTED_VALUE"""),"100% no vote..")</f>
        <v>100% no vote..</v>
      </c>
      <c r="F3110" s="1">
        <f ca="1">IFERROR(__xludf.DUMMYFUNCTION("""COMPUTED_VALUE"""),1)</f>
        <v>1</v>
      </c>
      <c r="G3110" s="1" t="str">
        <f ca="1">IFERROR(__xludf.DUMMYFUNCTION("""COMPUTED_VALUE"""),"3 mos")</f>
        <v>3 mos</v>
      </c>
      <c r="H3110" s="1" t="str">
        <f ca="1">IFERROR(__xludf.DUMMYFUNCTION("""COMPUTED_VALUE"""),"comment")</f>
        <v>comment</v>
      </c>
      <c r="I3110" s="2" t="str">
        <f ca="1">IFERROR(__xludf.DUMMYFUNCTION("""COMPUTED_VALUE"""),"https://www.facebook.com/watch/?v=684555919511830")</f>
        <v>https://www.facebook.com/watch/?v=684555919511830</v>
      </c>
      <c r="J3110" s="1" t="str">
        <f ca="1">IFERROR(__xludf.DUMMYFUNCTION("""COMPUTED_VALUE"""),"2022-07-04T21:38:52.761Z")</f>
        <v>2022-07-04T21:38:52.761Z</v>
      </c>
    </row>
    <row r="3111" spans="1:10" x14ac:dyDescent="0.2">
      <c r="A3111" s="2" t="str">
        <f ca="1">IFERROR(__xludf.DUMMYFUNCTION("""COMPUTED_VALUE"""),"https://www.facebook.com/profile.php?id=100073277073791")</f>
        <v>https://www.facebook.com/profile.php?id=100073277073791</v>
      </c>
      <c r="B3111" s="1" t="str">
        <f ca="1">IFERROR(__xludf.DUMMYFUNCTION("""COMPUTED_VALUE"""),"Journee TwentyFive")</f>
        <v>Journee TwentyFive</v>
      </c>
      <c r="C3111" s="1" t="str">
        <f ca="1">IFERROR(__xludf.DUMMYFUNCTION("""COMPUTED_VALUE"""),"Journee")</f>
        <v>Journee</v>
      </c>
      <c r="D3111" s="1" t="str">
        <f ca="1">IFERROR(__xludf.DUMMYFUNCTION("""COMPUTED_VALUE"""),"TwentyFive")</f>
        <v>TwentyFive</v>
      </c>
      <c r="E3111" s="1" t="str">
        <f ca="1">IFERROR(__xludf.DUMMYFUNCTION("""COMPUTED_VALUE"""),"Sus!!ganyan pala ang gusto dapat gnwa nia na sayang 6 years sa pgiging VP")</f>
        <v>Sus!!ganyan pala ang gusto dapat gnwa nia na sayang 6 years sa pgiging VP</v>
      </c>
      <c r="F3111" s="1"/>
      <c r="G3111" s="1" t="str">
        <f ca="1">IFERROR(__xludf.DUMMYFUNCTION("""COMPUTED_VALUE"""),"3 mos")</f>
        <v>3 mos</v>
      </c>
      <c r="H3111" s="1" t="str">
        <f ca="1">IFERROR(__xludf.DUMMYFUNCTION("""COMPUTED_VALUE"""),"comment")</f>
        <v>comment</v>
      </c>
      <c r="I3111" s="2" t="str">
        <f ca="1">IFERROR(__xludf.DUMMYFUNCTION("""COMPUTED_VALUE"""),"https://www.facebook.com/watch/?v=684555919511830")</f>
        <v>https://www.facebook.com/watch/?v=684555919511830</v>
      </c>
      <c r="J3111" s="1" t="str">
        <f ca="1">IFERROR(__xludf.DUMMYFUNCTION("""COMPUTED_VALUE"""),"2022-07-04T21:38:52.761Z")</f>
        <v>2022-07-04T21:38:52.761Z</v>
      </c>
    </row>
    <row r="3112" spans="1:10" x14ac:dyDescent="0.2">
      <c r="A3112" s="2" t="str">
        <f ca="1">IFERROR(__xludf.DUMMYFUNCTION("""COMPUTED_VALUE"""),"https://www.facebook.com/ivan.taneomoreno.9")</f>
        <v>https://www.facebook.com/ivan.taneomoreno.9</v>
      </c>
      <c r="B3112" s="1" t="str">
        <f ca="1">IFERROR(__xludf.DUMMYFUNCTION("""COMPUTED_VALUE"""),"Ivan Taneo")</f>
        <v>Ivan Taneo</v>
      </c>
      <c r="C3112" s="1" t="str">
        <f ca="1">IFERROR(__xludf.DUMMYFUNCTION("""COMPUTED_VALUE"""),"Ivan")</f>
        <v>Ivan</v>
      </c>
      <c r="D3112" s="1" t="str">
        <f ca="1">IFERROR(__xludf.DUMMYFUNCTION("""COMPUTED_VALUE"""),"Taneo")</f>
        <v>Taneo</v>
      </c>
      <c r="E3112" s="1" t="str">
        <f ca="1">IFERROR(__xludf.DUMMYFUNCTION("""COMPUTED_VALUE"""),"Di halatang may kinakampihan ah")</f>
        <v>Di halatang may kinakampihan ah</v>
      </c>
      <c r="F3112" s="1"/>
      <c r="G3112" s="1" t="str">
        <f ca="1">IFERROR(__xludf.DUMMYFUNCTION("""COMPUTED_VALUE"""),"3 mos")</f>
        <v>3 mos</v>
      </c>
      <c r="H3112" s="1" t="str">
        <f ca="1">IFERROR(__xludf.DUMMYFUNCTION("""COMPUTED_VALUE"""),"comment")</f>
        <v>comment</v>
      </c>
      <c r="I3112" s="2" t="str">
        <f ca="1">IFERROR(__xludf.DUMMYFUNCTION("""COMPUTED_VALUE"""),"https://www.facebook.com/watch/?v=684555919511830")</f>
        <v>https://www.facebook.com/watch/?v=684555919511830</v>
      </c>
      <c r="J3112" s="1" t="str">
        <f ca="1">IFERROR(__xludf.DUMMYFUNCTION("""COMPUTED_VALUE"""),"2022-07-04T21:38:52.761Z")</f>
        <v>2022-07-04T21:38:52.761Z</v>
      </c>
    </row>
    <row r="3113" spans="1:10" x14ac:dyDescent="0.2">
      <c r="A3113" s="2" t="str">
        <f ca="1">IFERROR(__xludf.DUMMYFUNCTION("""COMPUTED_VALUE"""),"https://www.facebook.com/richard.saveron")</f>
        <v>https://www.facebook.com/richard.saveron</v>
      </c>
      <c r="B3113" s="1" t="str">
        <f ca="1">IFERROR(__xludf.DUMMYFUNCTION("""COMPUTED_VALUE"""),"Richard Labor Saveron")</f>
        <v>Richard Labor Saveron</v>
      </c>
      <c r="C3113" s="1" t="str">
        <f ca="1">IFERROR(__xludf.DUMMYFUNCTION("""COMPUTED_VALUE"""),"Richard")</f>
        <v>Richard</v>
      </c>
      <c r="D3113" s="1" t="str">
        <f ca="1">IFERROR(__xludf.DUMMYFUNCTION("""COMPUTED_VALUE"""),"Labor Saveron")</f>
        <v>Labor Saveron</v>
      </c>
      <c r="E3113" s="1" t="str">
        <f ca="1">IFERROR(__xludf.DUMMYFUNCTION("""COMPUTED_VALUE"""),"Luslos!")</f>
        <v>Luslos!</v>
      </c>
      <c r="F3113" s="1">
        <f ca="1">IFERROR(__xludf.DUMMYFUNCTION("""COMPUTED_VALUE"""),1)</f>
        <v>1</v>
      </c>
      <c r="G3113" s="1" t="str">
        <f ca="1">IFERROR(__xludf.DUMMYFUNCTION("""COMPUTED_VALUE"""),"3 mos")</f>
        <v>3 mos</v>
      </c>
      <c r="H3113" s="1" t="str">
        <f ca="1">IFERROR(__xludf.DUMMYFUNCTION("""COMPUTED_VALUE"""),"comment")</f>
        <v>comment</v>
      </c>
      <c r="I3113" s="2" t="str">
        <f ca="1">IFERROR(__xludf.DUMMYFUNCTION("""COMPUTED_VALUE"""),"https://www.facebook.com/watch/?v=684555919511830")</f>
        <v>https://www.facebook.com/watch/?v=684555919511830</v>
      </c>
      <c r="J3113" s="1" t="str">
        <f ca="1">IFERROR(__xludf.DUMMYFUNCTION("""COMPUTED_VALUE"""),"2022-07-04T21:38:52.761Z")</f>
        <v>2022-07-04T21:38:52.761Z</v>
      </c>
    </row>
    <row r="3114" spans="1:10" x14ac:dyDescent="0.2">
      <c r="A3114" s="2" t="str">
        <f ca="1">IFERROR(__xludf.DUMMYFUNCTION("""COMPUTED_VALUE"""),"https://www.facebook.com/sumalpong.juwelsaberon")</f>
        <v>https://www.facebook.com/sumalpong.juwelsaberon</v>
      </c>
      <c r="B3114" s="1" t="str">
        <f ca="1">IFERROR(__xludf.DUMMYFUNCTION("""COMPUTED_VALUE"""),"Juwel Saberon Sumalpong")</f>
        <v>Juwel Saberon Sumalpong</v>
      </c>
      <c r="C3114" s="1" t="str">
        <f ca="1">IFERROR(__xludf.DUMMYFUNCTION("""COMPUTED_VALUE"""),"Juwel")</f>
        <v>Juwel</v>
      </c>
      <c r="D3114" s="1" t="str">
        <f ca="1">IFERROR(__xludf.DUMMYFUNCTION("""COMPUTED_VALUE"""),"Saberon Sumalpong")</f>
        <v>Saberon Sumalpong</v>
      </c>
      <c r="E3114" s="1" t="str">
        <f ca="1">IFERROR(__xludf.DUMMYFUNCTION("""COMPUTED_VALUE"""),"Anong indo bill ? Magagawa mo kaya yan?")</f>
        <v>Anong indo bill ? Magagawa mo kaya yan?</v>
      </c>
      <c r="F3114" s="1"/>
      <c r="G3114" s="1" t="str">
        <f ca="1">IFERROR(__xludf.DUMMYFUNCTION("""COMPUTED_VALUE"""),"3 mos")</f>
        <v>3 mos</v>
      </c>
      <c r="H3114" s="1" t="str">
        <f ca="1">IFERROR(__xludf.DUMMYFUNCTION("""COMPUTED_VALUE"""),"comment")</f>
        <v>comment</v>
      </c>
      <c r="I3114" s="2" t="str">
        <f ca="1">IFERROR(__xludf.DUMMYFUNCTION("""COMPUTED_VALUE"""),"https://www.facebook.com/watch/?v=684555919511830")</f>
        <v>https://www.facebook.com/watch/?v=684555919511830</v>
      </c>
      <c r="J3114" s="1" t="str">
        <f ca="1">IFERROR(__xludf.DUMMYFUNCTION("""COMPUTED_VALUE"""),"2022-07-04T21:38:52.761Z")</f>
        <v>2022-07-04T21:38:52.761Z</v>
      </c>
    </row>
    <row r="3115" spans="1:10" x14ac:dyDescent="0.2">
      <c r="A3115" s="2" t="str">
        <f ca="1">IFERROR(__xludf.DUMMYFUNCTION("""COMPUTED_VALUE"""),"https://www.facebook.com/ervin.alagao.5")</f>
        <v>https://www.facebook.com/ervin.alagao.5</v>
      </c>
      <c r="B3115" s="1" t="str">
        <f ca="1">IFERROR(__xludf.DUMMYFUNCTION("""COMPUTED_VALUE"""),"Ervin Alagao")</f>
        <v>Ervin Alagao</v>
      </c>
      <c r="C3115" s="1" t="str">
        <f ca="1">IFERROR(__xludf.DUMMYFUNCTION("""COMPUTED_VALUE"""),"Ervin")</f>
        <v>Ervin</v>
      </c>
      <c r="D3115" s="1" t="str">
        <f ca="1">IFERROR(__xludf.DUMMYFUNCTION("""COMPUTED_VALUE"""),"Alagao")</f>
        <v>Alagao</v>
      </c>
      <c r="E3115" s="1" t="str">
        <f ca="1">IFERROR(__xludf.DUMMYFUNCTION("""COMPUTED_VALUE"""),"Lutang yan c lenlen")</f>
        <v>Lutang yan c lenlen</v>
      </c>
      <c r="F3115" s="1"/>
      <c r="G3115" s="1" t="str">
        <f ca="1">IFERROR(__xludf.DUMMYFUNCTION("""COMPUTED_VALUE"""),"3 mos")</f>
        <v>3 mos</v>
      </c>
      <c r="H3115" s="1" t="str">
        <f ca="1">IFERROR(__xludf.DUMMYFUNCTION("""COMPUTED_VALUE"""),"comment")</f>
        <v>comment</v>
      </c>
      <c r="I3115" s="2" t="str">
        <f ca="1">IFERROR(__xludf.DUMMYFUNCTION("""COMPUTED_VALUE"""),"https://www.facebook.com/watch/?v=684555919511830")</f>
        <v>https://www.facebook.com/watch/?v=684555919511830</v>
      </c>
      <c r="J3115" s="1" t="str">
        <f ca="1">IFERROR(__xludf.DUMMYFUNCTION("""COMPUTED_VALUE"""),"2022-07-04T21:38:52.761Z")</f>
        <v>2022-07-04T21:38:52.761Z</v>
      </c>
    </row>
    <row r="3116" spans="1:10" x14ac:dyDescent="0.2">
      <c r="A3116" s="2" t="str">
        <f ca="1">IFERROR(__xludf.DUMMYFUNCTION("""COMPUTED_VALUE"""),"https://www.facebook.com/profile.php?id=100073839987788")</f>
        <v>https://www.facebook.com/profile.php?id=100073839987788</v>
      </c>
      <c r="B3116" s="1" t="str">
        <f ca="1">IFERROR(__xludf.DUMMYFUNCTION("""COMPUTED_VALUE"""),"Code Batiancila")</f>
        <v>Code Batiancila</v>
      </c>
      <c r="C3116" s="1" t="str">
        <f ca="1">IFERROR(__xludf.DUMMYFUNCTION("""COMPUTED_VALUE"""),"Code")</f>
        <v>Code</v>
      </c>
      <c r="D3116" s="1" t="str">
        <f ca="1">IFERROR(__xludf.DUMMYFUNCTION("""COMPUTED_VALUE"""),"Batiancila")</f>
        <v>Batiancila</v>
      </c>
      <c r="E3116" s="1" t="str">
        <f ca="1">IFERROR(__xludf.DUMMYFUNCTION("""COMPUTED_VALUE"""),"Ano?wala ngang ginawa sa 6 na taon nya puro batikos sa goberno,lalo na bise nya tumanda nalang sa senado sabagay nasa inyo yan..")</f>
        <v>Ano?wala ngang ginawa sa 6 na taon nya puro batikos sa goberno,lalo na bise nya tumanda nalang sa senado sabagay nasa inyo yan..</v>
      </c>
      <c r="F3116" s="1"/>
      <c r="G3116" s="1" t="str">
        <f ca="1">IFERROR(__xludf.DUMMYFUNCTION("""COMPUTED_VALUE"""),"3 mos")</f>
        <v>3 mos</v>
      </c>
      <c r="H3116" s="1" t="str">
        <f ca="1">IFERROR(__xludf.DUMMYFUNCTION("""COMPUTED_VALUE"""),"comment")</f>
        <v>comment</v>
      </c>
      <c r="I3116" s="2" t="str">
        <f ca="1">IFERROR(__xludf.DUMMYFUNCTION("""COMPUTED_VALUE"""),"https://www.facebook.com/watch/?v=684555919511830")</f>
        <v>https://www.facebook.com/watch/?v=684555919511830</v>
      </c>
      <c r="J3116" s="1" t="str">
        <f ca="1">IFERROR(__xludf.DUMMYFUNCTION("""COMPUTED_VALUE"""),"2022-07-04T21:38:52.761Z")</f>
        <v>2022-07-04T21:38:52.761Z</v>
      </c>
    </row>
  </sheetData>
  <hyperlinks>
    <hyperlink ref="A2" r:id="rId1" display="https://www.facebook.com/angie.t.carlsen" xr:uid="{00000000-0004-0000-0000-000000000000}"/>
    <hyperlink ref="I2" r:id="rId2" display="https://www.facebook.com/rapplerdotcom/posts/pfbid0DUh4iFcrxZuR1UbiGhcAHcMdzsaV29GSeHCY1HabtqcnUWkjStX9TDaVqzzt92GDl" xr:uid="{00000000-0004-0000-0000-000001000000}"/>
    <hyperlink ref="A3" r:id="rId3" display="https://www.facebook.com/agripina.timbrezabellobrillantes" xr:uid="{00000000-0004-0000-0000-000002000000}"/>
    <hyperlink ref="I3" r:id="rId4" display="https://www.facebook.com/rapplerdotcom/posts/pfbid0DUh4iFcrxZuR1UbiGhcAHcMdzsaV29GSeHCY1HabtqcnUWkjStX9TDaVqzzt92GDl" xr:uid="{00000000-0004-0000-0000-000003000000}"/>
    <hyperlink ref="A4" r:id="rId5" display="https://www.facebook.com/janjan.sugang" xr:uid="{00000000-0004-0000-0000-000004000000}"/>
    <hyperlink ref="I4" r:id="rId6" display="https://www.facebook.com/rapplerdotcom/posts/pfbid0DUh4iFcrxZuR1UbiGhcAHcMdzsaV29GSeHCY1HabtqcnUWkjStX9TDaVqzzt92GDl" xr:uid="{00000000-0004-0000-0000-000005000000}"/>
    <hyperlink ref="A5" r:id="rId7" display="https://www.facebook.com/rico.sanyo.7" xr:uid="{00000000-0004-0000-0000-000006000000}"/>
    <hyperlink ref="I5" r:id="rId8" display="https://www.facebook.com/rapplerdotcom/posts/pfbid0DUh4iFcrxZuR1UbiGhcAHcMdzsaV29GSeHCY1HabtqcnUWkjStX9TDaVqzzt92GDl" xr:uid="{00000000-0004-0000-0000-000007000000}"/>
    <hyperlink ref="A6" r:id="rId9" display="https://www.facebook.com/aqoucii.makmak" xr:uid="{00000000-0004-0000-0000-000008000000}"/>
    <hyperlink ref="I6" r:id="rId10" display="https://www.facebook.com/rapplerdotcom/posts/pfbid0DUh4iFcrxZuR1UbiGhcAHcMdzsaV29GSeHCY1HabtqcnUWkjStX9TDaVqzzt92GDl" xr:uid="{00000000-0004-0000-0000-000009000000}"/>
    <hyperlink ref="A7" r:id="rId11" display="https://www.facebook.com/profile.php?id=100073334618156" xr:uid="{00000000-0004-0000-0000-00000A000000}"/>
    <hyperlink ref="I7" r:id="rId12" display="https://www.facebook.com/rapplerdotcom/posts/pfbid0DUh4iFcrxZuR1UbiGhcAHcMdzsaV29GSeHCY1HabtqcnUWkjStX9TDaVqzzt92GDl" xr:uid="{00000000-0004-0000-0000-00000B000000}"/>
    <hyperlink ref="A8" r:id="rId13" display="https://www.facebook.com/jellyanzerauj" xr:uid="{00000000-0004-0000-0000-00000C000000}"/>
    <hyperlink ref="I8" r:id="rId14" display="https://www.facebook.com/rapplerdotcom/posts/pfbid0DUh4iFcrxZuR1UbiGhcAHcMdzsaV29GSeHCY1HabtqcnUWkjStX9TDaVqzzt92GDl" xr:uid="{00000000-0004-0000-0000-00000D000000}"/>
    <hyperlink ref="A9" r:id="rId15" display="https://www.facebook.com/berlanie18" xr:uid="{00000000-0004-0000-0000-00000E000000}"/>
    <hyperlink ref="I9" r:id="rId16" display="https://www.facebook.com/rapplerdotcom/posts/pfbid0DUh4iFcrxZuR1UbiGhcAHcMdzsaV29GSeHCY1HabtqcnUWkjStX9TDaVqzzt92GDl" xr:uid="{00000000-0004-0000-0000-00000F000000}"/>
    <hyperlink ref="A10" r:id="rId17" display="https://www.facebook.com/carrie.carisma" xr:uid="{00000000-0004-0000-0000-000010000000}"/>
    <hyperlink ref="I10" r:id="rId18" display="https://www.facebook.com/rapplerdotcom/posts/pfbid0DUh4iFcrxZuR1UbiGhcAHcMdzsaV29GSeHCY1HabtqcnUWkjStX9TDaVqzzt92GDl" xr:uid="{00000000-0004-0000-0000-000011000000}"/>
    <hyperlink ref="A11" r:id="rId19" display="https://www.facebook.com/emerita.sacluti" xr:uid="{00000000-0004-0000-0000-000012000000}"/>
    <hyperlink ref="I11" r:id="rId20" display="https://www.facebook.com/rapplerdotcom/posts/pfbid0DUh4iFcrxZuR1UbiGhcAHcMdzsaV29GSeHCY1HabtqcnUWkjStX9TDaVqzzt92GDl" xr:uid="{00000000-0004-0000-0000-000013000000}"/>
    <hyperlink ref="A12" r:id="rId21" display="https://www.facebook.com/ronmsalvador" xr:uid="{00000000-0004-0000-0000-000014000000}"/>
    <hyperlink ref="I12" r:id="rId22" display="https://www.facebook.com/rapplerdotcom/posts/pfbid0DUh4iFcrxZuR1UbiGhcAHcMdzsaV29GSeHCY1HabtqcnUWkjStX9TDaVqzzt92GDl" xr:uid="{00000000-0004-0000-0000-000015000000}"/>
    <hyperlink ref="A13" r:id="rId23" display="https://www.facebook.com/oliver.susano" xr:uid="{00000000-0004-0000-0000-000016000000}"/>
    <hyperlink ref="I13" r:id="rId24" display="https://www.facebook.com/rapplerdotcom/posts/pfbid0DUh4iFcrxZuR1UbiGhcAHcMdzsaV29GSeHCY1HabtqcnUWkjStX9TDaVqzzt92GDl" xr:uid="{00000000-0004-0000-0000-000017000000}"/>
    <hyperlink ref="A14" r:id="rId25" display="https://www.facebook.com/rdsarmiento1" xr:uid="{00000000-0004-0000-0000-000018000000}"/>
    <hyperlink ref="I14" r:id="rId26" display="https://www.facebook.com/rapplerdotcom/posts/pfbid0DUh4iFcrxZuR1UbiGhcAHcMdzsaV29GSeHCY1HabtqcnUWkjStX9TDaVqzzt92GDl" xr:uid="{00000000-0004-0000-0000-000019000000}"/>
    <hyperlink ref="A15" r:id="rId27" display="https://www.facebook.com/julietamananquil" xr:uid="{00000000-0004-0000-0000-00001A000000}"/>
    <hyperlink ref="I15" r:id="rId28" display="https://www.facebook.com/rapplerdotcom/posts/pfbid0DUh4iFcrxZuR1UbiGhcAHcMdzsaV29GSeHCY1HabtqcnUWkjStX9TDaVqzzt92GDl" xr:uid="{00000000-0004-0000-0000-00001B000000}"/>
    <hyperlink ref="A16" r:id="rId29" display="https://www.facebook.com/jorelyn.salvador.7" xr:uid="{00000000-0004-0000-0000-00001C000000}"/>
    <hyperlink ref="I16" r:id="rId30" display="https://www.facebook.com/rapplerdotcom/posts/pfbid0DUh4iFcrxZuR1UbiGhcAHcMdzsaV29GSeHCY1HabtqcnUWkjStX9TDaVqzzt92GDl" xr:uid="{00000000-0004-0000-0000-00001D000000}"/>
    <hyperlink ref="A17" r:id="rId31" display="https://www.facebook.com/ju.nelle.3701" xr:uid="{00000000-0004-0000-0000-00001E000000}"/>
    <hyperlink ref="I17" r:id="rId32" display="https://www.facebook.com/rapplerdotcom/posts/pfbid0DUh4iFcrxZuR1UbiGhcAHcMdzsaV29GSeHCY1HabtqcnUWkjStX9TDaVqzzt92GDl" xr:uid="{00000000-0004-0000-0000-00001F000000}"/>
    <hyperlink ref="A18" r:id="rId33" display="https://www.facebook.com/eon.flux.33" xr:uid="{00000000-0004-0000-0000-000020000000}"/>
    <hyperlink ref="I18" r:id="rId34" display="https://www.facebook.com/rapplerdotcom/posts/pfbid0DUh4iFcrxZuR1UbiGhcAHcMdzsaV29GSeHCY1HabtqcnUWkjStX9TDaVqzzt92GDl" xr:uid="{00000000-0004-0000-0000-000021000000}"/>
    <hyperlink ref="A19" r:id="rId35" display="https://www.facebook.com/rogercasidsid.villanueva" xr:uid="{00000000-0004-0000-0000-000022000000}"/>
    <hyperlink ref="I19" r:id="rId36" display="https://www.facebook.com/rapplerdotcom/posts/pfbid0DUh4iFcrxZuR1UbiGhcAHcMdzsaV29GSeHCY1HabtqcnUWkjStX9TDaVqzzt92GDl" xr:uid="{00000000-0004-0000-0000-000023000000}"/>
    <hyperlink ref="A20" r:id="rId37" display="https://www.facebook.com/alfredofabro.boking" xr:uid="{00000000-0004-0000-0000-000024000000}"/>
    <hyperlink ref="I20" r:id="rId38" display="https://www.facebook.com/rapplerdotcom/posts/pfbid0DUh4iFcrxZuR1UbiGhcAHcMdzsaV29GSeHCY1HabtqcnUWkjStX9TDaVqzzt92GDl" xr:uid="{00000000-0004-0000-0000-000025000000}"/>
    <hyperlink ref="A21" r:id="rId39" display="https://www.facebook.com/alfredofabro.boking" xr:uid="{00000000-0004-0000-0000-000026000000}"/>
    <hyperlink ref="I21" r:id="rId40" display="https://www.facebook.com/rapplerdotcom/posts/pfbid0DUh4iFcrxZuR1UbiGhcAHcMdzsaV29GSeHCY1HabtqcnUWkjStX9TDaVqzzt92GDl" xr:uid="{00000000-0004-0000-0000-000027000000}"/>
    <hyperlink ref="A22" r:id="rId41" display="https://www.facebook.com/roselyn.pira.1" xr:uid="{00000000-0004-0000-0000-000028000000}"/>
    <hyperlink ref="I22" r:id="rId42" display="https://www.facebook.com/rapplerdotcom/posts/pfbid0DUh4iFcrxZuR1UbiGhcAHcMdzsaV29GSeHCY1HabtqcnUWkjStX9TDaVqzzt92GDl" xr:uid="{00000000-0004-0000-0000-000029000000}"/>
    <hyperlink ref="A23" r:id="rId43" display="https://www.facebook.com/roselyn.pira.1" xr:uid="{00000000-0004-0000-0000-00002A000000}"/>
    <hyperlink ref="I23" r:id="rId44" display="https://www.facebook.com/rapplerdotcom/posts/pfbid0DUh4iFcrxZuR1UbiGhcAHcMdzsaV29GSeHCY1HabtqcnUWkjStX9TDaVqzzt92GDl" xr:uid="{00000000-0004-0000-0000-00002B000000}"/>
    <hyperlink ref="A24" r:id="rId45" display="https://www.facebook.com/pauljeric.queipo.1" xr:uid="{00000000-0004-0000-0000-00002C000000}"/>
    <hyperlink ref="I24" r:id="rId46" display="https://www.facebook.com/rapplerdotcom/posts/pfbid0DUh4iFcrxZuR1UbiGhcAHcMdzsaV29GSeHCY1HabtqcnUWkjStX9TDaVqzzt92GDl" xr:uid="{00000000-0004-0000-0000-00002D000000}"/>
    <hyperlink ref="A25" r:id="rId47" display="https://www.facebook.com/pauljeric.queipo.1" xr:uid="{00000000-0004-0000-0000-00002E000000}"/>
    <hyperlink ref="I25" r:id="rId48" display="https://www.facebook.com/rapplerdotcom/posts/pfbid0DUh4iFcrxZuR1UbiGhcAHcMdzsaV29GSeHCY1HabtqcnUWkjStX9TDaVqzzt92GDl" xr:uid="{00000000-0004-0000-0000-00002F000000}"/>
    <hyperlink ref="A26" r:id="rId49" display="https://www.facebook.com/pauljeric.queipo.1" xr:uid="{00000000-0004-0000-0000-000030000000}"/>
    <hyperlink ref="I26" r:id="rId50" display="https://www.facebook.com/rapplerdotcom/posts/pfbid0DUh4iFcrxZuR1UbiGhcAHcMdzsaV29GSeHCY1HabtqcnUWkjStX9TDaVqzzt92GDl" xr:uid="{00000000-0004-0000-0000-000031000000}"/>
    <hyperlink ref="A27" r:id="rId51" display="https://www.facebook.com/anthony.valeza" xr:uid="{00000000-0004-0000-0000-000032000000}"/>
    <hyperlink ref="I27" r:id="rId52" display="https://www.facebook.com/rapplerdotcom/posts/pfbid0DUh4iFcrxZuR1UbiGhcAHcMdzsaV29GSeHCY1HabtqcnUWkjStX9TDaVqzzt92GDl" xr:uid="{00000000-0004-0000-0000-000033000000}"/>
    <hyperlink ref="A28" r:id="rId53" display="https://www.facebook.com/www.joeysampang" xr:uid="{00000000-0004-0000-0000-000034000000}"/>
    <hyperlink ref="I28" r:id="rId54" display="https://www.facebook.com/rapplerdotcom/posts/pfbid0DUh4iFcrxZuR1UbiGhcAHcMdzsaV29GSeHCY1HabtqcnUWkjStX9TDaVqzzt92GDl" xr:uid="{00000000-0004-0000-0000-000035000000}"/>
    <hyperlink ref="A29" r:id="rId55" display="https://www.facebook.com/aqoucii.makmak" xr:uid="{00000000-0004-0000-0000-000036000000}"/>
    <hyperlink ref="I29" r:id="rId56" display="https://www.facebook.com/rapplerdotcom/posts/pfbid0DUh4iFcrxZuR1UbiGhcAHcMdzsaV29GSeHCY1HabtqcnUWkjStX9TDaVqzzt92GDl" xr:uid="{00000000-0004-0000-0000-000037000000}"/>
    <hyperlink ref="A30" r:id="rId57" display="https://www.facebook.com/rico.sanyo.7" xr:uid="{00000000-0004-0000-0000-000038000000}"/>
    <hyperlink ref="I30" r:id="rId58" display="https://www.facebook.com/rapplerdotcom/posts/pfbid0DUh4iFcrxZuR1UbiGhcAHcMdzsaV29GSeHCY1HabtqcnUWkjStX9TDaVqzzt92GDl" xr:uid="{00000000-0004-0000-0000-000039000000}"/>
    <hyperlink ref="A31" r:id="rId59" display="https://www.facebook.com/deliza.esmeralda" xr:uid="{00000000-0004-0000-0000-00003A000000}"/>
    <hyperlink ref="I31" r:id="rId60" display="https://www.facebook.com/rapplerdotcom/posts/pfbid0DUh4iFcrxZuR1UbiGhcAHcMdzsaV29GSeHCY1HabtqcnUWkjStX9TDaVqzzt92GDl" xr:uid="{00000000-0004-0000-0000-00003B000000}"/>
    <hyperlink ref="A32" r:id="rId61" display="https://www.facebook.com/chris.bugasto" xr:uid="{00000000-0004-0000-0000-00003C000000}"/>
    <hyperlink ref="I32" r:id="rId62" display="https://www.facebook.com/rapplerdotcom/posts/pfbid0DUh4iFcrxZuR1UbiGhcAHcMdzsaV29GSeHCY1HabtqcnUWkjStX9TDaVqzzt92GDl" xr:uid="{00000000-0004-0000-0000-00003D000000}"/>
    <hyperlink ref="A33" r:id="rId63" display="https://www.facebook.com/berlanie18" xr:uid="{00000000-0004-0000-0000-00003E000000}"/>
    <hyperlink ref="I33" r:id="rId64" display="https://www.facebook.com/rapplerdotcom/posts/pfbid0DUh4iFcrxZuR1UbiGhcAHcMdzsaV29GSeHCY1HabtqcnUWkjStX9TDaVqzzt92GDl" xr:uid="{00000000-0004-0000-0000-00003F000000}"/>
    <hyperlink ref="A34" r:id="rId65" display="https://www.facebook.com/evelyn.ruiz.79230305" xr:uid="{00000000-0004-0000-0000-000040000000}"/>
    <hyperlink ref="I34" r:id="rId66" display="https://www.facebook.com/rapplerdotcom/posts/pfbid0DUh4iFcrxZuR1UbiGhcAHcMdzsaV29GSeHCY1HabtqcnUWkjStX9TDaVqzzt92GDl" xr:uid="{00000000-0004-0000-0000-000041000000}"/>
    <hyperlink ref="A35" r:id="rId67" display="https://www.facebook.com/rey.pilapil.940" xr:uid="{00000000-0004-0000-0000-000042000000}"/>
    <hyperlink ref="I35" r:id="rId68" display="https://www.facebook.com/rapplerdotcom/posts/pfbid0DUh4iFcrxZuR1UbiGhcAHcMdzsaV29GSeHCY1HabtqcnUWkjStX9TDaVqzzt92GDl" xr:uid="{00000000-0004-0000-0000-000043000000}"/>
    <hyperlink ref="A36" r:id="rId69" display="https://www.facebook.com/profile.php?id=100076323624998" xr:uid="{00000000-0004-0000-0000-000044000000}"/>
    <hyperlink ref="I36" r:id="rId70" display="https://www.facebook.com/rapplerdotcom/posts/pfbid0DUh4iFcrxZuR1UbiGhcAHcMdzsaV29GSeHCY1HabtqcnUWkjStX9TDaVqzzt92GDl" xr:uid="{00000000-0004-0000-0000-000045000000}"/>
    <hyperlink ref="A37" r:id="rId71" display="https://www.facebook.com/profile.php?id=100070766584402" xr:uid="{00000000-0004-0000-0000-000046000000}"/>
    <hyperlink ref="I37" r:id="rId72" display="https://www.facebook.com/rapplerdotcom/posts/pfbid0DUh4iFcrxZuR1UbiGhcAHcMdzsaV29GSeHCY1HabtqcnUWkjStX9TDaVqzzt92GDl" xr:uid="{00000000-0004-0000-0000-000047000000}"/>
    <hyperlink ref="A38" r:id="rId73" display="https://www.facebook.com/profile.php?id=100078059580817" xr:uid="{00000000-0004-0000-0000-000048000000}"/>
    <hyperlink ref="I38" r:id="rId74" display="https://www.facebook.com/rapplerdotcom/posts/pfbid0DUh4iFcrxZuR1UbiGhcAHcMdzsaV29GSeHCY1HabtqcnUWkjStX9TDaVqzzt92GDl" xr:uid="{00000000-0004-0000-0000-000049000000}"/>
    <hyperlink ref="A39" r:id="rId75" display="https://www.facebook.com/rey.pilapil.940" xr:uid="{00000000-0004-0000-0000-00004A000000}"/>
    <hyperlink ref="I39" r:id="rId76" display="https://www.facebook.com/rapplerdotcom/posts/pfbid0DUh4iFcrxZuR1UbiGhcAHcMdzsaV29GSeHCY1HabtqcnUWkjStX9TDaVqzzt92GDl" xr:uid="{00000000-0004-0000-0000-00004B000000}"/>
    <hyperlink ref="A40" r:id="rId77" display="https://www.facebook.com/profile.php?id=100078059580817" xr:uid="{00000000-0004-0000-0000-00004C000000}"/>
    <hyperlink ref="I40" r:id="rId78" display="https://www.facebook.com/rapplerdotcom/posts/pfbid0DUh4iFcrxZuR1UbiGhcAHcMdzsaV29GSeHCY1HabtqcnUWkjStX9TDaVqzzt92GDl" xr:uid="{00000000-0004-0000-0000-00004D000000}"/>
    <hyperlink ref="A41" r:id="rId79" display="https://www.facebook.com/profile.php?id=100078059580817" xr:uid="{00000000-0004-0000-0000-00004E000000}"/>
    <hyperlink ref="I41" r:id="rId80" display="https://www.facebook.com/rapplerdotcom/posts/pfbid0DUh4iFcrxZuR1UbiGhcAHcMdzsaV29GSeHCY1HabtqcnUWkjStX9TDaVqzzt92GDl" xr:uid="{00000000-0004-0000-0000-00004F000000}"/>
    <hyperlink ref="A42" r:id="rId81" display="https://www.facebook.com/rey.pilapil.940" xr:uid="{00000000-0004-0000-0000-000050000000}"/>
    <hyperlink ref="I42" r:id="rId82" display="https://www.facebook.com/rapplerdotcom/posts/pfbid0DUh4iFcrxZuR1UbiGhcAHcMdzsaV29GSeHCY1HabtqcnUWkjStX9TDaVqzzt92GDl" xr:uid="{00000000-0004-0000-0000-000051000000}"/>
    <hyperlink ref="A43" r:id="rId83" display="https://www.facebook.com/rey.pilapil.940" xr:uid="{00000000-0004-0000-0000-000052000000}"/>
    <hyperlink ref="I43" r:id="rId84" display="https://www.facebook.com/rapplerdotcom/posts/pfbid0DUh4iFcrxZuR1UbiGhcAHcMdzsaV29GSeHCY1HabtqcnUWkjStX9TDaVqzzt92GDl" xr:uid="{00000000-0004-0000-0000-000053000000}"/>
    <hyperlink ref="A44" r:id="rId85" display="https://www.facebook.com/profile.php?id=100078059580817" xr:uid="{00000000-0004-0000-0000-000054000000}"/>
    <hyperlink ref="I44" r:id="rId86" display="https://www.facebook.com/rapplerdotcom/posts/pfbid0DUh4iFcrxZuR1UbiGhcAHcMdzsaV29GSeHCY1HabtqcnUWkjStX9TDaVqzzt92GDl" xr:uid="{00000000-0004-0000-0000-000055000000}"/>
    <hyperlink ref="A45" r:id="rId87" display="https://www.facebook.com/jim.nograles" xr:uid="{00000000-0004-0000-0000-000056000000}"/>
    <hyperlink ref="I45" r:id="rId88" display="https://www.facebook.com/rapplerdotcom/posts/pfbid0DUh4iFcrxZuR1UbiGhcAHcMdzsaV29GSeHCY1HabtqcnUWkjStX9TDaVqzzt92GDl" xr:uid="{00000000-0004-0000-0000-000057000000}"/>
    <hyperlink ref="A46" r:id="rId89" display="https://www.facebook.com/spiderbeef23" xr:uid="{00000000-0004-0000-0000-000058000000}"/>
    <hyperlink ref="I46" r:id="rId90" display="https://www.facebook.com/rapplerdotcom/posts/pfbid0DUh4iFcrxZuR1UbiGhcAHcMdzsaV29GSeHCY1HabtqcnUWkjStX9TDaVqzzt92GDl" xr:uid="{00000000-0004-0000-0000-000059000000}"/>
    <hyperlink ref="A47" r:id="rId91" display="https://www.facebook.com/alvin.quibilan" xr:uid="{00000000-0004-0000-0000-00005A000000}"/>
    <hyperlink ref="I47" r:id="rId92" display="https://www.facebook.com/rapplerdotcom/posts/pfbid0DUh4iFcrxZuR1UbiGhcAHcMdzsaV29GSeHCY1HabtqcnUWkjStX9TDaVqzzt92GDl" xr:uid="{00000000-0004-0000-0000-00005B000000}"/>
    <hyperlink ref="A48" r:id="rId93" display="https://www.facebook.com/profile.php?id=100069548558481" xr:uid="{00000000-0004-0000-0000-00005C000000}"/>
    <hyperlink ref="I48" r:id="rId94" display="https://www.facebook.com/rapplerdotcom/posts/pfbid0DUh4iFcrxZuR1UbiGhcAHcMdzsaV29GSeHCY1HabtqcnUWkjStX9TDaVqzzt92GDl" xr:uid="{00000000-0004-0000-0000-00005D000000}"/>
    <hyperlink ref="A49" r:id="rId95" display="https://www.facebook.com/alvin.quibilan" xr:uid="{00000000-0004-0000-0000-00005E000000}"/>
    <hyperlink ref="I49" r:id="rId96" display="https://www.facebook.com/rapplerdotcom/posts/pfbid0DUh4iFcrxZuR1UbiGhcAHcMdzsaV29GSeHCY1HabtqcnUWkjStX9TDaVqzzt92GDl" xr:uid="{00000000-0004-0000-0000-00005F000000}"/>
    <hyperlink ref="A50" r:id="rId97" display="https://www.facebook.com/profile.php?id=100069548558481" xr:uid="{00000000-0004-0000-0000-000060000000}"/>
    <hyperlink ref="I50" r:id="rId98" display="https://www.facebook.com/rapplerdotcom/posts/pfbid0DUh4iFcrxZuR1UbiGhcAHcMdzsaV29GSeHCY1HabtqcnUWkjStX9TDaVqzzt92GDl" xr:uid="{00000000-0004-0000-0000-000061000000}"/>
    <hyperlink ref="A51" r:id="rId99" display="https://www.facebook.com/alvin.quibilan" xr:uid="{00000000-0004-0000-0000-000062000000}"/>
    <hyperlink ref="I51" r:id="rId100" display="https://www.facebook.com/rapplerdotcom/posts/pfbid0DUh4iFcrxZuR1UbiGhcAHcMdzsaV29GSeHCY1HabtqcnUWkjStX9TDaVqzzt92GDl" xr:uid="{00000000-0004-0000-0000-000063000000}"/>
    <hyperlink ref="A52" r:id="rId101" display="https://www.facebook.com/profile.php?id=100069548558481" xr:uid="{00000000-0004-0000-0000-000064000000}"/>
    <hyperlink ref="I52" r:id="rId102" display="https://www.facebook.com/rapplerdotcom/posts/pfbid0DUh4iFcrxZuR1UbiGhcAHcMdzsaV29GSeHCY1HabtqcnUWkjStX9TDaVqzzt92GDl" xr:uid="{00000000-0004-0000-0000-000065000000}"/>
    <hyperlink ref="A53" r:id="rId103" display="https://www.facebook.com/akr.bebelynpond" xr:uid="{00000000-0004-0000-0000-000066000000}"/>
    <hyperlink ref="I53" r:id="rId104" display="https://www.facebook.com/rapplerdotcom/posts/pfbid0DUh4iFcrxZuR1UbiGhcAHcMdzsaV29GSeHCY1HabtqcnUWkjStX9TDaVqzzt92GDl" xr:uid="{00000000-0004-0000-0000-000067000000}"/>
    <hyperlink ref="A54" r:id="rId105" display="https://www.facebook.com/alvin.quibilan" xr:uid="{00000000-0004-0000-0000-000068000000}"/>
    <hyperlink ref="I54" r:id="rId106" display="https://www.facebook.com/rapplerdotcom/posts/pfbid0DUh4iFcrxZuR1UbiGhcAHcMdzsaV29GSeHCY1HabtqcnUWkjStX9TDaVqzzt92GDl" xr:uid="{00000000-0004-0000-0000-000069000000}"/>
    <hyperlink ref="A55" r:id="rId107" display="https://www.facebook.com/profile.php?id=100009426127646" xr:uid="{00000000-0004-0000-0000-00006A000000}"/>
    <hyperlink ref="I55" r:id="rId108" display="https://www.facebook.com/rapplerdotcom/posts/pfbid0DUh4iFcrxZuR1UbiGhcAHcMdzsaV29GSeHCY1HabtqcnUWkjStX9TDaVqzzt92GDl" xr:uid="{00000000-0004-0000-0000-00006B000000}"/>
    <hyperlink ref="A56" r:id="rId109" display="https://www.facebook.com/charisse.martinezcomoda" xr:uid="{00000000-0004-0000-0000-00006C000000}"/>
    <hyperlink ref="I56" r:id="rId110" display="https://www.facebook.com/rapplerdotcom/posts/pfbid0DUh4iFcrxZuR1UbiGhcAHcMdzsaV29GSeHCY1HabtqcnUWkjStX9TDaVqzzt92GDl" xr:uid="{00000000-0004-0000-0000-00006D000000}"/>
    <hyperlink ref="A57" r:id="rId111" display="https://www.facebook.com/juanito.espiritu.16" xr:uid="{00000000-0004-0000-0000-00006E000000}"/>
    <hyperlink ref="I57" r:id="rId112" display="https://www.facebook.com/rapplerdotcom/posts/pfbid0DUh4iFcrxZuR1UbiGhcAHcMdzsaV29GSeHCY1HabtqcnUWkjStX9TDaVqzzt92GDl" xr:uid="{00000000-0004-0000-0000-00006F000000}"/>
    <hyperlink ref="A58" r:id="rId113" display="https://www.facebook.com/charisse.martinezcomoda" xr:uid="{00000000-0004-0000-0000-000070000000}"/>
    <hyperlink ref="I58" r:id="rId114" display="https://www.facebook.com/rapplerdotcom/posts/pfbid0DUh4iFcrxZuR1UbiGhcAHcMdzsaV29GSeHCY1HabtqcnUWkjStX9TDaVqzzt92GDl" xr:uid="{00000000-0004-0000-0000-000071000000}"/>
    <hyperlink ref="A59" r:id="rId115" display="https://www.facebook.com/profile.php?id=100078745816266" xr:uid="{00000000-0004-0000-0000-000072000000}"/>
    <hyperlink ref="I59" r:id="rId116" display="https://www.facebook.com/rapplerdotcom/posts/pfbid0DUh4iFcrxZuR1UbiGhcAHcMdzsaV29GSeHCY1HabtqcnUWkjStX9TDaVqzzt92GDl" xr:uid="{00000000-0004-0000-0000-000073000000}"/>
    <hyperlink ref="A60" r:id="rId117" display="https://www.facebook.com/akcelrose.marinas" xr:uid="{00000000-0004-0000-0000-000074000000}"/>
    <hyperlink ref="I60" r:id="rId118" display="https://www.facebook.com/rapplerdotcom/posts/pfbid0DUh4iFcrxZuR1UbiGhcAHcMdzsaV29GSeHCY1HabtqcnUWkjStX9TDaVqzzt92GDl" xr:uid="{00000000-0004-0000-0000-000075000000}"/>
    <hyperlink ref="A61" r:id="rId119" display="https://www.facebook.com/don.salabay" xr:uid="{00000000-0004-0000-0000-000076000000}"/>
    <hyperlink ref="I61" r:id="rId120" display="https://www.facebook.com/rapplerdotcom/posts/pfbid0DUh4iFcrxZuR1UbiGhcAHcMdzsaV29GSeHCY1HabtqcnUWkjStX9TDaVqzzt92GDl" xr:uid="{00000000-0004-0000-0000-000077000000}"/>
    <hyperlink ref="A62" r:id="rId121" display="https://www.facebook.com/profile.php?id=100007060997576" xr:uid="{00000000-0004-0000-0000-000078000000}"/>
    <hyperlink ref="I62" r:id="rId122" display="https://www.facebook.com/rapplerdotcom/posts/pfbid0DUh4iFcrxZuR1UbiGhcAHcMdzsaV29GSeHCY1HabtqcnUWkjStX9TDaVqzzt92GDl" xr:uid="{00000000-0004-0000-0000-000079000000}"/>
    <hyperlink ref="A63" r:id="rId123" display="https://www.facebook.com/naning.palajorin" xr:uid="{00000000-0004-0000-0000-00007A000000}"/>
    <hyperlink ref="I63" r:id="rId124" display="https://www.facebook.com/rapplerdotcom/posts/pfbid0DUh4iFcrxZuR1UbiGhcAHcMdzsaV29GSeHCY1HabtqcnUWkjStX9TDaVqzzt92GDl" xr:uid="{00000000-0004-0000-0000-00007B000000}"/>
    <hyperlink ref="A64" r:id="rId125" display="https://www.facebook.com/emilmendezjr" xr:uid="{00000000-0004-0000-0000-00007C000000}"/>
    <hyperlink ref="I64" r:id="rId126" display="https://www.facebook.com/rapplerdotcom/posts/pfbid0DUh4iFcrxZuR1UbiGhcAHcMdzsaV29GSeHCY1HabtqcnUWkjStX9TDaVqzzt92GDl" xr:uid="{00000000-0004-0000-0000-00007D000000}"/>
    <hyperlink ref="A65" r:id="rId127" display="https://www.facebook.com/darwin.garcia.355" xr:uid="{00000000-0004-0000-0000-00007E000000}"/>
    <hyperlink ref="I65" r:id="rId128" display="https://www.facebook.com/rapplerdotcom/posts/pfbid0DUh4iFcrxZuR1UbiGhcAHcMdzsaV29GSeHCY1HabtqcnUWkjStX9TDaVqzzt92GDl" xr:uid="{00000000-0004-0000-0000-00007F000000}"/>
    <hyperlink ref="A66" r:id="rId129" display="https://www.facebook.com/orni.dman" xr:uid="{00000000-0004-0000-0000-000080000000}"/>
    <hyperlink ref="I66" r:id="rId130" display="https://www.facebook.com/rapplerdotcom/posts/pfbid0DUh4iFcrxZuR1UbiGhcAHcMdzsaV29GSeHCY1HabtqcnUWkjStX9TDaVqzzt92GDl" xr:uid="{00000000-0004-0000-0000-000081000000}"/>
    <hyperlink ref="A67" r:id="rId131" display="https://www.facebook.com/pauljeric.queipo.1" xr:uid="{00000000-0004-0000-0000-000082000000}"/>
    <hyperlink ref="I67" r:id="rId132" display="https://www.facebook.com/rapplerdotcom/posts/pfbid0DUh4iFcrxZuR1UbiGhcAHcMdzsaV29GSeHCY1HabtqcnUWkjStX9TDaVqzzt92GDl" xr:uid="{00000000-0004-0000-0000-000083000000}"/>
    <hyperlink ref="A68" r:id="rId133" display="https://www.facebook.com/christy.licayan.7" xr:uid="{00000000-0004-0000-0000-000084000000}"/>
    <hyperlink ref="I68" r:id="rId134" display="https://www.facebook.com/rapplerdotcom/posts/pfbid0DUh4iFcrxZuR1UbiGhcAHcMdzsaV29GSeHCY1HabtqcnUWkjStX9TDaVqzzt92GDl" xr:uid="{00000000-0004-0000-0000-000085000000}"/>
    <hyperlink ref="A69" r:id="rId135" display="https://www.facebook.com/tzadmar.julian" xr:uid="{00000000-0004-0000-0000-000086000000}"/>
    <hyperlink ref="I69" r:id="rId136" display="https://www.facebook.com/rapplerdotcom/posts/pfbid0DUh4iFcrxZuR1UbiGhcAHcMdzsaV29GSeHCY1HabtqcnUWkjStX9TDaVqzzt92GDl" xr:uid="{00000000-0004-0000-0000-000087000000}"/>
    <hyperlink ref="A70" r:id="rId137" display="https://www.facebook.com/gumer.liston" xr:uid="{00000000-0004-0000-0000-000088000000}"/>
    <hyperlink ref="I70" r:id="rId138" display="https://www.facebook.com/rapplerdotcom/posts/pfbid0DUh4iFcrxZuR1UbiGhcAHcMdzsaV29GSeHCY1HabtqcnUWkjStX9TDaVqzzt92GDl" xr:uid="{00000000-0004-0000-0000-000089000000}"/>
    <hyperlink ref="A71" r:id="rId139" display="https://www.facebook.com/gumer.liston" xr:uid="{00000000-0004-0000-0000-00008A000000}"/>
    <hyperlink ref="I71" r:id="rId140" display="https://www.facebook.com/rapplerdotcom/posts/pfbid0DUh4iFcrxZuR1UbiGhcAHcMdzsaV29GSeHCY1HabtqcnUWkjStX9TDaVqzzt92GDl" xr:uid="{00000000-0004-0000-0000-00008B000000}"/>
    <hyperlink ref="A72" r:id="rId141" display="https://www.facebook.com/honey.huervana" xr:uid="{00000000-0004-0000-0000-00008C000000}"/>
    <hyperlink ref="I72" r:id="rId142" display="https://www.facebook.com/rapplerdotcom/posts/pfbid0DUh4iFcrxZuR1UbiGhcAHcMdzsaV29GSeHCY1HabtqcnUWkjStX9TDaVqzzt92GDl" xr:uid="{00000000-0004-0000-0000-00008D000000}"/>
    <hyperlink ref="A73" r:id="rId143" display="https://www.facebook.com/rusticzana" xr:uid="{00000000-0004-0000-0000-00008E000000}"/>
    <hyperlink ref="I73" r:id="rId144" display="https://www.facebook.com/rapplerdotcom/posts/pfbid0DUh4iFcrxZuR1UbiGhcAHcMdzsaV29GSeHCY1HabtqcnUWkjStX9TDaVqzzt92GDl" xr:uid="{00000000-0004-0000-0000-00008F000000}"/>
    <hyperlink ref="A74" r:id="rId145" display="https://www.facebook.com/FjdCastillo" xr:uid="{00000000-0004-0000-0000-000090000000}"/>
    <hyperlink ref="I74" r:id="rId146" display="https://www.facebook.com/rapplerdotcom/posts/pfbid0DUh4iFcrxZuR1UbiGhcAHcMdzsaV29GSeHCY1HabtqcnUWkjStX9TDaVqzzt92GDl" xr:uid="{00000000-0004-0000-0000-000091000000}"/>
    <hyperlink ref="A75" r:id="rId147" display="https://www.facebook.com/maylalyn.pagatpatanbiador" xr:uid="{00000000-0004-0000-0000-000092000000}"/>
    <hyperlink ref="I75" r:id="rId148" display="https://www.facebook.com/rapplerdotcom/posts/pfbid0DUh4iFcrxZuR1UbiGhcAHcMdzsaV29GSeHCY1HabtqcnUWkjStX9TDaVqzzt92GDl" xr:uid="{00000000-0004-0000-0000-000093000000}"/>
    <hyperlink ref="A76" r:id="rId149" display="https://www.facebook.com/emely.cantomayor.3" xr:uid="{00000000-0004-0000-0000-000094000000}"/>
    <hyperlink ref="I76" r:id="rId150" display="https://www.facebook.com/rapplerdotcom/posts/pfbid0DUh4iFcrxZuR1UbiGhcAHcMdzsaV29GSeHCY1HabtqcnUWkjStX9TDaVqzzt92GDl" xr:uid="{00000000-0004-0000-0000-000095000000}"/>
    <hyperlink ref="A77" r:id="rId151" display="https://www.facebook.com/alex.ibarra.7169709" xr:uid="{00000000-0004-0000-0000-000096000000}"/>
    <hyperlink ref="I77" r:id="rId152" display="https://www.facebook.com/rapplerdotcom/posts/pfbid0DUh4iFcrxZuR1UbiGhcAHcMdzsaV29GSeHCY1HabtqcnUWkjStX9TDaVqzzt92GDl" xr:uid="{00000000-0004-0000-0000-000097000000}"/>
    <hyperlink ref="A78" r:id="rId153" display="https://www.facebook.com/oteng.gai" xr:uid="{00000000-0004-0000-0000-000098000000}"/>
    <hyperlink ref="I78" r:id="rId154" display="https://www.facebook.com/rapplerdotcom/posts/pfbid0DUh4iFcrxZuR1UbiGhcAHcMdzsaV29GSeHCY1HabtqcnUWkjStX9TDaVqzzt92GDl" xr:uid="{00000000-0004-0000-0000-000099000000}"/>
    <hyperlink ref="A79" r:id="rId155" display="https://www.facebook.com/kristian.arceo" xr:uid="{00000000-0004-0000-0000-00009A000000}"/>
    <hyperlink ref="I79" r:id="rId156" display="https://www.facebook.com/rapplerdotcom/posts/pfbid0DUh4iFcrxZuR1UbiGhcAHcMdzsaV29GSeHCY1HabtqcnUWkjStX9TDaVqzzt92GDl" xr:uid="{00000000-0004-0000-0000-00009B000000}"/>
    <hyperlink ref="A80" r:id="rId157" display="https://www.facebook.com/Tell-Tale-Tweet-103754798693384/" xr:uid="{00000000-0004-0000-0000-00009C000000}"/>
    <hyperlink ref="I80" r:id="rId158" display="https://www.facebook.com/rapplerdotcom/posts/pfbid0DUh4iFcrxZuR1UbiGhcAHcMdzsaV29GSeHCY1HabtqcnUWkjStX9TDaVqzzt92GDl" xr:uid="{00000000-0004-0000-0000-00009D000000}"/>
    <hyperlink ref="A81" r:id="rId159" display="https://www.facebook.com/kristian.arceo" xr:uid="{00000000-0004-0000-0000-00009E000000}"/>
    <hyperlink ref="I81" r:id="rId160" display="https://www.facebook.com/rapplerdotcom/posts/pfbid0DUh4iFcrxZuR1UbiGhcAHcMdzsaV29GSeHCY1HabtqcnUWkjStX9TDaVqzzt92GDl" xr:uid="{00000000-0004-0000-0000-00009F000000}"/>
    <hyperlink ref="A82" r:id="rId161" display="https://www.facebook.com/Tell-Tale-Tweet-103754798693384/" xr:uid="{00000000-0004-0000-0000-0000A0000000}"/>
    <hyperlink ref="I82" r:id="rId162" display="https://www.facebook.com/rapplerdotcom/posts/pfbid0DUh4iFcrxZuR1UbiGhcAHcMdzsaV29GSeHCY1HabtqcnUWkjStX9TDaVqzzt92GDl" xr:uid="{00000000-0004-0000-0000-0000A1000000}"/>
    <hyperlink ref="A83" r:id="rId163" display="https://www.facebook.com/axljansantos" xr:uid="{00000000-0004-0000-0000-0000A2000000}"/>
    <hyperlink ref="I83" r:id="rId164" display="https://www.facebook.com/rapplerdotcom/posts/pfbid0DUh4iFcrxZuR1UbiGhcAHcMdzsaV29GSeHCY1HabtqcnUWkjStX9TDaVqzzt92GDl" xr:uid="{00000000-0004-0000-0000-0000A3000000}"/>
    <hyperlink ref="A84" r:id="rId165" display="https://www.facebook.com/jose.bataller.16" xr:uid="{00000000-0004-0000-0000-0000A4000000}"/>
    <hyperlink ref="I84" r:id="rId166" display="https://www.facebook.com/rapplerdotcom/posts/pfbid0DUh4iFcrxZuR1UbiGhcAHcMdzsaV29GSeHCY1HabtqcnUWkjStX9TDaVqzzt92GDl" xr:uid="{00000000-0004-0000-0000-0000A5000000}"/>
    <hyperlink ref="A85" r:id="rId167" display="https://www.facebook.com/henrileki" xr:uid="{00000000-0004-0000-0000-0000A6000000}"/>
    <hyperlink ref="I85" r:id="rId168" display="https://www.facebook.com/rapplerdotcom/posts/pfbid0DUh4iFcrxZuR1UbiGhcAHcMdzsaV29GSeHCY1HabtqcnUWkjStX9TDaVqzzt92GDl" xr:uid="{00000000-0004-0000-0000-0000A7000000}"/>
    <hyperlink ref="A86" r:id="rId169" display="https://www.facebook.com/myraparreno" xr:uid="{00000000-0004-0000-0000-0000A8000000}"/>
    <hyperlink ref="I86" r:id="rId170" display="https://www.facebook.com/rapplerdotcom/posts/pfbid0DUh4iFcrxZuR1UbiGhcAHcMdzsaV29GSeHCY1HabtqcnUWkjStX9TDaVqzzt92GDl" xr:uid="{00000000-0004-0000-0000-0000A9000000}"/>
    <hyperlink ref="A87" r:id="rId171" display="https://www.facebook.com/mariaaya.dellosalozada" xr:uid="{00000000-0004-0000-0000-0000AA000000}"/>
    <hyperlink ref="I87" r:id="rId172" display="https://www.facebook.com/rapplerdotcom/posts/pfbid0DUh4iFcrxZuR1UbiGhcAHcMdzsaV29GSeHCY1HabtqcnUWkjStX9TDaVqzzt92GDl" xr:uid="{00000000-0004-0000-0000-0000AB000000}"/>
    <hyperlink ref="A88" r:id="rId173" display="https://www.facebook.com/joseph.geraldo.1232" xr:uid="{00000000-0004-0000-0000-0000AC000000}"/>
    <hyperlink ref="I88" r:id="rId174" display="https://www.facebook.com/rapplerdotcom/posts/pfbid0DUh4iFcrxZuR1UbiGhcAHcMdzsaV29GSeHCY1HabtqcnUWkjStX9TDaVqzzt92GDl" xr:uid="{00000000-0004-0000-0000-0000AD000000}"/>
    <hyperlink ref="A89" r:id="rId175" display="https://www.facebook.com/henrileki" xr:uid="{00000000-0004-0000-0000-0000AE000000}"/>
    <hyperlink ref="I89" r:id="rId176" display="https://www.facebook.com/rapplerdotcom/posts/pfbid0DUh4iFcrxZuR1UbiGhcAHcMdzsaV29GSeHCY1HabtqcnUWkjStX9TDaVqzzt92GDl" xr:uid="{00000000-0004-0000-0000-0000AF000000}"/>
    <hyperlink ref="A90" r:id="rId177" display="https://www.facebook.com/terry.daktil.75" xr:uid="{00000000-0004-0000-0000-0000B0000000}"/>
    <hyperlink ref="I90" r:id="rId178" display="https://www.facebook.com/rapplerdotcom/posts/pfbid0DUh4iFcrxZuR1UbiGhcAHcMdzsaV29GSeHCY1HabtqcnUWkjStX9TDaVqzzt92GDl" xr:uid="{00000000-0004-0000-0000-0000B1000000}"/>
    <hyperlink ref="A91" r:id="rId179" display="https://www.facebook.com/profile.php?id=100073995464849" xr:uid="{00000000-0004-0000-0000-0000B2000000}"/>
    <hyperlink ref="I91" r:id="rId180" display="https://www.facebook.com/rapplerdotcom/posts/pfbid0DUh4iFcrxZuR1UbiGhcAHcMdzsaV29GSeHCY1HabtqcnUWkjStX9TDaVqzzt92GDl" xr:uid="{00000000-0004-0000-0000-0000B3000000}"/>
    <hyperlink ref="A92" r:id="rId181" display="https://www.facebook.com/profile.php?id=100009426127646" xr:uid="{00000000-0004-0000-0000-0000B4000000}"/>
    <hyperlink ref="I92" r:id="rId182" display="https://www.facebook.com/rapplerdotcom/posts/pfbid0DUh4iFcrxZuR1UbiGhcAHcMdzsaV29GSeHCY1HabtqcnUWkjStX9TDaVqzzt92GDl" xr:uid="{00000000-0004-0000-0000-0000B5000000}"/>
    <hyperlink ref="A93" r:id="rId183" display="https://www.facebook.com/aqoucii.makmak" xr:uid="{00000000-0004-0000-0000-0000B6000000}"/>
    <hyperlink ref="I93" r:id="rId184" display="https://www.facebook.com/rapplerdotcom/posts/pfbid0DUh4iFcrxZuR1UbiGhcAHcMdzsaV29GSeHCY1HabtqcnUWkjStX9TDaVqzzt92GDl" xr:uid="{00000000-0004-0000-0000-0000B7000000}"/>
    <hyperlink ref="A94" r:id="rId185" display="https://www.facebook.com/aqoucii.makmak" xr:uid="{00000000-0004-0000-0000-0000B8000000}"/>
    <hyperlink ref="I94" r:id="rId186" display="https://www.facebook.com/rapplerdotcom/posts/pfbid0DUh4iFcrxZuR1UbiGhcAHcMdzsaV29GSeHCY1HabtqcnUWkjStX9TDaVqzzt92GDl" xr:uid="{00000000-0004-0000-0000-0000B9000000}"/>
    <hyperlink ref="A95" r:id="rId187" display="https://www.facebook.com/mervilyn.constantino" xr:uid="{00000000-0004-0000-0000-0000BA000000}"/>
    <hyperlink ref="I95" r:id="rId188" display="https://www.facebook.com/rapplerdotcom/posts/pfbid0DUh4iFcrxZuR1UbiGhcAHcMdzsaV29GSeHCY1HabtqcnUWkjStX9TDaVqzzt92GDl" xr:uid="{00000000-0004-0000-0000-0000BB000000}"/>
    <hyperlink ref="A96" r:id="rId189" display="https://www.facebook.com/james.borgia.3" xr:uid="{00000000-0004-0000-0000-0000BC000000}"/>
    <hyperlink ref="I96" r:id="rId190" display="https://www.facebook.com/rapplerdotcom/posts/pfbid0DUh4iFcrxZuR1UbiGhcAHcMdzsaV29GSeHCY1HabtqcnUWkjStX9TDaVqzzt92GDl" xr:uid="{00000000-0004-0000-0000-0000BD000000}"/>
    <hyperlink ref="A97" r:id="rId191" display="https://www.facebook.com/Boyp97" xr:uid="{00000000-0004-0000-0000-0000BE000000}"/>
    <hyperlink ref="I97" r:id="rId192" display="https://www.facebook.com/rapplerdotcom/posts/pfbid0DUh4iFcrxZuR1UbiGhcAHcMdzsaV29GSeHCY1HabtqcnUWkjStX9TDaVqzzt92GDl" xr:uid="{00000000-0004-0000-0000-0000BF000000}"/>
    <hyperlink ref="A98" r:id="rId193" display="https://www.facebook.com/pauljeric.queipo.1" xr:uid="{00000000-0004-0000-0000-0000C0000000}"/>
    <hyperlink ref="I98" r:id="rId194" display="https://www.facebook.com/rapplerdotcom/posts/pfbid0DUh4iFcrxZuR1UbiGhcAHcMdzsaV29GSeHCY1HabtqcnUWkjStX9TDaVqzzt92GDl" xr:uid="{00000000-0004-0000-0000-0000C1000000}"/>
    <hyperlink ref="A99" r:id="rId195" display="https://www.facebook.com/randy.basco.3" xr:uid="{00000000-0004-0000-0000-0000C2000000}"/>
    <hyperlink ref="I99" r:id="rId196" display="https://www.facebook.com/rapplerdotcom/posts/pfbid0DUh4iFcrxZuR1UbiGhcAHcMdzsaV29GSeHCY1HabtqcnUWkjStX9TDaVqzzt92GDl" xr:uid="{00000000-0004-0000-0000-0000C3000000}"/>
    <hyperlink ref="A100" r:id="rId197" display="https://www.facebook.com/jovi.laganding" xr:uid="{00000000-0004-0000-0000-0000C4000000}"/>
    <hyperlink ref="I100" r:id="rId198" display="https://www.facebook.com/rapplerdotcom/posts/pfbid0DUh4iFcrxZuR1UbiGhcAHcMdzsaV29GSeHCY1HabtqcnUWkjStX9TDaVqzzt92GDl" xr:uid="{00000000-0004-0000-0000-0000C5000000}"/>
    <hyperlink ref="A101" r:id="rId199" display="https://www.facebook.com/axljansantos" xr:uid="{00000000-0004-0000-0000-0000C6000000}"/>
    <hyperlink ref="I101" r:id="rId200" display="https://www.facebook.com/rapplerdotcom/posts/pfbid0DUh4iFcrxZuR1UbiGhcAHcMdzsaV29GSeHCY1HabtqcnUWkjStX9TDaVqzzt92GDl" xr:uid="{00000000-0004-0000-0000-0000C7000000}"/>
    <hyperlink ref="A102" r:id="rId201" display="https://www.facebook.com/carlosjr.carreon" xr:uid="{00000000-0004-0000-0000-0000C8000000}"/>
    <hyperlink ref="I102" r:id="rId202" display="https://www.facebook.com/rapplerdotcom/posts/pfbid0DUh4iFcrxZuR1UbiGhcAHcMdzsaV29GSeHCY1HabtqcnUWkjStX9TDaVqzzt92GDl" xr:uid="{00000000-0004-0000-0000-0000C9000000}"/>
    <hyperlink ref="A103" r:id="rId203" display="https://www.facebook.com/jeff.gallo.1213" xr:uid="{00000000-0004-0000-0000-0000CA000000}"/>
    <hyperlink ref="I103" r:id="rId204" display="https://www.facebook.com/rapplerdotcom/posts/pfbid0DUh4iFcrxZuR1UbiGhcAHcMdzsaV29GSeHCY1HabtqcnUWkjStX9TDaVqzzt92GDl" xr:uid="{00000000-0004-0000-0000-0000CB000000}"/>
    <hyperlink ref="A104" r:id="rId205" display="https://www.facebook.com/jane.hejos" xr:uid="{00000000-0004-0000-0000-0000CC000000}"/>
    <hyperlink ref="I104" r:id="rId206" display="https://www.facebook.com/rapplerdotcom/posts/pfbid0DUh4iFcrxZuR1UbiGhcAHcMdzsaV29GSeHCY1HabtqcnUWkjStX9TDaVqzzt92GDl" xr:uid="{00000000-0004-0000-0000-0000CD000000}"/>
    <hyperlink ref="A105" r:id="rId207" display="https://www.facebook.com/ismael.manikan" xr:uid="{00000000-0004-0000-0000-0000CE000000}"/>
    <hyperlink ref="I105" r:id="rId208" display="https://www.facebook.com/rapplerdotcom/posts/pfbid0DUh4iFcrxZuR1UbiGhcAHcMdzsaV29GSeHCY1HabtqcnUWkjStX9TDaVqzzt92GDl" xr:uid="{00000000-0004-0000-0000-0000CF000000}"/>
    <hyperlink ref="A106" r:id="rId209" display="https://www.facebook.com/caren.ortiz.3" xr:uid="{00000000-0004-0000-0000-0000D0000000}"/>
    <hyperlink ref="I106" r:id="rId210" display="https://www.facebook.com/rapplerdotcom/posts/pfbid0DUh4iFcrxZuR1UbiGhcAHcMdzsaV29GSeHCY1HabtqcnUWkjStX9TDaVqzzt92GDl" xr:uid="{00000000-0004-0000-0000-0000D1000000}"/>
    <hyperlink ref="A107" r:id="rId211" display="https://www.facebook.com/pauljeric.queipo.1" xr:uid="{00000000-0004-0000-0000-0000D2000000}"/>
    <hyperlink ref="I107" r:id="rId212" display="https://www.facebook.com/rapplerdotcom/posts/pfbid0DUh4iFcrxZuR1UbiGhcAHcMdzsaV29GSeHCY1HabtqcnUWkjStX9TDaVqzzt92GDl" xr:uid="{00000000-0004-0000-0000-0000D3000000}"/>
    <hyperlink ref="A108" r:id="rId213" display="https://www.facebook.com/randy.basco.3" xr:uid="{00000000-0004-0000-0000-0000D4000000}"/>
    <hyperlink ref="I108" r:id="rId214" display="https://www.facebook.com/rapplerdotcom/posts/pfbid0DUh4iFcrxZuR1UbiGhcAHcMdzsaV29GSeHCY1HabtqcnUWkjStX9TDaVqzzt92GDl" xr:uid="{00000000-0004-0000-0000-0000D5000000}"/>
    <hyperlink ref="A109" r:id="rId215" display="https://www.facebook.com/pauljeric.queipo.1" xr:uid="{00000000-0004-0000-0000-0000D6000000}"/>
    <hyperlink ref="I109" r:id="rId216" display="https://www.facebook.com/rapplerdotcom/posts/pfbid0DUh4iFcrxZuR1UbiGhcAHcMdzsaV29GSeHCY1HabtqcnUWkjStX9TDaVqzzt92GDl" xr:uid="{00000000-0004-0000-0000-0000D7000000}"/>
    <hyperlink ref="A110" r:id="rId217" display="https://www.facebook.com/profile.php?id=100075539882920" xr:uid="{00000000-0004-0000-0000-0000D8000000}"/>
    <hyperlink ref="I110" r:id="rId218" display="https://www.facebook.com/rapplerdotcom/posts/pfbid0DUh4iFcrxZuR1UbiGhcAHcMdzsaV29GSeHCY1HabtqcnUWkjStX9TDaVqzzt92GDl" xr:uid="{00000000-0004-0000-0000-0000D9000000}"/>
    <hyperlink ref="A111" r:id="rId219" display="https://www.facebook.com/ey.oliveros" xr:uid="{00000000-0004-0000-0000-0000DA000000}"/>
    <hyperlink ref="I111" r:id="rId220" display="https://www.facebook.com/rapplerdotcom/posts/pfbid0DUh4iFcrxZuR1UbiGhcAHcMdzsaV29GSeHCY1HabtqcnUWkjStX9TDaVqzzt92GDl" xr:uid="{00000000-0004-0000-0000-0000DB000000}"/>
    <hyperlink ref="A112" r:id="rId221" display="https://www.facebook.com/mercy.gulayda" xr:uid="{00000000-0004-0000-0000-0000DC000000}"/>
    <hyperlink ref="I112" r:id="rId222" display="https://www.facebook.com/rapplerdotcom/posts/pfbid0DUh4iFcrxZuR1UbiGhcAHcMdzsaV29GSeHCY1HabtqcnUWkjStX9TDaVqzzt92GDl" xr:uid="{00000000-0004-0000-0000-0000DD000000}"/>
    <hyperlink ref="A113" r:id="rId223" display="https://www.facebook.com/profile.php?id=100075590935527" xr:uid="{00000000-0004-0000-0000-0000DE000000}"/>
    <hyperlink ref="I113" r:id="rId224" display="https://www.facebook.com/rapplerdotcom/posts/pfbid0DUh4iFcrxZuR1UbiGhcAHcMdzsaV29GSeHCY1HabtqcnUWkjStX9TDaVqzzt92GDl" xr:uid="{00000000-0004-0000-0000-0000DF000000}"/>
    <hyperlink ref="A114" r:id="rId225" display="https://www.facebook.com/joeygarcia25" xr:uid="{00000000-0004-0000-0000-0000E0000000}"/>
    <hyperlink ref="I114" r:id="rId226" display="https://www.facebook.com/rapplerdotcom/posts/pfbid0DUh4iFcrxZuR1UbiGhcAHcMdzsaV29GSeHCY1HabtqcnUWkjStX9TDaVqzzt92GDl" xr:uid="{00000000-0004-0000-0000-0000E1000000}"/>
    <hyperlink ref="I115" r:id="rId227" display="https://www.facebook.com/watch/live/?ref=watch_permalink&amp;v=386705962975078" xr:uid="{00000000-0004-0000-0000-0000E2000000}"/>
    <hyperlink ref="A116" r:id="rId228" display="https://www.facebook.com/alvinjoseph.supan" xr:uid="{00000000-0004-0000-0000-0000E3000000}"/>
    <hyperlink ref="I116" r:id="rId229" display="https://www.facebook.com/rapplerdotcom/photos/a.317154781638645/5598220220198715/" xr:uid="{00000000-0004-0000-0000-0000E4000000}"/>
    <hyperlink ref="A117" r:id="rId230" display="https://www.facebook.com/profile.php?id=100078329061859" xr:uid="{00000000-0004-0000-0000-0000E5000000}"/>
    <hyperlink ref="I117" r:id="rId231" display="https://www.facebook.com/rapplerdotcom/photos/a.317154781638645/5598220220198715/" xr:uid="{00000000-0004-0000-0000-0000E6000000}"/>
    <hyperlink ref="A118" r:id="rId232" display="https://www.facebook.com/cehfabre" xr:uid="{00000000-0004-0000-0000-0000E7000000}"/>
    <hyperlink ref="I118" r:id="rId233" display="https://www.facebook.com/rapplerdotcom/photos/a.317154781638645/5598220220198715/" xr:uid="{00000000-0004-0000-0000-0000E8000000}"/>
    <hyperlink ref="A119" r:id="rId234" display="https://www.facebook.com/ana.abadsantos" xr:uid="{00000000-0004-0000-0000-0000E9000000}"/>
    <hyperlink ref="I119" r:id="rId235" display="https://www.facebook.com/rapplerdotcom/photos/a.317154781638645/5598220220198715/" xr:uid="{00000000-0004-0000-0000-0000EA000000}"/>
    <hyperlink ref="A120" r:id="rId236" display="https://www.facebook.com/profile.php?id=100078461366052" xr:uid="{00000000-0004-0000-0000-0000EB000000}"/>
    <hyperlink ref="I120" r:id="rId237" display="https://www.facebook.com/rapplerdotcom/photos/a.317154781638645/5598220220198715/" xr:uid="{00000000-0004-0000-0000-0000EC000000}"/>
    <hyperlink ref="A121" r:id="rId238" display="https://www.facebook.com/terrence.co" xr:uid="{00000000-0004-0000-0000-0000ED000000}"/>
    <hyperlink ref="I121" r:id="rId239" display="https://www.facebook.com/rapplerdotcom/photos/a.317154781638645/5598220220198715/" xr:uid="{00000000-0004-0000-0000-0000EE000000}"/>
    <hyperlink ref="A122" r:id="rId240" display="https://www.facebook.com/profile.php?id=100070634495786" xr:uid="{00000000-0004-0000-0000-0000EF000000}"/>
    <hyperlink ref="I122" r:id="rId241" display="https://www.facebook.com/rapplerdotcom/photos/a.317154781638645/5598220220198715/" xr:uid="{00000000-0004-0000-0000-0000F0000000}"/>
    <hyperlink ref="A123" r:id="rId242" display="https://www.facebook.com/profile.php?id=100078716168416" xr:uid="{00000000-0004-0000-0000-0000F1000000}"/>
    <hyperlink ref="I123" r:id="rId243" display="https://www.facebook.com/rapplerdotcom/photos/a.317154781638645/5598220220198715/" xr:uid="{00000000-0004-0000-0000-0000F2000000}"/>
    <hyperlink ref="A124" r:id="rId244" display="https://www.facebook.com/profile.php?id=100078627702377" xr:uid="{00000000-0004-0000-0000-0000F3000000}"/>
    <hyperlink ref="I124" r:id="rId245" display="https://www.facebook.com/rapplerdotcom/photos/a.317154781638645/5598220220198715/" xr:uid="{00000000-0004-0000-0000-0000F4000000}"/>
    <hyperlink ref="A125" r:id="rId246" display="https://www.facebook.com/profile.php?id=100077223813002" xr:uid="{00000000-0004-0000-0000-0000F5000000}"/>
    <hyperlink ref="I125" r:id="rId247" display="https://www.facebook.com/rapplerdotcom/photos/a.317154781638645/5598220220198715/" xr:uid="{00000000-0004-0000-0000-0000F6000000}"/>
    <hyperlink ref="A126" r:id="rId248" display="https://www.facebook.com/jeje.cruz.1690" xr:uid="{00000000-0004-0000-0000-0000F7000000}"/>
    <hyperlink ref="I126" r:id="rId249" display="https://www.facebook.com/rapplerdotcom/photos/a.317154781638645/5598220220198715/" xr:uid="{00000000-0004-0000-0000-0000F8000000}"/>
    <hyperlink ref="A127" r:id="rId250" display="https://www.facebook.com/airam.libutaque" xr:uid="{00000000-0004-0000-0000-0000F9000000}"/>
    <hyperlink ref="I127" r:id="rId251" display="https://www.facebook.com/rapplerdotcom/photos/a.317154781638645/5598220220198715/" xr:uid="{00000000-0004-0000-0000-0000FA000000}"/>
    <hyperlink ref="A128" r:id="rId252" display="https://www.facebook.com/airam.libutaque" xr:uid="{00000000-0004-0000-0000-0000FB000000}"/>
    <hyperlink ref="I128" r:id="rId253" display="https://www.facebook.com/rapplerdotcom/photos/a.317154781638645/5598220220198715/" xr:uid="{00000000-0004-0000-0000-0000FC000000}"/>
    <hyperlink ref="A129" r:id="rId254" display="https://www.facebook.com/antonio.posadas.35" xr:uid="{00000000-0004-0000-0000-0000FD000000}"/>
    <hyperlink ref="I129" r:id="rId255" display="https://www.facebook.com/rapplerdotcom/photos/a.317154781638645/5598220220198715/" xr:uid="{00000000-0004-0000-0000-0000FE000000}"/>
    <hyperlink ref="A130" r:id="rId256" display="https://www.facebook.com/profile.php?id=100079047092742" xr:uid="{00000000-0004-0000-0000-0000FF000000}"/>
    <hyperlink ref="I130" r:id="rId257" display="https://www.facebook.com/rapplerdotcom/photos/a.317154781638645/5598220220198715/" xr:uid="{00000000-0004-0000-0000-000000010000}"/>
    <hyperlink ref="A131" r:id="rId258" display="https://www.facebook.com/profile.php?id=100078504654734" xr:uid="{00000000-0004-0000-0000-000001010000}"/>
    <hyperlink ref="I131" r:id="rId259" display="https://www.facebook.com/rapplerdotcom/photos/a.317154781638645/5598220220198715/" xr:uid="{00000000-0004-0000-0000-000002010000}"/>
    <hyperlink ref="A132" r:id="rId260" display="https://www.facebook.com/profile.php?id=100078561682789" xr:uid="{00000000-0004-0000-0000-000003010000}"/>
    <hyperlink ref="I132" r:id="rId261" display="https://www.facebook.com/rapplerdotcom/photos/a.317154781638645/5598220220198715/" xr:uid="{00000000-0004-0000-0000-000004010000}"/>
    <hyperlink ref="A133" r:id="rId262" display="https://www.facebook.com/profile.php?id=100078433647836" xr:uid="{00000000-0004-0000-0000-000005010000}"/>
    <hyperlink ref="I133" r:id="rId263" display="https://www.facebook.com/rapplerdotcom/photos/a.317154781638645/5598220220198715/" xr:uid="{00000000-0004-0000-0000-000006010000}"/>
    <hyperlink ref="A134" r:id="rId264" display="https://www.facebook.com/profile.php?id=100078329061859" xr:uid="{00000000-0004-0000-0000-000007010000}"/>
    <hyperlink ref="I134" r:id="rId265" display="https://www.facebook.com/rapplerdotcom/photos/a.317154781638645/5598220220198715/" xr:uid="{00000000-0004-0000-0000-000008010000}"/>
    <hyperlink ref="A135" r:id="rId266" display="https://www.facebook.com/elizabeth.bondad" xr:uid="{00000000-0004-0000-0000-000009010000}"/>
    <hyperlink ref="I135" r:id="rId267" display="https://www.facebook.com/rapplerdotcom/photos/a.317154781638645/5598220220198715/" xr:uid="{00000000-0004-0000-0000-00000A010000}"/>
    <hyperlink ref="A136" r:id="rId268" display="https://www.facebook.com/ronfrias" xr:uid="{00000000-0004-0000-0000-00000B010000}"/>
    <hyperlink ref="I136" r:id="rId269" display="https://www.facebook.com/rapplerdotcom/photos/a.317154781638645/5598220220198715/" xr:uid="{00000000-0004-0000-0000-00000C010000}"/>
    <hyperlink ref="A137" r:id="rId270" display="https://www.facebook.com/czaranthony.colocar" xr:uid="{00000000-0004-0000-0000-00000D010000}"/>
    <hyperlink ref="I137" r:id="rId271" display="https://www.facebook.com/rapplerdotcom/photos/a.317154781638645/5598220220198715/" xr:uid="{00000000-0004-0000-0000-00000E010000}"/>
    <hyperlink ref="A138" r:id="rId272" display="https://www.facebook.com/profile.php?id=100078772872933" xr:uid="{00000000-0004-0000-0000-00000F010000}"/>
    <hyperlink ref="I138" r:id="rId273" display="https://www.facebook.com/rapplerdotcom/photos/a.317154781638645/5598220220198715/" xr:uid="{00000000-0004-0000-0000-000010010000}"/>
    <hyperlink ref="A139" r:id="rId274" display="https://www.facebook.com/profile.php?id=100077975515176" xr:uid="{00000000-0004-0000-0000-000011010000}"/>
    <hyperlink ref="I139" r:id="rId275" display="https://www.facebook.com/rapplerdotcom/photos/a.317154781638645/5598220220198715/" xr:uid="{00000000-0004-0000-0000-000012010000}"/>
    <hyperlink ref="A140" r:id="rId276" display="https://www.facebook.com/profile.php?id=100078329061859" xr:uid="{00000000-0004-0000-0000-000013010000}"/>
    <hyperlink ref="I140" r:id="rId277" display="https://www.facebook.com/rapplerdotcom/photos/a.317154781638645/5598220220198715/" xr:uid="{00000000-0004-0000-0000-000014010000}"/>
    <hyperlink ref="A141" r:id="rId278" display="https://www.facebook.com/cielo.dupayamendiola" xr:uid="{00000000-0004-0000-0000-000015010000}"/>
    <hyperlink ref="I141" r:id="rId279" display="https://www.facebook.com/rapplerdotcom/photos/a.317154781638645/5598220220198715/" xr:uid="{00000000-0004-0000-0000-000016010000}"/>
    <hyperlink ref="A142" r:id="rId280" display="https://www.facebook.com/profile.php?id=100078329061859" xr:uid="{00000000-0004-0000-0000-000017010000}"/>
    <hyperlink ref="I142" r:id="rId281" display="https://www.facebook.com/rapplerdotcom/photos/a.317154781638645/5598220220198715/" xr:uid="{00000000-0004-0000-0000-000018010000}"/>
    <hyperlink ref="A143" r:id="rId282" display="https://www.facebook.com/bella.sarenas" xr:uid="{00000000-0004-0000-0000-000019010000}"/>
    <hyperlink ref="I143" r:id="rId283" display="https://www.facebook.com/rapplerdotcom/photos/a.317154781638645/5598220220198715/" xr:uid="{00000000-0004-0000-0000-00001A010000}"/>
    <hyperlink ref="A144" r:id="rId284" display="https://www.facebook.com/ana.abadsantos" xr:uid="{00000000-0004-0000-0000-00001B010000}"/>
    <hyperlink ref="I144" r:id="rId285" display="https://www.facebook.com/rapplerdotcom/photos/a.317154781638645/5598220220198715/" xr:uid="{00000000-0004-0000-0000-00001C010000}"/>
    <hyperlink ref="A145" r:id="rId286" display="https://www.facebook.com/luz.baldoz" xr:uid="{00000000-0004-0000-0000-00001D010000}"/>
    <hyperlink ref="I145" r:id="rId287" display="https://www.facebook.com/rapplerdotcom/photos/a.317154781638645/5598220220198715/" xr:uid="{00000000-0004-0000-0000-00001E010000}"/>
    <hyperlink ref="A146" r:id="rId288" display="https://www.facebook.com/Novie.furry.godmama" xr:uid="{00000000-0004-0000-0000-00001F010000}"/>
    <hyperlink ref="I146" r:id="rId289" display="https://www.facebook.com/rapplerdotcom/photos/a.317154781638645/5598220220198715/" xr:uid="{00000000-0004-0000-0000-000020010000}"/>
    <hyperlink ref="A147" r:id="rId290" display="https://www.facebook.com/profile.php?id=100011526405374" xr:uid="{00000000-0004-0000-0000-000021010000}"/>
    <hyperlink ref="I147" r:id="rId291" display="https://www.facebook.com/rapplerdotcom/photos/a.317154781638645/5598220220198715/" xr:uid="{00000000-0004-0000-0000-000022010000}"/>
    <hyperlink ref="A148" r:id="rId292" display="https://www.facebook.com/profile.php?id=100079089531211" xr:uid="{00000000-0004-0000-0000-000023010000}"/>
    <hyperlink ref="I148" r:id="rId293" display="https://www.facebook.com/rapplerdotcom/photos/a.317154781638645/5598220220198715/" xr:uid="{00000000-0004-0000-0000-000024010000}"/>
    <hyperlink ref="A149" r:id="rId294" display="https://www.facebook.com/messengah" xr:uid="{00000000-0004-0000-0000-000025010000}"/>
    <hyperlink ref="I149" r:id="rId295" display="https://www.facebook.com/rapplerdotcom/photos/a.317154781638645/5598220220198715/" xr:uid="{00000000-0004-0000-0000-000026010000}"/>
    <hyperlink ref="A150" r:id="rId296" display="https://www.facebook.com/deadinsidemychest" xr:uid="{00000000-0004-0000-0000-000027010000}"/>
    <hyperlink ref="I150" r:id="rId297" display="https://www.facebook.com/rapplerdotcom/photos/a.317154781638645/5598220220198715/" xr:uid="{00000000-0004-0000-0000-000028010000}"/>
    <hyperlink ref="A151" r:id="rId298" display="https://www.facebook.com/antonio.banaga.20" xr:uid="{00000000-0004-0000-0000-000029010000}"/>
    <hyperlink ref="I151" r:id="rId299" display="https://www.facebook.com/rapplerdotcom/photos/a.317154781638645/5598220220198715/" xr:uid="{00000000-0004-0000-0000-00002A010000}"/>
    <hyperlink ref="A152" r:id="rId300" display="https://www.facebook.com/bechabye" xr:uid="{00000000-0004-0000-0000-00002B010000}"/>
    <hyperlink ref="I152" r:id="rId301" display="https://www.facebook.com/rapplerdotcom/photos/a.317154781638645/5598220220198715/" xr:uid="{00000000-0004-0000-0000-00002C010000}"/>
    <hyperlink ref="A153" r:id="rId302" display="https://www.facebook.com/meann.garcia.brubelle" xr:uid="{00000000-0004-0000-0000-00002D010000}"/>
    <hyperlink ref="I153" r:id="rId303" display="https://www.facebook.com/rapplerdotcom/photos/a.317154781638645/5598220220198715/" xr:uid="{00000000-0004-0000-0000-00002E010000}"/>
    <hyperlink ref="A154" r:id="rId304" display="https://www.facebook.com/irene.s.mangubat" xr:uid="{00000000-0004-0000-0000-00002F010000}"/>
    <hyperlink ref="I154" r:id="rId305" display="https://www.facebook.com/rapplerdotcom/photos/a.317154781638645/5598220220198715/" xr:uid="{00000000-0004-0000-0000-000030010000}"/>
    <hyperlink ref="A155" r:id="rId306" display="https://www.facebook.com/jolly.amaf" xr:uid="{00000000-0004-0000-0000-000031010000}"/>
    <hyperlink ref="I155" r:id="rId307" display="https://www.facebook.com/rapplerdotcom/photos/a.317154781638645/5598220220198715/" xr:uid="{00000000-0004-0000-0000-000032010000}"/>
    <hyperlink ref="A156" r:id="rId308" display="https://www.facebook.com/ventura.mariejane" xr:uid="{00000000-0004-0000-0000-000033010000}"/>
    <hyperlink ref="I156" r:id="rId309" display="https://www.facebook.com/rapplerdotcom/photos/a.317154781638645/5598220220198715/" xr:uid="{00000000-0004-0000-0000-000034010000}"/>
    <hyperlink ref="A157" r:id="rId310" display="https://www.facebook.com/olracyer.nadneba.3" xr:uid="{00000000-0004-0000-0000-000035010000}"/>
    <hyperlink ref="I157" r:id="rId311" display="https://www.facebook.com/rapplerdotcom/photos/a.317154781638645/5598220220198715/" xr:uid="{00000000-0004-0000-0000-000036010000}"/>
    <hyperlink ref="A158" r:id="rId312" display="https://www.facebook.com/frankanthony.pataueg.1" xr:uid="{00000000-0004-0000-0000-000037010000}"/>
    <hyperlink ref="I158" r:id="rId313" display="https://www.facebook.com/rapplerdotcom/photos/a.317154781638645/5598220220198715/" xr:uid="{00000000-0004-0000-0000-000038010000}"/>
    <hyperlink ref="A159" r:id="rId314" display="https://www.facebook.com/christinefamulagan" xr:uid="{00000000-0004-0000-0000-000039010000}"/>
    <hyperlink ref="I159" r:id="rId315" display="https://www.facebook.com/rapplerdotcom/photos/a.317154781638645/5598220220198715/" xr:uid="{00000000-0004-0000-0000-00003A010000}"/>
    <hyperlink ref="A160" r:id="rId316" display="https://www.facebook.com/amalia.ledesma.56" xr:uid="{00000000-0004-0000-0000-00003B010000}"/>
    <hyperlink ref="I160" r:id="rId317" display="https://www.facebook.com/rapplerdotcom/photos/a.317154781638645/5598220220198715/" xr:uid="{00000000-0004-0000-0000-00003C010000}"/>
    <hyperlink ref="A161" r:id="rId318" display="https://www.facebook.com/rosario.liang.9" xr:uid="{00000000-0004-0000-0000-00003D010000}"/>
    <hyperlink ref="I161" r:id="rId319" display="https://www.facebook.com/rapplerdotcom/photos/a.317154781638645/5598220220198715/" xr:uid="{00000000-0004-0000-0000-00003E010000}"/>
    <hyperlink ref="A162" r:id="rId320" display="https://www.facebook.com/sweetverni" xr:uid="{00000000-0004-0000-0000-00003F010000}"/>
    <hyperlink ref="I162" r:id="rId321" display="https://www.facebook.com/rapplerdotcom/photos/a.317154781638645/5598220220198715/" xr:uid="{00000000-0004-0000-0000-000040010000}"/>
    <hyperlink ref="A163" r:id="rId322" display="https://www.facebook.com/marilen.estaniel" xr:uid="{00000000-0004-0000-0000-000041010000}"/>
    <hyperlink ref="I163" r:id="rId323" display="https://www.facebook.com/rapplerdotcom/photos/a.317154781638645/5598220220198715/" xr:uid="{00000000-0004-0000-0000-000042010000}"/>
    <hyperlink ref="A164" r:id="rId324" display="https://www.facebook.com/profile.php?id=100079089531211" xr:uid="{00000000-0004-0000-0000-000043010000}"/>
    <hyperlink ref="I164" r:id="rId325" display="https://www.facebook.com/rapplerdotcom/photos/a.317154781638645/5598220220198715/" xr:uid="{00000000-0004-0000-0000-000044010000}"/>
    <hyperlink ref="A165" r:id="rId326" display="https://www.facebook.com/mais.korni.9" xr:uid="{00000000-0004-0000-0000-000045010000}"/>
    <hyperlink ref="I165" r:id="rId327" display="https://www.facebook.com/rapplerdotcom/photos/a.317154781638645/5598220220198715/" xr:uid="{00000000-0004-0000-0000-000046010000}"/>
    <hyperlink ref="A166" r:id="rId328" display="https://www.facebook.com/denia.b.gatdula" xr:uid="{00000000-0004-0000-0000-000047010000}"/>
    <hyperlink ref="I166" r:id="rId329" display="https://www.facebook.com/rapplerdotcom/photos/a.317154781638645/5598220220198715/" xr:uid="{00000000-0004-0000-0000-000048010000}"/>
    <hyperlink ref="A167" r:id="rId330" display="https://www.facebook.com/bayani.manlongat" xr:uid="{00000000-0004-0000-0000-000049010000}"/>
    <hyperlink ref="I167" r:id="rId331" display="https://www.facebook.com/rapplerdotcom/photos/a.317154781638645/5598220220198715/" xr:uid="{00000000-0004-0000-0000-00004A010000}"/>
    <hyperlink ref="A168" r:id="rId332" display="https://www.facebook.com/maria.delapena.714" xr:uid="{00000000-0004-0000-0000-00004B010000}"/>
    <hyperlink ref="I168" r:id="rId333" display="https://www.facebook.com/rapplerdotcom/photos/a.317154781638645/5598220220198715/" xr:uid="{00000000-0004-0000-0000-00004C010000}"/>
    <hyperlink ref="A169" r:id="rId334" display="https://www.facebook.com/priscila.matocinos.5" xr:uid="{00000000-0004-0000-0000-00004D010000}"/>
    <hyperlink ref="I169" r:id="rId335" display="https://www.facebook.com/rapplerdotcom/photos/a.317154781638645/5598220220198715/" xr:uid="{00000000-0004-0000-0000-00004E010000}"/>
    <hyperlink ref="A170" r:id="rId336" display="https://www.facebook.com/lutgarda.duenas" xr:uid="{00000000-0004-0000-0000-00004F010000}"/>
    <hyperlink ref="I170" r:id="rId337" display="https://www.facebook.com/rapplerdotcom/photos/a.317154781638645/5598220220198715/" xr:uid="{00000000-0004-0000-0000-000050010000}"/>
    <hyperlink ref="A171" r:id="rId338" display="https://www.facebook.com/profile.php?id=100004073401228" xr:uid="{00000000-0004-0000-0000-000051010000}"/>
    <hyperlink ref="I171" r:id="rId339" display="https://www.facebook.com/rapplerdotcom/photos/a.317154781638645/5598220220198715/" xr:uid="{00000000-0004-0000-0000-000052010000}"/>
    <hyperlink ref="A172" r:id="rId340" display="https://www.facebook.com/titomendiola345" xr:uid="{00000000-0004-0000-0000-000053010000}"/>
    <hyperlink ref="I172" r:id="rId341" display="https://www.facebook.com/rapplerdotcom/photos/a.317154781638645/5598220220198715/" xr:uid="{00000000-0004-0000-0000-000054010000}"/>
    <hyperlink ref="A173" r:id="rId342" display="https://www.facebook.com/marah.dominguez" xr:uid="{00000000-0004-0000-0000-000055010000}"/>
    <hyperlink ref="I173" r:id="rId343" display="https://www.facebook.com/rapplerdotcom/photos/a.317154781638645/5598220220198715/" xr:uid="{00000000-0004-0000-0000-000056010000}"/>
    <hyperlink ref="A174" r:id="rId344" display="https://www.facebook.com/araceli.abellar.16" xr:uid="{00000000-0004-0000-0000-000057010000}"/>
    <hyperlink ref="I174" r:id="rId345" display="https://www.facebook.com/rapplerdotcom/photos/a.317154781638645/5598220220198715/" xr:uid="{00000000-0004-0000-0000-000058010000}"/>
    <hyperlink ref="A175" r:id="rId346" display="https://www.facebook.com/jefferson.yabut" xr:uid="{00000000-0004-0000-0000-000059010000}"/>
    <hyperlink ref="I175" r:id="rId347" display="https://www.facebook.com/rapplerdotcom/photos/a.317154781638645/5598220220198715/" xr:uid="{00000000-0004-0000-0000-00005A010000}"/>
    <hyperlink ref="A176" r:id="rId348" display="https://www.facebook.com/ofelia529" xr:uid="{00000000-0004-0000-0000-00005B010000}"/>
    <hyperlink ref="I176" r:id="rId349" display="https://www.facebook.com/rapplerdotcom/photos/a.317154781638645/5598220220198715/" xr:uid="{00000000-0004-0000-0000-00005C010000}"/>
    <hyperlink ref="A177" r:id="rId350" display="https://www.facebook.com/danilo.salas.98" xr:uid="{00000000-0004-0000-0000-00005D010000}"/>
    <hyperlink ref="I177" r:id="rId351" display="https://www.facebook.com/rapplerdotcom/photos/a.317154781638645/5598220220198715/" xr:uid="{00000000-0004-0000-0000-00005E010000}"/>
    <hyperlink ref="A178" r:id="rId352" display="https://www.facebook.com/doc.ahl.9" xr:uid="{00000000-0004-0000-0000-00005F010000}"/>
    <hyperlink ref="I178" r:id="rId353" display="https://www.facebook.com/rapplerdotcom/photos/a.317154781638645/5598220220198715/" xr:uid="{00000000-0004-0000-0000-000060010000}"/>
    <hyperlink ref="A179" r:id="rId354" display="https://www.facebook.com/benedicta.cesistarosapa" xr:uid="{00000000-0004-0000-0000-000061010000}"/>
    <hyperlink ref="I179" r:id="rId355" display="https://www.facebook.com/rapplerdotcom/photos/a.317154781638645/5598220220198715/" xr:uid="{00000000-0004-0000-0000-000062010000}"/>
    <hyperlink ref="A180" r:id="rId356" display="https://www.facebook.com/mariamila.barbasa" xr:uid="{00000000-0004-0000-0000-000063010000}"/>
    <hyperlink ref="I180" r:id="rId357" display="https://www.facebook.com/rapplerdotcom/photos/a.317154781638645/5598220220198715/" xr:uid="{00000000-0004-0000-0000-000064010000}"/>
    <hyperlink ref="A181" r:id="rId358" display="https://www.facebook.com/ner.estrellado" xr:uid="{00000000-0004-0000-0000-000065010000}"/>
    <hyperlink ref="I181" r:id="rId359" display="https://www.facebook.com/rapplerdotcom/photos/a.317154781638645/5598220220198715/" xr:uid="{00000000-0004-0000-0000-000066010000}"/>
    <hyperlink ref="A182" r:id="rId360" display="https://www.facebook.com/tinapacura" xr:uid="{00000000-0004-0000-0000-000067010000}"/>
    <hyperlink ref="I182" r:id="rId361" display="https://www.facebook.com/rapplerdotcom/photos/a.317154781638645/5598220220198715/" xr:uid="{00000000-0004-0000-0000-000068010000}"/>
    <hyperlink ref="A183" r:id="rId362" display="https://www.facebook.com/champoybulletelbow" xr:uid="{00000000-0004-0000-0000-000069010000}"/>
    <hyperlink ref="I183" r:id="rId363" display="https://www.facebook.com/rapplerdotcom/photos/a.317154781638645/5598220220198715/" xr:uid="{00000000-0004-0000-0000-00006A010000}"/>
    <hyperlink ref="A184" r:id="rId364" display="https://www.facebook.com/debby.martinez.gumban" xr:uid="{00000000-0004-0000-0000-00006B010000}"/>
    <hyperlink ref="I184" r:id="rId365" display="https://www.facebook.com/rapplerdotcom/photos/a.317154781638645/5598220220198715/" xr:uid="{00000000-0004-0000-0000-00006C010000}"/>
    <hyperlink ref="A185" r:id="rId366" display="https://www.facebook.com/anita.tamayo.33671" xr:uid="{00000000-0004-0000-0000-00006D010000}"/>
    <hyperlink ref="I185" r:id="rId367" display="https://www.facebook.com/rapplerdotcom/photos/a.317154781638645/5598220220198715/" xr:uid="{00000000-0004-0000-0000-00006E010000}"/>
    <hyperlink ref="A186" r:id="rId368" display="https://www.facebook.com/roysem88" xr:uid="{00000000-0004-0000-0000-00006F010000}"/>
    <hyperlink ref="I186" r:id="rId369" display="https://www.facebook.com/rapplerdotcom/photos/a.317154781638645/5598220220198715/" xr:uid="{00000000-0004-0000-0000-000070010000}"/>
    <hyperlink ref="A187" r:id="rId370" display="https://www.facebook.com/angelita.villaflor.1" xr:uid="{00000000-0004-0000-0000-000071010000}"/>
    <hyperlink ref="I187" r:id="rId371" display="https://www.facebook.com/rapplerdotcom/photos/a.317154781638645/5598220220198715/" xr:uid="{00000000-0004-0000-0000-000072010000}"/>
    <hyperlink ref="A188" r:id="rId372" display="https://www.facebook.com/lolit.gaddi.1" xr:uid="{00000000-0004-0000-0000-000073010000}"/>
    <hyperlink ref="I188" r:id="rId373" display="https://www.facebook.com/rapplerdotcom/photos/a.317154781638645/5598220220198715/" xr:uid="{00000000-0004-0000-0000-000074010000}"/>
    <hyperlink ref="A189" r:id="rId374" display="https://www.facebook.com/RomelManugidLorilla07" xr:uid="{00000000-0004-0000-0000-000075010000}"/>
    <hyperlink ref="I189" r:id="rId375" display="https://www.facebook.com/rapplerdotcom/photos/a.317154781638645/5598220220198715/" xr:uid="{00000000-0004-0000-0000-000076010000}"/>
    <hyperlink ref="A190" r:id="rId376" display="https://www.facebook.com/romel.mesina.9" xr:uid="{00000000-0004-0000-0000-000077010000}"/>
    <hyperlink ref="I190" r:id="rId377" display="https://www.facebook.com/rapplerdotcom/photos/a.317154781638645/5598220220198715/" xr:uid="{00000000-0004-0000-0000-000078010000}"/>
    <hyperlink ref="A191" r:id="rId378" display="https://www.facebook.com/frankanthony.pataueg.1" xr:uid="{00000000-0004-0000-0000-000079010000}"/>
    <hyperlink ref="I191" r:id="rId379" display="https://www.facebook.com/rapplerdotcom/photos/a.317154781638645/5598220220198715/" xr:uid="{00000000-0004-0000-0000-00007A010000}"/>
    <hyperlink ref="A192" r:id="rId380" display="https://www.facebook.com/aida.villauz" xr:uid="{00000000-0004-0000-0000-00007B010000}"/>
    <hyperlink ref="I192" r:id="rId381" display="https://www.facebook.com/rapplerdotcom/photos/a.317154781638645/5598220220198715/" xr:uid="{00000000-0004-0000-0000-00007C010000}"/>
    <hyperlink ref="A193" r:id="rId382" display="https://www.facebook.com/joyce.orena" xr:uid="{00000000-0004-0000-0000-00007D010000}"/>
    <hyperlink ref="I193" r:id="rId383" display="https://www.facebook.com/rapplerdotcom/photos/a.317154781638645/5598220220198715/" xr:uid="{00000000-0004-0000-0000-00007E010000}"/>
    <hyperlink ref="A194" r:id="rId384" display="https://www.facebook.com/nssilvela" xr:uid="{00000000-0004-0000-0000-00007F010000}"/>
    <hyperlink ref="I194" r:id="rId385" display="https://www.facebook.com/rapplerdotcom/photos/a.317154781638645/5598220220198715/" xr:uid="{00000000-0004-0000-0000-000080010000}"/>
    <hyperlink ref="A195" r:id="rId386" display="https://www.facebook.com/ejllorente04" xr:uid="{00000000-0004-0000-0000-000081010000}"/>
    <hyperlink ref="I195" r:id="rId387" display="https://www.facebook.com/rapplerdotcom/photos/a.317154781638645/5598220220198715/" xr:uid="{00000000-0004-0000-0000-000082010000}"/>
    <hyperlink ref="A196" r:id="rId388" display="https://www.facebook.com/johnragadi" xr:uid="{00000000-0004-0000-0000-000083010000}"/>
    <hyperlink ref="I196" r:id="rId389" display="https://www.facebook.com/rapplerdotcom/photos/a.317154781638645/5598220220198715/" xr:uid="{00000000-0004-0000-0000-000084010000}"/>
    <hyperlink ref="A197" r:id="rId390" display="https://www.facebook.com/Jadiz50" xr:uid="{00000000-0004-0000-0000-000085010000}"/>
    <hyperlink ref="I197" r:id="rId391" display="https://www.facebook.com/rapplerdotcom/photos/a.317154781638645/5598220220198715/" xr:uid="{00000000-0004-0000-0000-000086010000}"/>
    <hyperlink ref="A198" r:id="rId392" display="https://www.facebook.com/Jadiz50" xr:uid="{00000000-0004-0000-0000-000087010000}"/>
    <hyperlink ref="I198" r:id="rId393" display="https://www.facebook.com/rapplerdotcom/photos/a.317154781638645/5598220220198715/" xr:uid="{00000000-0004-0000-0000-000088010000}"/>
    <hyperlink ref="A199" r:id="rId394" display="https://www.facebook.com/bill.worth.1422" xr:uid="{00000000-0004-0000-0000-000089010000}"/>
    <hyperlink ref="I199" r:id="rId395" display="https://www.facebook.com/rapplerdotcom/photos/a.317154781638645/5598220220198715/" xr:uid="{00000000-0004-0000-0000-00008A010000}"/>
    <hyperlink ref="A200" r:id="rId396" display="https://www.facebook.com/nap.cruz.3" xr:uid="{00000000-0004-0000-0000-00008B010000}"/>
    <hyperlink ref="I200" r:id="rId397" display="https://www.facebook.com/rapplerdotcom/photos/a.317154781638645/5598220220198715/" xr:uid="{00000000-0004-0000-0000-00008C010000}"/>
    <hyperlink ref="A201" r:id="rId398" display="https://www.facebook.com/steve.tamayo.18" xr:uid="{00000000-0004-0000-0000-00008D010000}"/>
    <hyperlink ref="I201" r:id="rId399" display="https://www.facebook.com/rapplerdotcom/photos/a.317154781638645/5598220220198715/" xr:uid="{00000000-0004-0000-0000-00008E010000}"/>
    <hyperlink ref="A202" r:id="rId400" display="https://www.facebook.com/gonb.tibabs" xr:uid="{00000000-0004-0000-0000-00008F010000}"/>
    <hyperlink ref="I202" r:id="rId401" display="https://www.facebook.com/rapplerdotcom/photos/a.317154781638645/5598220220198715/" xr:uid="{00000000-0004-0000-0000-000090010000}"/>
    <hyperlink ref="A203" r:id="rId402" display="https://www.facebook.com/gonb.tibabs" xr:uid="{00000000-0004-0000-0000-000091010000}"/>
    <hyperlink ref="I203" r:id="rId403" display="https://www.facebook.com/rapplerdotcom/photos/a.317154781638645/5598220220198715/" xr:uid="{00000000-0004-0000-0000-000092010000}"/>
    <hyperlink ref="A204" r:id="rId404" display="https://www.facebook.com/emele.maca.7" xr:uid="{00000000-0004-0000-0000-000093010000}"/>
    <hyperlink ref="I204" r:id="rId405" display="https://www.facebook.com/rapplerdotcom/photos/a.317154781638645/5598220220198715/" xr:uid="{00000000-0004-0000-0000-000094010000}"/>
    <hyperlink ref="A205" r:id="rId406" display="https://www.facebook.com/werdna.matugas" xr:uid="{00000000-0004-0000-0000-000095010000}"/>
    <hyperlink ref="I205" r:id="rId407" display="https://www.facebook.com/rapplerdotcom/photos/a.317154781638645/5598220220198715/" xr:uid="{00000000-0004-0000-0000-000096010000}"/>
    <hyperlink ref="A206" r:id="rId408" display="https://www.facebook.com/PKMmatters" xr:uid="{00000000-0004-0000-0000-000097010000}"/>
    <hyperlink ref="I206" r:id="rId409" display="https://www.facebook.com/rapplerdotcom/photos/a.317154781638645/5598220220198715/" xr:uid="{00000000-0004-0000-0000-000098010000}"/>
    <hyperlink ref="A207" r:id="rId410" display="https://www.facebook.com/sweetverni" xr:uid="{00000000-0004-0000-0000-000099010000}"/>
    <hyperlink ref="I207" r:id="rId411" display="https://www.facebook.com/rapplerdotcom/photos/a.317154781638645/5598220220198715/" xr:uid="{00000000-0004-0000-0000-00009A010000}"/>
    <hyperlink ref="A208" r:id="rId412" display="https://www.facebook.com/eduardo.arboleda.1257" xr:uid="{00000000-0004-0000-0000-00009B010000}"/>
    <hyperlink ref="I208" r:id="rId413" display="https://www.facebook.com/rapplerdotcom/photos/a.317154781638645/5598220220198715/" xr:uid="{00000000-0004-0000-0000-00009C010000}"/>
    <hyperlink ref="A209" r:id="rId414" display="https://www.facebook.com/catalino.onquit" xr:uid="{00000000-0004-0000-0000-00009D010000}"/>
    <hyperlink ref="I209" r:id="rId415" display="https://www.facebook.com/rapplerdotcom/photos/a.317154781638645/5598220220198715/" xr:uid="{00000000-0004-0000-0000-00009E010000}"/>
    <hyperlink ref="A210" r:id="rId416" display="https://www.facebook.com/profile.php?id=100069055685563" xr:uid="{00000000-0004-0000-0000-00009F010000}"/>
    <hyperlink ref="I210" r:id="rId417" display="https://www.facebook.com/rapplerdotcom/photos/a.317154781638645/5598220220198715/" xr:uid="{00000000-0004-0000-0000-0000A0010000}"/>
    <hyperlink ref="A211" r:id="rId418" display="https://www.facebook.com/gilbert.cabacoy" xr:uid="{00000000-0004-0000-0000-0000A1010000}"/>
    <hyperlink ref="I211" r:id="rId419" display="https://www.facebook.com/rapplerdotcom/photos/a.317154781638645/5598220220198715/" xr:uid="{00000000-0004-0000-0000-0000A2010000}"/>
    <hyperlink ref="A212" r:id="rId420" display="https://www.facebook.com/versusversi" xr:uid="{00000000-0004-0000-0000-0000A3010000}"/>
    <hyperlink ref="I212" r:id="rId421" display="https://www.facebook.com/rapplerdotcom/photos/a.317154781638645/5598220220198715/" xr:uid="{00000000-0004-0000-0000-0000A4010000}"/>
    <hyperlink ref="A213" r:id="rId422" display="https://www.facebook.com/asean.briones" xr:uid="{00000000-0004-0000-0000-0000A5010000}"/>
    <hyperlink ref="I213" r:id="rId423" display="https://www.facebook.com/rapplerdotcom/photos/a.317154781638645/5598220220198715/" xr:uid="{00000000-0004-0000-0000-0000A6010000}"/>
    <hyperlink ref="A214" r:id="rId424" display="https://www.facebook.com/elmer.gabini" xr:uid="{00000000-0004-0000-0000-0000A7010000}"/>
    <hyperlink ref="I214" r:id="rId425" display="https://www.facebook.com/rapplerdotcom/photos/a.317154781638645/5598220220198715/" xr:uid="{00000000-0004-0000-0000-0000A8010000}"/>
    <hyperlink ref="A215" r:id="rId426" display="https://www.facebook.com/myinspireducation.587606" xr:uid="{00000000-0004-0000-0000-0000A9010000}"/>
    <hyperlink ref="I215" r:id="rId427" display="https://www.facebook.com/rapplerdotcom/photos/a.317154781638645/5598220220198715/" xr:uid="{00000000-0004-0000-0000-0000AA010000}"/>
    <hyperlink ref="A216" r:id="rId428" display="https://www.facebook.com/judyann.aruta" xr:uid="{00000000-0004-0000-0000-0000AB010000}"/>
    <hyperlink ref="I216" r:id="rId429" display="https://www.facebook.com/rapplerdotcom/photos/a.317154781638645/5598220220198715/" xr:uid="{00000000-0004-0000-0000-0000AC010000}"/>
    <hyperlink ref="A217" r:id="rId430" display="https://www.facebook.com/narciso.corvera.549" xr:uid="{00000000-0004-0000-0000-0000AD010000}"/>
    <hyperlink ref="I217" r:id="rId431" display="https://www.facebook.com/rapplerdotcom/photos/a.317154781638645/5598220220198715/" xr:uid="{00000000-0004-0000-0000-0000AE010000}"/>
    <hyperlink ref="A218" r:id="rId432" display="https://www.facebook.com/joey.ibe.7" xr:uid="{00000000-0004-0000-0000-0000AF010000}"/>
    <hyperlink ref="I218" r:id="rId433" display="https://www.facebook.com/rapplerdotcom/photos/a.317154781638645/5598220220198715/" xr:uid="{00000000-0004-0000-0000-0000B0010000}"/>
    <hyperlink ref="A219" r:id="rId434" display="https://www.facebook.com/tony.deguzman.104" xr:uid="{00000000-0004-0000-0000-0000B1010000}"/>
    <hyperlink ref="I219" r:id="rId435" display="https://www.facebook.com/rapplerdotcom/photos/a.317154781638645/5598220220198715/" xr:uid="{00000000-0004-0000-0000-0000B2010000}"/>
    <hyperlink ref="A220" r:id="rId436" display="https://www.facebook.com/palos.reblando" xr:uid="{00000000-0004-0000-0000-0000B3010000}"/>
    <hyperlink ref="I220" r:id="rId437" display="https://www.facebook.com/rapplerdotcom/photos/a.317154781638645/5598220220198715/" xr:uid="{00000000-0004-0000-0000-0000B4010000}"/>
    <hyperlink ref="A221" r:id="rId438" display="https://www.facebook.com/palos.reblando" xr:uid="{00000000-0004-0000-0000-0000B5010000}"/>
    <hyperlink ref="I221" r:id="rId439" display="https://www.facebook.com/rapplerdotcom/photos/a.317154781638645/5598220220198715/" xr:uid="{00000000-0004-0000-0000-0000B6010000}"/>
    <hyperlink ref="A222" r:id="rId440" display="https://www.facebook.com/jameson.beljica" xr:uid="{00000000-0004-0000-0000-0000B7010000}"/>
    <hyperlink ref="I222" r:id="rId441" display="https://www.facebook.com/rapplerdotcom/photos/a.317154781638645/5598220220198715/" xr:uid="{00000000-0004-0000-0000-0000B8010000}"/>
    <hyperlink ref="A223" r:id="rId442" display="https://www.facebook.com/jameson.beljica" xr:uid="{00000000-0004-0000-0000-0000B9010000}"/>
    <hyperlink ref="I223" r:id="rId443" display="https://www.facebook.com/rapplerdotcom/photos/a.317154781638645/5598220220198715/" xr:uid="{00000000-0004-0000-0000-0000BA010000}"/>
    <hyperlink ref="A224" r:id="rId444" display="https://www.facebook.com/thomas.french.52" xr:uid="{00000000-0004-0000-0000-0000BB010000}"/>
    <hyperlink ref="I224" r:id="rId445" display="https://www.facebook.com/rapplerdotcom/photos/a.317154781638645/5598220220198715/" xr:uid="{00000000-0004-0000-0000-0000BC010000}"/>
    <hyperlink ref="A225" r:id="rId446" display="https://www.facebook.com/venass.mercado.1" xr:uid="{00000000-0004-0000-0000-0000BD010000}"/>
    <hyperlink ref="I225" r:id="rId447" display="https://www.facebook.com/rapplerdotcom/photos/a.317154781638645/5598220220198715/" xr:uid="{00000000-0004-0000-0000-0000BE010000}"/>
    <hyperlink ref="A226" r:id="rId448" display="https://www.facebook.com/profile.php?id=100022498132149" xr:uid="{00000000-0004-0000-0000-0000BF010000}"/>
    <hyperlink ref="I226" r:id="rId449" display="https://www.facebook.com/rapplerdotcom/photos/a.317154781638645/5598220220198715/" xr:uid="{00000000-0004-0000-0000-0000C0010000}"/>
    <hyperlink ref="A227" r:id="rId450" display="https://www.facebook.com/profile.php?id=100007771848864" xr:uid="{00000000-0004-0000-0000-0000C1010000}"/>
    <hyperlink ref="I227" r:id="rId451" display="https://www.facebook.com/rapplerdotcom/photos/a.317154781638645/5598220220198715/" xr:uid="{00000000-0004-0000-0000-0000C2010000}"/>
    <hyperlink ref="A228" r:id="rId452" display="https://www.facebook.com/geneilyn.amanduron" xr:uid="{00000000-0004-0000-0000-0000C3010000}"/>
    <hyperlink ref="I228" r:id="rId453" display="https://www.facebook.com/rapplerdotcom/photos/a.317154781638645/5598220220198715/" xr:uid="{00000000-0004-0000-0000-0000C4010000}"/>
    <hyperlink ref="A229" r:id="rId454" display="https://www.facebook.com/scott.dejitomccall" xr:uid="{00000000-0004-0000-0000-0000C5010000}"/>
    <hyperlink ref="I229" r:id="rId455" display="https://www.facebook.com/rapplerdotcom/photos/a.317154781638645/5598220220198715/" xr:uid="{00000000-0004-0000-0000-0000C6010000}"/>
    <hyperlink ref="A230" r:id="rId456" display="https://www.facebook.com/gail.llait.9" xr:uid="{00000000-0004-0000-0000-0000C7010000}"/>
    <hyperlink ref="I230" r:id="rId457" display="https://www.facebook.com/rapplerdotcom/photos/a.317154781638645/5598220220198715/" xr:uid="{00000000-0004-0000-0000-0000C8010000}"/>
    <hyperlink ref="A231" r:id="rId458" display="https://www.facebook.com/profile.php?id=100069959550032" xr:uid="{00000000-0004-0000-0000-0000C9010000}"/>
    <hyperlink ref="I231" r:id="rId459" display="https://www.facebook.com/rapplerdotcom/photos/a.317154781638645/5598220220198715/" xr:uid="{00000000-0004-0000-0000-0000CA010000}"/>
    <hyperlink ref="A232" r:id="rId460" display="https://www.facebook.com/edclino" xr:uid="{00000000-0004-0000-0000-0000CB010000}"/>
    <hyperlink ref="I232" r:id="rId461" display="https://www.facebook.com/rapplerdotcom/photos/a.317154781638645/5598220220198715/" xr:uid="{00000000-0004-0000-0000-0000CC010000}"/>
    <hyperlink ref="A233" r:id="rId462" display="https://www.facebook.com/jhing.lagrimas" xr:uid="{00000000-0004-0000-0000-0000CD010000}"/>
    <hyperlink ref="I233" r:id="rId463" display="https://www.facebook.com/rapplerdotcom/photos/a.317154781638645/5598220220198715/" xr:uid="{00000000-0004-0000-0000-0000CE010000}"/>
    <hyperlink ref="A234" r:id="rId464" display="https://www.facebook.com/rogerick.rovillos.ph" xr:uid="{00000000-0004-0000-0000-0000CF010000}"/>
    <hyperlink ref="I234" r:id="rId465" display="https://www.facebook.com/rapplerdotcom/photos/a.317154781638645/5598220220198715/" xr:uid="{00000000-0004-0000-0000-0000D0010000}"/>
    <hyperlink ref="A235" r:id="rId466" display="https://www.facebook.com/jeroh.amis" xr:uid="{00000000-0004-0000-0000-0000D1010000}"/>
    <hyperlink ref="I235" r:id="rId467" display="https://www.facebook.com/rapplerdotcom/photos/a.317154781638645/5598220220198715/" xr:uid="{00000000-0004-0000-0000-0000D2010000}"/>
    <hyperlink ref="A236" r:id="rId468" display="https://www.facebook.com/chona.piansay" xr:uid="{00000000-0004-0000-0000-0000D3010000}"/>
    <hyperlink ref="I236" r:id="rId469" display="https://www.facebook.com/rapplerdotcom/photos/a.317154781638645/5598220220198715/" xr:uid="{00000000-0004-0000-0000-0000D4010000}"/>
    <hyperlink ref="A237" r:id="rId470" display="https://www.facebook.com/janna.bahinteng" xr:uid="{00000000-0004-0000-0000-0000D5010000}"/>
    <hyperlink ref="I237" r:id="rId471" display="https://www.facebook.com/rapplerdotcom/photos/a.317154781638645/5598220220198715/" xr:uid="{00000000-0004-0000-0000-0000D6010000}"/>
    <hyperlink ref="A238" r:id="rId472" display="https://www.facebook.com/topeabarca98" xr:uid="{00000000-0004-0000-0000-0000D7010000}"/>
    <hyperlink ref="I238" r:id="rId473" display="https://www.facebook.com/rapplerdotcom/photos/a.317154781638645/5598220220198715/" xr:uid="{00000000-0004-0000-0000-0000D8010000}"/>
    <hyperlink ref="A239" r:id="rId474" display="https://www.facebook.com/profile.php?id=100009725222253" xr:uid="{00000000-0004-0000-0000-0000D9010000}"/>
    <hyperlink ref="I239" r:id="rId475" display="https://www.facebook.com/rapplerdotcom/photos/a.317154781638645/5598220220198715/" xr:uid="{00000000-0004-0000-0000-0000DA010000}"/>
    <hyperlink ref="A240" r:id="rId476" display="https://www.facebook.com/profile.php?id=100069842802277" xr:uid="{00000000-0004-0000-0000-0000DB010000}"/>
    <hyperlink ref="I240" r:id="rId477" display="https://www.facebook.com/rapplerdotcom/photos/a.317154781638645/5598220220198715/" xr:uid="{00000000-0004-0000-0000-0000DC010000}"/>
    <hyperlink ref="A241" r:id="rId478" display="https://www.facebook.com/mal.esquivel" xr:uid="{00000000-0004-0000-0000-0000DD010000}"/>
    <hyperlink ref="I241" r:id="rId479" display="https://www.facebook.com/rapplerdotcom/photos/a.317154781638645/5598220220198715/" xr:uid="{00000000-0004-0000-0000-0000DE010000}"/>
    <hyperlink ref="A242" r:id="rId480" display="https://www.facebook.com/ayan.delan" xr:uid="{00000000-0004-0000-0000-0000DF010000}"/>
    <hyperlink ref="I242" r:id="rId481" display="https://www.facebook.com/rapplerdotcom/photos/a.317154781638645/5598220220198715/" xr:uid="{00000000-0004-0000-0000-0000E0010000}"/>
    <hyperlink ref="A243" r:id="rId482" display="https://www.facebook.com/grace.lucila.33" xr:uid="{00000000-0004-0000-0000-0000E1010000}"/>
    <hyperlink ref="I243" r:id="rId483" display="https://www.facebook.com/rapplerdotcom/photos/a.317154781638645/5598220220198715/" xr:uid="{00000000-0004-0000-0000-0000E2010000}"/>
    <hyperlink ref="A244" r:id="rId484" display="https://www.facebook.com/jeff.hubero" xr:uid="{00000000-0004-0000-0000-0000E3010000}"/>
    <hyperlink ref="I244" r:id="rId485" display="https://www.facebook.com/rapplerdotcom/photos/a.317154781638645/5598220220198715/" xr:uid="{00000000-0004-0000-0000-0000E4010000}"/>
    <hyperlink ref="A245" r:id="rId486" display="https://www.facebook.com/maria.carl.77" xr:uid="{00000000-0004-0000-0000-0000E5010000}"/>
    <hyperlink ref="I245" r:id="rId487" display="https://www.facebook.com/rapplerdotcom/photos/a.317154781638645/5598220220198715/" xr:uid="{00000000-0004-0000-0000-0000E6010000}"/>
    <hyperlink ref="A246" r:id="rId488" display="https://www.facebook.com/rodelio.cohay.3" xr:uid="{00000000-0004-0000-0000-0000E7010000}"/>
    <hyperlink ref="I246" r:id="rId489" display="https://www.facebook.com/rapplerdotcom/photos/a.317154781638645/5598220220198715/" xr:uid="{00000000-0004-0000-0000-0000E8010000}"/>
    <hyperlink ref="A247" r:id="rId490" display="https://www.facebook.com/philip.casapao" xr:uid="{00000000-0004-0000-0000-0000E9010000}"/>
    <hyperlink ref="I247" r:id="rId491" display="https://www.facebook.com/rapplerdotcom/photos/a.317154781638645/5598220220198715/" xr:uid="{00000000-0004-0000-0000-0000EA010000}"/>
    <hyperlink ref="A248" r:id="rId492" display="https://www.facebook.com/veronica.o.hadi" xr:uid="{00000000-0004-0000-0000-0000EB010000}"/>
    <hyperlink ref="I248" r:id="rId493" display="https://www.facebook.com/rapplerdotcom/photos/a.317154781638645/5598220220198715/" xr:uid="{00000000-0004-0000-0000-0000EC010000}"/>
    <hyperlink ref="A249" r:id="rId494" display="https://www.facebook.com/federico.condesa" xr:uid="{00000000-0004-0000-0000-0000ED010000}"/>
    <hyperlink ref="I249" r:id="rId495" display="https://www.facebook.com/rapplerdotcom/photos/a.317154781638645/5598220220198715/" xr:uid="{00000000-0004-0000-0000-0000EE010000}"/>
    <hyperlink ref="A250" r:id="rId496" display="https://www.facebook.com/eugarnlise.garcia27" xr:uid="{00000000-0004-0000-0000-0000EF010000}"/>
    <hyperlink ref="I250" r:id="rId497" display="https://www.facebook.com/rapplerdotcom/photos/a.317154781638645/5598220220198715/" xr:uid="{00000000-0004-0000-0000-0000F0010000}"/>
    <hyperlink ref="A251" r:id="rId498" display="https://www.facebook.com/hotaru.izanami" xr:uid="{00000000-0004-0000-0000-0000F1010000}"/>
    <hyperlink ref="I251" r:id="rId499" display="https://www.facebook.com/rapplerdotcom/photos/a.317154781638645/5598220220198715/" xr:uid="{00000000-0004-0000-0000-0000F2010000}"/>
    <hyperlink ref="A252" r:id="rId500" display="https://www.facebook.com/neil.torreon.7" xr:uid="{00000000-0004-0000-0000-0000F3010000}"/>
    <hyperlink ref="I252" r:id="rId501" display="https://www.facebook.com/rapplerdotcom/photos/a.317154781638645/5598220220198715/" xr:uid="{00000000-0004-0000-0000-0000F4010000}"/>
    <hyperlink ref="A253" r:id="rId502" display="https://www.facebook.com/grace.lucila.33" xr:uid="{00000000-0004-0000-0000-0000F5010000}"/>
    <hyperlink ref="I253" r:id="rId503" display="https://www.facebook.com/rapplerdotcom/photos/a.317154781638645/5598220220198715/" xr:uid="{00000000-0004-0000-0000-0000F6010000}"/>
    <hyperlink ref="A254" r:id="rId504" display="https://www.facebook.com/marcoantonio.bursky" xr:uid="{00000000-0004-0000-0000-0000F7010000}"/>
    <hyperlink ref="I254" r:id="rId505" display="https://www.facebook.com/rapplerdotcom/photos/a.317154781638645/5598220220198715/" xr:uid="{00000000-0004-0000-0000-0000F8010000}"/>
    <hyperlink ref="A255" r:id="rId506" display="https://www.facebook.com/ferrerantonia" xr:uid="{00000000-0004-0000-0000-0000F9010000}"/>
    <hyperlink ref="I255" r:id="rId507" display="https://www.facebook.com/rapplerdotcom/photos/a.317154781638645/5598220220198715/" xr:uid="{00000000-0004-0000-0000-0000FA010000}"/>
    <hyperlink ref="A256" r:id="rId508" display="https://www.facebook.com/florita.manzano.5" xr:uid="{00000000-0004-0000-0000-0000FB010000}"/>
    <hyperlink ref="I256" r:id="rId509" display="https://www.facebook.com/rapplerdotcom/photos/a.317154781638645/5598220220198715/" xr:uid="{00000000-0004-0000-0000-0000FC010000}"/>
    <hyperlink ref="A257" r:id="rId510" display="https://www.facebook.com/jenifer.ponayo.3" xr:uid="{00000000-0004-0000-0000-0000FD010000}"/>
    <hyperlink ref="I257" r:id="rId511" display="https://www.facebook.com/rapplerdotcom/photos/a.317154781638645/5598220220198715/" xr:uid="{00000000-0004-0000-0000-0000FE010000}"/>
    <hyperlink ref="A258" r:id="rId512" display="https://www.facebook.com/aivin.retazo.7" xr:uid="{00000000-0004-0000-0000-0000FF010000}"/>
    <hyperlink ref="I258" r:id="rId513" display="https://www.facebook.com/rapplerdotcom/photos/a.317154781638645/5598220220198715/" xr:uid="{00000000-0004-0000-0000-000000020000}"/>
    <hyperlink ref="A259" r:id="rId514" display="https://www.facebook.com/jacquilyn.okujo.7" xr:uid="{00000000-0004-0000-0000-000001020000}"/>
    <hyperlink ref="I259" r:id="rId515" display="https://www.facebook.com/rapplerdotcom/photos/a.317154781638645/5598220220198715/" xr:uid="{00000000-0004-0000-0000-000002020000}"/>
    <hyperlink ref="A260" r:id="rId516" display="https://www.facebook.com/ryan.beltran.73" xr:uid="{00000000-0004-0000-0000-000003020000}"/>
    <hyperlink ref="I260" r:id="rId517" display="https://www.facebook.com/rapplerdotcom/photos/a.317154781638645/5598220220198715/" xr:uid="{00000000-0004-0000-0000-000004020000}"/>
    <hyperlink ref="A261" r:id="rId518" display="https://www.facebook.com/abegail.bisabis" xr:uid="{00000000-0004-0000-0000-000005020000}"/>
    <hyperlink ref="I261" r:id="rId519" display="https://www.facebook.com/rapplerdotcom/photos/a.317154781638645/5598220220198715/" xr:uid="{00000000-0004-0000-0000-000006020000}"/>
    <hyperlink ref="A262" r:id="rId520" display="https://www.facebook.com/profile.php?id=100078117845423" xr:uid="{00000000-0004-0000-0000-000007020000}"/>
    <hyperlink ref="I262" r:id="rId521" display="https://www.facebook.com/rapplerdotcom/photos/a.317154781638645/5598220220198715/" xr:uid="{00000000-0004-0000-0000-000008020000}"/>
    <hyperlink ref="A263" r:id="rId522" display="https://www.facebook.com/ryan.beltran.73" xr:uid="{00000000-0004-0000-0000-000009020000}"/>
    <hyperlink ref="I263" r:id="rId523" display="https://www.facebook.com/rapplerdotcom/photos/a.317154781638645/5598220220198715/" xr:uid="{00000000-0004-0000-0000-00000A020000}"/>
    <hyperlink ref="A264" r:id="rId524" display="https://www.facebook.com/thomas.french.52" xr:uid="{00000000-0004-0000-0000-00000B020000}"/>
    <hyperlink ref="I264" r:id="rId525" display="https://www.facebook.com/rapplerdotcom/photos/a.317154781638645/5598220220198715/" xr:uid="{00000000-0004-0000-0000-00000C020000}"/>
    <hyperlink ref="A265" r:id="rId526" display="https://www.facebook.com/ryan.beltran.73" xr:uid="{00000000-0004-0000-0000-00000D020000}"/>
    <hyperlink ref="I265" r:id="rId527" display="https://www.facebook.com/rapplerdotcom/photos/a.317154781638645/5598220220198715/" xr:uid="{00000000-0004-0000-0000-00000E020000}"/>
    <hyperlink ref="A266" r:id="rId528" display="https://www.facebook.com/thomas.french.52" xr:uid="{00000000-0004-0000-0000-00000F020000}"/>
    <hyperlink ref="I266" r:id="rId529" display="https://www.facebook.com/rapplerdotcom/photos/a.317154781638645/5598220220198715/" xr:uid="{00000000-0004-0000-0000-000010020000}"/>
    <hyperlink ref="A267" r:id="rId530" display="https://www.facebook.com/pacita.comprado.3" xr:uid="{00000000-0004-0000-0000-000011020000}"/>
    <hyperlink ref="I267" r:id="rId531" display="https://www.facebook.com/rapplerdotcom/photos/a.317154781638645/5598220220198715/" xr:uid="{00000000-0004-0000-0000-000012020000}"/>
    <hyperlink ref="A268" r:id="rId532" display="https://www.facebook.com/antonio.amparado.52" xr:uid="{00000000-0004-0000-0000-000013020000}"/>
    <hyperlink ref="I268" r:id="rId533" display="https://www.facebook.com/rapplerdotcom/photos/a.317154781638645/5598220220198715/" xr:uid="{00000000-0004-0000-0000-000014020000}"/>
    <hyperlink ref="A269" r:id="rId534" display="https://www.facebook.com/profile.php?id=100075736004218" xr:uid="{00000000-0004-0000-0000-000015020000}"/>
    <hyperlink ref="I269" r:id="rId535" display="https://www.facebook.com/rapplerdotcom/photos/a.317154781638645/5598220220198715/" xr:uid="{00000000-0004-0000-0000-000016020000}"/>
    <hyperlink ref="A270" r:id="rId536" display="https://www.facebook.com/PresLeni" xr:uid="{00000000-0004-0000-0000-000017020000}"/>
    <hyperlink ref="I270" r:id="rId537" display="https://www.facebook.com/rapplerdotcom/photos/a.317154781638645/5598220220198715/" xr:uid="{00000000-0004-0000-0000-000018020000}"/>
    <hyperlink ref="A271" r:id="rId538" display="https://www.facebook.com/aldoranada2012" xr:uid="{00000000-0004-0000-0000-000019020000}"/>
    <hyperlink ref="I271" r:id="rId539" display="https://www.facebook.com/rapplerdotcom/photos/a.317154781638645/5598220220198715/" xr:uid="{00000000-0004-0000-0000-00001A020000}"/>
    <hyperlink ref="A272" r:id="rId540" display="https://www.facebook.com/pipip.tan" xr:uid="{00000000-0004-0000-0000-00001B020000}"/>
    <hyperlink ref="I272" r:id="rId541" display="https://www.facebook.com/rapplerdotcom/photos/a.317154781638645/5598220220198715/" xr:uid="{00000000-0004-0000-0000-00001C020000}"/>
    <hyperlink ref="A273" r:id="rId542" display="https://www.facebook.com/paulpatrick.sapaden" xr:uid="{00000000-0004-0000-0000-00001D020000}"/>
    <hyperlink ref="I273" r:id="rId543" display="https://www.facebook.com/rapplerdotcom/photos/a.317154781638645/5598220220198715/" xr:uid="{00000000-0004-0000-0000-00001E020000}"/>
    <hyperlink ref="I274" r:id="rId544" display="https://www.facebook.com/rapplerdotcom/posts/pfbid09g5z1dR1p1muQ7q8d5o5ZrTJHCJBBtaAmV4kfjMWLeh83aGMXmHFcW9md81azR4al" xr:uid="{00000000-0004-0000-0000-00001F020000}"/>
    <hyperlink ref="A275" r:id="rId545" display="https://www.facebook.com/profile.php?id=100009126387339" xr:uid="{00000000-0004-0000-0000-000020020000}"/>
    <hyperlink ref="I275" r:id="rId546" display="https://www.facebook.com/rapplerdotcom/photos/a.317154781638645/5597874143566656" xr:uid="{00000000-0004-0000-0000-000021020000}"/>
    <hyperlink ref="A276" r:id="rId547" display="https://www.facebook.com/violeta.bodino" xr:uid="{00000000-0004-0000-0000-000022020000}"/>
    <hyperlink ref="I276" r:id="rId548" display="https://www.facebook.com/rapplerdotcom/photos/a.317154781638645/5597874143566656" xr:uid="{00000000-0004-0000-0000-000023020000}"/>
    <hyperlink ref="A277" r:id="rId549" display="https://www.facebook.com/ken.chiz.393" xr:uid="{00000000-0004-0000-0000-000024020000}"/>
    <hyperlink ref="I277" r:id="rId550" display="https://www.facebook.com/rapplerdotcom/photos/a.317154781638645/5597874143566656" xr:uid="{00000000-0004-0000-0000-000025020000}"/>
    <hyperlink ref="A278" r:id="rId551" display="https://www.facebook.com/ness.lansang.1" xr:uid="{00000000-0004-0000-0000-000026020000}"/>
    <hyperlink ref="I278" r:id="rId552" display="https://www.facebook.com/rapplerdotcom/photos/a.317154781638645/5597874143566656" xr:uid="{00000000-0004-0000-0000-000027020000}"/>
    <hyperlink ref="A279" r:id="rId553" display="https://www.facebook.com/jacqueline.reynado" xr:uid="{00000000-0004-0000-0000-000028020000}"/>
    <hyperlink ref="I279" r:id="rId554" display="https://www.facebook.com/rapplerdotcom/photos/a.317154781638645/5597874143566656" xr:uid="{00000000-0004-0000-0000-000029020000}"/>
    <hyperlink ref="A280" r:id="rId555" display="https://www.facebook.com/jace.susara" xr:uid="{00000000-0004-0000-0000-00002A020000}"/>
    <hyperlink ref="I280" r:id="rId556" display="https://www.facebook.com/rapplerdotcom/photos/a.317154781638645/5597874143566656" xr:uid="{00000000-0004-0000-0000-00002B020000}"/>
    <hyperlink ref="A281" r:id="rId557" display="https://www.facebook.com/jacqueline.reynado" xr:uid="{00000000-0004-0000-0000-00002C020000}"/>
    <hyperlink ref="I281" r:id="rId558" display="https://www.facebook.com/rapplerdotcom/photos/a.317154781638645/5597874143566656" xr:uid="{00000000-0004-0000-0000-00002D020000}"/>
    <hyperlink ref="A282" r:id="rId559" display="https://www.facebook.com/florentino.quimbo" xr:uid="{00000000-0004-0000-0000-00002E020000}"/>
    <hyperlink ref="I282" r:id="rId560" display="https://www.facebook.com/rapplerdotcom/photos/a.317154781638645/5597874143566656" xr:uid="{00000000-0004-0000-0000-00002F020000}"/>
    <hyperlink ref="A283" r:id="rId561" display="https://www.facebook.com/nedned.anobla" xr:uid="{00000000-0004-0000-0000-000030020000}"/>
    <hyperlink ref="I283" r:id="rId562" display="https://www.facebook.com/rapplerdotcom/photos/a.317154781638645/5597874143566656" xr:uid="{00000000-0004-0000-0000-000031020000}"/>
    <hyperlink ref="A284" r:id="rId563" display="https://www.facebook.com/profile.php?id=100079289963212" xr:uid="{00000000-0004-0000-0000-000032020000}"/>
    <hyperlink ref="I284" r:id="rId564" display="https://www.facebook.com/rapplerdotcom/photos/a.317154781638645/5597874143566656" xr:uid="{00000000-0004-0000-0000-000033020000}"/>
    <hyperlink ref="A285" r:id="rId565" display="https://www.facebook.com/erwina.bautista.1" xr:uid="{00000000-0004-0000-0000-000034020000}"/>
    <hyperlink ref="I285" r:id="rId566" display="https://www.facebook.com/rapplerdotcom/photos/a.317154781638645/5597874143566656" xr:uid="{00000000-0004-0000-0000-000035020000}"/>
    <hyperlink ref="A286" r:id="rId567" display="https://www.facebook.com/ino.reyes.1441" xr:uid="{00000000-0004-0000-0000-000036020000}"/>
    <hyperlink ref="I286" r:id="rId568" display="https://www.facebook.com/rapplerdotcom/photos/a.317154781638645/5597874143566656" xr:uid="{00000000-0004-0000-0000-000037020000}"/>
    <hyperlink ref="A287" r:id="rId569" display="https://www.facebook.com/alvin.echague.1" xr:uid="{00000000-0004-0000-0000-000038020000}"/>
    <hyperlink ref="I287" r:id="rId570" display="https://www.facebook.com/rapplerdotcom/photos/a.317154781638645/5597874143566656" xr:uid="{00000000-0004-0000-0000-000039020000}"/>
    <hyperlink ref="A288" r:id="rId571" display="https://www.facebook.com/brrianjooseph.31" xr:uid="{00000000-0004-0000-0000-00003A020000}"/>
    <hyperlink ref="I288" r:id="rId572" display="https://www.facebook.com/rapplerdotcom/photos/a.317154781638645/5597874143566656" xr:uid="{00000000-0004-0000-0000-00003B020000}"/>
    <hyperlink ref="A289" r:id="rId573" display="https://www.facebook.com/NGCD18" xr:uid="{00000000-0004-0000-0000-00003C020000}"/>
    <hyperlink ref="I289" r:id="rId574" display="https://www.facebook.com/rapplerdotcom/photos/a.317154781638645/5597874143566656" xr:uid="{00000000-0004-0000-0000-00003D020000}"/>
    <hyperlink ref="A290" r:id="rId575" display="https://www.facebook.com/brrianjooseph.31" xr:uid="{00000000-0004-0000-0000-00003E020000}"/>
    <hyperlink ref="I290" r:id="rId576" display="https://www.facebook.com/rapplerdotcom/photos/a.317154781638645/5597874143566656" xr:uid="{00000000-0004-0000-0000-00003F020000}"/>
    <hyperlink ref="A291" r:id="rId577" display="https://www.facebook.com/brrianjooseph.31" xr:uid="{00000000-0004-0000-0000-000040020000}"/>
    <hyperlink ref="I291" r:id="rId578" display="https://www.facebook.com/rapplerdotcom/photos/a.317154781638645/5597874143566656" xr:uid="{00000000-0004-0000-0000-000041020000}"/>
    <hyperlink ref="A292" r:id="rId579" display="https://www.facebook.com/alexander.calub" xr:uid="{00000000-0004-0000-0000-000042020000}"/>
    <hyperlink ref="I292" r:id="rId580" display="https://www.facebook.com/rapplerdotcom/photos/a.317154781638645/5597874143566656" xr:uid="{00000000-0004-0000-0000-000043020000}"/>
    <hyperlink ref="A293" r:id="rId581" display="https://www.facebook.com/brrianjooseph.31" xr:uid="{00000000-0004-0000-0000-000044020000}"/>
    <hyperlink ref="I293" r:id="rId582" display="https://www.facebook.com/rapplerdotcom/photos/a.317154781638645/5597874143566656" xr:uid="{00000000-0004-0000-0000-000045020000}"/>
    <hyperlink ref="A294" r:id="rId583" display="https://www.facebook.com/brrianjooseph.31" xr:uid="{00000000-0004-0000-0000-000046020000}"/>
    <hyperlink ref="I294" r:id="rId584" display="https://www.facebook.com/rapplerdotcom/photos/a.317154781638645/5597874143566656" xr:uid="{00000000-0004-0000-0000-000047020000}"/>
    <hyperlink ref="A295" r:id="rId585" display="https://www.facebook.com/alexander.calub" xr:uid="{00000000-0004-0000-0000-000048020000}"/>
    <hyperlink ref="I295" r:id="rId586" display="https://www.facebook.com/rapplerdotcom/photos/a.317154781638645/5597874143566656" xr:uid="{00000000-0004-0000-0000-000049020000}"/>
    <hyperlink ref="A296" r:id="rId587" display="https://www.facebook.com/chazper21" xr:uid="{00000000-0004-0000-0000-00004A020000}"/>
    <hyperlink ref="I296" r:id="rId588" display="https://www.facebook.com/rapplerdotcom/photos/a.317154781638645/5597874143566656" xr:uid="{00000000-0004-0000-0000-00004B020000}"/>
    <hyperlink ref="A297" r:id="rId589" display="https://www.facebook.com/crisostomo.ibara.146" xr:uid="{00000000-0004-0000-0000-00004C020000}"/>
    <hyperlink ref="I297" r:id="rId590" display="https://www.facebook.com/rapplerdotcom/photos/a.317154781638645/5597874143566656" xr:uid="{00000000-0004-0000-0000-00004D020000}"/>
    <hyperlink ref="A298" r:id="rId591" display="https://www.facebook.com/ameliaarana12345" xr:uid="{00000000-0004-0000-0000-00004E020000}"/>
    <hyperlink ref="I298" r:id="rId592" display="https://www.facebook.com/rapplerdotcom/photos/a.317154781638645/5597874143566656" xr:uid="{00000000-0004-0000-0000-00004F020000}"/>
    <hyperlink ref="A299" r:id="rId593" display="https://www.facebook.com/bella.hermohenez" xr:uid="{00000000-0004-0000-0000-000050020000}"/>
    <hyperlink ref="I299" r:id="rId594" display="https://www.facebook.com/rapplerdotcom/photos/a.317154781638645/5597874143566656" xr:uid="{00000000-0004-0000-0000-000051020000}"/>
    <hyperlink ref="A300" r:id="rId595" display="https://www.facebook.com/christine.mamaclay" xr:uid="{00000000-0004-0000-0000-000052020000}"/>
    <hyperlink ref="I300" r:id="rId596" display="https://www.facebook.com/rapplerdotcom/photos/a.317154781638645/5597874143566656" xr:uid="{00000000-0004-0000-0000-000053020000}"/>
    <hyperlink ref="A301" r:id="rId597" display="https://www.facebook.com/lalalalamd" xr:uid="{00000000-0004-0000-0000-000054020000}"/>
    <hyperlink ref="I301" r:id="rId598" display="https://www.facebook.com/rapplerdotcom/photos/a.317154781638645/5597874143566656" xr:uid="{00000000-0004-0000-0000-000055020000}"/>
    <hyperlink ref="A302" r:id="rId599" display="https://www.facebook.com/hidalgojohnmark99" xr:uid="{00000000-0004-0000-0000-000056020000}"/>
    <hyperlink ref="I302" r:id="rId600" display="https://www.facebook.com/rapplerdotcom/photos/a.317154781638645/5597874143566656" xr:uid="{00000000-0004-0000-0000-000057020000}"/>
    <hyperlink ref="A303" r:id="rId601" display="https://www.facebook.com/honmichael.dy" xr:uid="{00000000-0004-0000-0000-000058020000}"/>
    <hyperlink ref="I303" r:id="rId602" display="https://www.facebook.com/rapplerdotcom/photos/a.317154781638645/5597874143566656" xr:uid="{00000000-0004-0000-0000-000059020000}"/>
    <hyperlink ref="A304" r:id="rId603" display="https://www.facebook.com/profile.php?id=100079300902365" xr:uid="{00000000-0004-0000-0000-00005A020000}"/>
    <hyperlink ref="I304" r:id="rId604" display="https://www.facebook.com/rapplerdotcom/photos/a.317154781638645/5597874143566656" xr:uid="{00000000-0004-0000-0000-00005B020000}"/>
    <hyperlink ref="A305" r:id="rId605" display="https://www.facebook.com/albertjohn.centra" xr:uid="{00000000-0004-0000-0000-00005C020000}"/>
    <hyperlink ref="I305" r:id="rId606" display="https://www.facebook.com/rapplerdotcom/photos/a.317154781638645/5597874143566656" xr:uid="{00000000-0004-0000-0000-00005D020000}"/>
    <hyperlink ref="A306" r:id="rId607" display="https://www.facebook.com/rogelio.lapuz.5055" xr:uid="{00000000-0004-0000-0000-00005E020000}"/>
    <hyperlink ref="I306" r:id="rId608" display="https://www.facebook.com/rapplerdotcom/photos/a.317154781638645/5597874143566656" xr:uid="{00000000-0004-0000-0000-00005F020000}"/>
    <hyperlink ref="A307" r:id="rId609" display="https://www.facebook.com/profile.php?id=100079722041118" xr:uid="{00000000-0004-0000-0000-000060020000}"/>
    <hyperlink ref="I307" r:id="rId610" display="https://www.facebook.com/rapplerdotcom/photos/a.317154781638645/5597874143566656" xr:uid="{00000000-0004-0000-0000-000061020000}"/>
    <hyperlink ref="A308" r:id="rId611" display="https://www.facebook.com/marisse.mauricio" xr:uid="{00000000-0004-0000-0000-000062020000}"/>
    <hyperlink ref="I308" r:id="rId612" display="https://www.facebook.com/rapplerdotcom/photos/a.317154781638645/5597874143566656" xr:uid="{00000000-0004-0000-0000-000063020000}"/>
    <hyperlink ref="A309" r:id="rId613" display="https://www.facebook.com/F16FalconV" xr:uid="{00000000-0004-0000-0000-000064020000}"/>
    <hyperlink ref="I309" r:id="rId614" display="https://www.facebook.com/rapplerdotcom/photos/a.317154781638645/5597874143566656" xr:uid="{00000000-0004-0000-0000-000065020000}"/>
    <hyperlink ref="A310" r:id="rId615" display="https://www.facebook.com/raiden.ponteras.1" xr:uid="{00000000-0004-0000-0000-000066020000}"/>
    <hyperlink ref="I310" r:id="rId616" display="https://www.facebook.com/rapplerdotcom/photos/a.317154781638645/5597874143566656" xr:uid="{00000000-0004-0000-0000-000067020000}"/>
    <hyperlink ref="A311" r:id="rId617" display="https://www.facebook.com/justine.gorospe.3150" xr:uid="{00000000-0004-0000-0000-000068020000}"/>
    <hyperlink ref="I311" r:id="rId618" display="https://www.facebook.com/rapplerdotcom/photos/a.317154781638645/5597874143566656" xr:uid="{00000000-0004-0000-0000-000069020000}"/>
    <hyperlink ref="A312" r:id="rId619" display="https://www.facebook.com/sanse21" xr:uid="{00000000-0004-0000-0000-00006A020000}"/>
    <hyperlink ref="I312" r:id="rId620" display="https://www.facebook.com/rapplerdotcom/photos/a.317154781638645/5597874143566656" xr:uid="{00000000-0004-0000-0000-00006B020000}"/>
    <hyperlink ref="A313" r:id="rId621" display="https://www.facebook.com/profile.php?id=100074363201711" xr:uid="{00000000-0004-0000-0000-00006C020000}"/>
    <hyperlink ref="I313" r:id="rId622" display="https://www.facebook.com/rapplerdotcom/photos/a.317154781638645/5597874143566656" xr:uid="{00000000-0004-0000-0000-00006D020000}"/>
    <hyperlink ref="A314" r:id="rId623" display="https://www.facebook.com/ameliaarana12345" xr:uid="{00000000-0004-0000-0000-00006E020000}"/>
    <hyperlink ref="I314" r:id="rId624" display="https://www.facebook.com/rapplerdotcom/photos/a.317154781638645/5597874143566656" xr:uid="{00000000-0004-0000-0000-00006F020000}"/>
    <hyperlink ref="A315" r:id="rId625" display="https://www.facebook.com/profile.php?id=100074363201711" xr:uid="{00000000-0004-0000-0000-000070020000}"/>
    <hyperlink ref="I315" r:id="rId626" display="https://www.facebook.com/rapplerdotcom/photos/a.317154781638645/5597874143566656" xr:uid="{00000000-0004-0000-0000-000071020000}"/>
    <hyperlink ref="A316" r:id="rId627" display="https://www.facebook.com/joyceanne.payad" xr:uid="{00000000-0004-0000-0000-000072020000}"/>
    <hyperlink ref="I316" r:id="rId628" display="https://www.facebook.com/rapplerdotcom/photos/a.317154781638645/5597874143566656" xr:uid="{00000000-0004-0000-0000-000073020000}"/>
    <hyperlink ref="A317" r:id="rId629" display="https://www.facebook.com/jacqueline.sumer.5" xr:uid="{00000000-0004-0000-0000-000074020000}"/>
    <hyperlink ref="I317" r:id="rId630" display="https://www.facebook.com/rapplerdotcom/photos/a.317154781638645/5597874143566656" xr:uid="{00000000-0004-0000-0000-000075020000}"/>
    <hyperlink ref="A318" r:id="rId631" display="https://www.facebook.com/charmee.mccartney" xr:uid="{00000000-0004-0000-0000-000076020000}"/>
    <hyperlink ref="I318" r:id="rId632" display="https://www.facebook.com/rapplerdotcom/photos/a.317154781638645/5597874143566656" xr:uid="{00000000-0004-0000-0000-000077020000}"/>
    <hyperlink ref="A319" r:id="rId633" display="https://www.facebook.com/roijohnsare0117" xr:uid="{00000000-0004-0000-0000-000078020000}"/>
    <hyperlink ref="I319" r:id="rId634" display="https://www.facebook.com/rapplerdotcom/photos/a.317154781638645/5597874143566656" xr:uid="{00000000-0004-0000-0000-000079020000}"/>
    <hyperlink ref="A320" r:id="rId635" display="https://www.facebook.com/jacqueline.reynado" xr:uid="{00000000-0004-0000-0000-00007A020000}"/>
    <hyperlink ref="I320" r:id="rId636" display="https://www.facebook.com/rapplerdotcom/photos/a.317154781638645/5597874143566656" xr:uid="{00000000-0004-0000-0000-00007B020000}"/>
    <hyperlink ref="A321" r:id="rId637" display="https://www.facebook.com/haissam.suarez" xr:uid="{00000000-0004-0000-0000-00007C020000}"/>
    <hyperlink ref="I321" r:id="rId638" display="https://www.facebook.com/rapplerdotcom/photos/a.317154781638645/5597874143566656" xr:uid="{00000000-0004-0000-0000-00007D020000}"/>
    <hyperlink ref="A322" r:id="rId639" display="https://www.facebook.com/jacqueline.reynado" xr:uid="{00000000-0004-0000-0000-00007E020000}"/>
    <hyperlink ref="I322" r:id="rId640" display="https://www.facebook.com/rapplerdotcom/photos/a.317154781638645/5597874143566656" xr:uid="{00000000-0004-0000-0000-00007F020000}"/>
    <hyperlink ref="A323" r:id="rId641" display="https://www.facebook.com/profile.php?id=100070946473573" xr:uid="{00000000-0004-0000-0000-000080020000}"/>
    <hyperlink ref="I323" r:id="rId642" display="https://www.facebook.com/rapplerdotcom/photos/a.317154781638645/5597874143566656" xr:uid="{00000000-0004-0000-0000-000081020000}"/>
    <hyperlink ref="A324" r:id="rId643" display="https://www.facebook.com/dexter.pavia" xr:uid="{00000000-0004-0000-0000-000082020000}"/>
    <hyperlink ref="I324" r:id="rId644" display="https://www.facebook.com/rapplerdotcom/photos/a.317154781638645/5597874143566656" xr:uid="{00000000-0004-0000-0000-000083020000}"/>
    <hyperlink ref="A325" r:id="rId645" display="https://www.facebook.com/edson.l.sion" xr:uid="{00000000-0004-0000-0000-000084020000}"/>
    <hyperlink ref="I325" r:id="rId646" display="https://www.facebook.com/rapplerdotcom/photos/a.317154781638645/5597874143566656" xr:uid="{00000000-0004-0000-0000-000085020000}"/>
    <hyperlink ref="A326" r:id="rId647" display="https://www.facebook.com/inocando.arnold" xr:uid="{00000000-0004-0000-0000-000086020000}"/>
    <hyperlink ref="I326" r:id="rId648" display="https://www.facebook.com/rapplerdotcom/photos/a.317154781638645/5597874143566656" xr:uid="{00000000-0004-0000-0000-000087020000}"/>
    <hyperlink ref="A327" r:id="rId649" display="https://www.facebook.com/maryrose.dizon.718" xr:uid="{00000000-0004-0000-0000-000088020000}"/>
    <hyperlink ref="I327" r:id="rId650" display="https://www.facebook.com/rapplerdotcom/photos/a.317154781638645/5597874143566656" xr:uid="{00000000-0004-0000-0000-000089020000}"/>
    <hyperlink ref="A328" r:id="rId651" display="https://www.facebook.com/reynold.galamiton" xr:uid="{00000000-0004-0000-0000-00008A020000}"/>
    <hyperlink ref="I328" r:id="rId652" display="https://www.facebook.com/rapplerdotcom/photos/a.317154781638645/5597874143566656" xr:uid="{00000000-0004-0000-0000-00008B020000}"/>
    <hyperlink ref="A329" r:id="rId653" display="https://www.facebook.com/ricardo.borja.908" xr:uid="{00000000-0004-0000-0000-00008C020000}"/>
    <hyperlink ref="I329" r:id="rId654" display="https://www.facebook.com/rapplerdotcom/photos/a.317154781638645/5597874143566656" xr:uid="{00000000-0004-0000-0000-00008D020000}"/>
    <hyperlink ref="A330" r:id="rId655" display="https://www.facebook.com/wrollee018" xr:uid="{00000000-0004-0000-0000-00008E020000}"/>
    <hyperlink ref="I330" r:id="rId656" display="https://www.facebook.com/rapplerdotcom/photos/a.317154781638645/5597874143566656" xr:uid="{00000000-0004-0000-0000-00008F020000}"/>
    <hyperlink ref="A331" r:id="rId657" display="https://www.facebook.com/jonsibalasi" xr:uid="{00000000-0004-0000-0000-000090020000}"/>
    <hyperlink ref="I331" r:id="rId658" display="https://www.facebook.com/rapplerdotcom/photos/a.317154781638645/5597874143566656" xr:uid="{00000000-0004-0000-0000-000091020000}"/>
    <hyperlink ref="A332" r:id="rId659" display="https://www.facebook.com/Itz.me.leo.reyes" xr:uid="{00000000-0004-0000-0000-000092020000}"/>
    <hyperlink ref="I332" r:id="rId660" display="https://www.facebook.com/rapplerdotcom/photos/a.317154781638645/5597874143566656" xr:uid="{00000000-0004-0000-0000-000093020000}"/>
    <hyperlink ref="A333" r:id="rId661" display="https://www.facebook.com/zandra.lim.3" xr:uid="{00000000-0004-0000-0000-000094020000}"/>
    <hyperlink ref="I333" r:id="rId662" display="https://www.facebook.com/rapplerdotcom/photos/a.317154781638645/5597874143566656" xr:uid="{00000000-0004-0000-0000-000095020000}"/>
    <hyperlink ref="A334" r:id="rId663" display="https://www.facebook.com/jeko.balaquidan" xr:uid="{00000000-0004-0000-0000-000096020000}"/>
    <hyperlink ref="I334" r:id="rId664" display="https://www.facebook.com/rapplerdotcom/photos/a.317154781638645/5597874143566656" xr:uid="{00000000-0004-0000-0000-000097020000}"/>
    <hyperlink ref="A335" r:id="rId665" display="https://www.facebook.com/jannetCSM" xr:uid="{00000000-0004-0000-0000-000098020000}"/>
    <hyperlink ref="I335" r:id="rId666" display="https://www.facebook.com/rapplerdotcom/photos/a.317154781638645/5597612220259515/" xr:uid="{00000000-0004-0000-0000-000099020000}"/>
    <hyperlink ref="A336" r:id="rId667" display="https://www.facebook.com/profile.php?id=100070178707772" xr:uid="{00000000-0004-0000-0000-00009A020000}"/>
    <hyperlink ref="I336" r:id="rId668" display="https://www.facebook.com/rapplerdotcom/photos/a.317154781638645/5597612220259515/" xr:uid="{00000000-0004-0000-0000-00009B020000}"/>
    <hyperlink ref="A337" r:id="rId669" display="https://www.facebook.com/chris.c.camacho" xr:uid="{00000000-0004-0000-0000-00009C020000}"/>
    <hyperlink ref="I337" r:id="rId670" display="https://www.facebook.com/rapplerdotcom/photos/a.317154781638645/5597612220259515/" xr:uid="{00000000-0004-0000-0000-00009D020000}"/>
    <hyperlink ref="A338" r:id="rId671" display="https://www.facebook.com/christianjerry.castillo" xr:uid="{00000000-0004-0000-0000-00009E020000}"/>
    <hyperlink ref="I338" r:id="rId672" display="https://www.facebook.com/rapplerdotcom/photos/a.317154781638645/5597612220259515/" xr:uid="{00000000-0004-0000-0000-00009F020000}"/>
    <hyperlink ref="A339" r:id="rId673" display="https://www.facebook.com/profile.php?id=100070178707772" xr:uid="{00000000-0004-0000-0000-0000A0020000}"/>
    <hyperlink ref="I339" r:id="rId674" display="https://www.facebook.com/rapplerdotcom/photos/a.317154781638645/5597612220259515/" xr:uid="{00000000-0004-0000-0000-0000A1020000}"/>
    <hyperlink ref="A340" r:id="rId675" display="https://www.facebook.com/dr.julius.uy" xr:uid="{00000000-0004-0000-0000-0000A2020000}"/>
    <hyperlink ref="I340" r:id="rId676" display="https://www.facebook.com/rapplerdotcom/photos/a.317154781638645/5597612220259515/" xr:uid="{00000000-0004-0000-0000-0000A3020000}"/>
    <hyperlink ref="A341" r:id="rId677" display="https://www.facebook.com/profile.php?id=100070178707772" xr:uid="{00000000-0004-0000-0000-0000A4020000}"/>
    <hyperlink ref="I341" r:id="rId678" display="https://www.facebook.com/rapplerdotcom/photos/a.317154781638645/5597612220259515/" xr:uid="{00000000-0004-0000-0000-0000A5020000}"/>
    <hyperlink ref="A342" r:id="rId679" display="https://www.facebook.com/chai.li888" xr:uid="{00000000-0004-0000-0000-0000A6020000}"/>
    <hyperlink ref="I342" r:id="rId680" display="https://www.facebook.com/rapplerdotcom/photos/a.317154781638645/5597612220259515/" xr:uid="{00000000-0004-0000-0000-0000A7020000}"/>
    <hyperlink ref="A343" r:id="rId681" display="https://www.facebook.com/dmiguelcastaneda" xr:uid="{00000000-0004-0000-0000-0000A8020000}"/>
    <hyperlink ref="I343" r:id="rId682" display="https://www.facebook.com/rapplerdotcom/photos/a.317154781638645/5597612220259515/" xr:uid="{00000000-0004-0000-0000-0000A9020000}"/>
    <hyperlink ref="A344" r:id="rId683" display="https://www.facebook.com/arlene.buela.9" xr:uid="{00000000-0004-0000-0000-0000AA020000}"/>
    <hyperlink ref="I344" r:id="rId684" display="https://www.facebook.com/rapplerdotcom/photos/a.317154781638645/5597612220259515/" xr:uid="{00000000-0004-0000-0000-0000AB020000}"/>
    <hyperlink ref="A345" r:id="rId685" display="https://www.facebook.com/rowena.rodencio" xr:uid="{00000000-0004-0000-0000-0000AC020000}"/>
    <hyperlink ref="I345" r:id="rId686" display="https://www.facebook.com/rapplerdotcom/photos/a.317154781638645/5597612220259515/" xr:uid="{00000000-0004-0000-0000-0000AD020000}"/>
    <hyperlink ref="A346" r:id="rId687" display="https://www.facebook.com/profile.php?id=100070178707772" xr:uid="{00000000-0004-0000-0000-0000AE020000}"/>
    <hyperlink ref="I346" r:id="rId688" display="https://www.facebook.com/rapplerdotcom/photos/a.317154781638645/5597612220259515/" xr:uid="{00000000-0004-0000-0000-0000AF020000}"/>
    <hyperlink ref="A347" r:id="rId689" display="https://www.facebook.com/mean.agustin" xr:uid="{00000000-0004-0000-0000-0000B0020000}"/>
    <hyperlink ref="I347" r:id="rId690" display="https://www.facebook.com/rapplerdotcom/photos/a.317154781638645/5597612220259515/" xr:uid="{00000000-0004-0000-0000-0000B1020000}"/>
    <hyperlink ref="A348" r:id="rId691" display="https://www.facebook.com/profile.php?id=100070178707772" xr:uid="{00000000-0004-0000-0000-0000B2020000}"/>
    <hyperlink ref="I348" r:id="rId692" display="https://www.facebook.com/rapplerdotcom/photos/a.317154781638645/5597612220259515/" xr:uid="{00000000-0004-0000-0000-0000B3020000}"/>
    <hyperlink ref="A349" r:id="rId693" display="https://www.facebook.com/raymund.yangco" xr:uid="{00000000-0004-0000-0000-0000B4020000}"/>
    <hyperlink ref="I349" r:id="rId694" display="https://www.facebook.com/rapplerdotcom/photos/a.317154781638645/5597612220259515/" xr:uid="{00000000-0004-0000-0000-0000B5020000}"/>
    <hyperlink ref="A350" r:id="rId695" display="https://www.facebook.com/jocelyn.domingotorres" xr:uid="{00000000-0004-0000-0000-0000B6020000}"/>
    <hyperlink ref="I350" r:id="rId696" display="https://www.facebook.com/rapplerdotcom/photos/a.317154781638645/5597612220259515/" xr:uid="{00000000-0004-0000-0000-0000B7020000}"/>
    <hyperlink ref="A351" r:id="rId697" display="https://www.facebook.com/narciso.corvera.549" xr:uid="{00000000-0004-0000-0000-0000B8020000}"/>
    <hyperlink ref="I351" r:id="rId698" display="https://www.facebook.com/rapplerdotcom/photos/a.317154781638645/5597612220259515/" xr:uid="{00000000-0004-0000-0000-0000B9020000}"/>
    <hyperlink ref="A352" r:id="rId699" display="https://www.facebook.com/enecy.queto" xr:uid="{00000000-0004-0000-0000-0000BA020000}"/>
    <hyperlink ref="I352" r:id="rId700" display="https://www.facebook.com/rapplerdotcom/photos/a.317154781638645/5597612220259515/" xr:uid="{00000000-0004-0000-0000-0000BB020000}"/>
    <hyperlink ref="A353" r:id="rId701" display="https://www.facebook.com/arsenio.tan.104418" xr:uid="{00000000-0004-0000-0000-0000BC020000}"/>
    <hyperlink ref="I353" r:id="rId702" display="https://www.facebook.com/rapplerdotcom/photos/a.317154781638645/5597612220259515/" xr:uid="{00000000-0004-0000-0000-0000BD020000}"/>
    <hyperlink ref="A354" r:id="rId703" display="https://www.facebook.com/profile.php?id=100049952135179" xr:uid="{00000000-0004-0000-0000-0000BE020000}"/>
    <hyperlink ref="I354" r:id="rId704" display="https://www.facebook.com/rapplerdotcom/photos/a.317154781638645/5597612220259515/" xr:uid="{00000000-0004-0000-0000-0000BF020000}"/>
    <hyperlink ref="A355" r:id="rId705" display="https://www.facebook.com/nikolo.romeo" xr:uid="{00000000-0004-0000-0000-0000C0020000}"/>
    <hyperlink ref="I355" r:id="rId706" display="https://www.facebook.com/rapplerdotcom/photos/a.317154781638645/5597612220259515/" xr:uid="{00000000-0004-0000-0000-0000C1020000}"/>
    <hyperlink ref="A356" r:id="rId707" display="https://www.facebook.com/profile.php?id=100014625901344" xr:uid="{00000000-0004-0000-0000-0000C2020000}"/>
    <hyperlink ref="I356" r:id="rId708" display="https://www.facebook.com/rapplerdotcom/photos/a.317154781638645/5597612220259515/" xr:uid="{00000000-0004-0000-0000-0000C3020000}"/>
    <hyperlink ref="A357" r:id="rId709" display="https://www.facebook.com/nilo.seda" xr:uid="{00000000-0004-0000-0000-0000C4020000}"/>
    <hyperlink ref="I357" r:id="rId710" display="https://www.facebook.com/rapplerdotcom/photos/a.317154781638645/5597612220259515/" xr:uid="{00000000-0004-0000-0000-0000C5020000}"/>
    <hyperlink ref="A358" r:id="rId711" display="https://www.facebook.com/ditas.roxas" xr:uid="{00000000-0004-0000-0000-0000C6020000}"/>
    <hyperlink ref="I358" r:id="rId712" display="https://www.facebook.com/rapplerdotcom/photos/a.317154781638645/5597612220259515/" xr:uid="{00000000-0004-0000-0000-0000C7020000}"/>
    <hyperlink ref="A359" r:id="rId713" display="https://www.facebook.com/julio.quian" xr:uid="{00000000-0004-0000-0000-0000C8020000}"/>
    <hyperlink ref="I359" r:id="rId714" display="https://www.facebook.com/rapplerdotcom/photos/a.317154781638645/5597612220259515/" xr:uid="{00000000-0004-0000-0000-0000C9020000}"/>
    <hyperlink ref="A360" r:id="rId715" display="https://www.facebook.com/daisycanonizado.dalangin" xr:uid="{00000000-0004-0000-0000-0000CA020000}"/>
    <hyperlink ref="I360" r:id="rId716" display="https://www.facebook.com/rapplerdotcom/photos/a.317154781638645/5597612220259515/" xr:uid="{00000000-0004-0000-0000-0000CB020000}"/>
    <hyperlink ref="A361" r:id="rId717" display="https://www.facebook.com/francis.noel.5686" xr:uid="{00000000-0004-0000-0000-0000CC020000}"/>
    <hyperlink ref="I361" r:id="rId718" display="https://www.facebook.com/rapplerdotcom/photos/a.317154781638645/5597612220259515/" xr:uid="{00000000-0004-0000-0000-0000CD020000}"/>
    <hyperlink ref="A362" r:id="rId719" display="https://www.facebook.com/christinefamulagan" xr:uid="{00000000-0004-0000-0000-0000CE020000}"/>
    <hyperlink ref="I362" r:id="rId720" display="https://www.facebook.com/rapplerdotcom/photos/a.317154781638645/5597612220259515/" xr:uid="{00000000-0004-0000-0000-0000CF020000}"/>
    <hyperlink ref="A363" r:id="rId721" display="https://www.facebook.com/christinefamulagan" xr:uid="{00000000-0004-0000-0000-0000D0020000}"/>
    <hyperlink ref="I363" r:id="rId722" display="https://www.facebook.com/rapplerdotcom/photos/a.317154781638645/5597612220259515/" xr:uid="{00000000-0004-0000-0000-0000D1020000}"/>
    <hyperlink ref="A364" r:id="rId723" display="https://www.facebook.com/fatiph.rack" xr:uid="{00000000-0004-0000-0000-0000D2020000}"/>
    <hyperlink ref="I364" r:id="rId724" display="https://www.facebook.com/rapplerdotcom/photos/a.317154781638645/5597612220259515/" xr:uid="{00000000-0004-0000-0000-0000D3020000}"/>
    <hyperlink ref="A365" r:id="rId725" display="https://www.facebook.com/judema.cruz" xr:uid="{00000000-0004-0000-0000-0000D4020000}"/>
    <hyperlink ref="I365" r:id="rId726" display="https://www.facebook.com/rapplerdotcom/photos/a.317154781638645/5597612220259515/" xr:uid="{00000000-0004-0000-0000-0000D5020000}"/>
    <hyperlink ref="A366" r:id="rId727" display="https://www.facebook.com/gene.oarde" xr:uid="{00000000-0004-0000-0000-0000D6020000}"/>
    <hyperlink ref="I366" r:id="rId728" display="https://www.facebook.com/rapplerdotcom/photos/a.317154781638645/5597612220259515/" xr:uid="{00000000-0004-0000-0000-0000D7020000}"/>
    <hyperlink ref="A367" r:id="rId729" display="https://www.facebook.com/jovito.tamayo.7" xr:uid="{00000000-0004-0000-0000-0000D8020000}"/>
    <hyperlink ref="I367" r:id="rId730" display="https://www.facebook.com/rapplerdotcom/photos/a.317154781638645/5597612220259515/" xr:uid="{00000000-0004-0000-0000-0000D9020000}"/>
    <hyperlink ref="A368" r:id="rId731" display="https://www.facebook.com/profile.php?id=100005697048693" xr:uid="{00000000-0004-0000-0000-0000DA020000}"/>
    <hyperlink ref="I368" r:id="rId732" display="https://www.facebook.com/rapplerdotcom/photos/a.317154781638645/5597612220259515/" xr:uid="{00000000-0004-0000-0000-0000DB020000}"/>
    <hyperlink ref="A369" r:id="rId733" display="https://www.facebook.com/angelo.amistoso.5" xr:uid="{00000000-0004-0000-0000-0000DC020000}"/>
    <hyperlink ref="I369" r:id="rId734" display="https://www.facebook.com/rapplerdotcom/photos/a.317154781638645/5597612220259515/" xr:uid="{00000000-0004-0000-0000-0000DD020000}"/>
    <hyperlink ref="A370" r:id="rId735" display="https://www.facebook.com/ocir18" xr:uid="{00000000-0004-0000-0000-0000DE020000}"/>
    <hyperlink ref="I370" r:id="rId736" display="https://www.facebook.com/rapplerdotcom/photos/a.317154781638645/5597612220259515/" xr:uid="{00000000-0004-0000-0000-0000DF020000}"/>
    <hyperlink ref="A371" r:id="rId737" display="https://www.facebook.com/babettemendelebar" xr:uid="{00000000-0004-0000-0000-0000E0020000}"/>
    <hyperlink ref="I371" r:id="rId738" display="https://www.facebook.com/rapplerdotcom/photos/a.317154781638645/5597612220259515/" xr:uid="{00000000-0004-0000-0000-0000E1020000}"/>
    <hyperlink ref="A372" r:id="rId739" display="https://www.facebook.com/hector.t.padilla" xr:uid="{00000000-0004-0000-0000-0000E2020000}"/>
    <hyperlink ref="I372" r:id="rId740" display="https://www.facebook.com/rapplerdotcom/photos/a.317154781638645/5597612220259515/" xr:uid="{00000000-0004-0000-0000-0000E3020000}"/>
    <hyperlink ref="A373" r:id="rId741" display="https://www.facebook.com/zenaida.laguio.75" xr:uid="{00000000-0004-0000-0000-0000E4020000}"/>
    <hyperlink ref="I373" r:id="rId742" display="https://www.facebook.com/rapplerdotcom/photos/a.317154781638645/5597612220259515/" xr:uid="{00000000-0004-0000-0000-0000E5020000}"/>
    <hyperlink ref="A374" r:id="rId743" display="https://www.facebook.com/nelson.figueroa.1048" xr:uid="{00000000-0004-0000-0000-0000E6020000}"/>
    <hyperlink ref="I374" r:id="rId744" display="https://www.facebook.com/rapplerdotcom/photos/a.317154781638645/5597612220259515/" xr:uid="{00000000-0004-0000-0000-0000E7020000}"/>
    <hyperlink ref="A375" r:id="rId745" display="https://www.facebook.com/chito.say.9" xr:uid="{00000000-0004-0000-0000-0000E8020000}"/>
    <hyperlink ref="I375" r:id="rId746" display="https://www.facebook.com/rapplerdotcom/photos/a.317154781638645/5597612220259515/" xr:uid="{00000000-0004-0000-0000-0000E9020000}"/>
    <hyperlink ref="A376" r:id="rId747" display="https://www.facebook.com/wilbert.favor" xr:uid="{00000000-0004-0000-0000-0000EA020000}"/>
    <hyperlink ref="I376" r:id="rId748" display="https://www.facebook.com/rapplerdotcom/photos/a.317154781638645/5597612220259515/" xr:uid="{00000000-0004-0000-0000-0000EB020000}"/>
    <hyperlink ref="A377" r:id="rId749" display="https://www.facebook.com/jocelyn.mendoza.5437" xr:uid="{00000000-0004-0000-0000-0000EC020000}"/>
    <hyperlink ref="I377" r:id="rId750" display="https://www.facebook.com/rapplerdotcom/photos/a.317154781638645/5597612220259515/" xr:uid="{00000000-0004-0000-0000-0000ED020000}"/>
    <hyperlink ref="A378" r:id="rId751" display="https://www.facebook.com/abelardo.l.cruz" xr:uid="{00000000-0004-0000-0000-0000EE020000}"/>
    <hyperlink ref="I378" r:id="rId752" display="https://www.facebook.com/rapplerdotcom/photos/a.317154781638645/5597612220259515/" xr:uid="{00000000-0004-0000-0000-0000EF020000}"/>
    <hyperlink ref="A379" r:id="rId753" display="https://www.facebook.com/profile.php?id=100072561709675" xr:uid="{00000000-0004-0000-0000-0000F0020000}"/>
    <hyperlink ref="I379" r:id="rId754" display="https://www.facebook.com/rapplerdotcom/photos/a.317154781638645/5597612220259515/" xr:uid="{00000000-0004-0000-0000-0000F1020000}"/>
    <hyperlink ref="A380" r:id="rId755" display="https://www.facebook.com/cristyherreralu" xr:uid="{00000000-0004-0000-0000-0000F2020000}"/>
    <hyperlink ref="I380" r:id="rId756" display="https://www.facebook.com/rapplerdotcom/photos/a.317154781638645/5597612220259515/" xr:uid="{00000000-0004-0000-0000-0000F3020000}"/>
    <hyperlink ref="A381" r:id="rId757" display="https://www.facebook.com/arman.soliveres.5" xr:uid="{00000000-0004-0000-0000-0000F4020000}"/>
    <hyperlink ref="I381" r:id="rId758" display="https://www.facebook.com/rapplerdotcom/photos/a.317154781638645/5597612220259515/" xr:uid="{00000000-0004-0000-0000-0000F5020000}"/>
    <hyperlink ref="A382" r:id="rId759" display="https://www.facebook.com/lizabcede.bana" xr:uid="{00000000-0004-0000-0000-0000F6020000}"/>
    <hyperlink ref="I382" r:id="rId760" display="https://www.facebook.com/rapplerdotcom/photos/a.317154781638645/5597612220259515/" xr:uid="{00000000-0004-0000-0000-0000F7020000}"/>
    <hyperlink ref="A383" r:id="rId761" display="https://www.facebook.com/viviana.ceracas.31" xr:uid="{00000000-0004-0000-0000-0000F8020000}"/>
    <hyperlink ref="I383" r:id="rId762" display="https://www.facebook.com/rapplerdotcom/photos/a.317154781638645/5597612220259515/" xr:uid="{00000000-0004-0000-0000-0000F9020000}"/>
    <hyperlink ref="A384" r:id="rId763" display="https://www.facebook.com/debbie.garcia.71216141" xr:uid="{00000000-0004-0000-0000-0000FA020000}"/>
    <hyperlink ref="I384" r:id="rId764" display="https://www.facebook.com/rapplerdotcom/photos/a.317154781638645/5597612220259515/" xr:uid="{00000000-0004-0000-0000-0000FB020000}"/>
    <hyperlink ref="A385" r:id="rId765" display="https://www.facebook.com/dominador.lopez2" xr:uid="{00000000-0004-0000-0000-0000FC020000}"/>
    <hyperlink ref="I385" r:id="rId766" display="https://www.facebook.com/rapplerdotcom/photos/a.317154781638645/5597612220259515/" xr:uid="{00000000-0004-0000-0000-0000FD020000}"/>
    <hyperlink ref="A386" r:id="rId767" display="https://www.facebook.com/leonallent" xr:uid="{00000000-0004-0000-0000-0000FE020000}"/>
    <hyperlink ref="I386" r:id="rId768" display="https://www.facebook.com/rapplerdotcom/photos/a.317154781638645/5597612220259515/" xr:uid="{00000000-0004-0000-0000-0000FF020000}"/>
    <hyperlink ref="A387" r:id="rId769" display="https://www.facebook.com/lito.watiwat" xr:uid="{00000000-0004-0000-0000-000000030000}"/>
    <hyperlink ref="I387" r:id="rId770" display="https://www.facebook.com/rapplerdotcom/photos/a.317154781638645/5597612220259515/" xr:uid="{00000000-0004-0000-0000-000001030000}"/>
    <hyperlink ref="A388" r:id="rId771" display="https://www.facebook.com/cora.baliola.5" xr:uid="{00000000-0004-0000-0000-000002030000}"/>
    <hyperlink ref="I388" r:id="rId772" display="https://www.facebook.com/rapplerdotcom/photos/a.317154781638645/5597612220259515/" xr:uid="{00000000-0004-0000-0000-000003030000}"/>
    <hyperlink ref="A389" r:id="rId773" display="https://www.facebook.com/sarah.mae.lopez" xr:uid="{00000000-0004-0000-0000-000004030000}"/>
    <hyperlink ref="I389" r:id="rId774" display="https://www.facebook.com/rapplerdotcom/photos/a.317154781638645/5597612220259515/" xr:uid="{00000000-0004-0000-0000-000005030000}"/>
    <hyperlink ref="A390" r:id="rId775" display="https://www.facebook.com/merlyn.lachica.96" xr:uid="{00000000-0004-0000-0000-000006030000}"/>
    <hyperlink ref="I390" r:id="rId776" display="https://www.facebook.com/rapplerdotcom/photos/a.317154781638645/5597612220259515/" xr:uid="{00000000-0004-0000-0000-000007030000}"/>
    <hyperlink ref="A391" r:id="rId777" display="https://www.facebook.com/reynaldo.villarama" xr:uid="{00000000-0004-0000-0000-000008030000}"/>
    <hyperlink ref="I391" r:id="rId778" display="https://www.facebook.com/rapplerdotcom/photos/a.317154781638645/5597612220259515/" xr:uid="{00000000-0004-0000-0000-000009030000}"/>
    <hyperlink ref="A392" r:id="rId779" display="https://www.facebook.com/jorge.devenecia" xr:uid="{00000000-0004-0000-0000-00000A030000}"/>
    <hyperlink ref="I392" r:id="rId780" display="https://www.facebook.com/rapplerdotcom/photos/a.317154781638645/5597612220259515/" xr:uid="{00000000-0004-0000-0000-00000B030000}"/>
    <hyperlink ref="A393" r:id="rId781" display="https://www.facebook.com/bagie.macalalad" xr:uid="{00000000-0004-0000-0000-00000C030000}"/>
    <hyperlink ref="I393" r:id="rId782" display="https://www.facebook.com/rapplerdotcom/photos/a.317154781638645/5597612220259515/" xr:uid="{00000000-0004-0000-0000-00000D030000}"/>
    <hyperlink ref="A394" r:id="rId783" display="https://www.facebook.com/simeona.stevens" xr:uid="{00000000-0004-0000-0000-00000E030000}"/>
    <hyperlink ref="I394" r:id="rId784" display="https://www.facebook.com/rapplerdotcom/photos/a.317154781638645/5597612220259515/" xr:uid="{00000000-0004-0000-0000-00000F030000}"/>
    <hyperlink ref="A395" r:id="rId785" display="https://www.facebook.com/egtic.anton" xr:uid="{00000000-0004-0000-0000-000010030000}"/>
    <hyperlink ref="I395" r:id="rId786" display="https://www.facebook.com/rapplerdotcom/photos/a.317154781638645/5597612220259515/" xr:uid="{00000000-0004-0000-0000-000011030000}"/>
    <hyperlink ref="A396" r:id="rId787" display="https://www.facebook.com/isidro.rentoy.5" xr:uid="{00000000-0004-0000-0000-000012030000}"/>
    <hyperlink ref="I396" r:id="rId788" display="https://www.facebook.com/rapplerdotcom/photos/a.317154781638645/5597612220259515/" xr:uid="{00000000-0004-0000-0000-000013030000}"/>
    <hyperlink ref="A397" r:id="rId789" display="https://www.facebook.com/romeo.serrano.39" xr:uid="{00000000-0004-0000-0000-000014030000}"/>
    <hyperlink ref="I397" r:id="rId790" display="https://www.facebook.com/rapplerdotcom/photos/a.317154781638645/5597612220259515/" xr:uid="{00000000-0004-0000-0000-000015030000}"/>
    <hyperlink ref="A398" r:id="rId791" display="https://www.facebook.com/RogeJrJobLaura" xr:uid="{00000000-0004-0000-0000-000016030000}"/>
    <hyperlink ref="I398" r:id="rId792" display="https://www.facebook.com/rapplerdotcom/photos/a.317154781638645/5597612220259515/" xr:uid="{00000000-0004-0000-0000-000017030000}"/>
    <hyperlink ref="A399" r:id="rId793" display="https://www.facebook.com/melinda.santelices" xr:uid="{00000000-0004-0000-0000-000018030000}"/>
    <hyperlink ref="I399" r:id="rId794" display="https://www.facebook.com/rapplerdotcom/photos/a.317154781638645/5597612220259515/" xr:uid="{00000000-0004-0000-0000-000019030000}"/>
    <hyperlink ref="A400" r:id="rId795" display="https://www.facebook.com/joebeth.egenias" xr:uid="{00000000-0004-0000-0000-00001A030000}"/>
    <hyperlink ref="I400" r:id="rId796" display="https://www.facebook.com/rapplerdotcom/photos/a.317154781638645/5597612220259515/" xr:uid="{00000000-0004-0000-0000-00001B030000}"/>
    <hyperlink ref="A401" r:id="rId797" display="https://www.facebook.com/marizz.monzoncordova" xr:uid="{00000000-0004-0000-0000-00001C030000}"/>
    <hyperlink ref="I401" r:id="rId798" display="https://www.facebook.com/rapplerdotcom/photos/a.317154781638645/5597612220259515/" xr:uid="{00000000-0004-0000-0000-00001D030000}"/>
    <hyperlink ref="A402" r:id="rId799" display="https://www.facebook.com/ramon.juario" xr:uid="{00000000-0004-0000-0000-00001E030000}"/>
    <hyperlink ref="I402" r:id="rId800" display="https://www.facebook.com/rapplerdotcom/photos/a.317154781638645/5597612220259515/" xr:uid="{00000000-0004-0000-0000-00001F030000}"/>
    <hyperlink ref="A403" r:id="rId801" display="https://www.facebook.com/lourdes.tobias.16" xr:uid="{00000000-0004-0000-0000-000020030000}"/>
    <hyperlink ref="I403" r:id="rId802" display="https://www.facebook.com/rapplerdotcom/photos/a.317154781638645/5597612220259515/" xr:uid="{00000000-0004-0000-0000-000021030000}"/>
    <hyperlink ref="A404" r:id="rId803" display="https://www.facebook.com/angela.romanos.14" xr:uid="{00000000-0004-0000-0000-000022030000}"/>
    <hyperlink ref="I404" r:id="rId804" display="https://www.facebook.com/rapplerdotcom/photos/a.317154781638645/5597612220259515/" xr:uid="{00000000-0004-0000-0000-000023030000}"/>
    <hyperlink ref="A405" r:id="rId805" display="https://www.facebook.com/divina.callado" xr:uid="{00000000-0004-0000-0000-000024030000}"/>
    <hyperlink ref="I405" r:id="rId806" display="https://www.facebook.com/rapplerdotcom/photos/a.317154781638645/5597612220259515/" xr:uid="{00000000-0004-0000-0000-000025030000}"/>
    <hyperlink ref="A406" r:id="rId807" display="https://www.facebook.com/racquel.andres.908" xr:uid="{00000000-0004-0000-0000-000026030000}"/>
    <hyperlink ref="I406" r:id="rId808" display="https://www.facebook.com/rapplerdotcom/photos/a.317154781638645/5597612220259515/" xr:uid="{00000000-0004-0000-0000-000027030000}"/>
    <hyperlink ref="A407" r:id="rId809" display="https://www.facebook.com/cielo.dupayamendiola" xr:uid="{00000000-0004-0000-0000-000028030000}"/>
    <hyperlink ref="I407" r:id="rId810" display="https://www.facebook.com/rapplerdotcom/photos/a.317154781638645/5597612220259515/" xr:uid="{00000000-0004-0000-0000-000029030000}"/>
    <hyperlink ref="A408" r:id="rId811" display="https://www.facebook.com/florence.sabado.7" xr:uid="{00000000-0004-0000-0000-00002A030000}"/>
    <hyperlink ref="I408" r:id="rId812" display="https://www.facebook.com/rapplerdotcom/photos/a.317154781638645/5597612220259515/" xr:uid="{00000000-0004-0000-0000-00002B030000}"/>
    <hyperlink ref="A409" r:id="rId813" display="https://www.facebook.com/resi.sitjar.9" xr:uid="{00000000-0004-0000-0000-00002C030000}"/>
    <hyperlink ref="I409" r:id="rId814" display="https://www.facebook.com/rapplerdotcom/photos/a.317154781638645/5597612220259515/" xr:uid="{00000000-0004-0000-0000-00002D030000}"/>
    <hyperlink ref="A410" r:id="rId815" display="https://www.facebook.com/profile.php?id=100063521917527" xr:uid="{00000000-0004-0000-0000-00002E030000}"/>
    <hyperlink ref="I410" r:id="rId816" display="https://www.facebook.com/rapplerdotcom/photos/a.317154781638645/5597612220259515/" xr:uid="{00000000-0004-0000-0000-00002F030000}"/>
    <hyperlink ref="A411" r:id="rId817" display="https://www.facebook.com/steve.tamayo.18" xr:uid="{00000000-0004-0000-0000-000030030000}"/>
    <hyperlink ref="I411" r:id="rId818" display="https://www.facebook.com/rapplerdotcom/photos/a.317154781638645/5597612220259515/" xr:uid="{00000000-0004-0000-0000-000031030000}"/>
    <hyperlink ref="A412" r:id="rId819" display="https://www.facebook.com/tirso.musa.94" xr:uid="{00000000-0004-0000-0000-000032030000}"/>
    <hyperlink ref="I412" r:id="rId820" display="https://www.facebook.com/rapplerdotcom/photos/a.317154781638645/5597612220259515/" xr:uid="{00000000-0004-0000-0000-000033030000}"/>
    <hyperlink ref="A413" r:id="rId821" display="https://www.facebook.com/menchu.gamilla" xr:uid="{00000000-0004-0000-0000-000034030000}"/>
    <hyperlink ref="I413" r:id="rId822" display="https://www.facebook.com/rapplerdotcom/photos/a.317154781638645/5597612220259515/" xr:uid="{00000000-0004-0000-0000-000035030000}"/>
    <hyperlink ref="A414" r:id="rId823" display="https://www.facebook.com/jedmichael.ognayon" xr:uid="{00000000-0004-0000-0000-000036030000}"/>
    <hyperlink ref="I414" r:id="rId824" display="https://www.facebook.com/rapplerdotcom/photos/a.317154781638645/5597612220259515/" xr:uid="{00000000-0004-0000-0000-000037030000}"/>
    <hyperlink ref="A415" r:id="rId825" display="https://www.facebook.com/noli.collao.3" xr:uid="{00000000-0004-0000-0000-000038030000}"/>
    <hyperlink ref="I415" r:id="rId826" display="https://www.facebook.com/rapplerdotcom/photos/a.317154781638645/5597612220259515/" xr:uid="{00000000-0004-0000-0000-000039030000}"/>
    <hyperlink ref="A416" r:id="rId827" display="https://www.facebook.com/duztinethewind" xr:uid="{00000000-0004-0000-0000-00003A030000}"/>
    <hyperlink ref="I416" r:id="rId828" display="https://www.facebook.com/rapplerdotcom/photos/a.317154781638645/5597612220259515/" xr:uid="{00000000-0004-0000-0000-00003B030000}"/>
    <hyperlink ref="A417" r:id="rId829" display="https://www.facebook.com/profile.php?id=100073176669689" xr:uid="{00000000-0004-0000-0000-00003C030000}"/>
    <hyperlink ref="I417" r:id="rId830" display="https://www.facebook.com/rapplerdotcom/photos/a.317154781638645/5597612220259515/" xr:uid="{00000000-0004-0000-0000-00003D030000}"/>
    <hyperlink ref="A418" r:id="rId831" display="https://www.facebook.com/cesar.d.cueva" xr:uid="{00000000-0004-0000-0000-00003E030000}"/>
    <hyperlink ref="I418" r:id="rId832" display="https://www.facebook.com/rapplerdotcom/photos/a.317154781638645/5597612220259515/" xr:uid="{00000000-0004-0000-0000-00003F030000}"/>
    <hyperlink ref="A419" r:id="rId833" display="https://www.facebook.com/miguel.lambino.75" xr:uid="{00000000-0004-0000-0000-000040030000}"/>
    <hyperlink ref="I419" r:id="rId834" display="https://www.facebook.com/rapplerdotcom/photos/a.317154781638645/5597612220259515/" xr:uid="{00000000-0004-0000-0000-000041030000}"/>
    <hyperlink ref="A420" r:id="rId835" display="https://www.facebook.com/matotubo" xr:uid="{00000000-0004-0000-0000-000042030000}"/>
    <hyperlink ref="I420" r:id="rId836" display="https://www.facebook.com/rapplerdotcom/photos/a.317154781638645/5597612220259515/" xr:uid="{00000000-0004-0000-0000-000043030000}"/>
    <hyperlink ref="A421" r:id="rId837" display="https://www.facebook.com/aidalegarci" xr:uid="{00000000-0004-0000-0000-000044030000}"/>
    <hyperlink ref="I421" r:id="rId838" display="https://www.facebook.com/rapplerdotcom/photos/a.317154781638645/5597612220259515/" xr:uid="{00000000-0004-0000-0000-000045030000}"/>
    <hyperlink ref="A422" r:id="rId839" display="https://www.facebook.com/merlaflores.bendicion" xr:uid="{00000000-0004-0000-0000-000046030000}"/>
    <hyperlink ref="I422" r:id="rId840" display="https://www.facebook.com/rapplerdotcom/photos/a.317154781638645/5597612220259515/" xr:uid="{00000000-0004-0000-0000-000047030000}"/>
    <hyperlink ref="A423" r:id="rId841" display="https://www.facebook.com/mxile" xr:uid="{00000000-0004-0000-0000-000048030000}"/>
    <hyperlink ref="I423" r:id="rId842" display="https://www.facebook.com/rapplerdotcom/photos/a.317154781638645/5597612220259515/" xr:uid="{00000000-0004-0000-0000-000049030000}"/>
    <hyperlink ref="A424" r:id="rId843" display="https://www.facebook.com/factolerin.e" xr:uid="{00000000-0004-0000-0000-00004A030000}"/>
    <hyperlink ref="I424" r:id="rId844" display="https://www.facebook.com/rapplerdotcom/photos/a.317154781638645/5597612220259515/" xr:uid="{00000000-0004-0000-0000-00004B030000}"/>
    <hyperlink ref="A425" r:id="rId845" display="https://www.facebook.com/josielyn.villafrancamendoza" xr:uid="{00000000-0004-0000-0000-00004C030000}"/>
    <hyperlink ref="I425" r:id="rId846" display="https://www.facebook.com/rapplerdotcom/photos/a.317154781638645/5597612220259515/" xr:uid="{00000000-0004-0000-0000-00004D030000}"/>
    <hyperlink ref="A426" r:id="rId847" display="https://www.facebook.com/teresita.gonzales.33865854" xr:uid="{00000000-0004-0000-0000-00004E030000}"/>
    <hyperlink ref="I426" r:id="rId848" display="https://www.facebook.com/rapplerdotcom/photos/a.317154781638645/5597612220259515/" xr:uid="{00000000-0004-0000-0000-00004F030000}"/>
    <hyperlink ref="A427" r:id="rId849" display="https://www.facebook.com/rogelio.deguzman.73157" xr:uid="{00000000-0004-0000-0000-000050030000}"/>
    <hyperlink ref="I427" r:id="rId850" display="https://www.facebook.com/rapplerdotcom/photos/a.317154781638645/5597612220259515/" xr:uid="{00000000-0004-0000-0000-000051030000}"/>
    <hyperlink ref="A428" r:id="rId851" display="https://www.facebook.com/asuncion.calayan.9" xr:uid="{00000000-0004-0000-0000-000052030000}"/>
    <hyperlink ref="I428" r:id="rId852" display="https://www.facebook.com/rapplerdotcom/photos/a.317154781638645/5597612220259515/" xr:uid="{00000000-0004-0000-0000-000053030000}"/>
    <hyperlink ref="A429" r:id="rId853" display="https://www.facebook.com/profile.php?id=100074950725815" xr:uid="{00000000-0004-0000-0000-000054030000}"/>
    <hyperlink ref="I429" r:id="rId854" display="https://www.facebook.com/rapplerdotcom/photos/a.317154781638645/5597612220259515/" xr:uid="{00000000-0004-0000-0000-000055030000}"/>
    <hyperlink ref="A430" r:id="rId855" display="https://www.facebook.com/budz.ky.14" xr:uid="{00000000-0004-0000-0000-000056030000}"/>
    <hyperlink ref="I430" r:id="rId856" display="https://www.facebook.com/rapplerdotcom/photos/a.317154781638645/5597612220259515/" xr:uid="{00000000-0004-0000-0000-000057030000}"/>
    <hyperlink ref="A431" r:id="rId857" display="https://www.facebook.com/McNolram" xr:uid="{00000000-0004-0000-0000-000058030000}"/>
    <hyperlink ref="I431" r:id="rId858" display="https://www.facebook.com/rapplerdotcom/photos/a.317154781638645/5597612220259515/" xr:uid="{00000000-0004-0000-0000-000059030000}"/>
    <hyperlink ref="A432" r:id="rId859" display="https://www.facebook.com/michelle.delosnieves" xr:uid="{00000000-0004-0000-0000-00005A030000}"/>
    <hyperlink ref="I432" r:id="rId860" display="https://www.facebook.com/rapplerdotcom/photos/a.317154781638645/5597612220259515/" xr:uid="{00000000-0004-0000-0000-00005B030000}"/>
    <hyperlink ref="A433" r:id="rId861" display="https://www.facebook.com/jordan.santos.5667" xr:uid="{00000000-0004-0000-0000-00005C030000}"/>
    <hyperlink ref="I433" r:id="rId862" display="https://www.facebook.com/rapplerdotcom/photos/a.317154781638645/5597612220259515/" xr:uid="{00000000-0004-0000-0000-00005D030000}"/>
    <hyperlink ref="A434" r:id="rId863" display="https://www.facebook.com/iamnoelricardo" xr:uid="{00000000-0004-0000-0000-00005E030000}"/>
    <hyperlink ref="I434" r:id="rId864" display="https://www.facebook.com/rapplerdotcom/photos/a.317154781638645/5597612220259515/" xr:uid="{00000000-0004-0000-0000-00005F030000}"/>
    <hyperlink ref="A435" r:id="rId865" display="https://www.facebook.com/factolerin.e" xr:uid="{00000000-0004-0000-0000-000060030000}"/>
    <hyperlink ref="I435" r:id="rId866" display="https://www.facebook.com/rapplerdotcom/photos/a.317154781638645/5597612220259515/" xr:uid="{00000000-0004-0000-0000-000061030000}"/>
    <hyperlink ref="A436" r:id="rId867" display="https://www.facebook.com/dubchaetzu1230" xr:uid="{00000000-0004-0000-0000-000062030000}"/>
    <hyperlink ref="I436" r:id="rId868" display="https://www.facebook.com/rapplerdotcom/photos/a.317154781638645/5597612220259515/" xr:uid="{00000000-0004-0000-0000-000063030000}"/>
    <hyperlink ref="A437" r:id="rId869" display="https://www.facebook.com/jonel.c.sandiego" xr:uid="{00000000-0004-0000-0000-000064030000}"/>
    <hyperlink ref="I437" r:id="rId870" display="https://www.facebook.com/rapplerdotcom/photos/a.317154781638645/5597612220259515/" xr:uid="{00000000-0004-0000-0000-000065030000}"/>
    <hyperlink ref="A438" r:id="rId871" display="https://www.facebook.com/factolerin.e" xr:uid="{00000000-0004-0000-0000-000066030000}"/>
    <hyperlink ref="I438" r:id="rId872" display="https://www.facebook.com/rapplerdotcom/photos/a.317154781638645/5597612220259515/" xr:uid="{00000000-0004-0000-0000-000067030000}"/>
    <hyperlink ref="A439" r:id="rId873" display="https://www.facebook.com/factolerin.e" xr:uid="{00000000-0004-0000-0000-000068030000}"/>
    <hyperlink ref="I439" r:id="rId874" display="https://www.facebook.com/rapplerdotcom/photos/a.317154781638645/5597612220259515/" xr:uid="{00000000-0004-0000-0000-000069030000}"/>
    <hyperlink ref="A440" r:id="rId875" display="https://www.facebook.com/factolerin.e" xr:uid="{00000000-0004-0000-0000-00006A030000}"/>
    <hyperlink ref="I440" r:id="rId876" display="https://www.facebook.com/rapplerdotcom/photos/a.317154781638645/5597612220259515/" xr:uid="{00000000-0004-0000-0000-00006B030000}"/>
    <hyperlink ref="A441" r:id="rId877" display="https://www.facebook.com/debbie.garcia.71216141" xr:uid="{00000000-0004-0000-0000-00006C030000}"/>
    <hyperlink ref="I441" r:id="rId878" display="https://www.facebook.com/rapplerdotcom/photos/a.317154781638645/5597612220259515/" xr:uid="{00000000-0004-0000-0000-00006D030000}"/>
    <hyperlink ref="A442" r:id="rId879" display="https://www.facebook.com/profile.php?id=100009913030847" xr:uid="{00000000-0004-0000-0000-00006E030000}"/>
    <hyperlink ref="I442" r:id="rId880" display="https://www.facebook.com/rapplerdotcom/photos/a.317154781638645/5597612220259515/" xr:uid="{00000000-0004-0000-0000-00006F030000}"/>
    <hyperlink ref="A443" r:id="rId881" display="https://www.facebook.com/dean.loreto" xr:uid="{00000000-0004-0000-0000-000070030000}"/>
    <hyperlink ref="I443" r:id="rId882" display="https://www.facebook.com/rapplerdotcom/photos/a.317154781638645/5597612220259515/" xr:uid="{00000000-0004-0000-0000-000071030000}"/>
    <hyperlink ref="A444" r:id="rId883" display="https://www.facebook.com/ricardo.arayata" xr:uid="{00000000-0004-0000-0000-000072030000}"/>
    <hyperlink ref="I444" r:id="rId884" display="https://www.facebook.com/rapplerdotcom/photos/a.317154781638645/5597612220259515/" xr:uid="{00000000-0004-0000-0000-000073030000}"/>
    <hyperlink ref="A445" r:id="rId885" display="https://www.facebook.com/rey.magsayo.399" xr:uid="{00000000-0004-0000-0000-000074030000}"/>
    <hyperlink ref="I445" r:id="rId886" display="https://www.facebook.com/rapplerdotcom/photos/a.317154781638645/5597612220259515/" xr:uid="{00000000-0004-0000-0000-000075030000}"/>
    <hyperlink ref="A446" r:id="rId887" display="https://www.facebook.com/gladys.lazo.31" xr:uid="{00000000-0004-0000-0000-000076030000}"/>
    <hyperlink ref="I446" r:id="rId888" display="https://www.facebook.com/rapplerdotcom/photos/a.317154781638645/5597612220259515/" xr:uid="{00000000-0004-0000-0000-000077030000}"/>
    <hyperlink ref="A447" r:id="rId889" display="https://www.facebook.com/profile.php?id=100010227300304" xr:uid="{00000000-0004-0000-0000-000078030000}"/>
    <hyperlink ref="I447" r:id="rId890" display="https://www.facebook.com/rapplerdotcom/photos/a.317154781638645/5597612220259515/" xr:uid="{00000000-0004-0000-0000-000079030000}"/>
    <hyperlink ref="A448" r:id="rId891" display="https://www.facebook.com/profile.php?id=100009810850262" xr:uid="{00000000-0004-0000-0000-00007A030000}"/>
    <hyperlink ref="I448" r:id="rId892" display="https://www.facebook.com/rapplerdotcom/photos/a.317154781638645/5597612220259515/" xr:uid="{00000000-0004-0000-0000-00007B030000}"/>
    <hyperlink ref="A449" r:id="rId893" display="https://www.facebook.com/nextnehszph" xr:uid="{00000000-0004-0000-0000-00007C030000}"/>
    <hyperlink ref="I449" r:id="rId894" display="https://www.facebook.com/rapplerdotcom/photos/a.317154781638645/5597612220259515/" xr:uid="{00000000-0004-0000-0000-00007D030000}"/>
    <hyperlink ref="A450" r:id="rId895" display="https://www.facebook.com/bmarichue" xr:uid="{00000000-0004-0000-0000-00007E030000}"/>
    <hyperlink ref="I450" r:id="rId896" display="https://www.facebook.com/rapplerdotcom/photos/a.317154781638645/5597592673594803/" xr:uid="{00000000-0004-0000-0000-00007F030000}"/>
    <hyperlink ref="A451" r:id="rId897" display="https://www.facebook.com/ninovincent.dbollino.3" xr:uid="{00000000-0004-0000-0000-000080030000}"/>
    <hyperlink ref="I451" r:id="rId898" display="https://www.facebook.com/rapplerdotcom/photos/a.317154781638645/5597592673594803/" xr:uid="{00000000-0004-0000-0000-000081030000}"/>
    <hyperlink ref="A452" r:id="rId899" display="https://www.facebook.com/tony.deguzman.104" xr:uid="{00000000-0004-0000-0000-000082030000}"/>
    <hyperlink ref="I452" r:id="rId900" display="https://www.facebook.com/rapplerdotcom/photos/a.317154781638645/5597592673594803/" xr:uid="{00000000-0004-0000-0000-000083030000}"/>
    <hyperlink ref="A453" r:id="rId901" display="https://www.facebook.com/Jackbullmastiff" xr:uid="{00000000-0004-0000-0000-000084030000}"/>
    <hyperlink ref="I453" r:id="rId902" display="https://www.facebook.com/rapplerdotcom/photos/a.317154781638645/5597592673594803/" xr:uid="{00000000-0004-0000-0000-000085030000}"/>
    <hyperlink ref="A454" r:id="rId903" display="https://www.facebook.com/profile.php?id=100076074789897" xr:uid="{00000000-0004-0000-0000-000086030000}"/>
    <hyperlink ref="I454" r:id="rId904" display="https://www.facebook.com/rapplerdotcom/photos/a.317154781638645/5597592673594803/" xr:uid="{00000000-0004-0000-0000-000087030000}"/>
    <hyperlink ref="A455" r:id="rId905" display="https://www.facebook.com/jeanette6881" xr:uid="{00000000-0004-0000-0000-000088030000}"/>
    <hyperlink ref="I455" r:id="rId906" display="https://www.facebook.com/rapplerdotcom/photos/a.317154781638645/5597592673594803/" xr:uid="{00000000-0004-0000-0000-000089030000}"/>
    <hyperlink ref="A456" r:id="rId907" display="https://www.facebook.com/jeth17" xr:uid="{00000000-0004-0000-0000-00008A030000}"/>
    <hyperlink ref="I456" r:id="rId908" display="https://www.facebook.com/rapplerdotcom/photos/a.317154781638645/5597592673594803/" xr:uid="{00000000-0004-0000-0000-00008B030000}"/>
    <hyperlink ref="A457" r:id="rId909" display="https://www.facebook.com/profile.php?id=100078911753810" xr:uid="{00000000-0004-0000-0000-00008C030000}"/>
    <hyperlink ref="I457" r:id="rId910" display="https://www.facebook.com/rapplerdotcom/photos/a.317154781638645/5597592673594803/" xr:uid="{00000000-0004-0000-0000-00008D030000}"/>
    <hyperlink ref="A458" r:id="rId911" display="https://www.facebook.com/jantenmoto" xr:uid="{00000000-0004-0000-0000-00008E030000}"/>
    <hyperlink ref="I458" r:id="rId912" display="https://www.facebook.com/rapplerdotcom/photos/a.317154781638645/5597592673594803/" xr:uid="{00000000-0004-0000-0000-00008F030000}"/>
    <hyperlink ref="A459" r:id="rId913" display="https://www.facebook.com/christian.vicente.104" xr:uid="{00000000-0004-0000-0000-000090030000}"/>
    <hyperlink ref="I459" r:id="rId914" display="https://www.facebook.com/rapplerdotcom/photos/a.317154781638645/5597592673594803/" xr:uid="{00000000-0004-0000-0000-000091030000}"/>
    <hyperlink ref="A460" r:id="rId915" display="https://www.facebook.com/angelitoljaojr" xr:uid="{00000000-0004-0000-0000-000092030000}"/>
    <hyperlink ref="I460" r:id="rId916" display="https://www.facebook.com/rapplerdotcom/photos/a.317154781638645/5597592673594803/" xr:uid="{00000000-0004-0000-0000-000093030000}"/>
    <hyperlink ref="A461" r:id="rId917" display="https://www.facebook.com/jheilynn.paz" xr:uid="{00000000-0004-0000-0000-000094030000}"/>
    <hyperlink ref="I461" r:id="rId918" display="https://www.facebook.com/rapplerdotcom/photos/a.317154781638645/5597592673594803/" xr:uid="{00000000-0004-0000-0000-000095030000}"/>
    <hyperlink ref="A462" r:id="rId919" display="https://www.facebook.com/paul.a.estrada.5" xr:uid="{00000000-0004-0000-0000-000096030000}"/>
    <hyperlink ref="I462" r:id="rId920" display="https://www.facebook.com/rapplerdotcom/photos/a.317154781638645/5597592673594803/" xr:uid="{00000000-0004-0000-0000-000097030000}"/>
    <hyperlink ref="A463" r:id="rId921" display="https://www.facebook.com/geobert.osma" xr:uid="{00000000-0004-0000-0000-000098030000}"/>
    <hyperlink ref="I463" r:id="rId922" display="https://www.facebook.com/rapplerdotcom/photos/a.317154781638645/5597592673594803/" xr:uid="{00000000-0004-0000-0000-000099030000}"/>
    <hyperlink ref="A464" r:id="rId923" display="https://www.facebook.com/ven.el.9" xr:uid="{00000000-0004-0000-0000-00009A030000}"/>
    <hyperlink ref="I464" r:id="rId924" display="https://www.facebook.com/rapplerdotcom/photos/a.317154781638645/5597592673594803/" xr:uid="{00000000-0004-0000-0000-00009B030000}"/>
    <hyperlink ref="A465" r:id="rId925" display="https://www.facebook.com/jonathan.sajo" xr:uid="{00000000-0004-0000-0000-00009C030000}"/>
    <hyperlink ref="I465" r:id="rId926" display="https://www.facebook.com/rapplerdotcom/photos/a.317154781638645/5597592673594803/" xr:uid="{00000000-0004-0000-0000-00009D030000}"/>
    <hyperlink ref="A466" r:id="rId927" display="https://www.facebook.com/emeterio.sarvilla" xr:uid="{00000000-0004-0000-0000-00009E030000}"/>
    <hyperlink ref="I466" r:id="rId928" display="https://www.facebook.com/rapplerdotcom/photos/a.317154781638645/5597592673594803/" xr:uid="{00000000-0004-0000-0000-00009F030000}"/>
    <hyperlink ref="A467" r:id="rId929" display="https://www.facebook.com/khali.gab" xr:uid="{00000000-0004-0000-0000-0000A0030000}"/>
    <hyperlink ref="I467" r:id="rId930" display="https://www.facebook.com/rapplerdotcom/photos/a.317154781638645/5597592673594803/" xr:uid="{00000000-0004-0000-0000-0000A1030000}"/>
    <hyperlink ref="A468" r:id="rId931" display="https://www.facebook.com/jaredhdown" xr:uid="{00000000-0004-0000-0000-0000A2030000}"/>
    <hyperlink ref="I468" r:id="rId932" display="https://www.facebook.com/rapplerdotcom/photos/a.317154781638645/5597592673594803/" xr:uid="{00000000-0004-0000-0000-0000A3030000}"/>
    <hyperlink ref="A469" r:id="rId933" display="https://www.facebook.com/zayn.zee.16" xr:uid="{00000000-0004-0000-0000-0000A4030000}"/>
    <hyperlink ref="I469" r:id="rId934" display="https://www.facebook.com/rapplerdotcom/photos/a.317154781638645/5597592673594803/" xr:uid="{00000000-0004-0000-0000-0000A5030000}"/>
    <hyperlink ref="A470" r:id="rId935" display="https://www.facebook.com/denshaw.rios" xr:uid="{00000000-0004-0000-0000-0000A6030000}"/>
    <hyperlink ref="I470" r:id="rId936" display="https://www.facebook.com/rapplerdotcom/photos/a.317154781638645/5597592673594803/" xr:uid="{00000000-0004-0000-0000-0000A7030000}"/>
    <hyperlink ref="A471" r:id="rId937" display="https://www.facebook.com/iamlegend41" xr:uid="{00000000-0004-0000-0000-0000A8030000}"/>
    <hyperlink ref="I471" r:id="rId938" display="https://www.facebook.com/rapplerdotcom/photos/a.317154781638645/5597592673594803/" xr:uid="{00000000-0004-0000-0000-0000A9030000}"/>
    <hyperlink ref="A472" r:id="rId939" display="https://www.facebook.com/jun.osorio.12" xr:uid="{00000000-0004-0000-0000-0000AA030000}"/>
    <hyperlink ref="I472" r:id="rId940" display="https://www.facebook.com/rapplerdotcom/photos/a.317154781638645/5597592673594803/" xr:uid="{00000000-0004-0000-0000-0000AB030000}"/>
    <hyperlink ref="A473" r:id="rId941" display="https://www.facebook.com/marcial.acbang" xr:uid="{00000000-0004-0000-0000-0000AC030000}"/>
    <hyperlink ref="I473" r:id="rId942" display="https://www.facebook.com/rapplerdotcom/photos/a.317154781638645/5597592673594803/" xr:uid="{00000000-0004-0000-0000-0000AD030000}"/>
    <hyperlink ref="A474" r:id="rId943" display="https://www.facebook.com/einavanie" xr:uid="{00000000-0004-0000-0000-0000AE030000}"/>
    <hyperlink ref="I474" r:id="rId944" display="https://www.facebook.com/rapplerdotcom/photos/a.317154781638645/5597592673594803/" xr:uid="{00000000-0004-0000-0000-0000AF030000}"/>
    <hyperlink ref="A475" r:id="rId945" display="https://www.facebook.com/rechellgastardo.gordonas" xr:uid="{00000000-0004-0000-0000-0000B0030000}"/>
    <hyperlink ref="I475" r:id="rId946" display="https://www.facebook.com/rapplerdotcom/photos/a.317154781638645/5597592673594803/" xr:uid="{00000000-0004-0000-0000-0000B1030000}"/>
    <hyperlink ref="A476" r:id="rId947" display="https://www.facebook.com/profile.php?id=100076074789897" xr:uid="{00000000-0004-0000-0000-0000B2030000}"/>
    <hyperlink ref="I476" r:id="rId948" display="https://www.facebook.com/rapplerdotcom/photos/a.317154781638645/5597592673594803/" xr:uid="{00000000-0004-0000-0000-0000B3030000}"/>
    <hyperlink ref="A477" r:id="rId949" display="https://www.facebook.com/profile.php?id=100075263366177" xr:uid="{00000000-0004-0000-0000-0000B4030000}"/>
    <hyperlink ref="I477" r:id="rId950" display="https://www.facebook.com/rapplerdotcom/photos/a.317154781638645/5597592673594803/" xr:uid="{00000000-0004-0000-0000-0000B5030000}"/>
    <hyperlink ref="A478" r:id="rId951" display="https://www.facebook.com/joe.biro.1840" xr:uid="{00000000-0004-0000-0000-0000B6030000}"/>
    <hyperlink ref="I478" r:id="rId952" display="https://www.facebook.com/rapplerdotcom/photos/a.317154781638645/5597592673594803/" xr:uid="{00000000-0004-0000-0000-0000B7030000}"/>
    <hyperlink ref="A479" r:id="rId953" display="https://www.facebook.com/joseangelo.ong" xr:uid="{00000000-0004-0000-0000-0000B8030000}"/>
    <hyperlink ref="I479" r:id="rId954" display="https://www.facebook.com/rapplerdotcom/photos/a.317154781638645/5597592673594803/" xr:uid="{00000000-0004-0000-0000-0000B9030000}"/>
    <hyperlink ref="A480" r:id="rId955" display="https://www.facebook.com/rubysegurado.daculan" xr:uid="{00000000-0004-0000-0000-0000BA030000}"/>
    <hyperlink ref="I480" r:id="rId956" display="https://www.facebook.com/rapplerdotcom/photos/a.317154781638645/5597592673594803/" xr:uid="{00000000-0004-0000-0000-0000BB030000}"/>
    <hyperlink ref="A481" r:id="rId957" display="https://www.facebook.com/shirben.bensurto" xr:uid="{00000000-0004-0000-0000-0000BC030000}"/>
    <hyperlink ref="I481" r:id="rId958" display="https://www.facebook.com/rapplerdotcom/photos/a.317154781638645/5597592673594803/" xr:uid="{00000000-0004-0000-0000-0000BD030000}"/>
    <hyperlink ref="A482" r:id="rId959" display="https://www.facebook.com/christian.vicente.104" xr:uid="{00000000-0004-0000-0000-0000BE030000}"/>
    <hyperlink ref="I482" r:id="rId960" display="https://www.facebook.com/rapplerdotcom/photos/a.317154781638645/5597592673594803/" xr:uid="{00000000-0004-0000-0000-0000BF030000}"/>
    <hyperlink ref="A483" r:id="rId961" display="https://www.facebook.com/silvino.lingan" xr:uid="{00000000-0004-0000-0000-0000C0030000}"/>
    <hyperlink ref="I483" r:id="rId962" display="https://www.facebook.com/rapplerdotcom/photos/a.317154781638645/5597592673594803/" xr:uid="{00000000-0004-0000-0000-0000C1030000}"/>
    <hyperlink ref="A484" r:id="rId963" display="https://www.facebook.com/jun.pereo" xr:uid="{00000000-0004-0000-0000-0000C2030000}"/>
    <hyperlink ref="I484" r:id="rId964" display="https://www.facebook.com/rapplerdotcom/photos/a.317154781638645/5597592673594803/" xr:uid="{00000000-0004-0000-0000-0000C3030000}"/>
    <hyperlink ref="A485" r:id="rId965" display="https://www.facebook.com/christian.vicente.104" xr:uid="{00000000-0004-0000-0000-0000C4030000}"/>
    <hyperlink ref="I485" r:id="rId966" display="https://www.facebook.com/rapplerdotcom/photos/a.317154781638645/5597592673594803/" xr:uid="{00000000-0004-0000-0000-0000C5030000}"/>
    <hyperlink ref="A486" r:id="rId967" display="https://www.facebook.com/miriam.muro.52" xr:uid="{00000000-0004-0000-0000-0000C6030000}"/>
    <hyperlink ref="I486" r:id="rId968" display="https://www.facebook.com/rapplerdotcom/photos/a.317154781638645/5597592673594803/" xr:uid="{00000000-0004-0000-0000-0000C7030000}"/>
    <hyperlink ref="A487" r:id="rId969" display="https://www.facebook.com/virgilio.panolino" xr:uid="{00000000-0004-0000-0000-0000C8030000}"/>
    <hyperlink ref="I487" r:id="rId970" display="https://www.facebook.com/rapplerdotcom/photos/a.317154781638645/5597592673594803/" xr:uid="{00000000-0004-0000-0000-0000C9030000}"/>
    <hyperlink ref="A488" r:id="rId971" display="https://www.facebook.com/chris.posiquit.3" xr:uid="{00000000-0004-0000-0000-0000CA030000}"/>
    <hyperlink ref="I488" r:id="rId972" display="https://www.facebook.com/rapplerdotcom/photos/a.317154781638645/5597592673594803/" xr:uid="{00000000-0004-0000-0000-0000CB030000}"/>
    <hyperlink ref="A489" r:id="rId973" display="https://www.facebook.com/profile.php?id=100040658171991" xr:uid="{00000000-0004-0000-0000-0000CC030000}"/>
    <hyperlink ref="I489" r:id="rId974" display="https://www.facebook.com/rapplerdotcom/photos/a.317154781638645/5597592673594803/" xr:uid="{00000000-0004-0000-0000-0000CD030000}"/>
    <hyperlink ref="A490" r:id="rId975" display="https://www.facebook.com/sylvz.serranoadona" xr:uid="{00000000-0004-0000-0000-0000CE030000}"/>
    <hyperlink ref="I490" r:id="rId976" display="https://www.facebook.com/rapplerdotcom/photos/a.317154781638645/5597592673594803/" xr:uid="{00000000-0004-0000-0000-0000CF030000}"/>
    <hyperlink ref="A491" r:id="rId977" display="https://www.facebook.com/shirley.narra" xr:uid="{00000000-0004-0000-0000-0000D0030000}"/>
    <hyperlink ref="I491" r:id="rId978" display="https://www.facebook.com/rapplerdotcom/photos/a.317154781638645/5597592673594803/" xr:uid="{00000000-0004-0000-0000-0000D1030000}"/>
    <hyperlink ref="A492" r:id="rId979" display="https://www.facebook.com/profile.php?id=100070422307214" xr:uid="{00000000-0004-0000-0000-0000D2030000}"/>
    <hyperlink ref="I492" r:id="rId980" display="https://www.facebook.com/rapplerdotcom/photos/a.317154781638645/5597592673594803/" xr:uid="{00000000-0004-0000-0000-0000D3030000}"/>
    <hyperlink ref="A493" r:id="rId981" display="https://www.facebook.com/christian.vicente.104" xr:uid="{00000000-0004-0000-0000-0000D4030000}"/>
    <hyperlink ref="I493" r:id="rId982" display="https://www.facebook.com/rapplerdotcom/photos/a.317154781638645/5597592673594803/" xr:uid="{00000000-0004-0000-0000-0000D5030000}"/>
    <hyperlink ref="A494" r:id="rId983" display="https://www.facebook.com/lina.are.712" xr:uid="{00000000-0004-0000-0000-0000D6030000}"/>
    <hyperlink ref="I494" r:id="rId984" display="https://www.facebook.com/rapplerdotcom/photos/a.317154781638645/5597592673594803/" xr:uid="{00000000-0004-0000-0000-0000D7030000}"/>
    <hyperlink ref="A495" r:id="rId985" display="https://www.facebook.com/marlene.deximo" xr:uid="{00000000-0004-0000-0000-0000D8030000}"/>
    <hyperlink ref="I495" r:id="rId986" display="https://www.facebook.com/rapplerdotcom/photos/a.317154781638645/5597592673594803/" xr:uid="{00000000-0004-0000-0000-0000D9030000}"/>
    <hyperlink ref="A496" r:id="rId987" display="https://www.facebook.com/saturnino.m.zamora" xr:uid="{00000000-0004-0000-0000-0000DA030000}"/>
    <hyperlink ref="I496" r:id="rId988" display="https://www.facebook.com/rapplerdotcom/photos/a.317154781638645/5597592673594803/" xr:uid="{00000000-0004-0000-0000-0000DB030000}"/>
    <hyperlink ref="A497" r:id="rId989" display="https://www.facebook.com/profile.php?id=100001458259598" xr:uid="{00000000-0004-0000-0000-0000DC030000}"/>
    <hyperlink ref="I497" r:id="rId990" display="https://www.facebook.com/rapplerdotcom/photos/a.317154781638645/5597592673594803/" xr:uid="{00000000-0004-0000-0000-0000DD030000}"/>
    <hyperlink ref="A498" r:id="rId991" display="https://www.facebook.com/bagumbayan" xr:uid="{00000000-0004-0000-0000-0000DE030000}"/>
    <hyperlink ref="I498" r:id="rId992" display="https://www.facebook.com/rapplerdotcom/photos/a.317154781638645/5597592673594803/" xr:uid="{00000000-0004-0000-0000-0000DF030000}"/>
    <hyperlink ref="A499" r:id="rId993" display="https://www.facebook.com/kelcinRam" xr:uid="{00000000-0004-0000-0000-0000E0030000}"/>
    <hyperlink ref="I499" r:id="rId994" display="https://www.facebook.com/rapplerdotcom/photos/a.317154781638645/5597592673594803/" xr:uid="{00000000-0004-0000-0000-0000E1030000}"/>
    <hyperlink ref="A500" r:id="rId995" display="https://www.facebook.com/jun.abordo.94" xr:uid="{00000000-0004-0000-0000-0000E2030000}"/>
    <hyperlink ref="I500" r:id="rId996" display="https://www.facebook.com/rapplerdotcom/photos/a.317154781638645/5597592673594803/" xr:uid="{00000000-0004-0000-0000-0000E3030000}"/>
    <hyperlink ref="A501" r:id="rId997" display="https://www.facebook.com/profile.php?id=100071214034177" xr:uid="{00000000-0004-0000-0000-0000E4030000}"/>
    <hyperlink ref="I501" r:id="rId998" display="https://www.facebook.com/rapplerdotcom/photos/a.317154781638645/5597592673594803/" xr:uid="{00000000-0004-0000-0000-0000E5030000}"/>
    <hyperlink ref="A502" r:id="rId999" display="https://www.facebook.com/profile.php?id=100074718165514" xr:uid="{00000000-0004-0000-0000-0000E6030000}"/>
    <hyperlink ref="I502" r:id="rId1000" display="https://www.facebook.com/rapplerdotcom/photos/a.317154781638645/5597592673594803/" xr:uid="{00000000-0004-0000-0000-0000E7030000}"/>
    <hyperlink ref="A503" r:id="rId1001" display="https://www.facebook.com/profile.php?id=100079476013075" xr:uid="{00000000-0004-0000-0000-0000E8030000}"/>
    <hyperlink ref="I503" r:id="rId1002" display="https://www.facebook.com/rapplerdotcom/photos/a.317154781638645/5597592673594803/" xr:uid="{00000000-0004-0000-0000-0000E9030000}"/>
    <hyperlink ref="A504" r:id="rId1003" display="https://www.facebook.com/profile.php?id=100079476013075" xr:uid="{00000000-0004-0000-0000-0000EA030000}"/>
    <hyperlink ref="I504" r:id="rId1004" display="https://www.facebook.com/rapplerdotcom/photos/a.317154781638645/5597592673594803/" xr:uid="{00000000-0004-0000-0000-0000EB030000}"/>
    <hyperlink ref="A505" r:id="rId1005" display="https://www.facebook.com/jenelyn.balili.31" xr:uid="{00000000-0004-0000-0000-0000EC030000}"/>
    <hyperlink ref="I505" r:id="rId1006" display="https://www.facebook.com/rapplerdotcom/photos/a.317154781638645/5597592673594803/" xr:uid="{00000000-0004-0000-0000-0000ED030000}"/>
    <hyperlink ref="A506" r:id="rId1007" display="https://www.facebook.com/recel.romero.18" xr:uid="{00000000-0004-0000-0000-0000EE030000}"/>
    <hyperlink ref="I506" r:id="rId1008" display="https://www.facebook.com/rapplerdotcom/photos/a.317154781638645/5597592673594803/" xr:uid="{00000000-0004-0000-0000-0000EF030000}"/>
    <hyperlink ref="A507" r:id="rId1009" display="https://www.facebook.com/rndllbailey" xr:uid="{00000000-0004-0000-0000-0000F0030000}"/>
    <hyperlink ref="I507" r:id="rId1010" display="https://www.facebook.com/rapplerdotcom/photos/a.317154781638645/5597592673594803/" xr:uid="{00000000-0004-0000-0000-0000F1030000}"/>
    <hyperlink ref="A508" r:id="rId1011" display="https://www.facebook.com/abaco.charrie.3" xr:uid="{00000000-0004-0000-0000-0000F2030000}"/>
    <hyperlink ref="I508" r:id="rId1012" display="https://www.facebook.com/rapplerdotcom/photos/a.317154781638645/5597592673594803/" xr:uid="{00000000-0004-0000-0000-0000F3030000}"/>
    <hyperlink ref="A509" r:id="rId1013" display="https://www.facebook.com/erwin.aquino.5249349" xr:uid="{00000000-0004-0000-0000-0000F4030000}"/>
    <hyperlink ref="I509" r:id="rId1014" display="https://www.facebook.com/rapplerdotcom/photos/a.317154781638645/5597592673594803/" xr:uid="{00000000-0004-0000-0000-0000F5030000}"/>
    <hyperlink ref="A510" r:id="rId1015" display="https://www.facebook.com/jun.osorio.12" xr:uid="{00000000-0004-0000-0000-0000F6030000}"/>
    <hyperlink ref="I510" r:id="rId1016" display="https://www.facebook.com/rapplerdotcom/photos/a.317154781638645/5597592673594803/" xr:uid="{00000000-0004-0000-0000-0000F7030000}"/>
    <hyperlink ref="A511" r:id="rId1017" display="https://www.facebook.com/profile.php?id=100078787512312" xr:uid="{00000000-0004-0000-0000-0000F8030000}"/>
    <hyperlink ref="I511" r:id="rId1018" display="https://www.facebook.com/rapplerdotcom/photos/a.317154781638645/5597592673594803/" xr:uid="{00000000-0004-0000-0000-0000F9030000}"/>
    <hyperlink ref="A512" r:id="rId1019" display="https://www.facebook.com/gary.garcia.357" xr:uid="{00000000-0004-0000-0000-0000FA030000}"/>
    <hyperlink ref="I512" r:id="rId1020" display="https://www.facebook.com/rapplerdotcom/photos/a.317154781638645/5597592673594803/" xr:uid="{00000000-0004-0000-0000-0000FB030000}"/>
    <hyperlink ref="A513" r:id="rId1021" display="https://www.facebook.com/jose.a.bautista.98" xr:uid="{00000000-0004-0000-0000-0000FC030000}"/>
    <hyperlink ref="I513" r:id="rId1022" display="https://www.facebook.com/rapplerdotcom/photos/a.317154781638645/5597592673594803/" xr:uid="{00000000-0004-0000-0000-0000FD030000}"/>
    <hyperlink ref="A514" r:id="rId1023" display="https://www.facebook.com/kimshie.artocilla" xr:uid="{00000000-0004-0000-0000-0000FE030000}"/>
    <hyperlink ref="I514" r:id="rId1024" display="https://www.facebook.com/rapplerdotcom/photos/a.317154781638645/5597592673594803/" xr:uid="{00000000-0004-0000-0000-0000FF030000}"/>
    <hyperlink ref="A515" r:id="rId1025" display="https://www.facebook.com/omar.morales.14203" xr:uid="{00000000-0004-0000-0000-000000040000}"/>
    <hyperlink ref="I515" r:id="rId1026" display="https://www.facebook.com/rapplerdotcom/photos/a.317154781638645/5597592673594803/" xr:uid="{00000000-0004-0000-0000-000001040000}"/>
    <hyperlink ref="A516" r:id="rId1027" display="https://www.facebook.com/aldus.grey2" xr:uid="{00000000-0004-0000-0000-000002040000}"/>
    <hyperlink ref="I516" r:id="rId1028" display="https://www.facebook.com/rapplerdotcom/photos/a.317154781638645/5597592673594803/" xr:uid="{00000000-0004-0000-0000-000003040000}"/>
    <hyperlink ref="A517" r:id="rId1029" display="https://www.facebook.com/ivan.mercadoii" xr:uid="{00000000-0004-0000-0000-000004040000}"/>
    <hyperlink ref="I517" r:id="rId1030" display="https://www.facebook.com/rapplerdotcom/photos/a.317154781638645/5597592673594803/" xr:uid="{00000000-0004-0000-0000-000005040000}"/>
    <hyperlink ref="A518" r:id="rId1031" display="https://www.facebook.com/angelitoljaojr" xr:uid="{00000000-0004-0000-0000-000006040000}"/>
    <hyperlink ref="I518" r:id="rId1032" display="https://www.facebook.com/rapplerdotcom/photos/a.317154781638645/5597592673594803/" xr:uid="{00000000-0004-0000-0000-000007040000}"/>
    <hyperlink ref="A519" r:id="rId1033" display="https://www.facebook.com/profile.php?id=100052175882688" xr:uid="{00000000-0004-0000-0000-000008040000}"/>
    <hyperlink ref="I519" r:id="rId1034" display="https://www.facebook.com/rapplerdotcom/photos/a.317154781638645/5597592673594803/" xr:uid="{00000000-0004-0000-0000-000009040000}"/>
    <hyperlink ref="A520" r:id="rId1035" display="https://www.facebook.com/danielle.jacque.5" xr:uid="{00000000-0004-0000-0000-00000A040000}"/>
    <hyperlink ref="I520" r:id="rId1036" display="https://www.facebook.com/rapplerdotcom/photos/a.317154781638645/5597592673594803/" xr:uid="{00000000-0004-0000-0000-00000B040000}"/>
    <hyperlink ref="A521" r:id="rId1037" display="https://www.facebook.com/angelitoljaojr" xr:uid="{00000000-0004-0000-0000-00000C040000}"/>
    <hyperlink ref="I521" r:id="rId1038" display="https://www.facebook.com/rapplerdotcom/photos/a.317154781638645/5597592673594803/" xr:uid="{00000000-0004-0000-0000-00000D040000}"/>
    <hyperlink ref="A522" r:id="rId1039" display="https://www.facebook.com/danielle.jacque.5" xr:uid="{00000000-0004-0000-0000-00000E040000}"/>
    <hyperlink ref="I522" r:id="rId1040" display="https://www.facebook.com/rapplerdotcom/photos/a.317154781638645/5597592673594803/" xr:uid="{00000000-0004-0000-0000-00000F040000}"/>
    <hyperlink ref="A523" r:id="rId1041" display="https://www.facebook.com/angelitoljaojr" xr:uid="{00000000-0004-0000-0000-000010040000}"/>
    <hyperlink ref="I523" r:id="rId1042" display="https://www.facebook.com/rapplerdotcom/photos/a.317154781638645/5597592673594803/" xr:uid="{00000000-0004-0000-0000-000011040000}"/>
    <hyperlink ref="A524" r:id="rId1043" display="https://www.facebook.com/danielle.jacque.5" xr:uid="{00000000-0004-0000-0000-000012040000}"/>
    <hyperlink ref="I524" r:id="rId1044" display="https://www.facebook.com/rapplerdotcom/photos/a.317154781638645/5597592673594803/" xr:uid="{00000000-0004-0000-0000-000013040000}"/>
    <hyperlink ref="A525" r:id="rId1045" display="https://www.facebook.com/julia.seminio" xr:uid="{00000000-0004-0000-0000-000014040000}"/>
    <hyperlink ref="I525" r:id="rId1046" display="https://www.facebook.com/rapplerdotcom/posts/pfbid028Kg188FmebKa4aFvHZNp8zGTwjghWDDJuUmQ8agbSCvGAGJHZ7pBH9NmxLBmPZZdl" xr:uid="{00000000-0004-0000-0000-000015040000}"/>
    <hyperlink ref="A526" r:id="rId1047" display="https://www.facebook.com/profile.php?id=100011366202531" xr:uid="{00000000-0004-0000-0000-000016040000}"/>
    <hyperlink ref="I526" r:id="rId1048" display="https://www.facebook.com/rapplerdotcom/posts/pfbid028Kg188FmebKa4aFvHZNp8zGTwjghWDDJuUmQ8agbSCvGAGJHZ7pBH9NmxLBmPZZdl" xr:uid="{00000000-0004-0000-0000-000017040000}"/>
    <hyperlink ref="A527" r:id="rId1049" display="https://www.facebook.com/edna.morita" xr:uid="{00000000-0004-0000-0000-000018040000}"/>
    <hyperlink ref="I527" r:id="rId1050" display="https://www.facebook.com/rapplerdotcom/posts/pfbid028Kg188FmebKa4aFvHZNp8zGTwjghWDDJuUmQ8agbSCvGAGJHZ7pBH9NmxLBmPZZdl" xr:uid="{00000000-0004-0000-0000-000019040000}"/>
    <hyperlink ref="A528" r:id="rId1051" display="https://www.facebook.com/marc.sagad.1" xr:uid="{00000000-0004-0000-0000-00001A040000}"/>
    <hyperlink ref="I528" r:id="rId1052" display="https://www.facebook.com/rapplerdotcom/posts/pfbid028Kg188FmebKa4aFvHZNp8zGTwjghWDDJuUmQ8agbSCvGAGJHZ7pBH9NmxLBmPZZdl" xr:uid="{00000000-0004-0000-0000-00001B040000}"/>
    <hyperlink ref="A529" r:id="rId1053" display="https://www.facebook.com/molinoqueensrowlenikikosupporters" xr:uid="{00000000-0004-0000-0000-00001C040000}"/>
    <hyperlink ref="I529" r:id="rId1054" display="https://www.facebook.com/rapplerdotcom/posts/pfbid028Kg188FmebKa4aFvHZNp8zGTwjghWDDJuUmQ8agbSCvGAGJHZ7pBH9NmxLBmPZZdl" xr:uid="{00000000-0004-0000-0000-00001D040000}"/>
    <hyperlink ref="A530" r:id="rId1055" display="https://www.facebook.com/jening.martinez" xr:uid="{00000000-0004-0000-0000-00001E040000}"/>
    <hyperlink ref="I530" r:id="rId1056" display="https://www.facebook.com/rapplerdotcom/posts/pfbid028Kg188FmebKa4aFvHZNp8zGTwjghWDDJuUmQ8agbSCvGAGJHZ7pBH9NmxLBmPZZdl" xr:uid="{00000000-0004-0000-0000-00001F040000}"/>
    <hyperlink ref="A531" r:id="rId1057" display="https://www.facebook.com/danilomorales.dan" xr:uid="{00000000-0004-0000-0000-000020040000}"/>
    <hyperlink ref="I531" r:id="rId1058" display="https://www.facebook.com/rapplerdotcom/posts/pfbid028Kg188FmebKa4aFvHZNp8zGTwjghWDDJuUmQ8agbSCvGAGJHZ7pBH9NmxLBmPZZdl" xr:uid="{00000000-0004-0000-0000-000021040000}"/>
    <hyperlink ref="A532" r:id="rId1059" display="https://www.facebook.com/lou.vega.16" xr:uid="{00000000-0004-0000-0000-000022040000}"/>
    <hyperlink ref="I532" r:id="rId1060" display="https://www.facebook.com/rapplerdotcom/posts/pfbid028Kg188FmebKa4aFvHZNp8zGTwjghWDDJuUmQ8agbSCvGAGJHZ7pBH9NmxLBmPZZdl" xr:uid="{00000000-0004-0000-0000-000023040000}"/>
    <hyperlink ref="A533" r:id="rId1061" display="https://www.facebook.com/danilomorales.dan" xr:uid="{00000000-0004-0000-0000-000024040000}"/>
    <hyperlink ref="I533" r:id="rId1062" display="https://www.facebook.com/rapplerdotcom/posts/pfbid028Kg188FmebKa4aFvHZNp8zGTwjghWDDJuUmQ8agbSCvGAGJHZ7pBH9NmxLBmPZZdl" xr:uid="{00000000-0004-0000-0000-000025040000}"/>
    <hyperlink ref="A534" r:id="rId1063" display="https://www.facebook.com/noli.palmero" xr:uid="{00000000-0004-0000-0000-000026040000}"/>
    <hyperlink ref="I534" r:id="rId1064" display="https://www.facebook.com/rapplerdotcom/posts/pfbid028Kg188FmebKa4aFvHZNp8zGTwjghWDDJuUmQ8agbSCvGAGJHZ7pBH9NmxLBmPZZdl" xr:uid="{00000000-0004-0000-0000-000027040000}"/>
    <hyperlink ref="A535" r:id="rId1065" display="https://www.facebook.com/dionisio.salmorin" xr:uid="{00000000-0004-0000-0000-000028040000}"/>
    <hyperlink ref="I535" r:id="rId1066" display="https://www.facebook.com/rapplerdotcom/posts/pfbid028Kg188FmebKa4aFvHZNp8zGTwjghWDDJuUmQ8agbSCvGAGJHZ7pBH9NmxLBmPZZdl" xr:uid="{00000000-0004-0000-0000-000029040000}"/>
    <hyperlink ref="A536" r:id="rId1067" display="https://www.facebook.com/marissa.cadacio" xr:uid="{00000000-0004-0000-0000-00002A040000}"/>
    <hyperlink ref="I536" r:id="rId1068" display="https://www.facebook.com/rapplerdotcom/posts/pfbid028Kg188FmebKa4aFvHZNp8zGTwjghWDDJuUmQ8agbSCvGAGJHZ7pBH9NmxLBmPZZdl" xr:uid="{00000000-0004-0000-0000-00002B040000}"/>
    <hyperlink ref="A537" r:id="rId1069" display="https://www.facebook.com/chelle.alvarez.581" xr:uid="{00000000-0004-0000-0000-00002C040000}"/>
    <hyperlink ref="I537" r:id="rId1070" display="https://www.facebook.com/rapplerdotcom/posts/pfbid028Kg188FmebKa4aFvHZNp8zGTwjghWDDJuUmQ8agbSCvGAGJHZ7pBH9NmxLBmPZZdl" xr:uid="{00000000-0004-0000-0000-00002D040000}"/>
    <hyperlink ref="A538" r:id="rId1071" display="https://www.facebook.com/ed.tangarcia" xr:uid="{00000000-0004-0000-0000-00002E040000}"/>
    <hyperlink ref="I538" r:id="rId1072" display="https://www.facebook.com/rapplerdotcom/posts/pfbid028Kg188FmebKa4aFvHZNp8zGTwjghWDDJuUmQ8agbSCvGAGJHZ7pBH9NmxLBmPZZdl" xr:uid="{00000000-0004-0000-0000-00002F040000}"/>
    <hyperlink ref="A539" r:id="rId1073" display="https://www.facebook.com/ruben.mallari" xr:uid="{00000000-0004-0000-0000-000030040000}"/>
    <hyperlink ref="I539" r:id="rId1074" display="https://www.facebook.com/rapplerdotcom/posts/pfbid028Kg188FmebKa4aFvHZNp8zGTwjghWDDJuUmQ8agbSCvGAGJHZ7pBH9NmxLBmPZZdl" xr:uid="{00000000-0004-0000-0000-000031040000}"/>
    <hyperlink ref="A540" r:id="rId1075" display="https://www.facebook.com/eddie.llanora" xr:uid="{00000000-0004-0000-0000-000032040000}"/>
    <hyperlink ref="I540" r:id="rId1076" display="https://www.facebook.com/rapplerdotcom/posts/pfbid028Kg188FmebKa4aFvHZNp8zGTwjghWDDJuUmQ8agbSCvGAGJHZ7pBH9NmxLBmPZZdl" xr:uid="{00000000-0004-0000-0000-000033040000}"/>
    <hyperlink ref="A541" r:id="rId1077" display="https://www.facebook.com/elgar.veril" xr:uid="{00000000-0004-0000-0000-000034040000}"/>
    <hyperlink ref="I541" r:id="rId1078" display="https://www.facebook.com/rapplerdotcom/posts/pfbid028Kg188FmebKa4aFvHZNp8zGTwjghWDDJuUmQ8agbSCvGAGJHZ7pBH9NmxLBmPZZdl" xr:uid="{00000000-0004-0000-0000-000035040000}"/>
    <hyperlink ref="A542" r:id="rId1079" display="https://www.facebook.com/profile.php?id=100028593196825" xr:uid="{00000000-0004-0000-0000-000036040000}"/>
    <hyperlink ref="I542" r:id="rId1080" display="https://www.facebook.com/rapplerdotcom/posts/pfbid028Kg188FmebKa4aFvHZNp8zGTwjghWDDJuUmQ8agbSCvGAGJHZ7pBH9NmxLBmPZZdl" xr:uid="{00000000-0004-0000-0000-000037040000}"/>
    <hyperlink ref="A543" r:id="rId1081" display="https://www.facebook.com/einavanie" xr:uid="{00000000-0004-0000-0000-000038040000}"/>
    <hyperlink ref="I543" r:id="rId1082" display="https://www.facebook.com/rapplerdotcom/posts/pfbid028Kg188FmebKa4aFvHZNp8zGTwjghWDDJuUmQ8agbSCvGAGJHZ7pBH9NmxLBmPZZdl" xr:uid="{00000000-0004-0000-0000-000039040000}"/>
    <hyperlink ref="A544" r:id="rId1083" display="https://www.facebook.com/jhazy30" xr:uid="{00000000-0004-0000-0000-00003A040000}"/>
    <hyperlink ref="I544" r:id="rId1084" display="https://www.facebook.com/rapplerdotcom/posts/pfbid028Kg188FmebKa4aFvHZNp8zGTwjghWDDJuUmQ8agbSCvGAGJHZ7pBH9NmxLBmPZZdl" xr:uid="{00000000-0004-0000-0000-00003B040000}"/>
    <hyperlink ref="A545" r:id="rId1085" display="https://www.facebook.com/beng.decastro" xr:uid="{00000000-0004-0000-0000-00003C040000}"/>
    <hyperlink ref="I545" r:id="rId1086" display="https://www.facebook.com/rapplerdotcom/posts/pfbid028Kg188FmebKa4aFvHZNp8zGTwjghWDDJuUmQ8agbSCvGAGJHZ7pBH9NmxLBmPZZdl" xr:uid="{00000000-0004-0000-0000-00003D040000}"/>
    <hyperlink ref="A546" r:id="rId1087" display="https://www.facebook.com/beng.decastro" xr:uid="{00000000-0004-0000-0000-00003E040000}"/>
    <hyperlink ref="I546" r:id="rId1088" display="https://www.facebook.com/rapplerdotcom/posts/pfbid028Kg188FmebKa4aFvHZNp8zGTwjghWDDJuUmQ8agbSCvGAGJHZ7pBH9NmxLBmPZZdl" xr:uid="{00000000-0004-0000-0000-00003F040000}"/>
    <hyperlink ref="A547" r:id="rId1089" display="https://www.facebook.com/beng.decastro" xr:uid="{00000000-0004-0000-0000-000040040000}"/>
    <hyperlink ref="I547" r:id="rId1090" display="https://www.facebook.com/rapplerdotcom/posts/pfbid028Kg188FmebKa4aFvHZNp8zGTwjghWDDJuUmQ8agbSCvGAGJHZ7pBH9NmxLBmPZZdl" xr:uid="{00000000-0004-0000-0000-000041040000}"/>
    <hyperlink ref="A548" r:id="rId1091" display="https://www.facebook.com/beng.decastro" xr:uid="{00000000-0004-0000-0000-000042040000}"/>
    <hyperlink ref="I548" r:id="rId1092" display="https://www.facebook.com/rapplerdotcom/posts/pfbid028Kg188FmebKa4aFvHZNp8zGTwjghWDDJuUmQ8agbSCvGAGJHZ7pBH9NmxLBmPZZdl" xr:uid="{00000000-0004-0000-0000-000043040000}"/>
    <hyperlink ref="A549" r:id="rId1093" display="https://www.facebook.com/belen.palambiano" xr:uid="{00000000-0004-0000-0000-000044040000}"/>
    <hyperlink ref="I549" r:id="rId1094" display="https://www.facebook.com/rapplerdotcom/posts/pfbid028Kg188FmebKa4aFvHZNp8zGTwjghWDDJuUmQ8agbSCvGAGJHZ7pBH9NmxLBmPZZdl" xr:uid="{00000000-0004-0000-0000-000045040000}"/>
    <hyperlink ref="A550" r:id="rId1095" display="https://www.facebook.com/virginia.bongalosa" xr:uid="{00000000-0004-0000-0000-000046040000}"/>
    <hyperlink ref="I550" r:id="rId1096" display="https://www.facebook.com/rapplerdotcom/posts/pfbid028Kg188FmebKa4aFvHZNp8zGTwjghWDDJuUmQ8agbSCvGAGJHZ7pBH9NmxLBmPZZdl" xr:uid="{00000000-0004-0000-0000-000047040000}"/>
    <hyperlink ref="A551" r:id="rId1097" display="https://www.facebook.com/dulce.jainarmakinano" xr:uid="{00000000-0004-0000-0000-000048040000}"/>
    <hyperlink ref="I551" r:id="rId1098" display="https://www.facebook.com/rapplerdotcom/posts/pfbid028Kg188FmebKa4aFvHZNp8zGTwjghWDDJuUmQ8agbSCvGAGJHZ7pBH9NmxLBmPZZdl" xr:uid="{00000000-0004-0000-0000-000049040000}"/>
    <hyperlink ref="A552" r:id="rId1099" display="https://www.facebook.com/beng.decastro" xr:uid="{00000000-0004-0000-0000-00004A040000}"/>
    <hyperlink ref="I552" r:id="rId1100" display="https://www.facebook.com/rapplerdotcom/posts/pfbid028Kg188FmebKa4aFvHZNp8zGTwjghWDDJuUmQ8agbSCvGAGJHZ7pBH9NmxLBmPZZdl" xr:uid="{00000000-0004-0000-0000-00004B040000}"/>
    <hyperlink ref="A553" r:id="rId1101" display="https://www.facebook.com/beng.decastro" xr:uid="{00000000-0004-0000-0000-00004C040000}"/>
    <hyperlink ref="I553" r:id="rId1102" display="https://www.facebook.com/rapplerdotcom/posts/pfbid028Kg188FmebKa4aFvHZNp8zGTwjghWDDJuUmQ8agbSCvGAGJHZ7pBH9NmxLBmPZZdl" xr:uid="{00000000-0004-0000-0000-00004D040000}"/>
    <hyperlink ref="A554" r:id="rId1103" display="https://www.facebook.com/beng.decastro" xr:uid="{00000000-0004-0000-0000-00004E040000}"/>
    <hyperlink ref="I554" r:id="rId1104" display="https://www.facebook.com/rapplerdotcom/posts/pfbid028Kg188FmebKa4aFvHZNp8zGTwjghWDDJuUmQ8agbSCvGAGJHZ7pBH9NmxLBmPZZdl" xr:uid="{00000000-0004-0000-0000-00004F040000}"/>
    <hyperlink ref="A555" r:id="rId1105" display="https://www.facebook.com/mely.jamandre" xr:uid="{00000000-0004-0000-0000-000050040000}"/>
    <hyperlink ref="I555" r:id="rId1106" display="https://www.facebook.com/rapplerdotcom/posts/pfbid028Kg188FmebKa4aFvHZNp8zGTwjghWDDJuUmQ8agbSCvGAGJHZ7pBH9NmxLBmPZZdl" xr:uid="{00000000-0004-0000-0000-000051040000}"/>
    <hyperlink ref="A556" r:id="rId1107" display="https://www.facebook.com/profile.php?id=100019358329361" xr:uid="{00000000-0004-0000-0000-000052040000}"/>
    <hyperlink ref="I556" r:id="rId1108" display="https://www.facebook.com/rapplerdotcom/posts/pfbid028Kg188FmebKa4aFvHZNp8zGTwjghWDDJuUmQ8agbSCvGAGJHZ7pBH9NmxLBmPZZdl" xr:uid="{00000000-0004-0000-0000-000053040000}"/>
    <hyperlink ref="A557" r:id="rId1109" display="https://www.facebook.com/profile.php?id=100011366202531" xr:uid="{00000000-0004-0000-0000-000054040000}"/>
    <hyperlink ref="I557" r:id="rId1110" display="https://www.facebook.com/rapplerdotcom/posts/pfbid02dNgAR64VTtp94Rus4o9MNbU55E2H9Wp7KMKzJGkk6u4UxRyHU8j2pPpwa5iwGcD3l" xr:uid="{00000000-0004-0000-0000-000055040000}"/>
    <hyperlink ref="A558" r:id="rId1111" display="https://www.facebook.com/chariejhon.escalante" xr:uid="{00000000-0004-0000-0000-000056040000}"/>
    <hyperlink ref="I558" r:id="rId1112" display="https://www.facebook.com/rapplerdotcom/posts/pfbid02dNgAR64VTtp94Rus4o9MNbU55E2H9Wp7KMKzJGkk6u4UxRyHU8j2pPpwa5iwGcD3l" xr:uid="{00000000-0004-0000-0000-000057040000}"/>
    <hyperlink ref="A559" r:id="rId1113" display="https://www.facebook.com/ronmsalvador" xr:uid="{00000000-0004-0000-0000-000058040000}"/>
    <hyperlink ref="I559" r:id="rId1114" display="https://www.facebook.com/rapplerdotcom/posts/pfbid02dNgAR64VTtp94Rus4o9MNbU55E2H9Wp7KMKzJGkk6u4UxRyHU8j2pPpwa5iwGcD3l" xr:uid="{00000000-0004-0000-0000-000059040000}"/>
    <hyperlink ref="A560" r:id="rId1115" display="https://www.facebook.com/mariluz.deguzman" xr:uid="{00000000-0004-0000-0000-00005A040000}"/>
    <hyperlink ref="I560" r:id="rId1116" display="https://www.facebook.com/rapplerdotcom/posts/pfbid02dNgAR64VTtp94Rus4o9MNbU55E2H9Wp7KMKzJGkk6u4UxRyHU8j2pPpwa5iwGcD3l" xr:uid="{00000000-0004-0000-0000-00005B040000}"/>
    <hyperlink ref="A561" r:id="rId1117" display="https://www.facebook.com/rlduldulao" xr:uid="{00000000-0004-0000-0000-00005C040000}"/>
    <hyperlink ref="I561" r:id="rId1118" display="https://www.facebook.com/rapplerdotcom/posts/pfbid02dNgAR64VTtp94Rus4o9MNbU55E2H9Wp7KMKzJGkk6u4UxRyHU8j2pPpwa5iwGcD3l" xr:uid="{00000000-0004-0000-0000-00005D040000}"/>
    <hyperlink ref="A562" r:id="rId1119" display="https://www.facebook.com/ginalita67" xr:uid="{00000000-0004-0000-0000-00005E040000}"/>
    <hyperlink ref="I562" r:id="rId1120" display="https://www.facebook.com/rapplerdotcom/posts/pfbid02dNgAR64VTtp94Rus4o9MNbU55E2H9Wp7KMKzJGkk6u4UxRyHU8j2pPpwa5iwGcD3l" xr:uid="{00000000-0004-0000-0000-00005F040000}"/>
    <hyperlink ref="A563" r:id="rId1121" display="https://www.facebook.com/ronmsalvador" xr:uid="{00000000-0004-0000-0000-000060040000}"/>
    <hyperlink ref="I563" r:id="rId1122" display="https://www.facebook.com/rapplerdotcom/posts/pfbid02dNgAR64VTtp94Rus4o9MNbU55E2H9Wp7KMKzJGkk6u4UxRyHU8j2pPpwa5iwGcD3l" xr:uid="{00000000-0004-0000-0000-000061040000}"/>
    <hyperlink ref="A564" r:id="rId1123" display="https://www.facebook.com/marivibalanon0908" xr:uid="{00000000-0004-0000-0000-000062040000}"/>
    <hyperlink ref="I564" r:id="rId1124" display="https://www.facebook.com/rapplerdotcom/posts/pfbid02dNgAR64VTtp94Rus4o9MNbU55E2H9Wp7KMKzJGkk6u4UxRyHU8j2pPpwa5iwGcD3l" xr:uid="{00000000-0004-0000-0000-000063040000}"/>
    <hyperlink ref="A565" r:id="rId1125" display="https://www.facebook.com/melinda.aldueza" xr:uid="{00000000-0004-0000-0000-000064040000}"/>
    <hyperlink ref="I565" r:id="rId1126" display="https://www.facebook.com/rapplerdotcom/posts/pfbid02dNgAR64VTtp94Rus4o9MNbU55E2H9Wp7KMKzJGkk6u4UxRyHU8j2pPpwa5iwGcD3l" xr:uid="{00000000-0004-0000-0000-000065040000}"/>
    <hyperlink ref="A566" r:id="rId1127" display="https://www.facebook.com/dan.mendoza.5602" xr:uid="{00000000-0004-0000-0000-000066040000}"/>
    <hyperlink ref="I566" r:id="rId1128" display="https://www.facebook.com/rapplerdotcom/posts/pfbid02dNgAR64VTtp94Rus4o9MNbU55E2H9Wp7KMKzJGkk6u4UxRyHU8j2pPpwa5iwGcD3l" xr:uid="{00000000-0004-0000-0000-000067040000}"/>
    <hyperlink ref="A567" r:id="rId1129" display="https://www.facebook.com/j.aizen15" xr:uid="{00000000-0004-0000-0000-000068040000}"/>
    <hyperlink ref="I567" r:id="rId1130" display="https://www.facebook.com/rapplerdotcom/posts/pfbid02dNgAR64VTtp94Rus4o9MNbU55E2H9Wp7KMKzJGkk6u4UxRyHU8j2pPpwa5iwGcD3l" xr:uid="{00000000-0004-0000-0000-000069040000}"/>
    <hyperlink ref="A568" r:id="rId1131" display="https://www.facebook.com/bunny.orogan" xr:uid="{00000000-0004-0000-0000-00006A040000}"/>
    <hyperlink ref="I568" r:id="rId1132" display="https://www.facebook.com/rapplerdotcom/posts/pfbid02dNgAR64VTtp94Rus4o9MNbU55E2H9Wp7KMKzJGkk6u4UxRyHU8j2pPpwa5iwGcD3l" xr:uid="{00000000-0004-0000-0000-00006B040000}"/>
    <hyperlink ref="A569" r:id="rId1133" display="https://www.facebook.com/julie.quintela" xr:uid="{00000000-0004-0000-0000-00006C040000}"/>
    <hyperlink ref="I569" r:id="rId1134" display="https://www.facebook.com/rapplerdotcom/posts/pfbid02dNgAR64VTtp94Rus4o9MNbU55E2H9Wp7KMKzJGkk6u4UxRyHU8j2pPpwa5iwGcD3l" xr:uid="{00000000-0004-0000-0000-00006D040000}"/>
    <hyperlink ref="A570" r:id="rId1135" display="https://www.facebook.com/smileatmeliz" xr:uid="{00000000-0004-0000-0000-00006E040000}"/>
    <hyperlink ref="I570" r:id="rId1136" display="https://www.facebook.com/rapplerdotcom/posts/pfbid02dNgAR64VTtp94Rus4o9MNbU55E2H9Wp7KMKzJGkk6u4UxRyHU8j2pPpwa5iwGcD3l" xr:uid="{00000000-0004-0000-0000-00006F040000}"/>
    <hyperlink ref="A571" r:id="rId1137" display="https://www.facebook.com/ronmsalvador" xr:uid="{00000000-0004-0000-0000-000070040000}"/>
    <hyperlink ref="I571" r:id="rId1138" display="https://www.facebook.com/rapplerdotcom/posts/pfbid02dNgAR64VTtp94Rus4o9MNbU55E2H9Wp7KMKzJGkk6u4UxRyHU8j2pPpwa5iwGcD3l" xr:uid="{00000000-0004-0000-0000-000071040000}"/>
    <hyperlink ref="A572" r:id="rId1139" display="https://www.facebook.com/smileatmeliz" xr:uid="{00000000-0004-0000-0000-000072040000}"/>
    <hyperlink ref="I572" r:id="rId1140" display="https://www.facebook.com/rapplerdotcom/posts/pfbid02dNgAR64VTtp94Rus4o9MNbU55E2H9Wp7KMKzJGkk6u4UxRyHU8j2pPpwa5iwGcD3l" xr:uid="{00000000-0004-0000-0000-000073040000}"/>
    <hyperlink ref="A573" r:id="rId1141" display="https://www.facebook.com/ronmsalvador" xr:uid="{00000000-0004-0000-0000-000074040000}"/>
    <hyperlink ref="I573" r:id="rId1142" display="https://www.facebook.com/rapplerdotcom/posts/pfbid02dNgAR64VTtp94Rus4o9MNbU55E2H9Wp7KMKzJGkk6u4UxRyHU8j2pPpwa5iwGcD3l" xr:uid="{00000000-0004-0000-0000-000075040000}"/>
    <hyperlink ref="A574" r:id="rId1143" display="https://www.facebook.com/smileatmeliz" xr:uid="{00000000-0004-0000-0000-000076040000}"/>
    <hyperlink ref="I574" r:id="rId1144" display="https://www.facebook.com/rapplerdotcom/posts/pfbid02dNgAR64VTtp94Rus4o9MNbU55E2H9Wp7KMKzJGkk6u4UxRyHU8j2pPpwa5iwGcD3l" xr:uid="{00000000-0004-0000-0000-000077040000}"/>
    <hyperlink ref="A575" r:id="rId1145" display="https://www.facebook.com/jessel.pascua.1" xr:uid="{00000000-0004-0000-0000-000078040000}"/>
    <hyperlink ref="I575" r:id="rId1146" display="https://www.facebook.com/rapplerdotcom/posts/pfbid02dNgAR64VTtp94Rus4o9MNbU55E2H9Wp7KMKzJGkk6u4UxRyHU8j2pPpwa5iwGcD3l" xr:uid="{00000000-0004-0000-0000-000079040000}"/>
    <hyperlink ref="A576" r:id="rId1147" display="https://www.facebook.com/khaylifatakeru" xr:uid="{00000000-0004-0000-0000-00007A040000}"/>
    <hyperlink ref="I576" r:id="rId1148" display="https://www.facebook.com/rapplerdotcom/posts/pfbid02dNgAR64VTtp94Rus4o9MNbU55E2H9Wp7KMKzJGkk6u4UxRyHU8j2pPpwa5iwGcD3l" xr:uid="{00000000-0004-0000-0000-00007B040000}"/>
    <hyperlink ref="A577" r:id="rId1149" display="https://www.facebook.com/ronmsalvador" xr:uid="{00000000-0004-0000-0000-00007C040000}"/>
    <hyperlink ref="I577" r:id="rId1150" display="https://www.facebook.com/rapplerdotcom/posts/pfbid02dNgAR64VTtp94Rus4o9MNbU55E2H9Wp7KMKzJGkk6u4UxRyHU8j2pPpwa5iwGcD3l" xr:uid="{00000000-0004-0000-0000-00007D040000}"/>
    <hyperlink ref="A578" r:id="rId1151" display="https://www.facebook.com/mariatheresa.aguilar.35" xr:uid="{00000000-0004-0000-0000-00007E040000}"/>
    <hyperlink ref="I578" r:id="rId1152" display="https://www.facebook.com/rapplerdotcom/posts/pfbid02dNgAR64VTtp94Rus4o9MNbU55E2H9Wp7KMKzJGkk6u4UxRyHU8j2pPpwa5iwGcD3l" xr:uid="{00000000-0004-0000-0000-00007F040000}"/>
    <hyperlink ref="A579" r:id="rId1153" display="https://www.facebook.com/lovely.herrera1" xr:uid="{00000000-0004-0000-0000-000080040000}"/>
    <hyperlink ref="I579" r:id="rId1154" display="https://www.facebook.com/rapplerdotcom/posts/pfbid02dNgAR64VTtp94Rus4o9MNbU55E2H9Wp7KMKzJGkk6u4UxRyHU8j2pPpwa5iwGcD3l" xr:uid="{00000000-0004-0000-0000-000081040000}"/>
    <hyperlink ref="A580" r:id="rId1155" display="https://www.facebook.com/Soyiee25" xr:uid="{00000000-0004-0000-0000-000082040000}"/>
    <hyperlink ref="I580" r:id="rId1156" display="https://www.facebook.com/rapplerdotcom/posts/pfbid02dNgAR64VTtp94Rus4o9MNbU55E2H9Wp7KMKzJGkk6u4UxRyHU8j2pPpwa5iwGcD3l" xr:uid="{00000000-0004-0000-0000-000083040000}"/>
    <hyperlink ref="A581" r:id="rId1157" display="https://www.facebook.com/jansen.vitug.1" xr:uid="{00000000-0004-0000-0000-000084040000}"/>
    <hyperlink ref="I581" r:id="rId1158" display="https://www.facebook.com/rapplerdotcom/posts/pfbid02dNgAR64VTtp94Rus4o9MNbU55E2H9Wp7KMKzJGkk6u4UxRyHU8j2pPpwa5iwGcD3l" xr:uid="{00000000-0004-0000-0000-000085040000}"/>
    <hyperlink ref="A582" r:id="rId1159" display="https://www.facebook.com/ogie.fernandez.731" xr:uid="{00000000-0004-0000-0000-000086040000}"/>
    <hyperlink ref="I582" r:id="rId1160" display="https://www.facebook.com/rapplerdotcom/posts/pfbid02dNgAR64VTtp94Rus4o9MNbU55E2H9Wp7KMKzJGkk6u4UxRyHU8j2pPpwa5iwGcD3l" xr:uid="{00000000-0004-0000-0000-000087040000}"/>
    <hyperlink ref="A583" r:id="rId1161" display="https://www.facebook.com/edwin.redz.mangeron" xr:uid="{00000000-0004-0000-0000-000088040000}"/>
    <hyperlink ref="I583" r:id="rId1162" display="https://www.facebook.com/rapplerdotcom/posts/pfbid02dNgAR64VTtp94Rus4o9MNbU55E2H9Wp7KMKzJGkk6u4UxRyHU8j2pPpwa5iwGcD3l" xr:uid="{00000000-0004-0000-0000-000089040000}"/>
    <hyperlink ref="A584" r:id="rId1163" display="https://www.facebook.com/profile.php?id=100000527554200" xr:uid="{00000000-0004-0000-0000-00008A040000}"/>
    <hyperlink ref="I584" r:id="rId1164" display="https://www.facebook.com/rapplerdotcom/posts/pfbid02dNgAR64VTtp94Rus4o9MNbU55E2H9Wp7KMKzJGkk6u4UxRyHU8j2pPpwa5iwGcD3l" xr:uid="{00000000-0004-0000-0000-00008B040000}"/>
    <hyperlink ref="A585" r:id="rId1165" display="https://www.facebook.com/ronmsalvador" xr:uid="{00000000-0004-0000-0000-00008C040000}"/>
    <hyperlink ref="I585" r:id="rId1166" display="https://www.facebook.com/rapplerdotcom/posts/pfbid02dNgAR64VTtp94Rus4o9MNbU55E2H9Wp7KMKzJGkk6u4UxRyHU8j2pPpwa5iwGcD3l" xr:uid="{00000000-0004-0000-0000-00008D040000}"/>
    <hyperlink ref="A586" r:id="rId1167" display="https://www.facebook.com/profile.php?id=100008658065734" xr:uid="{00000000-0004-0000-0000-00008E040000}"/>
    <hyperlink ref="I586" r:id="rId1168" display="https://www.facebook.com/rapplerdotcom/posts/pfbid02dNgAR64VTtp94Rus4o9MNbU55E2H9Wp7KMKzJGkk6u4UxRyHU8j2pPpwa5iwGcD3l" xr:uid="{00000000-0004-0000-0000-00008F040000}"/>
    <hyperlink ref="A587" r:id="rId1169" display="https://www.facebook.com/jessel.pascua.1" xr:uid="{00000000-0004-0000-0000-000090040000}"/>
    <hyperlink ref="I587" r:id="rId1170" display="https://www.facebook.com/rapplerdotcom/posts/pfbid02dNgAR64VTtp94Rus4o9MNbU55E2H9Wp7KMKzJGkk6u4UxRyHU8j2pPpwa5iwGcD3l" xr:uid="{00000000-0004-0000-0000-000091040000}"/>
    <hyperlink ref="A588" r:id="rId1171" display="https://www.facebook.com/maico.lopez.3517" xr:uid="{00000000-0004-0000-0000-000092040000}"/>
    <hyperlink ref="I588" r:id="rId1172" display="https://www.facebook.com/rapplerdotcom/posts/pfbid02dNgAR64VTtp94Rus4o9MNbU55E2H9Wp7KMKzJGkk6u4UxRyHU8j2pPpwa5iwGcD3l" xr:uid="{00000000-0004-0000-0000-000093040000}"/>
    <hyperlink ref="A589" r:id="rId1173" display="https://www.facebook.com/venusemano.go.1" xr:uid="{00000000-0004-0000-0000-000094040000}"/>
    <hyperlink ref="I589" r:id="rId1174" display="https://www.facebook.com/rapplerdotcom/posts/pfbid02dNgAR64VTtp94Rus4o9MNbU55E2H9Wp7KMKzJGkk6u4UxRyHU8j2pPpwa5iwGcD3l" xr:uid="{00000000-0004-0000-0000-000095040000}"/>
    <hyperlink ref="A590" r:id="rId1175" display="https://www.facebook.com/marializa.ko" xr:uid="{00000000-0004-0000-0000-000096040000}"/>
    <hyperlink ref="I590" r:id="rId1176" display="https://www.facebook.com/rapplerdotcom/posts/pfbid02dNgAR64VTtp94Rus4o9MNbU55E2H9Wp7KMKzJGkk6u4UxRyHU8j2pPpwa5iwGcD3l" xr:uid="{00000000-0004-0000-0000-000097040000}"/>
    <hyperlink ref="A591" r:id="rId1177" display="https://www.facebook.com/makatoldrrmo" xr:uid="{00000000-0004-0000-0000-000098040000}"/>
    <hyperlink ref="I591" r:id="rId1178" display="https://www.facebook.com/rapplerdotcom/posts/pfbid02dNgAR64VTtp94Rus4o9MNbU55E2H9Wp7KMKzJGkk6u4UxRyHU8j2pPpwa5iwGcD3l" xr:uid="{00000000-0004-0000-0000-000099040000}"/>
    <hyperlink ref="A592" r:id="rId1179" display="https://www.facebook.com/paye.dionisio" xr:uid="{00000000-0004-0000-0000-00009A040000}"/>
    <hyperlink ref="I592" r:id="rId1180" display="https://www.facebook.com/rapplerdotcom/posts/pfbid02dNgAR64VTtp94Rus4o9MNbU55E2H9Wp7KMKzJGkk6u4UxRyHU8j2pPpwa5iwGcD3l" xr:uid="{00000000-0004-0000-0000-00009B040000}"/>
    <hyperlink ref="A593" r:id="rId1181" display="https://www.facebook.com/rosalia.calmaibanez" xr:uid="{00000000-0004-0000-0000-00009C040000}"/>
    <hyperlink ref="I593" r:id="rId1182" display="https://www.facebook.com/rapplerdotcom/posts/pfbid02dNgAR64VTtp94Rus4o9MNbU55E2H9Wp7KMKzJGkk6u4UxRyHU8j2pPpwa5iwGcD3l" xr:uid="{00000000-0004-0000-0000-00009D040000}"/>
    <hyperlink ref="A594" r:id="rId1183" display="https://www.facebook.com/lyn.cobajada" xr:uid="{00000000-0004-0000-0000-00009E040000}"/>
    <hyperlink ref="I594" r:id="rId1184" display="https://www.facebook.com/rapplerdotcom/posts/pfbid02dNgAR64VTtp94Rus4o9MNbU55E2H9Wp7KMKzJGkk6u4UxRyHU8j2pPpwa5iwGcD3l" xr:uid="{00000000-0004-0000-0000-00009F040000}"/>
    <hyperlink ref="A595" r:id="rId1185" display="https://www.facebook.com/claude.garcia.161" xr:uid="{00000000-0004-0000-0000-0000A0040000}"/>
    <hyperlink ref="I595" r:id="rId1186" display="https://www.facebook.com/rapplerdotcom/posts/pfbid02dNgAR64VTtp94Rus4o9MNbU55E2H9Wp7KMKzJGkk6u4UxRyHU8j2pPpwa5iwGcD3l" xr:uid="{00000000-0004-0000-0000-0000A1040000}"/>
    <hyperlink ref="A596" r:id="rId1187" display="https://www.facebook.com/steve.tamayo.18" xr:uid="{00000000-0004-0000-0000-0000A2040000}"/>
    <hyperlink ref="I596" r:id="rId1188" display="https://www.facebook.com/rapplerdotcom/posts/pfbid023goEfA6e1ABSWYJFy8fQ5LFWDv4QTSTmAfzySGtMSpy12iqywB2MUZjiZ8GjCxrGl" xr:uid="{00000000-0004-0000-0000-0000A3040000}"/>
    <hyperlink ref="A597" r:id="rId1189" display="https://www.facebook.com/johndiazcortez" xr:uid="{00000000-0004-0000-0000-0000A4040000}"/>
    <hyperlink ref="I597" r:id="rId1190" display="https://www.facebook.com/rapplerdotcom/posts/pfbid023goEfA6e1ABSWYJFy8fQ5LFWDv4QTSTmAfzySGtMSpy12iqywB2MUZjiZ8GjCxrGl" xr:uid="{00000000-0004-0000-0000-0000A5040000}"/>
    <hyperlink ref="A598" r:id="rId1191" display="https://www.facebook.com/flor.caimen" xr:uid="{00000000-0004-0000-0000-0000A6040000}"/>
    <hyperlink ref="I598" r:id="rId1192" display="https://www.facebook.com/rapplerdotcom/posts/pfbid023goEfA6e1ABSWYJFy8fQ5LFWDv4QTSTmAfzySGtMSpy12iqywB2MUZjiZ8GjCxrGl" xr:uid="{00000000-0004-0000-0000-0000A7040000}"/>
    <hyperlink ref="A599" r:id="rId1193" display="https://www.facebook.com/gmanalotoco" xr:uid="{00000000-0004-0000-0000-0000A8040000}"/>
    <hyperlink ref="I599" r:id="rId1194" display="https://www.facebook.com/rapplerdotcom/posts/pfbid023goEfA6e1ABSWYJFy8fQ5LFWDv4QTSTmAfzySGtMSpy12iqywB2MUZjiZ8GjCxrGl" xr:uid="{00000000-0004-0000-0000-0000A9040000}"/>
    <hyperlink ref="A600" r:id="rId1195" display="https://www.facebook.com/undress.bonifacio.100" xr:uid="{00000000-0004-0000-0000-0000AA040000}"/>
    <hyperlink ref="I600" r:id="rId1196" display="https://www.facebook.com/rapplerdotcom/posts/pfbid023goEfA6e1ABSWYJFy8fQ5LFWDv4QTSTmAfzySGtMSpy12iqywB2MUZjiZ8GjCxrGl" xr:uid="{00000000-0004-0000-0000-0000AB040000}"/>
    <hyperlink ref="A601" r:id="rId1197" display="https://www.facebook.com/pepe.ledesma.7140" xr:uid="{00000000-0004-0000-0000-0000AC040000}"/>
    <hyperlink ref="I601" r:id="rId1198" display="https://www.facebook.com/rapplerdotcom/posts/pfbid023goEfA6e1ABSWYJFy8fQ5LFWDv4QTSTmAfzySGtMSpy12iqywB2MUZjiZ8GjCxrGl" xr:uid="{00000000-0004-0000-0000-0000AD040000}"/>
    <hyperlink ref="A602" r:id="rId1199" display="https://www.facebook.com/lilzdangazolituanas.cabagnot" xr:uid="{00000000-0004-0000-0000-0000AE040000}"/>
    <hyperlink ref="I602" r:id="rId1200" display="https://www.facebook.com/rapplerdotcom/posts/pfbid023goEfA6e1ABSWYJFy8fQ5LFWDv4QTSTmAfzySGtMSpy12iqywB2MUZjiZ8GjCxrGl" xr:uid="{00000000-0004-0000-0000-0000AF040000}"/>
    <hyperlink ref="A603" r:id="rId1201" display="https://www.facebook.com/lina.adlao.cayong" xr:uid="{00000000-0004-0000-0000-0000B0040000}"/>
    <hyperlink ref="I603" r:id="rId1202" display="https://www.facebook.com/rapplerdotcom/posts/pfbid023goEfA6e1ABSWYJFy8fQ5LFWDv4QTSTmAfzySGtMSpy12iqywB2MUZjiZ8GjCxrGl" xr:uid="{00000000-0004-0000-0000-0000B1040000}"/>
    <hyperlink ref="A604" r:id="rId1203" display="https://www.facebook.com/natie.pelayo" xr:uid="{00000000-0004-0000-0000-0000B2040000}"/>
    <hyperlink ref="I604" r:id="rId1204" display="https://www.facebook.com/rapplerdotcom/posts/pfbid023goEfA6e1ABSWYJFy8fQ5LFWDv4QTSTmAfzySGtMSpy12iqywB2MUZjiZ8GjCxrGl" xr:uid="{00000000-0004-0000-0000-0000B3040000}"/>
    <hyperlink ref="A605" r:id="rId1205" display="https://www.facebook.com/mean.agustin" xr:uid="{00000000-0004-0000-0000-0000B4040000}"/>
    <hyperlink ref="I605" r:id="rId1206" display="https://www.facebook.com/rapplerdotcom/posts/pfbid023goEfA6e1ABSWYJFy8fQ5LFWDv4QTSTmAfzySGtMSpy12iqywB2MUZjiZ8GjCxrGl" xr:uid="{00000000-0004-0000-0000-0000B5040000}"/>
    <hyperlink ref="A606" r:id="rId1207" display="https://www.facebook.com/profile.php?id=100077721303949" xr:uid="{00000000-0004-0000-0000-0000B6040000}"/>
    <hyperlink ref="I606" r:id="rId1208" display="https://www.facebook.com/rapplerdotcom/posts/pfbid023goEfA6e1ABSWYJFy8fQ5LFWDv4QTSTmAfzySGtMSpy12iqywB2MUZjiZ8GjCxrGl" xr:uid="{00000000-0004-0000-0000-0000B7040000}"/>
    <hyperlink ref="A607" r:id="rId1209" display="https://www.facebook.com/nimfa.p.delrosario" xr:uid="{00000000-0004-0000-0000-0000B8040000}"/>
    <hyperlink ref="I607" r:id="rId1210" display="https://www.facebook.com/rapplerdotcom/posts/pfbid023goEfA6e1ABSWYJFy8fQ5LFWDv4QTSTmAfzySGtMSpy12iqywB2MUZjiZ8GjCxrGl" xr:uid="{00000000-0004-0000-0000-0000B9040000}"/>
    <hyperlink ref="A608" r:id="rId1211" display="https://www.facebook.com/rizacastro" xr:uid="{00000000-0004-0000-0000-0000BA040000}"/>
    <hyperlink ref="I608" r:id="rId1212" display="https://www.facebook.com/rapplerdotcom/posts/pfbid023goEfA6e1ABSWYJFy8fQ5LFWDv4QTSTmAfzySGtMSpy12iqywB2MUZjiZ8GjCxrGl" xr:uid="{00000000-0004-0000-0000-0000BB040000}"/>
    <hyperlink ref="A609" r:id="rId1213" display="https://www.facebook.com/richard.abary" xr:uid="{00000000-0004-0000-0000-0000BC040000}"/>
    <hyperlink ref="I609" r:id="rId1214" display="https://www.facebook.com/rapplerdotcom/posts/pfbid023goEfA6e1ABSWYJFy8fQ5LFWDv4QTSTmAfzySGtMSpy12iqywB2MUZjiZ8GjCxrGl" xr:uid="{00000000-0004-0000-0000-0000BD040000}"/>
    <hyperlink ref="A610" r:id="rId1215" display="https://www.facebook.com/alicia.arcales" xr:uid="{00000000-0004-0000-0000-0000BE040000}"/>
    <hyperlink ref="I610" r:id="rId1216" display="https://www.facebook.com/rapplerdotcom/posts/pfbid023goEfA6e1ABSWYJFy8fQ5LFWDv4QTSTmAfzySGtMSpy12iqywB2MUZjiZ8GjCxrGl" xr:uid="{00000000-0004-0000-0000-0000BF040000}"/>
    <hyperlink ref="A611" r:id="rId1217" display="https://www.facebook.com/imee.francia" xr:uid="{00000000-0004-0000-0000-0000C0040000}"/>
    <hyperlink ref="I611" r:id="rId1218" display="https://www.facebook.com/rapplerdotcom/posts/pfbid023goEfA6e1ABSWYJFy8fQ5LFWDv4QTSTmAfzySGtMSpy12iqywB2MUZjiZ8GjCxrGl" xr:uid="{00000000-0004-0000-0000-0000C1040000}"/>
    <hyperlink ref="A612" r:id="rId1219" display="https://www.facebook.com/profile.php?id=100077271243894" xr:uid="{00000000-0004-0000-0000-0000C2040000}"/>
    <hyperlink ref="I612" r:id="rId1220" display="https://www.facebook.com/rapplerdotcom/posts/pfbid023goEfA6e1ABSWYJFy8fQ5LFWDv4QTSTmAfzySGtMSpy12iqywB2MUZjiZ8GjCxrGl" xr:uid="{00000000-0004-0000-0000-0000C3040000}"/>
    <hyperlink ref="A613" r:id="rId1221" display="https://www.facebook.com/junafel.garin" xr:uid="{00000000-0004-0000-0000-0000C4040000}"/>
    <hyperlink ref="I613" r:id="rId1222" display="https://www.facebook.com/rapplerdotcom/posts/pfbid023goEfA6e1ABSWYJFy8fQ5LFWDv4QTSTmAfzySGtMSpy12iqywB2MUZjiZ8GjCxrGl" xr:uid="{00000000-0004-0000-0000-0000C5040000}"/>
    <hyperlink ref="A614" r:id="rId1223" display="https://www.facebook.com/pamela.plamenco" xr:uid="{00000000-0004-0000-0000-0000C6040000}"/>
    <hyperlink ref="I614" r:id="rId1224" display="https://www.facebook.com/rapplerdotcom/posts/pfbid023goEfA6e1ABSWYJFy8fQ5LFWDv4QTSTmAfzySGtMSpy12iqywB2MUZjiZ8GjCxrGl" xr:uid="{00000000-0004-0000-0000-0000C7040000}"/>
    <hyperlink ref="A615" r:id="rId1225" display="https://www.facebook.com/julio.quian" xr:uid="{00000000-0004-0000-0000-0000C8040000}"/>
    <hyperlink ref="I615" r:id="rId1226" display="https://www.facebook.com/rapplerdotcom/posts/pfbid023goEfA6e1ABSWYJFy8fQ5LFWDv4QTSTmAfzySGtMSpy12iqywB2MUZjiZ8GjCxrGl" xr:uid="{00000000-0004-0000-0000-0000C9040000}"/>
    <hyperlink ref="A616" r:id="rId1227" display="https://www.facebook.com/cecilia.rebong" xr:uid="{00000000-0004-0000-0000-0000CA040000}"/>
    <hyperlink ref="I616" r:id="rId1228" display="https://www.facebook.com/rapplerdotcom/posts/pfbid023goEfA6e1ABSWYJFy8fQ5LFWDv4QTSTmAfzySGtMSpy12iqywB2MUZjiZ8GjCxrGl" xr:uid="{00000000-0004-0000-0000-0000CB040000}"/>
    <hyperlink ref="A617" r:id="rId1229" display="https://www.facebook.com/marilen.estaniel" xr:uid="{00000000-0004-0000-0000-0000CC040000}"/>
    <hyperlink ref="I617" r:id="rId1230" display="https://www.facebook.com/rapplerdotcom/posts/pfbid023goEfA6e1ABSWYJFy8fQ5LFWDv4QTSTmAfzySGtMSpy12iqywB2MUZjiZ8GjCxrGl" xr:uid="{00000000-0004-0000-0000-0000CD040000}"/>
    <hyperlink ref="A618" r:id="rId1231" display="https://www.facebook.com/lanie.luna.52" xr:uid="{00000000-0004-0000-0000-0000CE040000}"/>
    <hyperlink ref="I618" r:id="rId1232" display="https://www.facebook.com/rapplerdotcom/posts/pfbid023goEfA6e1ABSWYJFy8fQ5LFWDv4QTSTmAfzySGtMSpy12iqywB2MUZjiZ8GjCxrGl" xr:uid="{00000000-0004-0000-0000-0000CF040000}"/>
    <hyperlink ref="A619" r:id="rId1233" display="https://www.facebook.com/patrick.bagaan.9" xr:uid="{00000000-0004-0000-0000-0000D0040000}"/>
    <hyperlink ref="I619" r:id="rId1234" display="https://www.facebook.com/rapplerdotcom/posts/pfbid023goEfA6e1ABSWYJFy8fQ5LFWDv4QTSTmAfzySGtMSpy12iqywB2MUZjiZ8GjCxrGl" xr:uid="{00000000-0004-0000-0000-0000D1040000}"/>
    <hyperlink ref="A620" r:id="rId1235" display="https://www.facebook.com/raks.vppablo" xr:uid="{00000000-0004-0000-0000-0000D2040000}"/>
    <hyperlink ref="I620" r:id="rId1236" display="https://www.facebook.com/rapplerdotcom/posts/pfbid023goEfA6e1ABSWYJFy8fQ5LFWDv4QTSTmAfzySGtMSpy12iqywB2MUZjiZ8GjCxrGl" xr:uid="{00000000-0004-0000-0000-0000D3040000}"/>
    <hyperlink ref="A621" r:id="rId1237" display="https://www.facebook.com/jasper.castrence.1" xr:uid="{00000000-0004-0000-0000-0000D4040000}"/>
    <hyperlink ref="I621" r:id="rId1238" display="https://www.facebook.com/rapplerdotcom/posts/pfbid023goEfA6e1ABSWYJFy8fQ5LFWDv4QTSTmAfzySGtMSpy12iqywB2MUZjiZ8GjCxrGl" xr:uid="{00000000-0004-0000-0000-0000D5040000}"/>
    <hyperlink ref="A622" r:id="rId1239" display="https://www.facebook.com/profile.php?id=100075281044190" xr:uid="{00000000-0004-0000-0000-0000D6040000}"/>
    <hyperlink ref="I622" r:id="rId1240" display="https://www.facebook.com/rapplerdotcom/posts/pfbid023goEfA6e1ABSWYJFy8fQ5LFWDv4QTSTmAfzySGtMSpy12iqywB2MUZjiZ8GjCxrGl" xr:uid="{00000000-0004-0000-0000-0000D7040000}"/>
    <hyperlink ref="A623" r:id="rId1241" display="https://www.facebook.com/jasper.castrence.1" xr:uid="{00000000-0004-0000-0000-0000D8040000}"/>
    <hyperlink ref="I623" r:id="rId1242" display="https://www.facebook.com/rapplerdotcom/posts/pfbid023goEfA6e1ABSWYJFy8fQ5LFWDv4QTSTmAfzySGtMSpy12iqywB2MUZjiZ8GjCxrGl" xr:uid="{00000000-0004-0000-0000-0000D9040000}"/>
    <hyperlink ref="A624" r:id="rId1243" display="https://www.facebook.com/rey.santos.1426876" xr:uid="{00000000-0004-0000-0000-0000DA040000}"/>
    <hyperlink ref="I624" r:id="rId1244" display="https://www.facebook.com/rapplerdotcom/posts/pfbid023goEfA6e1ABSWYJFy8fQ5LFWDv4QTSTmAfzySGtMSpy12iqywB2MUZjiZ8GjCxrGl" xr:uid="{00000000-0004-0000-0000-0000DB040000}"/>
    <hyperlink ref="A625" r:id="rId1245" display="https://www.facebook.com/profile.php?id=100059634552488" xr:uid="{00000000-0004-0000-0000-0000DC040000}"/>
    <hyperlink ref="I625" r:id="rId1246" display="https://www.facebook.com/rapplerdotcom/posts/pfbid023goEfA6e1ABSWYJFy8fQ5LFWDv4QTSTmAfzySGtMSpy12iqywB2MUZjiZ8GjCxrGl" xr:uid="{00000000-0004-0000-0000-0000DD040000}"/>
    <hyperlink ref="A626" r:id="rId1247" display="https://www.facebook.com/rey.santos.1426876" xr:uid="{00000000-0004-0000-0000-0000DE040000}"/>
    <hyperlink ref="I626" r:id="rId1248" display="https://www.facebook.com/rapplerdotcom/posts/pfbid023goEfA6e1ABSWYJFy8fQ5LFWDv4QTSTmAfzySGtMSpy12iqywB2MUZjiZ8GjCxrGl" xr:uid="{00000000-0004-0000-0000-0000DF040000}"/>
    <hyperlink ref="A627" r:id="rId1249" display="https://www.facebook.com/ronniel.deramos" xr:uid="{00000000-0004-0000-0000-0000E0040000}"/>
    <hyperlink ref="I627" r:id="rId1250" display="https://www.facebook.com/rapplerdotcom/posts/pfbid023goEfA6e1ABSWYJFy8fQ5LFWDv4QTSTmAfzySGtMSpy12iqywB2MUZjiZ8GjCxrGl" xr:uid="{00000000-0004-0000-0000-0000E1040000}"/>
    <hyperlink ref="A628" r:id="rId1251" display="https://www.facebook.com/jo.talisaysay" xr:uid="{00000000-0004-0000-0000-0000E2040000}"/>
    <hyperlink ref="I628" r:id="rId1252" display="https://www.facebook.com/rapplerdotcom/posts/pfbid023goEfA6e1ABSWYJFy8fQ5LFWDv4QTSTmAfzySGtMSpy12iqywB2MUZjiZ8GjCxrGl" xr:uid="{00000000-0004-0000-0000-0000E3040000}"/>
    <hyperlink ref="A629" r:id="rId1253" display="https://www.facebook.com/Desha.Glorioso" xr:uid="{00000000-0004-0000-0000-0000E4040000}"/>
    <hyperlink ref="I629" r:id="rId1254" display="https://www.facebook.com/rapplerdotcom/posts/pfbid023goEfA6e1ABSWYJFy8fQ5LFWDv4QTSTmAfzySGtMSpy12iqywB2MUZjiZ8GjCxrGl" xr:uid="{00000000-0004-0000-0000-0000E5040000}"/>
    <hyperlink ref="A630" r:id="rId1255" display="https://www.facebook.com/ronniel.deramos" xr:uid="{00000000-0004-0000-0000-0000E6040000}"/>
    <hyperlink ref="I630" r:id="rId1256" display="https://www.facebook.com/rapplerdotcom/posts/pfbid023goEfA6e1ABSWYJFy8fQ5LFWDv4QTSTmAfzySGtMSpy12iqywB2MUZjiZ8GjCxrGl" xr:uid="{00000000-0004-0000-0000-0000E7040000}"/>
    <hyperlink ref="A631" r:id="rId1257" display="https://www.facebook.com/buenaventura.romy" xr:uid="{00000000-0004-0000-0000-0000E8040000}"/>
    <hyperlink ref="I631" r:id="rId1258" display="https://www.facebook.com/rapplerdotcom/posts/pfbid023goEfA6e1ABSWYJFy8fQ5LFWDv4QTSTmAfzySGtMSpy12iqywB2MUZjiZ8GjCxrGl" xr:uid="{00000000-0004-0000-0000-0000E9040000}"/>
    <hyperlink ref="A632" r:id="rId1259" display="https://www.facebook.com/renz.jimenez.1048" xr:uid="{00000000-0004-0000-0000-0000EA040000}"/>
    <hyperlink ref="I632" r:id="rId1260" display="https://www.facebook.com/rapplerdotcom/posts/pfbid023goEfA6e1ABSWYJFy8fQ5LFWDv4QTSTmAfzySGtMSpy12iqywB2MUZjiZ8GjCxrGl" xr:uid="{00000000-0004-0000-0000-0000EB040000}"/>
    <hyperlink ref="A633" r:id="rId1261" display="https://www.facebook.com/profile.php?id=100075281044190" xr:uid="{00000000-0004-0000-0000-0000EC040000}"/>
    <hyperlink ref="I633" r:id="rId1262" display="https://www.facebook.com/rapplerdotcom/posts/pfbid023goEfA6e1ABSWYJFy8fQ5LFWDv4QTSTmAfzySGtMSpy12iqywB2MUZjiZ8GjCxrGl" xr:uid="{00000000-0004-0000-0000-0000ED040000}"/>
    <hyperlink ref="A634" r:id="rId1263" display="https://www.facebook.com/rey.santos.1426876" xr:uid="{00000000-0004-0000-0000-0000EE040000}"/>
    <hyperlink ref="I634" r:id="rId1264" display="https://www.facebook.com/rapplerdotcom/posts/pfbid023goEfA6e1ABSWYJFy8fQ5LFWDv4QTSTmAfzySGtMSpy12iqywB2MUZjiZ8GjCxrGl" xr:uid="{00000000-0004-0000-0000-0000EF040000}"/>
    <hyperlink ref="A635" r:id="rId1265" display="https://www.facebook.com/profile.php?id=100075281044190" xr:uid="{00000000-0004-0000-0000-0000F0040000}"/>
    <hyperlink ref="I635" r:id="rId1266" display="https://www.facebook.com/rapplerdotcom/posts/pfbid023goEfA6e1ABSWYJFy8fQ5LFWDv4QTSTmAfzySGtMSpy12iqywB2MUZjiZ8GjCxrGl" xr:uid="{00000000-0004-0000-0000-0000F1040000}"/>
    <hyperlink ref="A636" r:id="rId1267" display="https://www.facebook.com/michael.elarmo.35" xr:uid="{00000000-0004-0000-0000-0000F2040000}"/>
    <hyperlink ref="I636" r:id="rId1268" display="https://www.facebook.com/rapplerdotcom/posts/pfbid023goEfA6e1ABSWYJFy8fQ5LFWDv4QTSTmAfzySGtMSpy12iqywB2MUZjiZ8GjCxrGl" xr:uid="{00000000-0004-0000-0000-0000F3040000}"/>
    <hyperlink ref="A637" r:id="rId1269" display="https://www.facebook.com/cat.carrot.50" xr:uid="{00000000-0004-0000-0000-0000F4040000}"/>
    <hyperlink ref="I637" r:id="rId1270" display="https://www.facebook.com/rapplerdotcom/posts/pfbid023goEfA6e1ABSWYJFy8fQ5LFWDv4QTSTmAfzySGtMSpy12iqywB2MUZjiZ8GjCxrGl" xr:uid="{00000000-0004-0000-0000-0000F5040000}"/>
    <hyperlink ref="A638" r:id="rId1271" display="https://www.facebook.com/rey.santos.1426876" xr:uid="{00000000-0004-0000-0000-0000F6040000}"/>
    <hyperlink ref="I638" r:id="rId1272" display="https://www.facebook.com/rapplerdotcom/posts/pfbid023goEfA6e1ABSWYJFy8fQ5LFWDv4QTSTmAfzySGtMSpy12iqywB2MUZjiZ8GjCxrGl" xr:uid="{00000000-0004-0000-0000-0000F7040000}"/>
    <hyperlink ref="A639" r:id="rId1273" display="https://www.facebook.com/ADATL02" xr:uid="{00000000-0004-0000-0000-0000F8040000}"/>
    <hyperlink ref="I639" r:id="rId1274" display="https://www.facebook.com/rapplerdotcom/posts/pfbid023goEfA6e1ABSWYJFy8fQ5LFWDv4QTSTmAfzySGtMSpy12iqywB2MUZjiZ8GjCxrGl" xr:uid="{00000000-0004-0000-0000-0000F9040000}"/>
    <hyperlink ref="A640" r:id="rId1275" display="https://www.facebook.com/xhianglee" xr:uid="{00000000-0004-0000-0000-0000FA040000}"/>
    <hyperlink ref="I640" r:id="rId1276" display="https://www.facebook.com/rapplerdotcom/posts/pfbid023goEfA6e1ABSWYJFy8fQ5LFWDv4QTSTmAfzySGtMSpy12iqywB2MUZjiZ8GjCxrGl" xr:uid="{00000000-0004-0000-0000-0000FB040000}"/>
    <hyperlink ref="A641" r:id="rId1277" display="https://www.facebook.com/ADATL02" xr:uid="{00000000-0004-0000-0000-0000FC040000}"/>
    <hyperlink ref="I641" r:id="rId1278" display="https://www.facebook.com/rapplerdotcom/posts/pfbid023goEfA6e1ABSWYJFy8fQ5LFWDv4QTSTmAfzySGtMSpy12iqywB2MUZjiZ8GjCxrGl" xr:uid="{00000000-0004-0000-0000-0000FD040000}"/>
    <hyperlink ref="A642" r:id="rId1279" display="https://www.facebook.com/fatiph.rack" xr:uid="{00000000-0004-0000-0000-0000FE040000}"/>
    <hyperlink ref="I642" r:id="rId1280" display="https://www.facebook.com/rapplerdotcom/posts/pfbid023goEfA6e1ABSWYJFy8fQ5LFWDv4QTSTmAfzySGtMSpy12iqywB2MUZjiZ8GjCxrGl" xr:uid="{00000000-0004-0000-0000-0000FF040000}"/>
    <hyperlink ref="A643" r:id="rId1281" display="https://www.facebook.com/ADATL02" xr:uid="{00000000-0004-0000-0000-000000050000}"/>
    <hyperlink ref="I643" r:id="rId1282" display="https://www.facebook.com/rapplerdotcom/posts/pfbid023goEfA6e1ABSWYJFy8fQ5LFWDv4QTSTmAfzySGtMSpy12iqywB2MUZjiZ8GjCxrGl" xr:uid="{00000000-0004-0000-0000-000001050000}"/>
    <hyperlink ref="A644" r:id="rId1283" display="https://www.facebook.com/MrAndMrs.AlRenchie.Jumat" xr:uid="{00000000-0004-0000-0000-000002050000}"/>
    <hyperlink ref="I644" r:id="rId1284" display="https://www.facebook.com/rapplerdotcom/posts/pfbid023goEfA6e1ABSWYJFy8fQ5LFWDv4QTSTmAfzySGtMSpy12iqywB2MUZjiZ8GjCxrGl" xr:uid="{00000000-0004-0000-0000-000003050000}"/>
    <hyperlink ref="A645" r:id="rId1285" display="https://www.facebook.com/ADATL02" xr:uid="{00000000-0004-0000-0000-000004050000}"/>
    <hyperlink ref="I645" r:id="rId1286" display="https://www.facebook.com/rapplerdotcom/posts/pfbid023goEfA6e1ABSWYJFy8fQ5LFWDv4QTSTmAfzySGtMSpy12iqywB2MUZjiZ8GjCxrGl" xr:uid="{00000000-0004-0000-0000-000005050000}"/>
    <hyperlink ref="A646" r:id="rId1287" display="https://www.facebook.com/ADATL02" xr:uid="{00000000-0004-0000-0000-000006050000}"/>
    <hyperlink ref="I646" r:id="rId1288" display="https://www.facebook.com/rapplerdotcom/posts/pfbid023goEfA6e1ABSWYJFy8fQ5LFWDv4QTSTmAfzySGtMSpy12iqywB2MUZjiZ8GjCxrGl" xr:uid="{00000000-0004-0000-0000-000007050000}"/>
    <hyperlink ref="A647" r:id="rId1289" display="https://www.facebook.com/marialucresia.laureno.1" xr:uid="{00000000-0004-0000-0000-000008050000}"/>
    <hyperlink ref="I647" r:id="rId1290" display="https://www.facebook.com/rapplerdotcom/posts/pfbid023goEfA6e1ABSWYJFy8fQ5LFWDv4QTSTmAfzySGtMSpy12iqywB2MUZjiZ8GjCxrGl" xr:uid="{00000000-0004-0000-0000-000009050000}"/>
    <hyperlink ref="A648" r:id="rId1291" display="https://www.facebook.com/nora.valenzuela.96742" xr:uid="{00000000-0004-0000-0000-00000A050000}"/>
    <hyperlink ref="I648" r:id="rId1292" display="https://www.facebook.com/rapplerdotcom/posts/pfbid023goEfA6e1ABSWYJFy8fQ5LFWDv4QTSTmAfzySGtMSpy12iqywB2MUZjiZ8GjCxrGl" xr:uid="{00000000-0004-0000-0000-00000B050000}"/>
    <hyperlink ref="A649" r:id="rId1293" display="https://www.facebook.com/profile.php?id=100075281044190" xr:uid="{00000000-0004-0000-0000-00000C050000}"/>
    <hyperlink ref="I649" r:id="rId1294" display="https://www.facebook.com/rapplerdotcom/posts/pfbid023goEfA6e1ABSWYJFy8fQ5LFWDv4QTSTmAfzySGtMSpy12iqywB2MUZjiZ8GjCxrGl" xr:uid="{00000000-0004-0000-0000-00000D050000}"/>
    <hyperlink ref="A650" r:id="rId1295" display="https://www.facebook.com/karl.andrei.921" xr:uid="{00000000-0004-0000-0000-00000E050000}"/>
    <hyperlink ref="I650" r:id="rId1296" display="https://www.facebook.com/rapplerdotcom/posts/pfbid023goEfA6e1ABSWYJFy8fQ5LFWDv4QTSTmAfzySGtMSpy12iqywB2MUZjiZ8GjCxrGl" xr:uid="{00000000-0004-0000-0000-00000F050000}"/>
    <hyperlink ref="A651" r:id="rId1297" display="https://www.facebook.com/nora.valenzuela.96742" xr:uid="{00000000-0004-0000-0000-000010050000}"/>
    <hyperlink ref="I651" r:id="rId1298" display="https://www.facebook.com/rapplerdotcom/posts/pfbid023goEfA6e1ABSWYJFy8fQ5LFWDv4QTSTmAfzySGtMSpy12iqywB2MUZjiZ8GjCxrGl" xr:uid="{00000000-0004-0000-0000-000011050000}"/>
    <hyperlink ref="A652" r:id="rId1299" display="https://www.facebook.com/Aprilche888" xr:uid="{00000000-0004-0000-0000-000012050000}"/>
    <hyperlink ref="I652" r:id="rId1300" display="https://www.facebook.com/rapplerdotcom/posts/pfbid023goEfA6e1ABSWYJFy8fQ5LFWDv4QTSTmAfzySGtMSpy12iqywB2MUZjiZ8GjCxrGl" xr:uid="{00000000-0004-0000-0000-000013050000}"/>
    <hyperlink ref="A653" r:id="rId1301" display="https://www.facebook.com/profile.php?id=100060712852407" xr:uid="{00000000-0004-0000-0000-000014050000}"/>
    <hyperlink ref="I653" r:id="rId1302" display="https://www.facebook.com/rapplerdotcom/posts/pfbid023goEfA6e1ABSWYJFy8fQ5LFWDv4QTSTmAfzySGtMSpy12iqywB2MUZjiZ8GjCxrGl" xr:uid="{00000000-0004-0000-0000-000015050000}"/>
    <hyperlink ref="A654" r:id="rId1303" display="https://www.facebook.com/pablo.jobs" xr:uid="{00000000-0004-0000-0000-000016050000}"/>
    <hyperlink ref="I654" r:id="rId1304" display="https://www.facebook.com/rapplerdotcom/posts/pfbid023goEfA6e1ABSWYJFy8fQ5LFWDv4QTSTmAfzySGtMSpy12iqywB2MUZjiZ8GjCxrGl" xr:uid="{00000000-0004-0000-0000-000017050000}"/>
    <hyperlink ref="A655" r:id="rId1305" display="https://www.facebook.com/israelflores.acesheart" xr:uid="{00000000-0004-0000-0000-000018050000}"/>
    <hyperlink ref="I655" r:id="rId1306" display="https://www.facebook.com/rapplerdotcom/posts/pfbid023goEfA6e1ABSWYJFy8fQ5LFWDv4QTSTmAfzySGtMSpy12iqywB2MUZjiZ8GjCxrGl" xr:uid="{00000000-0004-0000-0000-000019050000}"/>
    <hyperlink ref="A656" r:id="rId1307" display="https://www.facebook.com/profile.php?id=100071438692260" xr:uid="{00000000-0004-0000-0000-00001A050000}"/>
    <hyperlink ref="I656" r:id="rId1308" display="https://www.facebook.com/rapplerdotcom/photos/a.317154781638645/5597116770309060/" xr:uid="{00000000-0004-0000-0000-00001B050000}"/>
    <hyperlink ref="A657" r:id="rId1309" display="https://www.facebook.com/giljrmiranda" xr:uid="{00000000-0004-0000-0000-00001C050000}"/>
    <hyperlink ref="I657" r:id="rId1310" display="https://www.facebook.com/rapplerdotcom/photos/a.317154781638645/5597116770309060/" xr:uid="{00000000-0004-0000-0000-00001D050000}"/>
    <hyperlink ref="A658" r:id="rId1311" display="https://www.facebook.com/lou.arsenio" xr:uid="{00000000-0004-0000-0000-00001E050000}"/>
    <hyperlink ref="I658" r:id="rId1312" display="https://www.facebook.com/rapplerdotcom/photos/a.317154781638645/5597116770309060/" xr:uid="{00000000-0004-0000-0000-00001F050000}"/>
    <hyperlink ref="A659" r:id="rId1313" display="https://www.facebook.com/ronilo.tamares.5" xr:uid="{00000000-0004-0000-0000-000020050000}"/>
    <hyperlink ref="I659" r:id="rId1314" display="https://www.facebook.com/rapplerdotcom/photos/a.317154781638645/5597116770309060/" xr:uid="{00000000-0004-0000-0000-000021050000}"/>
    <hyperlink ref="A660" r:id="rId1315" display="https://www.facebook.com/sol.reas" xr:uid="{00000000-0004-0000-0000-000022050000}"/>
    <hyperlink ref="I660" r:id="rId1316" display="https://www.facebook.com/rapplerdotcom/photos/a.317154781638645/5597116770309060/" xr:uid="{00000000-0004-0000-0000-000023050000}"/>
    <hyperlink ref="A661" r:id="rId1317" display="https://www.facebook.com/sec.anning" xr:uid="{00000000-0004-0000-0000-000024050000}"/>
    <hyperlink ref="I661" r:id="rId1318" display="https://www.facebook.com/rapplerdotcom/photos/a.317154781638645/5597116770309060/" xr:uid="{00000000-0004-0000-0000-000025050000}"/>
    <hyperlink ref="A662" r:id="rId1319" display="https://www.facebook.com/BimBirimBimBim" xr:uid="{00000000-0004-0000-0000-000026050000}"/>
    <hyperlink ref="I662" r:id="rId1320" display="https://www.facebook.com/rapplerdotcom/photos/a.317154781638645/5597116770309060/" xr:uid="{00000000-0004-0000-0000-000027050000}"/>
    <hyperlink ref="A663" r:id="rId1321" display="https://www.facebook.com/sec.anning" xr:uid="{00000000-0004-0000-0000-000028050000}"/>
    <hyperlink ref="I663" r:id="rId1322" display="https://www.facebook.com/rapplerdotcom/photos/a.317154781638645/5597116770309060/" xr:uid="{00000000-0004-0000-0000-000029050000}"/>
    <hyperlink ref="A664" r:id="rId1323" display="https://www.facebook.com/BimBirimBimBim" xr:uid="{00000000-0004-0000-0000-00002A050000}"/>
    <hyperlink ref="I664" r:id="rId1324" display="https://www.facebook.com/rapplerdotcom/photos/a.317154781638645/5597116770309060/" xr:uid="{00000000-0004-0000-0000-00002B050000}"/>
    <hyperlink ref="A665" r:id="rId1325" display="https://www.facebook.com/sec.anning" xr:uid="{00000000-0004-0000-0000-00002C050000}"/>
    <hyperlink ref="I665" r:id="rId1326" display="https://www.facebook.com/rapplerdotcom/photos/a.317154781638645/5597116770309060/" xr:uid="{00000000-0004-0000-0000-00002D050000}"/>
    <hyperlink ref="A666" r:id="rId1327" display="https://www.facebook.com/BimBirimBimBim" xr:uid="{00000000-0004-0000-0000-00002E050000}"/>
    <hyperlink ref="I666" r:id="rId1328" display="https://www.facebook.com/rapplerdotcom/photos/a.317154781638645/5597116770309060/" xr:uid="{00000000-0004-0000-0000-00002F050000}"/>
    <hyperlink ref="A667" r:id="rId1329" display="https://www.facebook.com/beverly.dalton.161" xr:uid="{00000000-0004-0000-0000-000030050000}"/>
    <hyperlink ref="I667" r:id="rId1330" display="https://www.facebook.com/rapplerdotcom/photos/a.317154781638645/5597116770309060/" xr:uid="{00000000-0004-0000-0000-000031050000}"/>
    <hyperlink ref="A668" r:id="rId1331" display="https://www.facebook.com/We-Chose-Common-Sense-We-Voted-for-Leni-Kiko-2022-100975789090665/" xr:uid="{00000000-0004-0000-0000-000032050000}"/>
    <hyperlink ref="I668" r:id="rId1332" display="https://www.facebook.com/rapplerdotcom/photos/a.317154781638645/5597116770309060/" xr:uid="{00000000-0004-0000-0000-000033050000}"/>
    <hyperlink ref="A669" r:id="rId1333" display="https://www.facebook.com/roderick.reonal.7" xr:uid="{00000000-0004-0000-0000-000034050000}"/>
    <hyperlink ref="I669" r:id="rId1334" display="https://www.facebook.com/rapplerdotcom/photos/a.317154781638645/5597116770309060/" xr:uid="{00000000-0004-0000-0000-000035050000}"/>
    <hyperlink ref="A670" r:id="rId1335" display="https://www.facebook.com/ino.reyes.1441" xr:uid="{00000000-0004-0000-0000-000036050000}"/>
    <hyperlink ref="I670" r:id="rId1336" display="https://www.facebook.com/rapplerdotcom/photos/a.317154781638645/5597116770309060/" xr:uid="{00000000-0004-0000-0000-000037050000}"/>
    <hyperlink ref="A671" r:id="rId1337" display="https://www.facebook.com/frandy.arondaing" xr:uid="{00000000-0004-0000-0000-000038050000}"/>
    <hyperlink ref="I671" r:id="rId1338" display="https://www.facebook.com/rapplerdotcom/photos/a.317154781638645/5597116770309060/" xr:uid="{00000000-0004-0000-0000-000039050000}"/>
    <hyperlink ref="A672" r:id="rId1339" display="https://www.facebook.com/ken.chiz.393" xr:uid="{00000000-0004-0000-0000-00003A050000}"/>
    <hyperlink ref="I672" r:id="rId1340" display="https://www.facebook.com/rapplerdotcom/photos/a.317154781638645/5597116770309060/" xr:uid="{00000000-0004-0000-0000-00003B050000}"/>
    <hyperlink ref="A673" r:id="rId1341" display="https://www.facebook.com/marvin.andasan.5" xr:uid="{00000000-0004-0000-0000-00003C050000}"/>
    <hyperlink ref="I673" r:id="rId1342" display="https://www.facebook.com/rapplerdotcom/photos/a.317154781638645/5597116770309060/" xr:uid="{00000000-0004-0000-0000-00003D050000}"/>
    <hyperlink ref="A674" r:id="rId1343" display="https://www.facebook.com/judith.baricuatro" xr:uid="{00000000-0004-0000-0000-00003E050000}"/>
    <hyperlink ref="I674" r:id="rId1344" display="https://www.facebook.com/rapplerdotcom/photos/a.317154781638645/5597116770309060/" xr:uid="{00000000-0004-0000-0000-00003F050000}"/>
    <hyperlink ref="A675" r:id="rId1345" display="https://www.facebook.com/alexis.bacquiran" xr:uid="{00000000-0004-0000-0000-000040050000}"/>
    <hyperlink ref="I675" r:id="rId1346" display="https://www.facebook.com/rapplerdotcom/photos/a.317154781638645/5597116770309060/" xr:uid="{00000000-0004-0000-0000-000041050000}"/>
    <hyperlink ref="A676" r:id="rId1347" display="https://www.facebook.com/profile.php?id=100009111409816" xr:uid="{00000000-0004-0000-0000-000042050000}"/>
    <hyperlink ref="I676" r:id="rId1348" display="https://www.facebook.com/rapplerdotcom/photos/a.317154781638645/5597116770309060/" xr:uid="{00000000-0004-0000-0000-000043050000}"/>
    <hyperlink ref="A677" r:id="rId1349" display="https://www.facebook.com/celyn.guazon" xr:uid="{00000000-0004-0000-0000-000044050000}"/>
    <hyperlink ref="I677" r:id="rId1350" display="https://www.facebook.com/rapplerdotcom/photos/a.317154781638645/5597116770309060/" xr:uid="{00000000-0004-0000-0000-000045050000}"/>
    <hyperlink ref="A678" r:id="rId1351" display="https://www.facebook.com/liezl.malinao.1" xr:uid="{00000000-0004-0000-0000-000046050000}"/>
    <hyperlink ref="I678" r:id="rId1352" display="https://www.facebook.com/rapplerdotcom/photos/a.317154781638645/5597116770309060/" xr:uid="{00000000-0004-0000-0000-000047050000}"/>
    <hyperlink ref="A679" r:id="rId1353" display="https://www.facebook.com/marjorie.vidad" xr:uid="{00000000-0004-0000-0000-000048050000}"/>
    <hyperlink ref="I679" r:id="rId1354" display="https://www.facebook.com/rapplerdotcom/photos/a.317154781638645/5597116770309060/" xr:uid="{00000000-0004-0000-0000-000049050000}"/>
    <hyperlink ref="A680" r:id="rId1355" display="https://www.facebook.com/concesa.orecul" xr:uid="{00000000-0004-0000-0000-00004A050000}"/>
    <hyperlink ref="I680" r:id="rId1356" display="https://www.facebook.com/rapplerdotcom/photos/a.317154781638645/5597116770309060/" xr:uid="{00000000-0004-0000-0000-00004B050000}"/>
    <hyperlink ref="A681" r:id="rId1357" display="https://www.facebook.com/liezl.malinao.1" xr:uid="{00000000-0004-0000-0000-00004C050000}"/>
    <hyperlink ref="I681" r:id="rId1358" display="https://www.facebook.com/rapplerdotcom/photos/a.317154781638645/5597116770309060/" xr:uid="{00000000-0004-0000-0000-00004D050000}"/>
    <hyperlink ref="A682" r:id="rId1359" display="https://www.facebook.com/pete.villena" xr:uid="{00000000-0004-0000-0000-00004E050000}"/>
    <hyperlink ref="I682" r:id="rId1360" display="https://www.facebook.com/rapplerdotcom/photos/a.317154781638645/5597116770309060/" xr:uid="{00000000-0004-0000-0000-00004F050000}"/>
    <hyperlink ref="A683" r:id="rId1361" display="https://www.facebook.com/manny.matibag.1" xr:uid="{00000000-0004-0000-0000-000050050000}"/>
    <hyperlink ref="I683" r:id="rId1362" display="https://www.facebook.com/rapplerdotcom/photos/a.317154781638645/5597116770309060/" xr:uid="{00000000-0004-0000-0000-000051050000}"/>
    <hyperlink ref="A684" r:id="rId1363" display="https://www.facebook.com/denis.sahagon" xr:uid="{00000000-0004-0000-0000-000052050000}"/>
    <hyperlink ref="I684" r:id="rId1364" display="https://www.facebook.com/rapplerdotcom/photos/a.317154781638645/5597116770309060/" xr:uid="{00000000-0004-0000-0000-000053050000}"/>
    <hyperlink ref="A685" r:id="rId1365" display="https://www.facebook.com/profile.php?id=100009111409816" xr:uid="{00000000-0004-0000-0000-000054050000}"/>
    <hyperlink ref="I685" r:id="rId1366" display="https://www.facebook.com/rapplerdotcom/photos/a.317154781638645/5597116770309060/" xr:uid="{00000000-0004-0000-0000-000055050000}"/>
    <hyperlink ref="A686" r:id="rId1367" display="https://www.facebook.com/mario.beroya" xr:uid="{00000000-0004-0000-0000-000056050000}"/>
    <hyperlink ref="I686" r:id="rId1368" display="https://www.facebook.com/rapplerdotcom/photos/a.317154781638645/5597116770309060/" xr:uid="{00000000-0004-0000-0000-000057050000}"/>
    <hyperlink ref="A687" r:id="rId1369" display="https://www.facebook.com/profile.php?id=100070135061875" xr:uid="{00000000-0004-0000-0000-000058050000}"/>
    <hyperlink ref="I687" r:id="rId1370" display="https://www.facebook.com/rapplerdotcom/photos/a.317154781638645/5597116770309060/" xr:uid="{00000000-0004-0000-0000-000059050000}"/>
    <hyperlink ref="A688" r:id="rId1371" display="https://www.facebook.com/profile.php?id=100009111409816" xr:uid="{00000000-0004-0000-0000-00005A050000}"/>
    <hyperlink ref="I688" r:id="rId1372" display="https://www.facebook.com/rapplerdotcom/photos/a.317154781638645/5597116770309060/" xr:uid="{00000000-0004-0000-0000-00005B050000}"/>
    <hyperlink ref="A689" r:id="rId1373" display="https://www.facebook.com/jeery.s.gerard" xr:uid="{00000000-0004-0000-0000-00005C050000}"/>
    <hyperlink ref="I689" r:id="rId1374" display="https://www.facebook.com/rapplerdotcom/photos/a.317154781638645/5597116770309060/" xr:uid="{00000000-0004-0000-0000-00005D050000}"/>
    <hyperlink ref="A690" r:id="rId1375" display="https://www.facebook.com/obe.m.cruz" xr:uid="{00000000-0004-0000-0000-00005E050000}"/>
    <hyperlink ref="I690" r:id="rId1376" display="https://www.facebook.com/rapplerdotcom/photos/a.317154781638645/5597116770309060/" xr:uid="{00000000-0004-0000-0000-00005F050000}"/>
    <hyperlink ref="A691" r:id="rId1377" display="https://www.facebook.com/joanamarcelabauson" xr:uid="{00000000-0004-0000-0000-000060050000}"/>
    <hyperlink ref="I691" r:id="rId1378" display="https://www.facebook.com/rapplerdotcom/photos/a.317154781638645/5597116770309060/" xr:uid="{00000000-0004-0000-0000-000061050000}"/>
    <hyperlink ref="A692" r:id="rId1379" display="https://www.facebook.com/tito.comesario" xr:uid="{00000000-0004-0000-0000-000062050000}"/>
    <hyperlink ref="I692" r:id="rId1380" display="https://www.facebook.com/rapplerdotcom/photos/a.317154781638645/5597116770309060/" xr:uid="{00000000-0004-0000-0000-000063050000}"/>
    <hyperlink ref="A693" r:id="rId1381" display="https://www.facebook.com/eva.jimenez.39794895" xr:uid="{00000000-0004-0000-0000-000064050000}"/>
    <hyperlink ref="I693" r:id="rId1382" display="https://www.facebook.com/rapplerdotcom/photos/a.317154781638645/5597116770309060/" xr:uid="{00000000-0004-0000-0000-000065050000}"/>
    <hyperlink ref="A694" r:id="rId1383" display="https://www.facebook.com/marylynacopiadodaganasol" xr:uid="{00000000-0004-0000-0000-000066050000}"/>
    <hyperlink ref="I694" r:id="rId1384" display="https://www.facebook.com/rapplerdotcom/photos/a.317154781638645/5597116770309060/" xr:uid="{00000000-0004-0000-0000-000067050000}"/>
    <hyperlink ref="A695" r:id="rId1385" display="https://www.facebook.com/profile.php?id=100011919187220" xr:uid="{00000000-0004-0000-0000-000068050000}"/>
    <hyperlink ref="I695" r:id="rId1386" display="https://www.facebook.com/rapplerdotcom/photos/a.317154781638645/5597116770309060/" xr:uid="{00000000-0004-0000-0000-000069050000}"/>
    <hyperlink ref="A696" r:id="rId1387" display="https://www.facebook.com/edgardo.eva" xr:uid="{00000000-0004-0000-0000-00006A050000}"/>
    <hyperlink ref="I696" r:id="rId1388" display="https://www.facebook.com/rapplerdotcom/photos/a.317154781638645/5597116770309060/" xr:uid="{00000000-0004-0000-0000-00006B050000}"/>
    <hyperlink ref="A697" r:id="rId1389" display="https://www.facebook.com/profile.php?id=100010194641005" xr:uid="{00000000-0004-0000-0000-00006C050000}"/>
    <hyperlink ref="I697" r:id="rId1390" display="https://www.facebook.com/rapplerdotcom/photos/a.317154781638645/5597116770309060/" xr:uid="{00000000-0004-0000-0000-00006D050000}"/>
    <hyperlink ref="A698" r:id="rId1391" display="https://www.facebook.com/profile.php?id=100008332086519" xr:uid="{00000000-0004-0000-0000-00006E050000}"/>
    <hyperlink ref="I698" r:id="rId1392" display="https://www.facebook.com/rapplerdotcom/photos/a.317154781638645/5597116770309060/" xr:uid="{00000000-0004-0000-0000-00006F050000}"/>
    <hyperlink ref="A699" r:id="rId1393" display="https://www.facebook.com/profile.php?id=100009111409816" xr:uid="{00000000-0004-0000-0000-000070050000}"/>
    <hyperlink ref="I699" r:id="rId1394" display="https://www.facebook.com/rapplerdotcom/photos/a.317154781638645/5597116770309060/" xr:uid="{00000000-0004-0000-0000-000071050000}"/>
    <hyperlink ref="A700" r:id="rId1395" display="https://www.facebook.com/unopres" xr:uid="{00000000-0004-0000-0000-000072050000}"/>
    <hyperlink ref="I700" r:id="rId1396" display="https://www.facebook.com/rapplerdotcom/photos/a.317154781638645/5597116770309060/" xr:uid="{00000000-0004-0000-0000-000073050000}"/>
    <hyperlink ref="A701" r:id="rId1397" display="https://www.facebook.com/profile.php?id=100009111409816" xr:uid="{00000000-0004-0000-0000-000074050000}"/>
    <hyperlink ref="I701" r:id="rId1398" display="https://www.facebook.com/rapplerdotcom/photos/a.317154781638645/5597116770309060/" xr:uid="{00000000-0004-0000-0000-000075050000}"/>
    <hyperlink ref="A702" r:id="rId1399" display="https://www.facebook.com/caloy.galicia" xr:uid="{00000000-0004-0000-0000-000076050000}"/>
    <hyperlink ref="I702" r:id="rId1400" display="https://www.facebook.com/rapplerdotcom/photos/a.317154781638645/5597116770309060/" xr:uid="{00000000-0004-0000-0000-000077050000}"/>
    <hyperlink ref="A703" r:id="rId1401" display="https://www.facebook.com/romulo.augustine" xr:uid="{00000000-0004-0000-0000-000078050000}"/>
    <hyperlink ref="I703" r:id="rId1402" display="https://www.facebook.com/rapplerdotcom/photos/a.317154781638645/5597116770309060/" xr:uid="{00000000-0004-0000-0000-000079050000}"/>
    <hyperlink ref="A704" r:id="rId1403" display="https://www.facebook.com/rey.bartolome.16" xr:uid="{00000000-0004-0000-0000-00007A050000}"/>
    <hyperlink ref="I704" r:id="rId1404" display="https://www.facebook.com/rapplerdotcom/photos/a.317154781638645/5597116770309060/" xr:uid="{00000000-0004-0000-0000-00007B050000}"/>
    <hyperlink ref="A705" r:id="rId1405" display="https://www.facebook.com/rrtanales.7" xr:uid="{00000000-0004-0000-0000-00007C050000}"/>
    <hyperlink ref="I705" r:id="rId1406" display="https://www.facebook.com/rapplerdotcom/photos/a.317154781638645/5597116770309060/" xr:uid="{00000000-0004-0000-0000-00007D050000}"/>
    <hyperlink ref="A706" r:id="rId1407" display="https://www.facebook.com/sonia.olba" xr:uid="{00000000-0004-0000-0000-00007E050000}"/>
    <hyperlink ref="I706" r:id="rId1408" display="https://www.facebook.com/rapplerdotcom/photos/a.317154781638645/5597116770309060/" xr:uid="{00000000-0004-0000-0000-00007F050000}"/>
    <hyperlink ref="A707" r:id="rId1409" display="https://www.facebook.com/marciano.garcia.7528" xr:uid="{00000000-0004-0000-0000-000080050000}"/>
    <hyperlink ref="I707" r:id="rId1410" display="https://www.facebook.com/rapplerdotcom/photos/a.317154781638645/5597116770309060/" xr:uid="{00000000-0004-0000-0000-000081050000}"/>
    <hyperlink ref="A708" r:id="rId1411" display="https://www.facebook.com/molsky" xr:uid="{00000000-0004-0000-0000-000082050000}"/>
    <hyperlink ref="I708" r:id="rId1412" display="https://www.facebook.com/rapplerdotcom/photos/a.317154781638645/5597116770309060/" xr:uid="{00000000-0004-0000-0000-000083050000}"/>
    <hyperlink ref="A709" r:id="rId1413" display="https://www.facebook.com/profile.php?id=100005460137890" xr:uid="{00000000-0004-0000-0000-000084050000}"/>
    <hyperlink ref="I709" r:id="rId1414" display="https://www.facebook.com/rapplerdotcom/photos/a.317154781638645/5597116770309060/" xr:uid="{00000000-0004-0000-0000-000085050000}"/>
    <hyperlink ref="A710" r:id="rId1415" display="https://www.facebook.com/melgalimba" xr:uid="{00000000-0004-0000-0000-000086050000}"/>
    <hyperlink ref="I710" r:id="rId1416" display="https://www.facebook.com/rapplerdotcom/photos/a.317154781638645/5597116770309060/" xr:uid="{00000000-0004-0000-0000-000087050000}"/>
    <hyperlink ref="A711" r:id="rId1417" display="https://www.facebook.com/remelyn.regnim.7" xr:uid="{00000000-0004-0000-0000-000088050000}"/>
    <hyperlink ref="I711" r:id="rId1418" display="https://www.facebook.com/rapplerdotcom/photos/a.317154781638645/5597116770309060/" xr:uid="{00000000-0004-0000-0000-000089050000}"/>
    <hyperlink ref="A712" r:id="rId1419" display="https://www.facebook.com/Ejrdkdylan" xr:uid="{00000000-0004-0000-0000-00008A050000}"/>
    <hyperlink ref="I712" r:id="rId1420" display="https://www.facebook.com/rapplerdotcom/photos/a.317154781638645/5597116770309060/" xr:uid="{00000000-0004-0000-0000-00008B050000}"/>
    <hyperlink ref="A713" r:id="rId1421" display="https://www.facebook.com/john.oliver.965928" xr:uid="{00000000-0004-0000-0000-00008C050000}"/>
    <hyperlink ref="I713" r:id="rId1422" display="https://www.facebook.com/rapplerdotcom/photos/a.317154781638645/5597116770309060/" xr:uid="{00000000-0004-0000-0000-00008D050000}"/>
    <hyperlink ref="A714" r:id="rId1423" display="https://www.facebook.com/profile.php?id=100073915835880" xr:uid="{00000000-0004-0000-0000-00008E050000}"/>
    <hyperlink ref="I714" r:id="rId1424" display="https://www.facebook.com/rapplerdotcom/photos/a.317154781638645/5597116770309060/" xr:uid="{00000000-0004-0000-0000-00008F050000}"/>
    <hyperlink ref="A715" r:id="rId1425" display="https://www.facebook.com/profile.php?id=100009097937407" xr:uid="{00000000-0004-0000-0000-000090050000}"/>
    <hyperlink ref="I715" r:id="rId1426" display="https://www.facebook.com/rapplerdotcom/photos/a.317154781638645/5597116770309060/" xr:uid="{00000000-0004-0000-0000-000091050000}"/>
    <hyperlink ref="A716" r:id="rId1427" display="https://www.facebook.com/rafaelfelicia.equipado" xr:uid="{00000000-0004-0000-0000-000092050000}"/>
    <hyperlink ref="I716" r:id="rId1428" display="https://www.facebook.com/rapplerdotcom/photos/a.317154781638645/5597116770309060/" xr:uid="{00000000-0004-0000-0000-000093050000}"/>
    <hyperlink ref="A717" r:id="rId1429" display="https://www.facebook.com/cory.ander.3" xr:uid="{00000000-0004-0000-0000-000094050000}"/>
    <hyperlink ref="I717" r:id="rId1430" display="https://www.facebook.com/rapplerdotcom/photos/a.317154781638645/5597116770309060/" xr:uid="{00000000-0004-0000-0000-000095050000}"/>
    <hyperlink ref="A718" r:id="rId1431" display="https://www.facebook.com/tararirat" xr:uid="{00000000-0004-0000-0000-000096050000}"/>
    <hyperlink ref="I718" r:id="rId1432" display="https://www.facebook.com/rapplerdotcom/photos/a.317154781638645/5597116770309060/" xr:uid="{00000000-0004-0000-0000-000097050000}"/>
    <hyperlink ref="A719" r:id="rId1433" display="https://www.facebook.com/profile.php?id=100000245313356" xr:uid="{00000000-0004-0000-0000-000098050000}"/>
    <hyperlink ref="I719" r:id="rId1434" display="https://www.facebook.com/rapplerdotcom/photos/a.317154781638645/5597116770309060/" xr:uid="{00000000-0004-0000-0000-000099050000}"/>
    <hyperlink ref="A720" r:id="rId1435" display="https://www.facebook.com/herbiebnitura" xr:uid="{00000000-0004-0000-0000-00009A050000}"/>
    <hyperlink ref="I720" r:id="rId1436" display="https://www.facebook.com/rapplerdotcom/photos/a.317154781638645/5597116770309060/" xr:uid="{00000000-0004-0000-0000-00009B050000}"/>
    <hyperlink ref="A721" r:id="rId1437" display="https://www.facebook.com/profile.php?id=100070193447855" xr:uid="{00000000-0004-0000-0000-00009C050000}"/>
    <hyperlink ref="I721" r:id="rId1438" display="https://www.facebook.com/rapplerdotcom/photos/a.317154781638645/5597116770309060/" xr:uid="{00000000-0004-0000-0000-00009D050000}"/>
    <hyperlink ref="A722" r:id="rId1439" display="https://www.facebook.com/nylezdrain1708" xr:uid="{00000000-0004-0000-0000-00009E050000}"/>
    <hyperlink ref="I722" r:id="rId1440" display="https://www.facebook.com/rapplerdotcom/photos/a.317154781638645/5597116770309060/" xr:uid="{00000000-0004-0000-0000-00009F050000}"/>
    <hyperlink ref="A723" r:id="rId1441" display="https://www.facebook.com/profile.php?id=100075753714712" xr:uid="{00000000-0004-0000-0000-0000A0050000}"/>
    <hyperlink ref="I723" r:id="rId1442" display="https://www.facebook.com/rapplerdotcom/photos/a.317154781638645/5597116770309060/" xr:uid="{00000000-0004-0000-0000-0000A1050000}"/>
    <hyperlink ref="A724" r:id="rId1443" display="https://www.facebook.com/beltrans1" xr:uid="{00000000-0004-0000-0000-0000A2050000}"/>
    <hyperlink ref="I724" r:id="rId1444" display="https://www.facebook.com/rapplerdotcom/photos/a.317154781638645/5597116770309060/" xr:uid="{00000000-0004-0000-0000-0000A3050000}"/>
    <hyperlink ref="A725" r:id="rId1445" display="https://www.facebook.com/johntheo.antog.1" xr:uid="{00000000-0004-0000-0000-0000A4050000}"/>
    <hyperlink ref="I725" r:id="rId1446" display="https://www.facebook.com/rapplerdotcom/photos/a.317154781638645/5597116770309060/" xr:uid="{00000000-0004-0000-0000-0000A5050000}"/>
    <hyperlink ref="A726" r:id="rId1447" display="https://www.facebook.com/profile.php?id=100077782688269" xr:uid="{00000000-0004-0000-0000-0000A6050000}"/>
    <hyperlink ref="I726" r:id="rId1448" display="https://www.facebook.com/rapplerdotcom/photos/a.317154781638645/5597116770309060/" xr:uid="{00000000-0004-0000-0000-0000A7050000}"/>
    <hyperlink ref="A727" r:id="rId1449" display="https://www.facebook.com/danny.vedua" xr:uid="{00000000-0004-0000-0000-0000A8050000}"/>
    <hyperlink ref="I727" r:id="rId1450" display="https://www.facebook.com/rapplerdotcom/photos/a.317154781638645/5597116770309060/" xr:uid="{00000000-0004-0000-0000-0000A9050000}"/>
    <hyperlink ref="A728" r:id="rId1451" display="https://www.facebook.com/profile.php?id=100075670464889" xr:uid="{00000000-0004-0000-0000-0000AA050000}"/>
    <hyperlink ref="I728" r:id="rId1452" display="https://www.facebook.com/rapplerdotcom/photos/a.317154781638645/5597116770309060/" xr:uid="{00000000-0004-0000-0000-0000AB050000}"/>
    <hyperlink ref="A729" r:id="rId1453" display="https://www.facebook.com/jayfox73" xr:uid="{00000000-0004-0000-0000-0000AC050000}"/>
    <hyperlink ref="I729" r:id="rId1454" display="https://www.facebook.com/rapplerdotcom/photos/a.317154781638645/5597116770309060/" xr:uid="{00000000-0004-0000-0000-0000AD050000}"/>
    <hyperlink ref="A730" r:id="rId1455" display="https://www.facebook.com/profile.php?id=100075670464889" xr:uid="{00000000-0004-0000-0000-0000AE050000}"/>
    <hyperlink ref="I730" r:id="rId1456" display="https://www.facebook.com/rapplerdotcom/photos/a.317154781638645/5597116770309060/" xr:uid="{00000000-0004-0000-0000-0000AF050000}"/>
    <hyperlink ref="A731" r:id="rId1457" display="https://www.facebook.com/primo.dinglasan.1" xr:uid="{00000000-0004-0000-0000-0000B0050000}"/>
    <hyperlink ref="I731" r:id="rId1458" display="https://www.facebook.com/rapplerdotcom/photos/a.317154781638645/5597116770309060/" xr:uid="{00000000-0004-0000-0000-0000B1050000}"/>
    <hyperlink ref="A732" r:id="rId1459" display="https://www.facebook.com/edwin.marcelo.12" xr:uid="{00000000-0004-0000-0000-0000B2050000}"/>
    <hyperlink ref="I732" r:id="rId1460" display="https://www.facebook.com/rapplerdotcom/photos/a.317154781638645/5597116770309060/" xr:uid="{00000000-0004-0000-0000-0000B3050000}"/>
    <hyperlink ref="A733" r:id="rId1461" display="https://www.facebook.com/eelnadyar" xr:uid="{00000000-0004-0000-0000-0000B4050000}"/>
    <hyperlink ref="I733" r:id="rId1462" display="https://www.facebook.com/rapplerdotcom/photos/a.317154781638645/5597116770309060/" xr:uid="{00000000-0004-0000-0000-0000B5050000}"/>
    <hyperlink ref="A734" r:id="rId1463" display="https://www.facebook.com/martinpas11" xr:uid="{00000000-0004-0000-0000-0000B6050000}"/>
    <hyperlink ref="I734" r:id="rId1464" display="https://www.facebook.com/rapplerdotcom/photos/a.317154781638645/5597116770309060/" xr:uid="{00000000-0004-0000-0000-0000B7050000}"/>
    <hyperlink ref="A735" r:id="rId1465" display="https://www.facebook.com/mech.bracero" xr:uid="{00000000-0004-0000-0000-0000B8050000}"/>
    <hyperlink ref="I735" r:id="rId1466" display="https://www.facebook.com/rapplerdotcom/photos/a.317154781638645/5597116770309060/" xr:uid="{00000000-0004-0000-0000-0000B9050000}"/>
    <hyperlink ref="A736" r:id="rId1467" display="https://www.facebook.com/arturo.rondolos.3" xr:uid="{00000000-0004-0000-0000-0000BA050000}"/>
    <hyperlink ref="I736" r:id="rId1468" display="https://www.facebook.com/rapplerdotcom/photos/a.317154781638645/5597116770309060/" xr:uid="{00000000-0004-0000-0000-0000BB050000}"/>
    <hyperlink ref="A737" r:id="rId1469" display="https://www.facebook.com/herbiebnitura" xr:uid="{00000000-0004-0000-0000-0000BC050000}"/>
    <hyperlink ref="I737" r:id="rId1470" display="https://www.facebook.com/rapplerdotcom/photos/a.317154781638645/5597116770309060/" xr:uid="{00000000-0004-0000-0000-0000BD050000}"/>
    <hyperlink ref="A738" r:id="rId1471" display="https://www.facebook.com/profile.php?id=100077412090788" xr:uid="{00000000-0004-0000-0000-0000BE050000}"/>
    <hyperlink ref="I738" r:id="rId1472" display="https://www.facebook.com/rapplerdotcom/photos/a.317154781638645/5597116770309060/" xr:uid="{00000000-0004-0000-0000-0000BF050000}"/>
    <hyperlink ref="A739" r:id="rId1473" display="https://www.facebook.com/profile.php?id=100009111409816" xr:uid="{00000000-0004-0000-0000-0000C0050000}"/>
    <hyperlink ref="I739" r:id="rId1474" display="https://www.facebook.com/rapplerdotcom/photos/a.317154781638645/5597116770309060/" xr:uid="{00000000-0004-0000-0000-0000C1050000}"/>
    <hyperlink ref="A740" r:id="rId1475" display="https://www.facebook.com/ebelardo.liwanag.1" xr:uid="{00000000-0004-0000-0000-0000C2050000}"/>
    <hyperlink ref="I740" r:id="rId1476" display="https://www.facebook.com/rapplerdotcom/photos/a.317154781638645/5597116770309060/" xr:uid="{00000000-0004-0000-0000-0000C3050000}"/>
    <hyperlink ref="A741" r:id="rId1477" display="https://www.facebook.com/dorsgf" xr:uid="{00000000-0004-0000-0000-0000C4050000}"/>
    <hyperlink ref="I741" r:id="rId1478" display="https://www.facebook.com/rapplerdotcom/photos/a.317154781638645/5597116770309060/" xr:uid="{00000000-0004-0000-0000-0000C5050000}"/>
    <hyperlink ref="A742" r:id="rId1479" display="https://www.facebook.com/Alvin3aces" xr:uid="{00000000-0004-0000-0000-0000C6050000}"/>
    <hyperlink ref="I742" r:id="rId1480" display="https://www.facebook.com/rapplerdotcom/photos/a.317154781638645/5597116770309060/" xr:uid="{00000000-0004-0000-0000-0000C7050000}"/>
    <hyperlink ref="A743" r:id="rId1481" display="https://www.facebook.com/otep.delaroz" xr:uid="{00000000-0004-0000-0000-0000C8050000}"/>
    <hyperlink ref="I743" r:id="rId1482" display="https://www.facebook.com/rapplerdotcom/photos/a.317154781638645/5597116770309060/" xr:uid="{00000000-0004-0000-0000-0000C9050000}"/>
    <hyperlink ref="A744" r:id="rId1483" display="https://www.facebook.com/arturo.rondolos.3" xr:uid="{00000000-0004-0000-0000-0000CA050000}"/>
    <hyperlink ref="I744" r:id="rId1484" display="https://www.facebook.com/rapplerdotcom/photos/a.317154781638645/5597116770309060/" xr:uid="{00000000-0004-0000-0000-0000CB050000}"/>
    <hyperlink ref="A745" r:id="rId1485" display="https://www.facebook.com/rufino.baldovino" xr:uid="{00000000-0004-0000-0000-0000CC050000}"/>
    <hyperlink ref="I745" r:id="rId1486" display="https://www.facebook.com/rapplerdotcom/photos/a.317154781638645/5597116770309060/" xr:uid="{00000000-0004-0000-0000-0000CD050000}"/>
    <hyperlink ref="A746" r:id="rId1487" display="https://www.facebook.com/jwharch" xr:uid="{00000000-0004-0000-0000-0000CE050000}"/>
    <hyperlink ref="I746" r:id="rId1488" display="https://www.facebook.com/rapplerdotcom/photos/a.317154781638645/5597116770309060/" xr:uid="{00000000-0004-0000-0000-0000CF050000}"/>
    <hyperlink ref="A747" r:id="rId1489" display="https://www.facebook.com/rafaelfelicia.equipado" xr:uid="{00000000-0004-0000-0000-0000D0050000}"/>
    <hyperlink ref="I747" r:id="rId1490" display="https://www.facebook.com/rapplerdotcom/photos/a.317154781638645/5597116770309060/" xr:uid="{00000000-0004-0000-0000-0000D1050000}"/>
    <hyperlink ref="A748" r:id="rId1491" display="https://www.facebook.com/profile.php?id=100008264059333" xr:uid="{00000000-0004-0000-0000-0000D2050000}"/>
    <hyperlink ref="I748" r:id="rId1492" display="https://www.facebook.com/rapplerdotcom/photos/a.317154781638645/5597116770309060/" xr:uid="{00000000-0004-0000-0000-0000D3050000}"/>
    <hyperlink ref="A749" r:id="rId1493" display="https://www.facebook.com/rahnlloyd.iliscupidez" xr:uid="{00000000-0004-0000-0000-0000D4050000}"/>
    <hyperlink ref="I749" r:id="rId1494" display="https://www.facebook.com/rapplerdotcom/photos/a.317154781638645/5597116770309060/" xr:uid="{00000000-0004-0000-0000-0000D5050000}"/>
    <hyperlink ref="A750" r:id="rId1495" display="https://www.facebook.com/vlademir.peraja" xr:uid="{00000000-0004-0000-0000-0000D6050000}"/>
    <hyperlink ref="I750" r:id="rId1496" display="https://www.facebook.com/rapplerdotcom/photos/a.317154781638645/5597116770309060/" xr:uid="{00000000-0004-0000-0000-0000D7050000}"/>
    <hyperlink ref="A751" r:id="rId1497" display="https://www.facebook.com/ferdinand.pacleb.37" xr:uid="{00000000-0004-0000-0000-0000D8050000}"/>
    <hyperlink ref="I751" r:id="rId1498" display="https://www.facebook.com/rapplerdotcom/photos/a.317154781638645/5597116770309060/" xr:uid="{00000000-0004-0000-0000-0000D9050000}"/>
    <hyperlink ref="A752" r:id="rId1499" display="https://www.facebook.com/kurugaligala" xr:uid="{00000000-0004-0000-0000-0000DA050000}"/>
    <hyperlink ref="I752" r:id="rId1500" display="https://www.facebook.com/rapplerdotcom/photos/a.317154781638645/5597116770309060/" xr:uid="{00000000-0004-0000-0000-0000DB050000}"/>
    <hyperlink ref="A753" r:id="rId1501" display="https://www.facebook.com/ralphanthony.edu" xr:uid="{00000000-0004-0000-0000-0000DC050000}"/>
    <hyperlink ref="I753" r:id="rId1502" display="https://www.facebook.com/rapplerdotcom/photos/a.317154781638645/5597116770309060/" xr:uid="{00000000-0004-0000-0000-0000DD050000}"/>
    <hyperlink ref="A754" r:id="rId1503" display="https://www.facebook.com/kurugaligala" xr:uid="{00000000-0004-0000-0000-0000DE050000}"/>
    <hyperlink ref="I754" r:id="rId1504" display="https://www.facebook.com/rapplerdotcom/photos/a.317154781638645/5597116770309060/" xr:uid="{00000000-0004-0000-0000-0000DF050000}"/>
    <hyperlink ref="A755" r:id="rId1505" display="https://www.facebook.com/rlduldulao" xr:uid="{00000000-0004-0000-0000-0000E0050000}"/>
    <hyperlink ref="I755" r:id="rId1506" display="https://www.facebook.com/rapplerdotcom/photos/a.317154781638645/5597116770309060/" xr:uid="{00000000-0004-0000-0000-0000E1050000}"/>
    <hyperlink ref="A756" r:id="rId1507" display="https://www.facebook.com/cleofe.nicolas.7" xr:uid="{00000000-0004-0000-0000-0000E2050000}"/>
    <hyperlink ref="I756" r:id="rId1508" display="https://www.facebook.com/rapplerdotcom/photos/a.317154781638645/5597116770309060/" xr:uid="{00000000-0004-0000-0000-0000E3050000}"/>
    <hyperlink ref="A757" r:id="rId1509" display="https://www.facebook.com/william.baang" xr:uid="{00000000-0004-0000-0000-0000E4050000}"/>
    <hyperlink ref="I757" r:id="rId1510" display="https://www.facebook.com/rapplerdotcom/photos/a.317154781638645/5597116770309060/" xr:uid="{00000000-0004-0000-0000-0000E5050000}"/>
    <hyperlink ref="A758" r:id="rId1511" display="https://www.facebook.com/lydia.demecais" xr:uid="{00000000-0004-0000-0000-0000E6050000}"/>
    <hyperlink ref="I758" r:id="rId1512" display="https://www.facebook.com/rapplerdotcom/photos/a.317154781638645/5597116770309060/" xr:uid="{00000000-0004-0000-0000-0000E7050000}"/>
    <hyperlink ref="A759" r:id="rId1513" display="https://www.facebook.com/herbiebnitura" xr:uid="{00000000-0004-0000-0000-0000E8050000}"/>
    <hyperlink ref="I759" r:id="rId1514" display="https://www.facebook.com/rapplerdotcom/photos/a.317154781638645/5597116770309060/" xr:uid="{00000000-0004-0000-0000-0000E9050000}"/>
    <hyperlink ref="A760" r:id="rId1515" display="https://www.facebook.com/WinterMemoir" xr:uid="{00000000-0004-0000-0000-0000EA050000}"/>
    <hyperlink ref="I760" r:id="rId1516" display="https://www.facebook.com/rapplerdotcom/photos/a.317154781638645/5597116770309060/" xr:uid="{00000000-0004-0000-0000-0000EB050000}"/>
    <hyperlink ref="A761" r:id="rId1517" display="https://www.facebook.com/herbiebnitura" xr:uid="{00000000-0004-0000-0000-0000EC050000}"/>
    <hyperlink ref="I761" r:id="rId1518" display="https://www.facebook.com/rapplerdotcom/photos/a.317154781638645/5597116770309060/" xr:uid="{00000000-0004-0000-0000-0000ED050000}"/>
    <hyperlink ref="A762" r:id="rId1519" display="https://www.facebook.com/lorna.felipe.1694" xr:uid="{00000000-0004-0000-0000-0000EE050000}"/>
    <hyperlink ref="I762" r:id="rId1520" display="https://www.facebook.com/rapplerdotcom/photos/a.317154781638645/5597116770309060/" xr:uid="{00000000-0004-0000-0000-0000EF050000}"/>
    <hyperlink ref="A763" r:id="rId1521" display="https://www.facebook.com/Louweegeee" xr:uid="{00000000-0004-0000-0000-0000F0050000}"/>
    <hyperlink ref="I763" r:id="rId1522" display="https://www.facebook.com/rapplerdotcom/photos/a.317154781638645/5597116770309060/" xr:uid="{00000000-0004-0000-0000-0000F1050000}"/>
    <hyperlink ref="A764" r:id="rId1523" display="https://www.facebook.com/billyvuelta" xr:uid="{00000000-0004-0000-0000-0000F2050000}"/>
    <hyperlink ref="I764" r:id="rId1524" display="https://www.facebook.com/rapplerdotcom/photos/a.317154781638645/5597116770309060/" xr:uid="{00000000-0004-0000-0000-0000F3050000}"/>
    <hyperlink ref="A765" r:id="rId1525" display="https://www.facebook.com/profile.php?id=100076549753166" xr:uid="{00000000-0004-0000-0000-0000F4050000}"/>
    <hyperlink ref="I765" r:id="rId1526" display="https://www.facebook.com/rapplerdotcom/photos/a.317154781638645/5597116770309060/" xr:uid="{00000000-0004-0000-0000-0000F5050000}"/>
    <hyperlink ref="A766" r:id="rId1527" display="https://www.facebook.com/profile.php?id=100069088022643" xr:uid="{00000000-0004-0000-0000-0000F6050000}"/>
    <hyperlink ref="I766" r:id="rId1528" display="https://www.facebook.com/rapplerdotcom/photos/a.317154781638645/5597116770309060/" xr:uid="{00000000-0004-0000-0000-0000F7050000}"/>
    <hyperlink ref="A767" r:id="rId1529" display="https://www.facebook.com/profile.php?id=100078611073162" xr:uid="{00000000-0004-0000-0000-0000F8050000}"/>
    <hyperlink ref="I767" r:id="rId1530" display="https://www.facebook.com/rapplerdotcom/photos/a.317154781638645/5597116770309060/" xr:uid="{00000000-0004-0000-0000-0000F9050000}"/>
    <hyperlink ref="A768" r:id="rId1531" display="https://www.facebook.com/arnel.dean.31" xr:uid="{00000000-0004-0000-0000-0000FA050000}"/>
    <hyperlink ref="I768" r:id="rId1532" display="https://www.facebook.com/rapplerdotcom/photos/a.317154781638645/5597116770309060/" xr:uid="{00000000-0004-0000-0000-0000FB050000}"/>
    <hyperlink ref="A769" r:id="rId1533" display="https://www.facebook.com/DodiPaul" xr:uid="{00000000-0004-0000-0000-0000FC050000}"/>
    <hyperlink ref="I769" r:id="rId1534" display="https://www.facebook.com/rapplerdotcom/photos/a.317154781638645/5597116770309060/" xr:uid="{00000000-0004-0000-0000-0000FD050000}"/>
    <hyperlink ref="A770" r:id="rId1535" display="https://www.facebook.com/paul.gatmaitan" xr:uid="{00000000-0004-0000-0000-0000FE050000}"/>
    <hyperlink ref="I770" r:id="rId1536" display="https://www.facebook.com/rapplerdotcom/photos/a.317154781638645/5597116770309060/" xr:uid="{00000000-0004-0000-0000-0000FF050000}"/>
    <hyperlink ref="A771" r:id="rId1537" display="https://www.facebook.com/lito.sarmiento.129" xr:uid="{00000000-0004-0000-0000-000000060000}"/>
    <hyperlink ref="I771" r:id="rId1538" display="https://www.facebook.com/rapplerdotcom/photos/a.317154781638645/5597116770309060/" xr:uid="{00000000-0004-0000-0000-000001060000}"/>
    <hyperlink ref="A772" r:id="rId1539" display="https://www.facebook.com/Era1427" xr:uid="{00000000-0004-0000-0000-000002060000}"/>
    <hyperlink ref="I772" r:id="rId1540" display="https://www.facebook.com/rapplerdotcom/photos/a.317154781638645/5597116770309060/" xr:uid="{00000000-0004-0000-0000-000003060000}"/>
    <hyperlink ref="A773" r:id="rId1541" display="https://www.facebook.com/profile.php?id=100076601927157" xr:uid="{00000000-0004-0000-0000-000004060000}"/>
    <hyperlink ref="I773" r:id="rId1542" display="https://www.facebook.com/rapplerdotcom/photos/a.317154781638645/5597116770309060/" xr:uid="{00000000-0004-0000-0000-000005060000}"/>
    <hyperlink ref="A774" r:id="rId1543" display="https://www.facebook.com/josephine.ramos.376" xr:uid="{00000000-0004-0000-0000-000006060000}"/>
    <hyperlink ref="I774" r:id="rId1544" display="https://www.facebook.com/rapplerdotcom/photos/a.317154781638645/5597116770309060/" xr:uid="{00000000-0004-0000-0000-000007060000}"/>
    <hyperlink ref="A775" r:id="rId1545" display="https://www.facebook.com/mcdolawcarla" xr:uid="{00000000-0004-0000-0000-000008060000}"/>
    <hyperlink ref="I775" r:id="rId1546" display="https://www.facebook.com/rapplerdotcom/photos/a.317154781638645/5597116770309060/" xr:uid="{00000000-0004-0000-0000-000009060000}"/>
    <hyperlink ref="A776" r:id="rId1547" display="https://www.facebook.com/jeanpaul.jazmin" xr:uid="{00000000-0004-0000-0000-00000A060000}"/>
    <hyperlink ref="I776" r:id="rId1548" display="https://www.facebook.com/rapplerdotcom/photos/a.317154781638645/5597116770309060/" xr:uid="{00000000-0004-0000-0000-00000B060000}"/>
    <hyperlink ref="A777" r:id="rId1549" display="https://www.facebook.com/jf.ortega.9" xr:uid="{00000000-0004-0000-0000-00000C060000}"/>
    <hyperlink ref="I777" r:id="rId1550" display="https://www.facebook.com/rapplerdotcom/photos/a.317154781638645/5597116770309060/" xr:uid="{00000000-0004-0000-0000-00000D060000}"/>
    <hyperlink ref="A778" r:id="rId1551" display="https://www.facebook.com/nato.basilio" xr:uid="{00000000-0004-0000-0000-00000E060000}"/>
    <hyperlink ref="I778" r:id="rId1552" display="https://www.facebook.com/rapplerdotcom/photos/a.317154781638645/5597116770309060/" xr:uid="{00000000-0004-0000-0000-00000F060000}"/>
    <hyperlink ref="A779" r:id="rId1553" display="https://www.facebook.com/chelle.seyer" xr:uid="{00000000-0004-0000-0000-000010060000}"/>
    <hyperlink ref="I779" r:id="rId1554" display="https://www.facebook.com/rapplerdotcom/photos/a.317154781638645/5597116770309060/" xr:uid="{00000000-0004-0000-0000-000011060000}"/>
    <hyperlink ref="A780" r:id="rId1555" display="https://www.facebook.com/benny.mendoza.39948" xr:uid="{00000000-0004-0000-0000-000012060000}"/>
    <hyperlink ref="I780" r:id="rId1556" display="https://www.facebook.com/rapplerdotcom/photos/a.317154781638645/5597116770309060/" xr:uid="{00000000-0004-0000-0000-000013060000}"/>
    <hyperlink ref="A781" r:id="rId1557" display="https://www.facebook.com/Aprilche888" xr:uid="{00000000-0004-0000-0000-000014060000}"/>
    <hyperlink ref="I781" r:id="rId1558" display="https://www.facebook.com/rapplerdotcom/photos/a.317154781638645/5597116770309060/" xr:uid="{00000000-0004-0000-0000-000015060000}"/>
    <hyperlink ref="A782" r:id="rId1559" display="https://www.facebook.com/profile.php?id=100040658171991" xr:uid="{00000000-0004-0000-0000-000016060000}"/>
    <hyperlink ref="I782" r:id="rId1560" display="https://www.facebook.com/rapplerdotcom/photos/a.317154781638645/5597116770309060/" xr:uid="{00000000-0004-0000-0000-000017060000}"/>
    <hyperlink ref="A783" r:id="rId1561" display="https://www.facebook.com/manchelle01" xr:uid="{00000000-0004-0000-0000-000018060000}"/>
    <hyperlink ref="I783" r:id="rId1562" display="https://www.facebook.com/rapplerdotcom/photos/a.317154781638645/5597116770309060/" xr:uid="{00000000-0004-0000-0000-000019060000}"/>
    <hyperlink ref="A784" r:id="rId1563" display="https://www.facebook.com/cruz.marc.9" xr:uid="{00000000-0004-0000-0000-00001A060000}"/>
    <hyperlink ref="I784" r:id="rId1564" display="https://www.facebook.com/rapplerdotcom/photos/a.317154781638645/5597116770309060/" xr:uid="{00000000-0004-0000-0000-00001B060000}"/>
    <hyperlink ref="A785" r:id="rId1565" display="https://www.facebook.com/king.siquete" xr:uid="{00000000-0004-0000-0000-00001C060000}"/>
    <hyperlink ref="I785" r:id="rId1566" display="https://www.facebook.com/rapplerdotcom/photos/a.317154781638645/5597116770309060/" xr:uid="{00000000-0004-0000-0000-00001D060000}"/>
    <hyperlink ref="A786" r:id="rId1567" display="https://www.facebook.com/profile.php?id=100004342516925" xr:uid="{00000000-0004-0000-0000-00001E060000}"/>
    <hyperlink ref="I786" r:id="rId1568" display="https://www.facebook.com/rapplerdotcom/photos/a.317154781638645/5597116770309060/" xr:uid="{00000000-0004-0000-0000-00001F060000}"/>
    <hyperlink ref="A787" r:id="rId1569" display="https://www.facebook.com/profile.php?id=100004342516925" xr:uid="{00000000-0004-0000-0000-000020060000}"/>
    <hyperlink ref="I787" r:id="rId1570" display="https://www.facebook.com/rapplerdotcom/photos/a.317154781638645/5597116770309060/" xr:uid="{00000000-0004-0000-0000-000021060000}"/>
    <hyperlink ref="A788" r:id="rId1571" display="https://www.facebook.com/ramselyn.ocedaobrero" xr:uid="{00000000-0004-0000-0000-000022060000}"/>
    <hyperlink ref="I788" r:id="rId1572" display="https://www.facebook.com/rapplerdotcom/photos/a.317154781638645/5597116770309060/" xr:uid="{00000000-0004-0000-0000-000023060000}"/>
    <hyperlink ref="A789" r:id="rId1573" display="https://www.facebook.com/florante.lumaban" xr:uid="{00000000-0004-0000-0000-000024060000}"/>
    <hyperlink ref="I789" r:id="rId1574" display="https://www.facebook.com/rapplerdotcom/photos/a.317154781638645/5597116770309060/" xr:uid="{00000000-0004-0000-0000-000025060000}"/>
    <hyperlink ref="A790" r:id="rId1575" display="https://www.facebook.com/nel.mendoza.127201" xr:uid="{00000000-0004-0000-0000-000026060000}"/>
    <hyperlink ref="I790" r:id="rId1576" display="https://www.facebook.com/rapplerdotcom/photos/a.317154781638645/5597116770309060/" xr:uid="{00000000-0004-0000-0000-000027060000}"/>
    <hyperlink ref="A791" r:id="rId1577" display="https://www.facebook.com/gracepenetrante.udarbe" xr:uid="{00000000-0004-0000-0000-000028060000}"/>
    <hyperlink ref="I791" r:id="rId1578" display="https://www.facebook.com/rapplerdotcom/photos/a.317154781638645/5597116770309060/" xr:uid="{00000000-0004-0000-0000-000029060000}"/>
    <hyperlink ref="A792" r:id="rId1579" display="https://www.facebook.com/holaissa.jaboneta" xr:uid="{00000000-0004-0000-0000-00002A060000}"/>
    <hyperlink ref="I792" r:id="rId1580" display="https://www.facebook.com/rapplerdotcom/photos/a.317154781638645/5597116770309060/" xr:uid="{00000000-0004-0000-0000-00002B060000}"/>
    <hyperlink ref="A793" r:id="rId1581" display="https://www.facebook.com/biennes.balloons" xr:uid="{00000000-0004-0000-0000-00002C060000}"/>
    <hyperlink ref="I793" r:id="rId1582" display="https://www.facebook.com/rapplerdotcom/photos/a.317154781638645/5597116770309060/" xr:uid="{00000000-0004-0000-0000-00002D060000}"/>
    <hyperlink ref="A794" r:id="rId1583" display="https://www.facebook.com/francrolan.manansala" xr:uid="{00000000-0004-0000-0000-00002E060000}"/>
    <hyperlink ref="I794" r:id="rId1584" display="https://www.facebook.com/rapplerdotcom/photos/a.317154781638645/5597116770309060/" xr:uid="{00000000-0004-0000-0000-00002F060000}"/>
    <hyperlink ref="A795" r:id="rId1585" display="https://www.facebook.com/profile.php?id=100009152090546" xr:uid="{00000000-0004-0000-0000-000030060000}"/>
    <hyperlink ref="I795" r:id="rId1586" display="https://www.facebook.com/rapplerdotcom/posts/pfbid02AsSA4LQqjQ2Y8SVathQmtduoE3fhoGvQSNhvrzsMerDaJSQJ6jDvApCCiuaE7XCol" xr:uid="{00000000-0004-0000-0000-000031060000}"/>
    <hyperlink ref="A796" r:id="rId1587" display="https://www.facebook.com/docrly" xr:uid="{00000000-0004-0000-0000-000032060000}"/>
    <hyperlink ref="I796" r:id="rId1588" display="https://www.facebook.com/rapplerdotcom/posts/pfbid02AsSA4LQqjQ2Y8SVathQmtduoE3fhoGvQSNhvrzsMerDaJSQJ6jDvApCCiuaE7XCol" xr:uid="{00000000-0004-0000-0000-000033060000}"/>
    <hyperlink ref="A797" r:id="rId1589" display="https://www.facebook.com/elie.cosep.75" xr:uid="{00000000-0004-0000-0000-000034060000}"/>
    <hyperlink ref="I797" r:id="rId1590" display="https://www.facebook.com/rapplerdotcom/posts/pfbid02AsSA4LQqjQ2Y8SVathQmtduoE3fhoGvQSNhvrzsMerDaJSQJ6jDvApCCiuaE7XCol" xr:uid="{00000000-0004-0000-0000-000035060000}"/>
    <hyperlink ref="A798" r:id="rId1591" display="https://www.facebook.com/amjad.lacman" xr:uid="{00000000-0004-0000-0000-000036060000}"/>
    <hyperlink ref="I798" r:id="rId1592" display="https://www.facebook.com/rapplerdotcom/posts/pfbid02AsSA4LQqjQ2Y8SVathQmtduoE3fhoGvQSNhvrzsMerDaJSQJ6jDvApCCiuaE7XCol" xr:uid="{00000000-0004-0000-0000-000037060000}"/>
    <hyperlink ref="A799" r:id="rId1593" display="https://www.facebook.com/DBTunacao" xr:uid="{00000000-0004-0000-0000-000038060000}"/>
    <hyperlink ref="I799" r:id="rId1594" display="https://www.facebook.com/rapplerdotcom/posts/pfbid02AsSA4LQqjQ2Y8SVathQmtduoE3fhoGvQSNhvrzsMerDaJSQJ6jDvApCCiuaE7XCol" xr:uid="{00000000-0004-0000-0000-000039060000}"/>
    <hyperlink ref="A800" r:id="rId1595" display="https://www.facebook.com/mila.magsayo" xr:uid="{00000000-0004-0000-0000-00003A060000}"/>
    <hyperlink ref="I800" r:id="rId1596" display="https://www.facebook.com/rapplerdotcom/posts/pfbid02AsSA4LQqjQ2Y8SVathQmtduoE3fhoGvQSNhvrzsMerDaJSQJ6jDvApCCiuaE7XCol" xr:uid="{00000000-0004-0000-0000-00003B060000}"/>
    <hyperlink ref="A801" r:id="rId1597" display="https://www.facebook.com/profile.php?id=100006370367395" xr:uid="{00000000-0004-0000-0000-00003C060000}"/>
    <hyperlink ref="I801" r:id="rId1598" display="https://www.facebook.com/rapplerdotcom/posts/pfbid02AsSA4LQqjQ2Y8SVathQmtduoE3fhoGvQSNhvrzsMerDaJSQJ6jDvApCCiuaE7XCol" xr:uid="{00000000-0004-0000-0000-00003D060000}"/>
    <hyperlink ref="A802" r:id="rId1599" display="https://www.facebook.com/profile.php?id=100077649885354" xr:uid="{00000000-0004-0000-0000-00003E060000}"/>
    <hyperlink ref="I802" r:id="rId1600" display="https://www.facebook.com/rapplerdotcom/posts/pfbid02AsSA4LQqjQ2Y8SVathQmtduoE3fhoGvQSNhvrzsMerDaJSQJ6jDvApCCiuaE7XCol" xr:uid="{00000000-0004-0000-0000-00003F060000}"/>
    <hyperlink ref="A803" r:id="rId1601" display="https://www.facebook.com/edward.deloso" xr:uid="{00000000-0004-0000-0000-000040060000}"/>
    <hyperlink ref="I803" r:id="rId1602" display="https://www.facebook.com/rapplerdotcom/posts/pfbid02AsSA4LQqjQ2Y8SVathQmtduoE3fhoGvQSNhvrzsMerDaJSQJ6jDvApCCiuaE7XCol" xr:uid="{00000000-0004-0000-0000-000041060000}"/>
    <hyperlink ref="A804" r:id="rId1603" display="https://www.facebook.com/aroemeyen" xr:uid="{00000000-0004-0000-0000-000042060000}"/>
    <hyperlink ref="I804" r:id="rId1604" display="https://www.facebook.com/rapplerdotcom/posts/pfbid02AsSA4LQqjQ2Y8SVathQmtduoE3fhoGvQSNhvrzsMerDaJSQJ6jDvApCCiuaE7XCol" xr:uid="{00000000-0004-0000-0000-000043060000}"/>
    <hyperlink ref="A805" r:id="rId1605" display="https://www.facebook.com/QuenitoKing" xr:uid="{00000000-0004-0000-0000-000044060000}"/>
    <hyperlink ref="I805" r:id="rId1606" display="https://www.facebook.com/rapplerdotcom/posts/pfbid02AsSA4LQqjQ2Y8SVathQmtduoE3fhoGvQSNhvrzsMerDaJSQJ6jDvApCCiuaE7XCol" xr:uid="{00000000-0004-0000-0000-000045060000}"/>
    <hyperlink ref="A806" r:id="rId1607" display="https://www.facebook.com/ngorab.ngidnam" xr:uid="{00000000-0004-0000-0000-000046060000}"/>
    <hyperlink ref="I806" r:id="rId1608" display="https://www.facebook.com/rapplerdotcom/posts/pfbid02AsSA4LQqjQ2Y8SVathQmtduoE3fhoGvQSNhvrzsMerDaJSQJ6jDvApCCiuaE7XCol" xr:uid="{00000000-0004-0000-0000-000047060000}"/>
    <hyperlink ref="A807" r:id="rId1609" display="https://www.facebook.com/profile.php?id=100001866881530" xr:uid="{00000000-0004-0000-0000-000048060000}"/>
    <hyperlink ref="I807" r:id="rId1610" display="https://www.facebook.com/rapplerdotcom/posts/pfbid02AsSA4LQqjQ2Y8SVathQmtduoE3fhoGvQSNhvrzsMerDaJSQJ6jDvApCCiuaE7XCol" xr:uid="{00000000-0004-0000-0000-000049060000}"/>
    <hyperlink ref="A808" r:id="rId1611" display="https://www.facebook.com/cenizanestor" xr:uid="{00000000-0004-0000-0000-00004A060000}"/>
    <hyperlink ref="I808" r:id="rId1612" display="https://www.facebook.com/rapplerdotcom/posts/pfbid02AsSA4LQqjQ2Y8SVathQmtduoE3fhoGvQSNhvrzsMerDaJSQJ6jDvApCCiuaE7XCol" xr:uid="{00000000-0004-0000-0000-00004B060000}"/>
    <hyperlink ref="A809" r:id="rId1613" display="https://www.facebook.com/nilo.asas" xr:uid="{00000000-0004-0000-0000-00004C060000}"/>
    <hyperlink ref="I809" r:id="rId1614" display="https://www.facebook.com/rapplerdotcom/posts/pfbid02AsSA4LQqjQ2Y8SVathQmtduoE3fhoGvQSNhvrzsMerDaJSQJ6jDvApCCiuaE7XCol" xr:uid="{00000000-0004-0000-0000-00004D060000}"/>
    <hyperlink ref="A810" r:id="rId1615" display="https://www.facebook.com/profile.php?id=100008332086519" xr:uid="{00000000-0004-0000-0000-00004E060000}"/>
    <hyperlink ref="I810" r:id="rId1616" display="https://www.facebook.com/rapplerdotcom/posts/pfbid02AsSA4LQqjQ2Y8SVathQmtduoE3fhoGvQSNhvrzsMerDaJSQJ6jDvApCCiuaE7XCol" xr:uid="{00000000-0004-0000-0000-00004F060000}"/>
    <hyperlink ref="A811" r:id="rId1617" display="https://www.facebook.com/profile.php?id=100077412090788" xr:uid="{00000000-0004-0000-0000-000050060000}"/>
    <hyperlink ref="I811" r:id="rId1618" display="https://www.facebook.com/rapplerdotcom/posts/pfbid02AsSA4LQqjQ2Y8SVathQmtduoE3fhoGvQSNhvrzsMerDaJSQJ6jDvApCCiuaE7XCol" xr:uid="{00000000-0004-0000-0000-000051060000}"/>
    <hyperlink ref="A812" r:id="rId1619" display="https://www.facebook.com/helen.y.dizon" xr:uid="{00000000-0004-0000-0000-000052060000}"/>
    <hyperlink ref="I812" r:id="rId1620" display="https://www.facebook.com/rapplerdotcom/posts/pfbid02AsSA4LQqjQ2Y8SVathQmtduoE3fhoGvQSNhvrzsMerDaJSQJ6jDvApCCiuaE7XCol" xr:uid="{00000000-0004-0000-0000-000053060000}"/>
    <hyperlink ref="A813" r:id="rId1621" display="https://www.facebook.com/rose.orain" xr:uid="{00000000-0004-0000-0000-000054060000}"/>
    <hyperlink ref="I813" r:id="rId1622" display="https://www.facebook.com/rapplerdotcom/posts/pfbid02AsSA4LQqjQ2Y8SVathQmtduoE3fhoGvQSNhvrzsMerDaJSQJ6jDvApCCiuaE7XCol" xr:uid="{00000000-0004-0000-0000-000055060000}"/>
    <hyperlink ref="A814" r:id="rId1623" display="https://www.facebook.com/virgenia.estrada.1" xr:uid="{00000000-0004-0000-0000-000056060000}"/>
    <hyperlink ref="I814" r:id="rId1624" display="https://www.facebook.com/rapplerdotcom/posts/pfbid02AsSA4LQqjQ2Y8SVathQmtduoE3fhoGvQSNhvrzsMerDaJSQJ6jDvApCCiuaE7XCol" xr:uid="{00000000-0004-0000-0000-000057060000}"/>
    <hyperlink ref="A815" r:id="rId1625" display="https://www.facebook.com/profile.php?id=100007389911616" xr:uid="{00000000-0004-0000-0000-000058060000}"/>
    <hyperlink ref="I815" r:id="rId1626" display="https://www.facebook.com/rapplerdotcom/posts/pfbid02AsSA4LQqjQ2Y8SVathQmtduoE3fhoGvQSNhvrzsMerDaJSQJ6jDvApCCiuaE7XCol" xr:uid="{00000000-0004-0000-0000-000059060000}"/>
    <hyperlink ref="A816" r:id="rId1627" display="https://www.facebook.com/virgenia.estrada.1" xr:uid="{00000000-0004-0000-0000-00005A060000}"/>
    <hyperlink ref="I816" r:id="rId1628" display="https://www.facebook.com/rapplerdotcom/posts/pfbid02AsSA4LQqjQ2Y8SVathQmtduoE3fhoGvQSNhvrzsMerDaJSQJ6jDvApCCiuaE7XCol" xr:uid="{00000000-0004-0000-0000-00005B060000}"/>
    <hyperlink ref="A817" r:id="rId1629" display="https://www.facebook.com/ramon.l.escueta" xr:uid="{00000000-0004-0000-0000-00005C060000}"/>
    <hyperlink ref="I817" r:id="rId1630" display="https://www.facebook.com/rapplerdotcom/posts/pfbid02AsSA4LQqjQ2Y8SVathQmtduoE3fhoGvQSNhvrzsMerDaJSQJ6jDvApCCiuaE7XCol" xr:uid="{00000000-0004-0000-0000-00005D060000}"/>
    <hyperlink ref="A818" r:id="rId1631" display="https://www.facebook.com/rapkarl04" xr:uid="{00000000-0004-0000-0000-00005E060000}"/>
    <hyperlink ref="I818" r:id="rId1632" display="https://www.facebook.com/rapplerdotcom/posts/pfbid02AsSA4LQqjQ2Y8SVathQmtduoE3fhoGvQSNhvrzsMerDaJSQJ6jDvApCCiuaE7XCol" xr:uid="{00000000-0004-0000-0000-00005F060000}"/>
    <hyperlink ref="A819" r:id="rId1633" display="https://www.facebook.com/rodel.franco.925" xr:uid="{00000000-0004-0000-0000-000060060000}"/>
    <hyperlink ref="I819" r:id="rId1634" display="https://www.facebook.com/rapplerdotcom/posts/pfbid02AsSA4LQqjQ2Y8SVathQmtduoE3fhoGvQSNhvrzsMerDaJSQJ6jDvApCCiuaE7XCol" xr:uid="{00000000-0004-0000-0000-000061060000}"/>
    <hyperlink ref="A820" r:id="rId1635" display="https://www.facebook.com/profile.php?id=100002846509290" xr:uid="{00000000-0004-0000-0000-000062060000}"/>
    <hyperlink ref="I820" r:id="rId1636" display="https://www.facebook.com/rapplerdotcom/posts/pfbid02AsSA4LQqjQ2Y8SVathQmtduoE3fhoGvQSNhvrzsMerDaJSQJ6jDvApCCiuaE7XCol" xr:uid="{00000000-0004-0000-0000-000063060000}"/>
    <hyperlink ref="A821" r:id="rId1637" display="https://www.facebook.com/0menP0" xr:uid="{00000000-0004-0000-0000-000064060000}"/>
    <hyperlink ref="I821" r:id="rId1638" display="https://www.facebook.com/rapplerdotcom/posts/pfbid02AsSA4LQqjQ2Y8SVathQmtduoE3fhoGvQSNhvrzsMerDaJSQJ6jDvApCCiuaE7XCol" xr:uid="{00000000-0004-0000-0000-000065060000}"/>
    <hyperlink ref="A822" r:id="rId1639" display="https://www.facebook.com/jun.dizon.129" xr:uid="{00000000-0004-0000-0000-000066060000}"/>
    <hyperlink ref="I822" r:id="rId1640" display="https://www.facebook.com/rapplerdotcom/posts/pfbid02AsSA4LQqjQ2Y8SVathQmtduoE3fhoGvQSNhvrzsMerDaJSQJ6jDvApCCiuaE7XCol" xr:uid="{00000000-0004-0000-0000-000067060000}"/>
    <hyperlink ref="A823" r:id="rId1641" display="https://www.facebook.com/nes.jularbal.69" xr:uid="{00000000-0004-0000-0000-000068060000}"/>
    <hyperlink ref="I823" r:id="rId1642" display="https://www.facebook.com/rapplerdotcom/posts/pfbid02AsSA4LQqjQ2Y8SVathQmtduoE3fhoGvQSNhvrzsMerDaJSQJ6jDvApCCiuaE7XCol" xr:uid="{00000000-0004-0000-0000-000069060000}"/>
    <hyperlink ref="A824" r:id="rId1643" display="https://www.facebook.com/antondee60" xr:uid="{00000000-0004-0000-0000-00006A060000}"/>
    <hyperlink ref="I824" r:id="rId1644" display="https://www.facebook.com/rapplerdotcom/posts/pfbid02AsSA4LQqjQ2Y8SVathQmtduoE3fhoGvQSNhvrzsMerDaJSQJ6jDvApCCiuaE7XCol" xr:uid="{00000000-0004-0000-0000-00006B060000}"/>
    <hyperlink ref="A825" r:id="rId1645" display="https://www.facebook.com/DBTunacao" xr:uid="{00000000-0004-0000-0000-00006C060000}"/>
    <hyperlink ref="I825" r:id="rId1646" display="https://www.facebook.com/rapplerdotcom/posts/pfbid02AsSA4LQqjQ2Y8SVathQmtduoE3fhoGvQSNhvrzsMerDaJSQJ6jDvApCCiuaE7XCol" xr:uid="{00000000-0004-0000-0000-00006D060000}"/>
    <hyperlink ref="A826" r:id="rId1647" display="https://www.facebook.com/ZenUnchi" xr:uid="{00000000-0004-0000-0000-00006E060000}"/>
    <hyperlink ref="I826" r:id="rId1648" display="https://www.facebook.com/rapplerdotcom/posts/pfbid02AsSA4LQqjQ2Y8SVathQmtduoE3fhoGvQSNhvrzsMerDaJSQJ6jDvApCCiuaE7XCol" xr:uid="{00000000-0004-0000-0000-00006F060000}"/>
    <hyperlink ref="A827" r:id="rId1649" display="https://www.facebook.com/oteng.gai" xr:uid="{00000000-0004-0000-0000-000070060000}"/>
    <hyperlink ref="I827" r:id="rId1650" display="https://www.facebook.com/rapplerdotcom/posts/pfbid02AsSA4LQqjQ2Y8SVathQmtduoE3fhoGvQSNhvrzsMerDaJSQJ6jDvApCCiuaE7XCol" xr:uid="{00000000-0004-0000-0000-000071060000}"/>
    <hyperlink ref="A828" r:id="rId1651" display="https://www.facebook.com/Derolferrot" xr:uid="{00000000-0004-0000-0000-000072060000}"/>
    <hyperlink ref="I828" r:id="rId1652" display="https://www.facebook.com/rapplerdotcom/posts/pfbid02AsSA4LQqjQ2Y8SVathQmtduoE3fhoGvQSNhvrzsMerDaJSQJ6jDvApCCiuaE7XCol" xr:uid="{00000000-0004-0000-0000-000073060000}"/>
    <hyperlink ref="A829" r:id="rId1653" display="https://www.facebook.com/henkendeman" xr:uid="{00000000-0004-0000-0000-000074060000}"/>
    <hyperlink ref="I829" r:id="rId1654" display="https://www.facebook.com/rapplerdotcom/posts/pfbid02AsSA4LQqjQ2Y8SVathQmtduoE3fhoGvQSNhvrzsMerDaJSQJ6jDvApCCiuaE7XCol" xr:uid="{00000000-0004-0000-0000-000075060000}"/>
    <hyperlink ref="A830" r:id="rId1655" display="https://www.facebook.com/profile.php?id=100078647222981" xr:uid="{00000000-0004-0000-0000-000076060000}"/>
    <hyperlink ref="I830" r:id="rId1656" display="https://www.facebook.com/rapplerdotcom/posts/pfbid02AsSA4LQqjQ2Y8SVathQmtduoE3fhoGvQSNhvrzsMerDaJSQJ6jDvApCCiuaE7XCol" xr:uid="{00000000-0004-0000-0000-000077060000}"/>
    <hyperlink ref="A831" r:id="rId1657" display="https://www.facebook.com/mabelen.a.cartago" xr:uid="{00000000-0004-0000-0000-000078060000}"/>
    <hyperlink ref="I831" r:id="rId1658" display="https://www.facebook.com/rapplerdotcom/posts/pfbid02AsSA4LQqjQ2Y8SVathQmtduoE3fhoGvQSNhvrzsMerDaJSQJ6jDvApCCiuaE7XCol" xr:uid="{00000000-0004-0000-0000-000079060000}"/>
    <hyperlink ref="A832" r:id="rId1659" display="https://www.facebook.com/pampilo.layson" xr:uid="{00000000-0004-0000-0000-00007A060000}"/>
    <hyperlink ref="I832" r:id="rId1660" display="https://www.facebook.com/rapplerdotcom/posts/pfbid02AsSA4LQqjQ2Y8SVathQmtduoE3fhoGvQSNhvrzsMerDaJSQJ6jDvApCCiuaE7XCol" xr:uid="{00000000-0004-0000-0000-00007B060000}"/>
    <hyperlink ref="A833" r:id="rId1661" display="https://www.facebook.com/profile.php?id=100078745816266" xr:uid="{00000000-0004-0000-0000-00007C060000}"/>
    <hyperlink ref="I833" r:id="rId1662" display="https://www.facebook.com/rapplerdotcom/posts/pfbid02AsSA4LQqjQ2Y8SVathQmtduoE3fhoGvQSNhvrzsMerDaJSQJ6jDvApCCiuaE7XCol" xr:uid="{00000000-0004-0000-0000-00007D060000}"/>
    <hyperlink ref="A834" r:id="rId1663" display="https://www.facebook.com/cruz.marc.9" xr:uid="{00000000-0004-0000-0000-00007E060000}"/>
    <hyperlink ref="I834" r:id="rId1664" display="https://www.facebook.com/rapplerdotcom/posts/pfbid02AsSA4LQqjQ2Y8SVathQmtduoE3fhoGvQSNhvrzsMerDaJSQJ6jDvApCCiuaE7XCol" xr:uid="{00000000-0004-0000-0000-00007F060000}"/>
    <hyperlink ref="A835" r:id="rId1665" display="https://www.facebook.com/dan.mendoza.5602" xr:uid="{00000000-0004-0000-0000-000080060000}"/>
    <hyperlink ref="I835" r:id="rId1666" display="https://www.facebook.com/rapplerdotcom/posts/pfbid02AsSA4LQqjQ2Y8SVathQmtduoE3fhoGvQSNhvrzsMerDaJSQJ6jDvApCCiuaE7XCol" xr:uid="{00000000-0004-0000-0000-000081060000}"/>
    <hyperlink ref="A836" r:id="rId1667" display="https://www.facebook.com/carlreyes09" xr:uid="{00000000-0004-0000-0000-000082060000}"/>
    <hyperlink ref="I836" r:id="rId1668" display="https://www.facebook.com/rapplerdotcom/posts/pfbid02AsSA4LQqjQ2Y8SVathQmtduoE3fhoGvQSNhvrzsMerDaJSQJ6jDvApCCiuaE7XCol" xr:uid="{00000000-0004-0000-0000-000083060000}"/>
    <hyperlink ref="A837" r:id="rId1669" display="https://www.facebook.com/eddie.d.cruz.7" xr:uid="{00000000-0004-0000-0000-000084060000}"/>
    <hyperlink ref="I837" r:id="rId1670" display="https://www.facebook.com/rapplerdotcom/posts/pfbid02AsSA4LQqjQ2Y8SVathQmtduoE3fhoGvQSNhvrzsMerDaJSQJ6jDvApCCiuaE7XCol" xr:uid="{00000000-0004-0000-0000-000085060000}"/>
    <hyperlink ref="A838" r:id="rId1671" display="https://www.facebook.com/julius.alonzo.5" xr:uid="{00000000-0004-0000-0000-000086060000}"/>
    <hyperlink ref="I838" r:id="rId1672" display="https://www.facebook.com/rapplerdotcom/photos/a.317154781638645/5596043783749692/" xr:uid="{00000000-0004-0000-0000-000087060000}"/>
    <hyperlink ref="A839" r:id="rId1673" display="https://www.facebook.com/dr.julius.uy" xr:uid="{00000000-0004-0000-0000-000088060000}"/>
    <hyperlink ref="I839" r:id="rId1674" display="https://www.facebook.com/rapplerdotcom/photos/a.317154781638645/5596043783749692/" xr:uid="{00000000-0004-0000-0000-000089060000}"/>
    <hyperlink ref="A840" r:id="rId1675" display="https://www.facebook.com/pepe.ledesma.7140" xr:uid="{00000000-0004-0000-0000-00008A060000}"/>
    <hyperlink ref="I840" r:id="rId1676" display="https://www.facebook.com/rapplerdotcom/photos/a.317154781638645/5596043783749692/" xr:uid="{00000000-0004-0000-0000-00008B060000}"/>
    <hyperlink ref="A841" r:id="rId1677" display="https://www.facebook.com/jening.martinez" xr:uid="{00000000-0004-0000-0000-00008C060000}"/>
    <hyperlink ref="I841" r:id="rId1678" display="https://www.facebook.com/rapplerdotcom/photos/a.317154781638645/5596043783749692/" xr:uid="{00000000-0004-0000-0000-00008D060000}"/>
    <hyperlink ref="A842" r:id="rId1679" display="https://www.facebook.com/yongcoonang" xr:uid="{00000000-0004-0000-0000-00008E060000}"/>
    <hyperlink ref="I842" r:id="rId1680" display="https://www.facebook.com/rapplerdotcom/photos/a.317154781638645/5596043783749692/" xr:uid="{00000000-0004-0000-0000-00008F060000}"/>
    <hyperlink ref="A843" r:id="rId1681" display="https://www.facebook.com/nedned.anobla" xr:uid="{00000000-0004-0000-0000-000090060000}"/>
    <hyperlink ref="I843" r:id="rId1682" display="https://www.facebook.com/rapplerdotcom/photos/a.317154781638645/5596043783749692/" xr:uid="{00000000-0004-0000-0000-000091060000}"/>
    <hyperlink ref="A844" r:id="rId1683" display="https://www.facebook.com/tony.deguzman.104" xr:uid="{00000000-0004-0000-0000-000092060000}"/>
    <hyperlink ref="I844" r:id="rId1684" display="https://www.facebook.com/rapplerdotcom/photos/a.317154781638645/5596043783749692/" xr:uid="{00000000-0004-0000-0000-000093060000}"/>
    <hyperlink ref="A845" r:id="rId1685" display="https://www.facebook.com/kenneth.shinkim" xr:uid="{00000000-0004-0000-0000-000094060000}"/>
    <hyperlink ref="I845" r:id="rId1686" display="https://www.facebook.com/rapplerdotcom/photos/a.317154781638645/5596043783749692/" xr:uid="{00000000-0004-0000-0000-000095060000}"/>
    <hyperlink ref="A846" r:id="rId1687" display="https://www.facebook.com/yongcoonang" xr:uid="{00000000-0004-0000-0000-000096060000}"/>
    <hyperlink ref="I846" r:id="rId1688" display="https://www.facebook.com/rapplerdotcom/photos/a.317154781638645/5596043783749692/" xr:uid="{00000000-0004-0000-0000-000097060000}"/>
    <hyperlink ref="A847" r:id="rId1689" display="https://www.facebook.com/ricollections08" xr:uid="{00000000-0004-0000-0000-000098060000}"/>
    <hyperlink ref="I847" r:id="rId1690" display="https://www.facebook.com/rapplerdotcom/photos/a.317154781638645/5596043783749692/" xr:uid="{00000000-0004-0000-0000-000099060000}"/>
    <hyperlink ref="A848" r:id="rId1691" display="https://www.facebook.com/yongcoonang" xr:uid="{00000000-0004-0000-0000-00009A060000}"/>
    <hyperlink ref="I848" r:id="rId1692" display="https://www.facebook.com/rapplerdotcom/photos/a.317154781638645/5596043783749692/" xr:uid="{00000000-0004-0000-0000-00009B060000}"/>
    <hyperlink ref="A849" r:id="rId1693" display="https://www.facebook.com/ino.reyes.1441" xr:uid="{00000000-0004-0000-0000-00009C060000}"/>
    <hyperlink ref="I849" r:id="rId1694" display="https://www.facebook.com/rapplerdotcom/photos/a.317154781638645/5596043783749692/" xr:uid="{00000000-0004-0000-0000-00009D060000}"/>
    <hyperlink ref="A850" r:id="rId1695" display="https://www.facebook.com/felix.bauya.9" xr:uid="{00000000-0004-0000-0000-00009E060000}"/>
    <hyperlink ref="I850" r:id="rId1696" display="https://www.facebook.com/rapplerdotcom/photos/a.317154781638645/5596043783749692/" xr:uid="{00000000-0004-0000-0000-00009F060000}"/>
    <hyperlink ref="A851" r:id="rId1697" display="https://www.facebook.com/cory.ander.3" xr:uid="{00000000-0004-0000-0000-0000A0060000}"/>
    <hyperlink ref="I851" r:id="rId1698" display="https://www.facebook.com/rapplerdotcom/photos/a.317154781638645/5596043783749692/" xr:uid="{00000000-0004-0000-0000-0000A1060000}"/>
    <hyperlink ref="A852" r:id="rId1699" display="https://www.facebook.com/cory.ander.3" xr:uid="{00000000-0004-0000-0000-0000A2060000}"/>
    <hyperlink ref="I852" r:id="rId1700" display="https://www.facebook.com/rapplerdotcom/photos/a.317154781638645/5596043783749692/" xr:uid="{00000000-0004-0000-0000-0000A3060000}"/>
    <hyperlink ref="A853" r:id="rId1701" display="https://www.facebook.com/EnricElesisCruz" xr:uid="{00000000-0004-0000-0000-0000A4060000}"/>
    <hyperlink ref="I853" r:id="rId1702" display="https://www.facebook.com/rapplerdotcom/photos/a.317154781638645/5596043783749692/" xr:uid="{00000000-0004-0000-0000-0000A5060000}"/>
    <hyperlink ref="A854" r:id="rId1703" display="https://www.facebook.com/cory.ander.3" xr:uid="{00000000-0004-0000-0000-0000A6060000}"/>
    <hyperlink ref="I854" r:id="rId1704" display="https://www.facebook.com/rapplerdotcom/photos/a.317154781638645/5596043783749692/" xr:uid="{00000000-0004-0000-0000-0000A7060000}"/>
    <hyperlink ref="A855" r:id="rId1705" display="https://www.facebook.com/leon.leyoww" xr:uid="{00000000-0004-0000-0000-0000A8060000}"/>
    <hyperlink ref="I855" r:id="rId1706" display="https://www.facebook.com/rapplerdotcom/photos/a.317154781638645/5596043783749692/" xr:uid="{00000000-0004-0000-0000-0000A9060000}"/>
    <hyperlink ref="A856" r:id="rId1707" display="https://www.facebook.com/profile.php?id=100013008619170" xr:uid="{00000000-0004-0000-0000-0000AA060000}"/>
    <hyperlink ref="I856" r:id="rId1708" display="https://www.facebook.com/rapplerdotcom/photos/a.317154781638645/5596043783749692/" xr:uid="{00000000-0004-0000-0000-0000AB060000}"/>
    <hyperlink ref="A857" r:id="rId1709" display="https://www.facebook.com/geegee.lopez" xr:uid="{00000000-0004-0000-0000-0000AC060000}"/>
    <hyperlink ref="I857" r:id="rId1710" display="https://www.facebook.com/rapplerdotcom/photos/a.317154781638645/5596043783749692/" xr:uid="{00000000-0004-0000-0000-0000AD060000}"/>
    <hyperlink ref="A858" r:id="rId1711" display="https://www.facebook.com/julio.quian" xr:uid="{00000000-0004-0000-0000-0000AE060000}"/>
    <hyperlink ref="I858" r:id="rId1712" display="https://www.facebook.com/rapplerdotcom/photos/a.317154781638645/5596043783749692/" xr:uid="{00000000-0004-0000-0000-0000AF060000}"/>
    <hyperlink ref="A859" r:id="rId1713" display="https://www.facebook.com/maripaz.mira" xr:uid="{00000000-0004-0000-0000-0000B0060000}"/>
    <hyperlink ref="I859" r:id="rId1714" display="https://www.facebook.com/rapplerdotcom/photos/a.317154781638645/5596043783749692/" xr:uid="{00000000-0004-0000-0000-0000B1060000}"/>
    <hyperlink ref="A860" r:id="rId1715" display="https://www.facebook.com/arizagabrielellaine" xr:uid="{00000000-0004-0000-0000-0000B2060000}"/>
    <hyperlink ref="I860" r:id="rId1716" display="https://www.facebook.com/rapplerdotcom/photos/a.317154781638645/5596043783749692/" xr:uid="{00000000-0004-0000-0000-0000B3060000}"/>
    <hyperlink ref="A861" r:id="rId1717" display="https://www.facebook.com/profile.php?id=100009486210065" xr:uid="{00000000-0004-0000-0000-0000B4060000}"/>
    <hyperlink ref="I861" r:id="rId1718" display="https://www.facebook.com/rapplerdotcom/photos/a.317154781638645/5596043783749692/" xr:uid="{00000000-0004-0000-0000-0000B5060000}"/>
    <hyperlink ref="A862" r:id="rId1719" display="https://www.facebook.com/EJCAmoroso" xr:uid="{00000000-0004-0000-0000-0000B6060000}"/>
    <hyperlink ref="I862" r:id="rId1720" display="https://www.facebook.com/rapplerdotcom/photos/a.317154781638645/5596043783749692/" xr:uid="{00000000-0004-0000-0000-0000B7060000}"/>
    <hyperlink ref="A863" r:id="rId1721" display="https://www.facebook.com/mhelay.ybanez" xr:uid="{00000000-0004-0000-0000-0000B8060000}"/>
    <hyperlink ref="I863" r:id="rId1722" display="https://www.facebook.com/rapplerdotcom/photos/a.317154781638645/5596043783749692/" xr:uid="{00000000-0004-0000-0000-0000B9060000}"/>
    <hyperlink ref="A864" r:id="rId1723" display="https://www.facebook.com/dhang.veritas" xr:uid="{00000000-0004-0000-0000-0000BA060000}"/>
    <hyperlink ref="I864" r:id="rId1724" display="https://www.facebook.com/rapplerdotcom/photos/a.317154781638645/5596043783749692/" xr:uid="{00000000-0004-0000-0000-0000BB060000}"/>
    <hyperlink ref="A865" r:id="rId1725" display="https://www.facebook.com/xernes.martinez" xr:uid="{00000000-0004-0000-0000-0000BC060000}"/>
    <hyperlink ref="I865" r:id="rId1726" display="https://www.facebook.com/rapplerdotcom/photos/a.317154781638645/5596043783749692/" xr:uid="{00000000-0004-0000-0000-0000BD060000}"/>
    <hyperlink ref="A866" r:id="rId1727" display="https://www.facebook.com/ellen.barrios" xr:uid="{00000000-0004-0000-0000-0000BE060000}"/>
    <hyperlink ref="I866" r:id="rId1728" display="https://www.facebook.com/rapplerdotcom/photos/a.317154781638645/5596043783749692/" xr:uid="{00000000-0004-0000-0000-0000BF060000}"/>
    <hyperlink ref="A867" r:id="rId1729" display="https://www.facebook.com/nedned.anobla" xr:uid="{00000000-0004-0000-0000-0000C0060000}"/>
    <hyperlink ref="I867" r:id="rId1730" display="https://www.facebook.com/rapplerdotcom/photos/a.317154781638645/5596043783749692/" xr:uid="{00000000-0004-0000-0000-0000C1060000}"/>
    <hyperlink ref="A868" r:id="rId1731" display="https://www.facebook.com/nedned.anobla" xr:uid="{00000000-0004-0000-0000-0000C2060000}"/>
    <hyperlink ref="I868" r:id="rId1732" display="https://www.facebook.com/rapplerdotcom/photos/a.317154781638645/5596043783749692/" xr:uid="{00000000-0004-0000-0000-0000C3060000}"/>
    <hyperlink ref="A869" r:id="rId1733" display="https://www.facebook.com/jean.salmorin.731" xr:uid="{00000000-0004-0000-0000-0000C4060000}"/>
    <hyperlink ref="I869" r:id="rId1734" display="https://www.facebook.com/rapplerdotcom/photos/a.317154781638645/5596043783749692/" xr:uid="{00000000-0004-0000-0000-0000C5060000}"/>
    <hyperlink ref="A870" r:id="rId1735" display="https://www.facebook.com/honeybee.apelado" xr:uid="{00000000-0004-0000-0000-0000C6060000}"/>
    <hyperlink ref="I870" r:id="rId1736" display="https://www.facebook.com/rapplerdotcom/photos/a.317154781638645/5596043783749692/" xr:uid="{00000000-0004-0000-0000-0000C7060000}"/>
    <hyperlink ref="A871" r:id="rId1737" display="https://www.facebook.com/profile.php?id=100023261888630" xr:uid="{00000000-0004-0000-0000-0000C8060000}"/>
    <hyperlink ref="I871" r:id="rId1738" display="https://www.facebook.com/rapplerdotcom/photos/a.317154781638645/5596043783749692/" xr:uid="{00000000-0004-0000-0000-0000C9060000}"/>
    <hyperlink ref="A872" r:id="rId1739" display="https://www.facebook.com/ellen.barrios" xr:uid="{00000000-0004-0000-0000-0000CA060000}"/>
    <hyperlink ref="I872" r:id="rId1740" display="https://www.facebook.com/rapplerdotcom/photos/a.317154781638645/5596043783749692/" xr:uid="{00000000-0004-0000-0000-0000CB060000}"/>
    <hyperlink ref="A873" r:id="rId1741" display="https://www.facebook.com/ellen.barrios" xr:uid="{00000000-0004-0000-0000-0000CC060000}"/>
    <hyperlink ref="I873" r:id="rId1742" display="https://www.facebook.com/rapplerdotcom/photos/a.317154781638645/5596043783749692/" xr:uid="{00000000-0004-0000-0000-0000CD060000}"/>
    <hyperlink ref="A874" r:id="rId1743" display="https://www.facebook.com/profile.php?id=100023261888630" xr:uid="{00000000-0004-0000-0000-0000CE060000}"/>
    <hyperlink ref="I874" r:id="rId1744" display="https://www.facebook.com/rapplerdotcom/photos/a.317154781638645/5596043783749692/" xr:uid="{00000000-0004-0000-0000-0000CF060000}"/>
    <hyperlink ref="A875" r:id="rId1745" display="https://www.facebook.com/jsprjmr" xr:uid="{00000000-0004-0000-0000-0000D0060000}"/>
    <hyperlink ref="I875" r:id="rId1746" display="https://www.facebook.com/rapplerdotcom/photos/a.317154781638645/5596043783749692/" xr:uid="{00000000-0004-0000-0000-0000D1060000}"/>
    <hyperlink ref="A876" r:id="rId1747" display="https://www.facebook.com/ellen.barrios" xr:uid="{00000000-0004-0000-0000-0000D2060000}"/>
    <hyperlink ref="I876" r:id="rId1748" display="https://www.facebook.com/rapplerdotcom/photos/a.317154781638645/5596043783749692/" xr:uid="{00000000-0004-0000-0000-0000D3060000}"/>
    <hyperlink ref="A877" r:id="rId1749" display="https://www.facebook.com/nedned.anobla" xr:uid="{00000000-0004-0000-0000-0000D4060000}"/>
    <hyperlink ref="I877" r:id="rId1750" display="https://www.facebook.com/rapplerdotcom/photos/a.317154781638645/5596043783749692/" xr:uid="{00000000-0004-0000-0000-0000D5060000}"/>
    <hyperlink ref="A878" r:id="rId1751" display="https://www.facebook.com/tumaladjennie" xr:uid="{00000000-0004-0000-0000-0000D6060000}"/>
    <hyperlink ref="I878" r:id="rId1752" display="https://www.facebook.com/rapplerdotcom/photos/a.317154781638645/5596043783749692/" xr:uid="{00000000-0004-0000-0000-0000D7060000}"/>
    <hyperlink ref="A879" r:id="rId1753" display="https://www.facebook.com/dyoeff.lmabasa" xr:uid="{00000000-0004-0000-0000-0000D8060000}"/>
    <hyperlink ref="I879" r:id="rId1754" display="https://www.facebook.com/rapplerdotcom/photos/a.317154781638645/5596043783749692/" xr:uid="{00000000-0004-0000-0000-0000D9060000}"/>
    <hyperlink ref="A880" r:id="rId1755" display="https://www.facebook.com/yongcoonang" xr:uid="{00000000-0004-0000-0000-0000DA060000}"/>
    <hyperlink ref="I880" r:id="rId1756" display="https://www.facebook.com/rapplerdotcom/photos/a.317154781638645/5596043783749692/" xr:uid="{00000000-0004-0000-0000-0000DB060000}"/>
    <hyperlink ref="A881" r:id="rId1757" display="https://www.facebook.com/arnie.puertollano" xr:uid="{00000000-0004-0000-0000-0000DC060000}"/>
    <hyperlink ref="I881" r:id="rId1758" display="https://www.facebook.com/rapplerdotcom/photos/a.317154781638645/5596043783749692/" xr:uid="{00000000-0004-0000-0000-0000DD060000}"/>
    <hyperlink ref="A882" r:id="rId1759" display="https://www.facebook.com/profile.php?id=100072698662337" xr:uid="{00000000-0004-0000-0000-0000DE060000}"/>
    <hyperlink ref="I882" r:id="rId1760" display="https://www.facebook.com/rapplerdotcom/photos/a.317154781638645/5596043783749692/" xr:uid="{00000000-0004-0000-0000-0000DF060000}"/>
    <hyperlink ref="A883" r:id="rId1761" display="https://www.facebook.com/profile.php?id=100047813203588" xr:uid="{00000000-0004-0000-0000-0000E0060000}"/>
    <hyperlink ref="I883" r:id="rId1762" display="https://www.facebook.com/rapplerdotcom/photos/a.317154781638645/5596043783749692/" xr:uid="{00000000-0004-0000-0000-0000E1060000}"/>
    <hyperlink ref="A884" r:id="rId1763" display="https://www.facebook.com/nigeltan.ph" xr:uid="{00000000-0004-0000-0000-0000E2060000}"/>
    <hyperlink ref="I884" r:id="rId1764" display="https://www.facebook.com/rapplerdotcom/photos/a.317154781638645/5596043783749692/" xr:uid="{00000000-0004-0000-0000-0000E3060000}"/>
    <hyperlink ref="A885" r:id="rId1765" display="https://www.facebook.com/yongcoonang" xr:uid="{00000000-0004-0000-0000-0000E4060000}"/>
    <hyperlink ref="I885" r:id="rId1766" display="https://www.facebook.com/rapplerdotcom/photos/a.317154781638645/5596043783749692/" xr:uid="{00000000-0004-0000-0000-0000E5060000}"/>
    <hyperlink ref="A886" r:id="rId1767" display="https://www.facebook.com/marietta.tanglao" xr:uid="{00000000-0004-0000-0000-0000E6060000}"/>
    <hyperlink ref="I886" r:id="rId1768" display="https://www.facebook.com/rapplerdotcom/photos/a.317154781638645/5596043783749692/" xr:uid="{00000000-0004-0000-0000-0000E7060000}"/>
    <hyperlink ref="A887" r:id="rId1769" display="https://www.facebook.com/icecaramel.macchiato.908" xr:uid="{00000000-0004-0000-0000-0000E8060000}"/>
    <hyperlink ref="I887" r:id="rId1770" display="https://www.facebook.com/rapplerdotcom/photos/a.317154781638645/5596043783749692/" xr:uid="{00000000-0004-0000-0000-0000E9060000}"/>
    <hyperlink ref="A888" r:id="rId1771" display="https://www.facebook.com/profile.php?id=100009486210065" xr:uid="{00000000-0004-0000-0000-0000EA060000}"/>
    <hyperlink ref="I888" r:id="rId1772" display="https://www.facebook.com/rapplerdotcom/photos/a.317154781638645/5596043783749692/" xr:uid="{00000000-0004-0000-0000-0000EB060000}"/>
    <hyperlink ref="A889" r:id="rId1773" display="https://www.facebook.com/rainesantos123" xr:uid="{00000000-0004-0000-0000-0000EC060000}"/>
    <hyperlink ref="I889" r:id="rId1774" display="https://www.facebook.com/rapplerdotcom/photos/a.317154781638645/5596043783749692/" xr:uid="{00000000-0004-0000-0000-0000ED060000}"/>
    <hyperlink ref="A890" r:id="rId1775" display="https://www.facebook.com/wengnyssa.wengnyssa" xr:uid="{00000000-0004-0000-0000-0000EE060000}"/>
    <hyperlink ref="I890" r:id="rId1776" display="https://www.facebook.com/rapplerdotcom/photos/a.317154781638645/5596043783749692/" xr:uid="{00000000-0004-0000-0000-0000EF060000}"/>
    <hyperlink ref="A891" r:id="rId1777" display="https://www.facebook.com/lair.gonzales" xr:uid="{00000000-0004-0000-0000-0000F0060000}"/>
    <hyperlink ref="I891" r:id="rId1778" display="https://www.facebook.com/rapplerdotcom/photos/a.317154781638645/5596043783749692/" xr:uid="{00000000-0004-0000-0000-0000F1060000}"/>
    <hyperlink ref="A892" r:id="rId1779" display="https://www.facebook.com/arnel.sagorsor" xr:uid="{00000000-0004-0000-0000-0000F2060000}"/>
    <hyperlink ref="I892" r:id="rId1780" display="https://www.facebook.com/rapplerdotcom/photos/a.317154781638645/5596043783749692/" xr:uid="{00000000-0004-0000-0000-0000F3060000}"/>
    <hyperlink ref="A893" r:id="rId1781" display="https://www.facebook.com/lair.gonzales" xr:uid="{00000000-0004-0000-0000-0000F4060000}"/>
    <hyperlink ref="I893" r:id="rId1782" display="https://www.facebook.com/rapplerdotcom/photos/a.317154781638645/5596043783749692/" xr:uid="{00000000-0004-0000-0000-0000F5060000}"/>
    <hyperlink ref="A894" r:id="rId1783" display="https://www.facebook.com/profile.php?id=100075991434197" xr:uid="{00000000-0004-0000-0000-0000F6060000}"/>
    <hyperlink ref="I894" r:id="rId1784" display="https://www.facebook.com/rapplerdotcom/photos/a.317154781638645/5596043783749692/" xr:uid="{00000000-0004-0000-0000-0000F7060000}"/>
    <hyperlink ref="A895" r:id="rId1785" display="https://www.facebook.com/leideeavery.taluban" xr:uid="{00000000-0004-0000-0000-0000F8060000}"/>
    <hyperlink ref="I895" r:id="rId1786" display="https://www.facebook.com/rapplerdotcom/photos/a.317154781638645/5596043783749692/" xr:uid="{00000000-0004-0000-0000-0000F9060000}"/>
    <hyperlink ref="A896" r:id="rId1787" display="https://www.facebook.com/profile.php?id=100079988850982" xr:uid="{00000000-0004-0000-0000-0000FA060000}"/>
    <hyperlink ref="I896" r:id="rId1788" display="https://www.facebook.com/rapplerdotcom/photos/a.317154781638645/5596043783749692/" xr:uid="{00000000-0004-0000-0000-0000FB060000}"/>
    <hyperlink ref="A897" r:id="rId1789" display="https://www.facebook.com/leideeavery.taluban" xr:uid="{00000000-0004-0000-0000-0000FC060000}"/>
    <hyperlink ref="I897" r:id="rId1790" display="https://www.facebook.com/rapplerdotcom/photos/a.317154781638645/5596043783749692/" xr:uid="{00000000-0004-0000-0000-0000FD060000}"/>
    <hyperlink ref="A898" r:id="rId1791" display="https://www.facebook.com/profile.php?id=100079988850982" xr:uid="{00000000-0004-0000-0000-0000FE060000}"/>
    <hyperlink ref="I898" r:id="rId1792" display="https://www.facebook.com/rapplerdotcom/photos/a.317154781638645/5596043783749692/" xr:uid="{00000000-0004-0000-0000-0000FF060000}"/>
    <hyperlink ref="A899" r:id="rId1793" display="https://www.facebook.com/profile.php?id=100011440088284" xr:uid="{00000000-0004-0000-0000-000000070000}"/>
    <hyperlink ref="I899" r:id="rId1794" display="https://www.facebook.com/rapplerdotcom/photos/a.317154781638645/5596043783749692/" xr:uid="{00000000-0004-0000-0000-000001070000}"/>
    <hyperlink ref="A900" r:id="rId1795" display="https://www.facebook.com/ernest.llovia" xr:uid="{00000000-0004-0000-0000-000002070000}"/>
    <hyperlink ref="I900" r:id="rId1796" display="https://www.facebook.com/rapplerdotcom/photos/a.317154781638645/5596043783749692/" xr:uid="{00000000-0004-0000-0000-000003070000}"/>
    <hyperlink ref="A901" r:id="rId1797" display="https://www.facebook.com/yongcoonang" xr:uid="{00000000-0004-0000-0000-000004070000}"/>
    <hyperlink ref="I901" r:id="rId1798" display="https://www.facebook.com/rapplerdotcom/photos/a.317154781638645/5596043783749692/" xr:uid="{00000000-0004-0000-0000-000005070000}"/>
    <hyperlink ref="A902" r:id="rId1799" display="https://www.facebook.com/NeilMGGH" xr:uid="{00000000-0004-0000-0000-000006070000}"/>
    <hyperlink ref="I902" r:id="rId1800" display="https://www.facebook.com/rapplerdotcom/photos/a.317154781638645/5596043783749692/" xr:uid="{00000000-0004-0000-0000-000007070000}"/>
    <hyperlink ref="A903" r:id="rId1801" display="https://www.facebook.com/Ed.the.Great.13" xr:uid="{00000000-0004-0000-0000-000008070000}"/>
    <hyperlink ref="I903" r:id="rId1802" display="https://www.facebook.com/rapplerdotcom/photos/a.317154781638645/5596043783749692/" xr:uid="{00000000-0004-0000-0000-000009070000}"/>
    <hyperlink ref="A904" r:id="rId1803" display="https://www.facebook.com/kathrenkaye" xr:uid="{00000000-0004-0000-0000-00000A070000}"/>
    <hyperlink ref="I904" r:id="rId1804" display="https://www.facebook.com/rapplerdotcom/photos/a.317154781638645/5596043783749692/" xr:uid="{00000000-0004-0000-0000-00000B070000}"/>
    <hyperlink ref="A905" r:id="rId1805" display="https://www.facebook.com/profile.php?id=100027988665455" xr:uid="{00000000-0004-0000-0000-00000C070000}"/>
    <hyperlink ref="I905" r:id="rId1806" display="https://www.facebook.com/rapplerdotcom/photos/a.317154781638645/5596043783749692/" xr:uid="{00000000-0004-0000-0000-00000D070000}"/>
    <hyperlink ref="A906" r:id="rId1807" display="https://www.facebook.com/profile.php?id=100076154266974" xr:uid="{00000000-0004-0000-0000-00000E070000}"/>
    <hyperlink ref="I906" r:id="rId1808" display="https://www.facebook.com/rapplerdotcom/photos/a.317154781638645/5596043783749692/" xr:uid="{00000000-0004-0000-0000-00000F070000}"/>
    <hyperlink ref="A907" r:id="rId1809" display="https://www.facebook.com/panagsi" xr:uid="{00000000-0004-0000-0000-000010070000}"/>
    <hyperlink ref="I907" r:id="rId1810" display="https://www.facebook.com/rapplerdotcom/photos/a.317154781638645/5596043783749692/" xr:uid="{00000000-0004-0000-0000-000011070000}"/>
    <hyperlink ref="A908" r:id="rId1811" display="https://www.facebook.com/yong.estrada" xr:uid="{00000000-0004-0000-0000-000012070000}"/>
    <hyperlink ref="I908" r:id="rId1812" display="https://www.facebook.com/rapplerdotcom/photos/a.317154781638645/5596043783749692/" xr:uid="{00000000-0004-0000-0000-000013070000}"/>
    <hyperlink ref="A909" r:id="rId1813" display="https://www.facebook.com/Ansabe-Ni-Kuya-2813308388893277/" xr:uid="{00000000-0004-0000-0000-000014070000}"/>
    <hyperlink ref="I909" r:id="rId1814" display="https://www.facebook.com/rapplerdotcom/photos/a.317154781638645/5596043783749692/" xr:uid="{00000000-0004-0000-0000-000015070000}"/>
    <hyperlink ref="A910" r:id="rId1815" display="https://www.facebook.com/maria.dizon1" xr:uid="{00000000-0004-0000-0000-000016070000}"/>
    <hyperlink ref="I910" r:id="rId1816" display="https://www.facebook.com/rapplerdotcom/photos/a.317154781638645/5596043783749692/" xr:uid="{00000000-0004-0000-0000-000017070000}"/>
    <hyperlink ref="A911" r:id="rId1817" display="https://www.facebook.com/bobet.julian" xr:uid="{00000000-0004-0000-0000-000018070000}"/>
    <hyperlink ref="I911" r:id="rId1818" display="https://www.facebook.com/rapplerdotcom/photos/a.317154781638645/5596043783749692/" xr:uid="{00000000-0004-0000-0000-000019070000}"/>
    <hyperlink ref="A912" r:id="rId1819" display="https://www.facebook.com/defender85" xr:uid="{00000000-0004-0000-0000-00001A070000}"/>
    <hyperlink ref="I912" r:id="rId1820" display="https://www.facebook.com/rapplerdotcom/photos/a.317154781638645/5596043783749692/" xr:uid="{00000000-0004-0000-0000-00001B070000}"/>
    <hyperlink ref="A913" r:id="rId1821" display="https://www.facebook.com/christene.delacruz.777" xr:uid="{00000000-0004-0000-0000-00001C070000}"/>
    <hyperlink ref="I913" r:id="rId1822" display="https://www.facebook.com/rapplerdotcom/photos/a.317154781638645/5596043783749692/" xr:uid="{00000000-0004-0000-0000-00001D070000}"/>
    <hyperlink ref="A914" r:id="rId1823" display="https://www.facebook.com/Arianna11091989" xr:uid="{00000000-0004-0000-0000-00001E070000}"/>
    <hyperlink ref="I914" r:id="rId1824" display="https://www.facebook.com/rapplerdotcom/photos/a.317154781638645/5596043783749692/" xr:uid="{00000000-0004-0000-0000-00001F070000}"/>
    <hyperlink ref="A915" r:id="rId1825" display="https://www.facebook.com/nigeltan.ph" xr:uid="{00000000-0004-0000-0000-000020070000}"/>
    <hyperlink ref="I915" r:id="rId1826" display="https://www.facebook.com/rapplerdotcom/photos/a.317154781638645/5596043783749692/" xr:uid="{00000000-0004-0000-0000-000021070000}"/>
    <hyperlink ref="A916" r:id="rId1827" display="https://www.facebook.com/yongcoonang" xr:uid="{00000000-0004-0000-0000-000022070000}"/>
    <hyperlink ref="I916" r:id="rId1828" display="https://www.facebook.com/rapplerdotcom/photos/a.317154781638645/5596043783749692/" xr:uid="{00000000-0004-0000-0000-000023070000}"/>
    <hyperlink ref="A917" r:id="rId1829" display="https://www.facebook.com/profile.php?id=100027988665455" xr:uid="{00000000-0004-0000-0000-000024070000}"/>
    <hyperlink ref="I917" r:id="rId1830" display="https://www.facebook.com/rapplerdotcom/photos/a.317154781638645/5596043783749692/" xr:uid="{00000000-0004-0000-0000-000025070000}"/>
    <hyperlink ref="A918" r:id="rId1831" display="https://www.facebook.com/sards.ceriola" xr:uid="{00000000-0004-0000-0000-000026070000}"/>
    <hyperlink ref="I918" r:id="rId1832" display="https://www.facebook.com/rapplerdotcom/photos/a.317154781638645/5596043783749692/" xr:uid="{00000000-0004-0000-0000-000027070000}"/>
    <hyperlink ref="A919" r:id="rId1833" display="https://www.facebook.com/liza.mallorca.501" xr:uid="{00000000-0004-0000-0000-000028070000}"/>
    <hyperlink ref="I919" r:id="rId1834" display="https://www.facebook.com/rapplerdotcom/photos/a.317154781638645/5596043783749692/" xr:uid="{00000000-0004-0000-0000-000029070000}"/>
    <hyperlink ref="A920" r:id="rId1835" display="https://www.facebook.com/Arianna11091989" xr:uid="{00000000-0004-0000-0000-00002A070000}"/>
    <hyperlink ref="I920" r:id="rId1836" display="https://www.facebook.com/rapplerdotcom/photos/a.317154781638645/5596043783749692/" xr:uid="{00000000-0004-0000-0000-00002B070000}"/>
    <hyperlink ref="A921" r:id="rId1837" display="https://www.facebook.com/liza.mallorca.501" xr:uid="{00000000-0004-0000-0000-00002C070000}"/>
    <hyperlink ref="I921" r:id="rId1838" display="https://www.facebook.com/rapplerdotcom/photos/a.317154781638645/5596043783749692/" xr:uid="{00000000-0004-0000-0000-00002D070000}"/>
    <hyperlink ref="A922" r:id="rId1839" display="https://www.facebook.com/liza.mallorca.501" xr:uid="{00000000-0004-0000-0000-00002E070000}"/>
    <hyperlink ref="I922" r:id="rId1840" display="https://www.facebook.com/rapplerdotcom/photos/a.317154781638645/5596043783749692/" xr:uid="{00000000-0004-0000-0000-00002F070000}"/>
    <hyperlink ref="A923" r:id="rId1841" display="https://www.facebook.com/Arianna11091989" xr:uid="{00000000-0004-0000-0000-000030070000}"/>
    <hyperlink ref="I923" r:id="rId1842" display="https://www.facebook.com/rapplerdotcom/photos/a.317154781638645/5596043783749692/" xr:uid="{00000000-0004-0000-0000-000031070000}"/>
    <hyperlink ref="A924" r:id="rId1843" display="https://www.facebook.com/EnricElesisCruz" xr:uid="{00000000-0004-0000-0000-000032070000}"/>
    <hyperlink ref="I924" r:id="rId1844" display="https://www.facebook.com/rapplerdotcom/photos/a.317154781638645/5596043783749692/" xr:uid="{00000000-0004-0000-0000-000033070000}"/>
    <hyperlink ref="A925" r:id="rId1845" display="https://www.facebook.com/sonny.marano.3" xr:uid="{00000000-0004-0000-0000-000034070000}"/>
    <hyperlink ref="I925" r:id="rId1846" display="https://www.facebook.com/rapplerdotcom/photos/a.317154781638645/5596043783749692/" xr:uid="{00000000-0004-0000-0000-000035070000}"/>
    <hyperlink ref="A926" r:id="rId1847" display="https://www.facebook.com/sonny.marano.3" xr:uid="{00000000-0004-0000-0000-000036070000}"/>
    <hyperlink ref="I926" r:id="rId1848" display="https://www.facebook.com/rapplerdotcom/photos/a.317154781638645/5596043783749692/" xr:uid="{00000000-0004-0000-0000-000037070000}"/>
    <hyperlink ref="A927" r:id="rId1849" display="https://www.facebook.com/profile.php?id=100013881702356" xr:uid="{00000000-0004-0000-0000-000038070000}"/>
    <hyperlink ref="I927" r:id="rId1850" display="https://www.facebook.com/rapplerdotcom/photos/a.317154781638645/5596043783749692/" xr:uid="{00000000-0004-0000-0000-000039070000}"/>
    <hyperlink ref="A928" r:id="rId1851" display="https://www.facebook.com/profile.php?id=100071636301768" xr:uid="{00000000-0004-0000-0000-00003A070000}"/>
    <hyperlink ref="I928" r:id="rId1852" display="https://www.facebook.com/rapplerdotcom/photos/a.317154781638645/5596043783749692/" xr:uid="{00000000-0004-0000-0000-00003B070000}"/>
    <hyperlink ref="A929" r:id="rId1853" display="https://www.facebook.com/samuel.mamauag" xr:uid="{00000000-0004-0000-0000-00003C070000}"/>
    <hyperlink ref="I929" r:id="rId1854" display="https://www.facebook.com/rapplerdotcom/photos/a.317154781638645/5596043783749692/" xr:uid="{00000000-0004-0000-0000-00003D070000}"/>
    <hyperlink ref="A930" r:id="rId1855" display="https://www.facebook.com/champoybulletelbow" xr:uid="{00000000-0004-0000-0000-00003E070000}"/>
    <hyperlink ref="I930" r:id="rId1856" display="https://www.facebook.com/rapplerdotcom/photos/a.317154781638645/5596043783749692/" xr:uid="{00000000-0004-0000-0000-00003F070000}"/>
    <hyperlink ref="A931" r:id="rId1857" display="https://www.facebook.com/agodlessheathenagain" xr:uid="{00000000-0004-0000-0000-000040070000}"/>
    <hyperlink ref="I931" r:id="rId1858" display="https://www.facebook.com/rapplerdotcom/photos/a.317154781638645/5596043783749692/" xr:uid="{00000000-0004-0000-0000-000041070000}"/>
    <hyperlink ref="A932" r:id="rId1859" display="https://www.facebook.com/ronaldace.inaldo" xr:uid="{00000000-0004-0000-0000-000042070000}"/>
    <hyperlink ref="I932" r:id="rId1860" display="https://www.facebook.com/rapplerdotcom/photos/a.317154781638645/5596043783749692/" xr:uid="{00000000-0004-0000-0000-000043070000}"/>
    <hyperlink ref="A933" r:id="rId1861" display="https://www.facebook.com/arlene.adamos" xr:uid="{00000000-0004-0000-0000-000044070000}"/>
    <hyperlink ref="I933" r:id="rId1862" display="https://www.facebook.com/rapplerdotcom/photos/a.317154781638645/5596043783749692/" xr:uid="{00000000-0004-0000-0000-000045070000}"/>
    <hyperlink ref="A934" r:id="rId1863" display="https://www.facebook.com/rensoriframos" xr:uid="{00000000-0004-0000-0000-000046070000}"/>
    <hyperlink ref="I934" r:id="rId1864" display="https://www.facebook.com/rapplerdotcom/photos/a.317154781638645/5596043783749692/" xr:uid="{00000000-0004-0000-0000-000047070000}"/>
    <hyperlink ref="A935" r:id="rId1865" display="https://www.facebook.com/robert.villamin.7" xr:uid="{00000000-0004-0000-0000-000048070000}"/>
    <hyperlink ref="I935" r:id="rId1866" display="https://www.facebook.com/rapplerdotcom/photos/a.317154781638645/5596043783749692/" xr:uid="{00000000-0004-0000-0000-000049070000}"/>
    <hyperlink ref="A936" r:id="rId1867" display="https://www.facebook.com/yongcoonang" xr:uid="{00000000-0004-0000-0000-00004A070000}"/>
    <hyperlink ref="I936" r:id="rId1868" display="https://www.facebook.com/rapplerdotcom/photos/a.317154781638645/5596043783749692/" xr:uid="{00000000-0004-0000-0000-00004B070000}"/>
    <hyperlink ref="A937" r:id="rId1869" display="https://www.facebook.com/profile.php?id=100077465509824" xr:uid="{00000000-0004-0000-0000-00004C070000}"/>
    <hyperlink ref="I937" r:id="rId1870" display="https://www.facebook.com/rapplerdotcom/photos/a.317154781638645/5596043783749692/" xr:uid="{00000000-0004-0000-0000-00004D070000}"/>
    <hyperlink ref="A938" r:id="rId1871" display="https://www.facebook.com/ruth.pananganan" xr:uid="{00000000-0004-0000-0000-00004E070000}"/>
    <hyperlink ref="I938" r:id="rId1872" display="https://www.facebook.com/rapplerdotcom/photos/a.317154781638645/5596043783749692/" xr:uid="{00000000-0004-0000-0000-00004F070000}"/>
    <hyperlink ref="A939" r:id="rId1873" display="https://www.facebook.com/raks.figthet" xr:uid="{00000000-0004-0000-0000-000050070000}"/>
    <hyperlink ref="I939" r:id="rId1874" display="https://www.facebook.com/rapplerdotcom/photos/a.317154781638645/5596043783749692/" xr:uid="{00000000-0004-0000-0000-000051070000}"/>
    <hyperlink ref="A940" r:id="rId1875" display="https://www.facebook.com/profile.php?id=100072506056935" xr:uid="{00000000-0004-0000-0000-000052070000}"/>
    <hyperlink ref="I940" r:id="rId1876" display="https://www.facebook.com/rapplerdotcom/photos/a.317154781638645/5596043783749692/" xr:uid="{00000000-0004-0000-0000-000053070000}"/>
    <hyperlink ref="A941" r:id="rId1877" display="https://www.facebook.com/teodorico.deverap" xr:uid="{00000000-0004-0000-0000-000054070000}"/>
    <hyperlink ref="I941" r:id="rId1878" display="https://www.facebook.com/rapplerdotcom/photos/a.317154781638645/5596043783749692/" xr:uid="{00000000-0004-0000-0000-000055070000}"/>
    <hyperlink ref="A942" r:id="rId1879" display="https://www.facebook.com/geegee.lopez" xr:uid="{00000000-0004-0000-0000-000056070000}"/>
    <hyperlink ref="I942" r:id="rId1880" display="https://www.facebook.com/rapplerdotcom/photos/a.317154781638645/5596043783749692/" xr:uid="{00000000-0004-0000-0000-000057070000}"/>
    <hyperlink ref="A943" r:id="rId1881" display="https://www.facebook.com/donato.antonio.75" xr:uid="{00000000-0004-0000-0000-000058070000}"/>
    <hyperlink ref="I943" r:id="rId1882" display="https://www.facebook.com/rapplerdotcom/photos/a.317154781638645/5596043783749692/" xr:uid="{00000000-0004-0000-0000-000059070000}"/>
    <hyperlink ref="A944" r:id="rId1883" display="https://www.facebook.com/donato.antonio.75" xr:uid="{00000000-0004-0000-0000-00005A070000}"/>
    <hyperlink ref="I944" r:id="rId1884" display="https://www.facebook.com/rapplerdotcom/photos/a.317154781638645/5596043783749692/" xr:uid="{00000000-0004-0000-0000-00005B070000}"/>
    <hyperlink ref="A945" r:id="rId1885" display="https://www.facebook.com/robertoainzaolayon" xr:uid="{00000000-0004-0000-0000-00005C070000}"/>
    <hyperlink ref="I945" r:id="rId1886" display="https://www.facebook.com/rapplerdotcom/photos/a.317154781638645/5596043783749692/" xr:uid="{00000000-0004-0000-0000-00005D070000}"/>
    <hyperlink ref="A946" r:id="rId1887" display="https://www.facebook.com/yspuj" xr:uid="{00000000-0004-0000-0000-00005E070000}"/>
    <hyperlink ref="I946" r:id="rId1888" display="https://www.facebook.com/rapplerdotcom/photos/a.317154781638645/5596043783749692/" xr:uid="{00000000-0004-0000-0000-00005F070000}"/>
    <hyperlink ref="A947" r:id="rId1889" display="https://www.facebook.com/tapic.pagsuguiron" xr:uid="{00000000-0004-0000-0000-000060070000}"/>
    <hyperlink ref="I947" r:id="rId1890" display="https://www.facebook.com/rapplerdotcom/photos/a.317154781638645/5596043783749692/" xr:uid="{00000000-0004-0000-0000-000061070000}"/>
    <hyperlink ref="A948" r:id="rId1891" display="https://www.facebook.com/wasakgregg" xr:uid="{00000000-0004-0000-0000-000062070000}"/>
    <hyperlink ref="I948" r:id="rId1892" display="https://www.facebook.com/rapplerdotcom/photos/a.317154781638645/5596043783749692/" xr:uid="{00000000-0004-0000-0000-000063070000}"/>
    <hyperlink ref="A949" r:id="rId1893" display="https://www.facebook.com/fclcandari" xr:uid="{00000000-0004-0000-0000-000064070000}"/>
    <hyperlink ref="I949" r:id="rId1894" display="https://www.facebook.com/rapplerdotcom/photos/a.317154781638645/5596043783749692/" xr:uid="{00000000-0004-0000-0000-000065070000}"/>
    <hyperlink ref="A950" r:id="rId1895" display="https://www.facebook.com/regine.tamayo1" xr:uid="{00000000-0004-0000-0000-000066070000}"/>
    <hyperlink ref="I950" r:id="rId1896" display="https://www.facebook.com/rapplerdotcom/photos/a.317154781638645/5596043783749692/" xr:uid="{00000000-0004-0000-0000-000067070000}"/>
    <hyperlink ref="A951" r:id="rId1897" display="https://www.facebook.com/Aprilche888" xr:uid="{00000000-0004-0000-0000-000068070000}"/>
    <hyperlink ref="I951" r:id="rId1898" display="https://www.facebook.com/rapplerdotcom/photos/a.317154781638645/5596043783749692/" xr:uid="{00000000-0004-0000-0000-000069070000}"/>
    <hyperlink ref="A952" r:id="rId1899" display="https://www.facebook.com/kim.sioson" xr:uid="{00000000-0004-0000-0000-00006A070000}"/>
    <hyperlink ref="I952" r:id="rId1900" display="https://www.facebook.com/rapplerdotcom/photos/a.317154781638645/5596043783749692/" xr:uid="{00000000-0004-0000-0000-00006B070000}"/>
    <hyperlink ref="A953" r:id="rId1901" display="https://www.facebook.com/erl.lim" xr:uid="{00000000-0004-0000-0000-00006C070000}"/>
    <hyperlink ref="I953" r:id="rId1902" display="https://www.facebook.com/rapplerdotcom/photos/a.317154781638645/5596043783749692/" xr:uid="{00000000-0004-0000-0000-00006D070000}"/>
    <hyperlink ref="A954" r:id="rId1903" display="https://www.facebook.com/kim.sioson" xr:uid="{00000000-0004-0000-0000-00006E070000}"/>
    <hyperlink ref="I954" r:id="rId1904" display="https://www.facebook.com/rapplerdotcom/photos/a.317154781638645/5596043783749692/" xr:uid="{00000000-0004-0000-0000-00006F070000}"/>
    <hyperlink ref="A955" r:id="rId1905" display="https://www.facebook.com/bernardo.nicolas.3382" xr:uid="{00000000-0004-0000-0000-000070070000}"/>
    <hyperlink ref="I955" r:id="rId1906" display="https://www.facebook.com/rapplerdotcom/photos/a.317154781638645/5596043783749692/" xr:uid="{00000000-0004-0000-0000-000071070000}"/>
    <hyperlink ref="A956" r:id="rId1907" display="https://www.facebook.com/kt.gd.425" xr:uid="{00000000-0004-0000-0000-000072070000}"/>
    <hyperlink ref="I956" r:id="rId1908" display="https://www.facebook.com/rapplerdotcom/photos/a.317154781638645/5596043783749692/" xr:uid="{00000000-0004-0000-0000-000073070000}"/>
    <hyperlink ref="A957" r:id="rId1909" display="https://www.facebook.com/yongcoonang" xr:uid="{00000000-0004-0000-0000-000074070000}"/>
    <hyperlink ref="I957" r:id="rId1910" display="https://www.facebook.com/rapplerdotcom/photos/a.317154781638645/5596043783749692/" xr:uid="{00000000-0004-0000-0000-000075070000}"/>
    <hyperlink ref="A958" r:id="rId1911" display="https://www.facebook.com/maripaz.mira" xr:uid="{00000000-0004-0000-0000-000076070000}"/>
    <hyperlink ref="I958" r:id="rId1912" display="https://www.facebook.com/rapplerdotcom/photos/a.317154781638645/5596043783749692/" xr:uid="{00000000-0004-0000-0000-000077070000}"/>
    <hyperlink ref="A959" r:id="rId1913" display="https://www.facebook.com/kim.sioson" xr:uid="{00000000-0004-0000-0000-000078070000}"/>
    <hyperlink ref="I959" r:id="rId1914" display="https://www.facebook.com/rapplerdotcom/photos/a.317154781638645/5596043783749692/" xr:uid="{00000000-0004-0000-0000-000079070000}"/>
    <hyperlink ref="A960" r:id="rId1915" display="https://www.facebook.com/nelia.villanueva.39" xr:uid="{00000000-0004-0000-0000-00007A070000}"/>
    <hyperlink ref="I960" r:id="rId1916" display="https://www.facebook.com/rapplerdotcom/photos/a.317154781638645/5596043783749692/" xr:uid="{00000000-0004-0000-0000-00007B070000}"/>
    <hyperlink ref="A961" r:id="rId1917" display="https://www.facebook.com/kim.sioson" xr:uid="{00000000-0004-0000-0000-00007C070000}"/>
    <hyperlink ref="I961" r:id="rId1918" display="https://www.facebook.com/rapplerdotcom/photos/a.317154781638645/5596043783749692/" xr:uid="{00000000-0004-0000-0000-00007D070000}"/>
    <hyperlink ref="A962" r:id="rId1919" display="https://www.facebook.com/kim.sioson" xr:uid="{00000000-0004-0000-0000-00007E070000}"/>
    <hyperlink ref="I962" r:id="rId1920" display="https://www.facebook.com/rapplerdotcom/photos/a.317154781638645/5596043783749692/" xr:uid="{00000000-0004-0000-0000-00007F070000}"/>
    <hyperlink ref="A963" r:id="rId1921" display="https://www.facebook.com/kim.sioson" xr:uid="{00000000-0004-0000-0000-000080070000}"/>
    <hyperlink ref="I963" r:id="rId1922" display="https://www.facebook.com/rapplerdotcom/photos/a.317154781638645/5596043783749692/" xr:uid="{00000000-0004-0000-0000-000081070000}"/>
    <hyperlink ref="A964" r:id="rId1923" display="https://www.facebook.com/grace.r.israel" xr:uid="{00000000-0004-0000-0000-000082070000}"/>
    <hyperlink ref="I964" r:id="rId1924" display="https://www.facebook.com/rapplerdotcom/photos/a.317154781638645/5596043783749692/" xr:uid="{00000000-0004-0000-0000-000083070000}"/>
    <hyperlink ref="A965" r:id="rId1925" display="https://www.facebook.com/bernardo.nicolas.3382" xr:uid="{00000000-0004-0000-0000-000084070000}"/>
    <hyperlink ref="I965" r:id="rId1926" display="https://www.facebook.com/rapplerdotcom/photos/a.317154781638645/5596043783749692/" xr:uid="{00000000-0004-0000-0000-000085070000}"/>
    <hyperlink ref="A966" r:id="rId1927" display="https://www.facebook.com/DemieGanda" xr:uid="{00000000-0004-0000-0000-000086070000}"/>
    <hyperlink ref="I966" r:id="rId1928" display="https://www.facebook.com/rapplerdotcom/photos/a.317154781638645/5596043783749692/" xr:uid="{00000000-0004-0000-0000-000087070000}"/>
    <hyperlink ref="A967" r:id="rId1929" display="https://www.facebook.com/sharmaine.ramos.3950" xr:uid="{00000000-0004-0000-0000-000088070000}"/>
    <hyperlink ref="I967" r:id="rId1930" display="https://www.facebook.com/rapplerdotcom/photos/a.317154781638645/5596043783749692/" xr:uid="{00000000-0004-0000-0000-000089070000}"/>
    <hyperlink ref="A968" r:id="rId1931" display="https://www.facebook.com/yongcoonang" xr:uid="{00000000-0004-0000-0000-00008A070000}"/>
    <hyperlink ref="I968" r:id="rId1932" display="https://www.facebook.com/rapplerdotcom/photos/a.317154781638645/5596043783749692/" xr:uid="{00000000-0004-0000-0000-00008B070000}"/>
    <hyperlink ref="A969" r:id="rId1933" display="https://www.facebook.com/kim.sioson" xr:uid="{00000000-0004-0000-0000-00008C070000}"/>
    <hyperlink ref="I969" r:id="rId1934" display="https://www.facebook.com/rapplerdotcom/photos/a.317154781638645/5596043783749692/" xr:uid="{00000000-0004-0000-0000-00008D070000}"/>
    <hyperlink ref="A970" r:id="rId1935" display="https://www.facebook.com/lorenza.ito.33" xr:uid="{00000000-0004-0000-0000-00008E070000}"/>
    <hyperlink ref="I970" r:id="rId1936" display="https://www.facebook.com/rapplerdotcom/photos/a.317154781638645/5596043783749692/" xr:uid="{00000000-0004-0000-0000-00008F070000}"/>
    <hyperlink ref="A971" r:id="rId1937" display="https://www.facebook.com/kim.sioson" xr:uid="{00000000-0004-0000-0000-000090070000}"/>
    <hyperlink ref="I971" r:id="rId1938" display="https://www.facebook.com/rapplerdotcom/photos/a.317154781638645/5596043783749692/" xr:uid="{00000000-0004-0000-0000-000091070000}"/>
    <hyperlink ref="A972" r:id="rId1939" display="https://www.facebook.com/kim.sioson" xr:uid="{00000000-0004-0000-0000-000092070000}"/>
    <hyperlink ref="I972" r:id="rId1940" display="https://www.facebook.com/rapplerdotcom/photos/a.317154781638645/5596043783749692/" xr:uid="{00000000-0004-0000-0000-000093070000}"/>
    <hyperlink ref="A973" r:id="rId1941" display="https://www.facebook.com/icecaramel.macchiato.908" xr:uid="{00000000-0004-0000-0000-000094070000}"/>
    <hyperlink ref="I973" r:id="rId1942" display="https://www.facebook.com/rapplerdotcom/photos/a.317154781638645/5596043783749692/" xr:uid="{00000000-0004-0000-0000-000095070000}"/>
    <hyperlink ref="A974" r:id="rId1943" display="https://www.facebook.com/cherrylynyapchapco.diaz" xr:uid="{00000000-0004-0000-0000-000096070000}"/>
    <hyperlink ref="I974" r:id="rId1944" display="https://www.facebook.com/rapplerdotcom/photos/a.317154781638645/5596043783749692/" xr:uid="{00000000-0004-0000-0000-000097070000}"/>
    <hyperlink ref="A975" r:id="rId1945" display="https://www.facebook.com/yongcoonang" xr:uid="{00000000-0004-0000-0000-000098070000}"/>
    <hyperlink ref="I975" r:id="rId1946" display="https://www.facebook.com/rapplerdotcom/photos/a.317154781638645/5596043783749692/" xr:uid="{00000000-0004-0000-0000-000099070000}"/>
    <hyperlink ref="A976" r:id="rId1947" display="https://www.facebook.com/rapkarl04" xr:uid="{00000000-0004-0000-0000-00009A070000}"/>
    <hyperlink ref="I976" r:id="rId1948" display="https://www.facebook.com/rapplerdotcom/photos/a.317154781638645/5596043783749692/" xr:uid="{00000000-0004-0000-0000-00009B070000}"/>
    <hyperlink ref="A977" r:id="rId1949" display="https://www.facebook.com/henrybalderama" xr:uid="{00000000-0004-0000-0000-00009C070000}"/>
    <hyperlink ref="I977" r:id="rId1950" display="https://www.facebook.com/rapplerdotcom/photos/a.317154781638645/5596043783749692/" xr:uid="{00000000-0004-0000-0000-00009D070000}"/>
    <hyperlink ref="A978" r:id="rId1951" display="https://www.facebook.com/deepblue69" xr:uid="{00000000-0004-0000-0000-00009E070000}"/>
    <hyperlink ref="I978" r:id="rId1952" display="https://www.facebook.com/rapplerdotcom/photos/a.317154781638645/5596043783749692/" xr:uid="{00000000-0004-0000-0000-00009F070000}"/>
    <hyperlink ref="A979" r:id="rId1953" display="https://www.facebook.com/profile.php?id=100006396255966" xr:uid="{00000000-0004-0000-0000-0000A0070000}"/>
    <hyperlink ref="I979" r:id="rId1954" display="https://www.facebook.com/rapplerdotcom/photos/a.317154781638645/5596043783749692/" xr:uid="{00000000-0004-0000-0000-0000A1070000}"/>
    <hyperlink ref="A980" r:id="rId1955" display="https://www.facebook.com/luisxmaaliw" xr:uid="{00000000-0004-0000-0000-0000A2070000}"/>
    <hyperlink ref="I980" r:id="rId1956" display="https://www.facebook.com/rapplerdotcom/photos/a.317154781638645/5596043783749692/" xr:uid="{00000000-0004-0000-0000-0000A3070000}"/>
    <hyperlink ref="A981" r:id="rId1957" display="https://www.facebook.com/profile.php?id=100069003242362" xr:uid="{00000000-0004-0000-0000-0000A4070000}"/>
    <hyperlink ref="I981" r:id="rId1958" display="https://www.facebook.com/rapplerdotcom/photos/a.317154781638645/5596043783749692/" xr:uid="{00000000-0004-0000-0000-0000A5070000}"/>
    <hyperlink ref="A982" r:id="rId1959" display="https://www.facebook.com/joni.aguilar.146" xr:uid="{00000000-0004-0000-0000-0000A6070000}"/>
    <hyperlink ref="I982" r:id="rId1960" display="https://www.facebook.com/rapplerdotcom/photos/a.317154781638645/5596043783749692/" xr:uid="{00000000-0004-0000-0000-0000A7070000}"/>
    <hyperlink ref="A983" r:id="rId1961" display="https://www.facebook.com/profile.php?id=100049380352017" xr:uid="{00000000-0004-0000-0000-0000A8070000}"/>
    <hyperlink ref="I983" r:id="rId1962" display="https://www.facebook.com/rapplerdotcom/photos/a.317154781638645/5596043783749692/" xr:uid="{00000000-0004-0000-0000-0000A9070000}"/>
    <hyperlink ref="A984" r:id="rId1963" display="https://www.facebook.com/madammaharlika" xr:uid="{00000000-0004-0000-0000-0000AA070000}"/>
    <hyperlink ref="I984" r:id="rId1964" display="https://www.facebook.com/rapplerdotcom/photos/a.317154781638645/5596043783749692/" xr:uid="{00000000-0004-0000-0000-0000AB070000}"/>
    <hyperlink ref="A985" r:id="rId1965" display="https://www.facebook.com/madammaharlika" xr:uid="{00000000-0004-0000-0000-0000AC070000}"/>
    <hyperlink ref="I985" r:id="rId1966" display="https://www.facebook.com/rapplerdotcom/photos/a.317154781638645/5596043783749692/" xr:uid="{00000000-0004-0000-0000-0000AD070000}"/>
    <hyperlink ref="A986" r:id="rId1967" display="https://www.facebook.com/madammaharlika" xr:uid="{00000000-0004-0000-0000-0000AE070000}"/>
    <hyperlink ref="I986" r:id="rId1968" display="https://www.facebook.com/rapplerdotcom/photos/a.317154781638645/5596043783749692/" xr:uid="{00000000-0004-0000-0000-0000AF070000}"/>
    <hyperlink ref="A987" r:id="rId1969" display="https://www.facebook.com/madammaharlika" xr:uid="{00000000-0004-0000-0000-0000B0070000}"/>
    <hyperlink ref="I987" r:id="rId1970" display="https://www.facebook.com/rapplerdotcom/photos/a.317154781638645/5596043783749692/" xr:uid="{00000000-0004-0000-0000-0000B1070000}"/>
    <hyperlink ref="A988" r:id="rId1971" display="https://www.facebook.com/madammaharlika" xr:uid="{00000000-0004-0000-0000-0000B2070000}"/>
    <hyperlink ref="I988" r:id="rId1972" display="https://www.facebook.com/rapplerdotcom/photos/a.317154781638645/5596043783749692/" xr:uid="{00000000-0004-0000-0000-0000B3070000}"/>
    <hyperlink ref="A989" r:id="rId1973" display="https://www.facebook.com/ninotchka.rosca" xr:uid="{00000000-0004-0000-0000-0000B4070000}"/>
    <hyperlink ref="I989" r:id="rId1974" display="https://www.facebook.com/rapplerdotcom/photos/a.317154781638645/5596022273751843/" xr:uid="{00000000-0004-0000-0000-0000B5070000}"/>
    <hyperlink ref="A990" r:id="rId1975" display="https://www.facebook.com/yongcoonang" xr:uid="{00000000-0004-0000-0000-0000B6070000}"/>
    <hyperlink ref="I990" r:id="rId1976" display="https://www.facebook.com/rapplerdotcom/photos/a.317154781638645/5596022273751843/" xr:uid="{00000000-0004-0000-0000-0000B7070000}"/>
    <hyperlink ref="A991" r:id="rId1977" display="https://www.facebook.com/lorna.felipe.1694" xr:uid="{00000000-0004-0000-0000-0000B8070000}"/>
    <hyperlink ref="I991" r:id="rId1978" display="https://www.facebook.com/rapplerdotcom/photos/a.317154781638645/5596022273751843/" xr:uid="{00000000-0004-0000-0000-0000B9070000}"/>
    <hyperlink ref="A992" r:id="rId1979" display="https://www.facebook.com/beverlyfrias" xr:uid="{00000000-0004-0000-0000-0000BA070000}"/>
    <hyperlink ref="I992" r:id="rId1980" display="https://www.facebook.com/rapplerdotcom/photos/a.317154781638645/5596022273751843/" xr:uid="{00000000-0004-0000-0000-0000BB070000}"/>
    <hyperlink ref="A993" r:id="rId1981" display="https://www.facebook.com/profile.php?id=100078772872933" xr:uid="{00000000-0004-0000-0000-0000BC070000}"/>
    <hyperlink ref="I993" r:id="rId1982" display="https://www.facebook.com/rapplerdotcom/photos/a.317154781638645/5596022273751843/" xr:uid="{00000000-0004-0000-0000-0000BD070000}"/>
    <hyperlink ref="A994" r:id="rId1983" display="https://www.facebook.com/profile.php?id=100078433647836" xr:uid="{00000000-0004-0000-0000-0000BE070000}"/>
    <hyperlink ref="I994" r:id="rId1984" display="https://www.facebook.com/rapplerdotcom/photos/a.317154781638645/5596022273751843/" xr:uid="{00000000-0004-0000-0000-0000BF070000}"/>
    <hyperlink ref="A995" r:id="rId1985" display="https://www.facebook.com/profile.php?id=100078504654734" xr:uid="{00000000-0004-0000-0000-0000C0070000}"/>
    <hyperlink ref="I995" r:id="rId1986" display="https://www.facebook.com/rapplerdotcom/photos/a.317154781638645/5596022273751843/" xr:uid="{00000000-0004-0000-0000-0000C1070000}"/>
    <hyperlink ref="A996" r:id="rId1987" display="https://www.facebook.com/terrence.co" xr:uid="{00000000-0004-0000-0000-0000C2070000}"/>
    <hyperlink ref="I996" r:id="rId1988" display="https://www.facebook.com/rapplerdotcom/photos/a.317154781638645/5596022273751843/" xr:uid="{00000000-0004-0000-0000-0000C3070000}"/>
    <hyperlink ref="A997" r:id="rId1989" display="https://www.facebook.com/augustusfabonii" xr:uid="{00000000-0004-0000-0000-0000C4070000}"/>
    <hyperlink ref="I997" r:id="rId1990" display="https://www.facebook.com/rapplerdotcom/photos/a.317154781638645/5596022273751843/" xr:uid="{00000000-0004-0000-0000-0000C5070000}"/>
    <hyperlink ref="A998" r:id="rId1991" display="https://www.facebook.com/steve.tamayo.18" xr:uid="{00000000-0004-0000-0000-0000C6070000}"/>
    <hyperlink ref="I998" r:id="rId1992" display="https://www.facebook.com/rapplerdotcom/photos/a.317154781638645/5596022273751843/" xr:uid="{00000000-0004-0000-0000-0000C7070000}"/>
    <hyperlink ref="A999" r:id="rId1993" display="https://www.facebook.com/chie.abracosa" xr:uid="{00000000-0004-0000-0000-0000C8070000}"/>
    <hyperlink ref="I999" r:id="rId1994" display="https://www.facebook.com/rapplerdotcom/photos/a.317154781638645/5596022273751843/" xr:uid="{00000000-0004-0000-0000-0000C9070000}"/>
    <hyperlink ref="A1000" r:id="rId1995" display="https://www.facebook.com/profile.php?id=100073327830652" xr:uid="{00000000-0004-0000-0000-0000CA070000}"/>
    <hyperlink ref="I1000" r:id="rId1996" display="https://www.facebook.com/rapplerdotcom/photos/a.317154781638645/5596022273751843/" xr:uid="{00000000-0004-0000-0000-0000CB070000}"/>
    <hyperlink ref="A1001" r:id="rId1997" display="https://www.facebook.com/lrelator" xr:uid="{00000000-0004-0000-0000-0000CC070000}"/>
    <hyperlink ref="I1001" r:id="rId1998" display="https://www.facebook.com/rapplerdotcom/photos/a.317154781638645/5596022273751843/" xr:uid="{00000000-0004-0000-0000-0000CD070000}"/>
    <hyperlink ref="A1002" r:id="rId1999" display="https://www.facebook.com/profile.php?id=100073327830652" xr:uid="{00000000-0004-0000-0000-0000CE070000}"/>
    <hyperlink ref="I1002" r:id="rId2000" display="https://www.facebook.com/rapplerdotcom/photos/a.317154781638645/5596022273751843/" xr:uid="{00000000-0004-0000-0000-0000CF070000}"/>
    <hyperlink ref="A1003" r:id="rId2001" display="https://www.facebook.com/maryjonesoledad.gonzaga" xr:uid="{00000000-0004-0000-0000-0000D0070000}"/>
    <hyperlink ref="I1003" r:id="rId2002" display="https://www.facebook.com/rapplerdotcom/photos/a.317154781638645/5596022273751843/" xr:uid="{00000000-0004-0000-0000-0000D1070000}"/>
    <hyperlink ref="A1004" r:id="rId2003" display="https://www.facebook.com/profile.php?id=100077324863738" xr:uid="{00000000-0004-0000-0000-0000D2070000}"/>
    <hyperlink ref="I1004" r:id="rId2004" display="https://www.facebook.com/rapplerdotcom/photos/a.317154781638645/5596022273751843/" xr:uid="{00000000-0004-0000-0000-0000D3070000}"/>
    <hyperlink ref="A1005" r:id="rId2005" display="https://www.facebook.com/ronfrias" xr:uid="{00000000-0004-0000-0000-0000D4070000}"/>
    <hyperlink ref="I1005" r:id="rId2006" display="https://www.facebook.com/rapplerdotcom/photos/a.317154781638645/5596022273751843/" xr:uid="{00000000-0004-0000-0000-0000D5070000}"/>
    <hyperlink ref="A1006" r:id="rId2007" display="https://www.facebook.com/sam.banaan.7" xr:uid="{00000000-0004-0000-0000-0000D6070000}"/>
    <hyperlink ref="I1006" r:id="rId2008" display="https://www.facebook.com/rapplerdotcom/photos/a.317154781638645/5596022273751843/" xr:uid="{00000000-0004-0000-0000-0000D7070000}"/>
    <hyperlink ref="A1007" r:id="rId2009" display="https://www.facebook.com/gina.arjona" xr:uid="{00000000-0004-0000-0000-0000D8070000}"/>
    <hyperlink ref="I1007" r:id="rId2010" display="https://www.facebook.com/rapplerdotcom/photos/a.317154781638645/5596022273751843/" xr:uid="{00000000-0004-0000-0000-0000D9070000}"/>
    <hyperlink ref="A1008" r:id="rId2011" display="https://www.facebook.com/jico.trancuet" xr:uid="{00000000-0004-0000-0000-0000DA070000}"/>
    <hyperlink ref="I1008" r:id="rId2012" display="https://www.facebook.com/rapplerdotcom/photos/a.317154781638645/5596022273751843/" xr:uid="{00000000-0004-0000-0000-0000DB070000}"/>
    <hyperlink ref="A1009" r:id="rId2013" display="https://www.facebook.com/nolie.mantaring" xr:uid="{00000000-0004-0000-0000-0000DC070000}"/>
    <hyperlink ref="I1009" r:id="rId2014" display="https://www.facebook.com/rapplerdotcom/photos/a.317154781638645/5596022273751843/" xr:uid="{00000000-0004-0000-0000-0000DD070000}"/>
    <hyperlink ref="A1010" r:id="rId2015" display="https://www.facebook.com/lorna.felipe.1694" xr:uid="{00000000-0004-0000-0000-0000DE070000}"/>
    <hyperlink ref="I1010" r:id="rId2016" display="https://www.facebook.com/rapplerdotcom/photos/a.317154781638645/5596022273751843/" xr:uid="{00000000-0004-0000-0000-0000DF070000}"/>
    <hyperlink ref="A1011" r:id="rId2017" display="https://www.facebook.com/evelyn.olivares.7505" xr:uid="{00000000-0004-0000-0000-0000E0070000}"/>
    <hyperlink ref="I1011" r:id="rId2018" display="https://www.facebook.com/rapplerdotcom/photos/a.317154781638645/5596022273751843/" xr:uid="{00000000-0004-0000-0000-0000E1070000}"/>
    <hyperlink ref="A1012" r:id="rId2019" display="https://www.facebook.com/aimhigh06" xr:uid="{00000000-0004-0000-0000-0000E2070000}"/>
    <hyperlink ref="I1012" r:id="rId2020" display="https://www.facebook.com/rapplerdotcom/photos/a.317154781638645/5596022273751843/" xr:uid="{00000000-0004-0000-0000-0000E3070000}"/>
    <hyperlink ref="A1013" r:id="rId2021" display="https://www.facebook.com/ninotchka.rosca" xr:uid="{00000000-0004-0000-0000-0000E4070000}"/>
    <hyperlink ref="I1013" r:id="rId2022" display="https://www.facebook.com/rapplerdotcom/photos/a.317154781638645/5596022273751843/" xr:uid="{00000000-0004-0000-0000-0000E5070000}"/>
    <hyperlink ref="A1014" r:id="rId2023" display="https://www.facebook.com/ninotchka.rosca" xr:uid="{00000000-0004-0000-0000-0000E6070000}"/>
    <hyperlink ref="I1014" r:id="rId2024" display="https://www.facebook.com/rapplerdotcom/photos/a.317154781638645/5596022273751843/" xr:uid="{00000000-0004-0000-0000-0000E7070000}"/>
    <hyperlink ref="A1015" r:id="rId2025" display="https://www.facebook.com/katrina.bay.18" xr:uid="{00000000-0004-0000-0000-0000E8070000}"/>
    <hyperlink ref="I1015" r:id="rId2026" display="https://www.facebook.com/rapplerdotcom/photos/a.317154781638645/5596022273751843/" xr:uid="{00000000-0004-0000-0000-0000E9070000}"/>
    <hyperlink ref="A1016" r:id="rId2027" display="https://www.facebook.com/rossanau" xr:uid="{00000000-0004-0000-0000-0000EA070000}"/>
    <hyperlink ref="I1016" r:id="rId2028" display="https://www.facebook.com/rapplerdotcom/photos/a.317154781638645/5596022273751843/" xr:uid="{00000000-0004-0000-0000-0000EB070000}"/>
    <hyperlink ref="A1017" r:id="rId2029" display="https://www.facebook.com/budsky.pabalinas" xr:uid="{00000000-0004-0000-0000-0000EC070000}"/>
    <hyperlink ref="I1017" r:id="rId2030" display="https://www.facebook.com/rapplerdotcom/photos/a.317154781638645/5596022273751843/" xr:uid="{00000000-0004-0000-0000-0000ED070000}"/>
    <hyperlink ref="A1018" r:id="rId2031" display="https://www.facebook.com/brixaaron.monton.18" xr:uid="{00000000-0004-0000-0000-0000EE070000}"/>
    <hyperlink ref="I1018" r:id="rId2032" display="https://www.facebook.com/rapplerdotcom/photos/a.317154781638645/5596022273751843/" xr:uid="{00000000-0004-0000-0000-0000EF070000}"/>
    <hyperlink ref="A1019" r:id="rId2033" display="https://www.facebook.com/brixaaron.monton.18" xr:uid="{00000000-0004-0000-0000-0000F0070000}"/>
    <hyperlink ref="I1019" r:id="rId2034" display="https://www.facebook.com/rapplerdotcom/photos/a.317154781638645/5596022273751843/" xr:uid="{00000000-0004-0000-0000-0000F1070000}"/>
    <hyperlink ref="A1020" r:id="rId2035" display="https://www.facebook.com/profile.php?id=100064286552498" xr:uid="{00000000-0004-0000-0000-0000F2070000}"/>
    <hyperlink ref="I1020" r:id="rId2036" display="https://www.facebook.com/rapplerdotcom/photos/a.317154781638645/5596022273751843/" xr:uid="{00000000-0004-0000-0000-0000F3070000}"/>
    <hyperlink ref="A1021" r:id="rId2037" display="https://www.facebook.com/susan.vitug.9480" xr:uid="{00000000-0004-0000-0000-0000F4070000}"/>
    <hyperlink ref="I1021" r:id="rId2038" display="https://www.facebook.com/rapplerdotcom/photos/a.317154781638645/5596022273751843/" xr:uid="{00000000-0004-0000-0000-0000F5070000}"/>
    <hyperlink ref="A1022" r:id="rId2039" display="https://www.facebook.com/sam.banaan.7" xr:uid="{00000000-0004-0000-0000-0000F6070000}"/>
    <hyperlink ref="I1022" r:id="rId2040" display="https://www.facebook.com/rapplerdotcom/photos/a.317154781638645/5596022273751843/" xr:uid="{00000000-0004-0000-0000-0000F7070000}"/>
    <hyperlink ref="A1023" r:id="rId2041" display="https://www.facebook.com/henry.so09" xr:uid="{00000000-0004-0000-0000-0000F8070000}"/>
    <hyperlink ref="I1023" r:id="rId2042" display="https://www.facebook.com/rapplerdotcom/photos/a.317154781638645/5596022273751843/" xr:uid="{00000000-0004-0000-0000-0000F9070000}"/>
    <hyperlink ref="A1024" r:id="rId2043" display="https://www.facebook.com/micdyguevarra" xr:uid="{00000000-0004-0000-0000-0000FA070000}"/>
    <hyperlink ref="I1024" r:id="rId2044" display="https://www.facebook.com/rapplerdotcom/photos/a.317154781638645/5596022273751843/" xr:uid="{00000000-0004-0000-0000-0000FB070000}"/>
    <hyperlink ref="A1025" r:id="rId2045" display="https://www.facebook.com/arlene.buela.9" xr:uid="{00000000-0004-0000-0000-0000FC070000}"/>
    <hyperlink ref="I1025" r:id="rId2046" display="https://www.facebook.com/rapplerdotcom/photos/a.317154781638645/5596022273751843/" xr:uid="{00000000-0004-0000-0000-0000FD070000}"/>
    <hyperlink ref="A1026" r:id="rId2047" display="https://www.facebook.com/jamesruba777" xr:uid="{00000000-0004-0000-0000-0000FE070000}"/>
    <hyperlink ref="I1026" r:id="rId2048" display="https://www.facebook.com/rapplerdotcom/photos/a.317154781638645/5596022273751843/" xr:uid="{00000000-0004-0000-0000-0000FF070000}"/>
    <hyperlink ref="A1027" r:id="rId2049" display="https://www.facebook.com/profile.php?id=100078772872933" xr:uid="{00000000-0004-0000-0000-000000080000}"/>
    <hyperlink ref="I1027" r:id="rId2050" display="https://www.facebook.com/rapplerdotcom/photos/a.317154781638645/5596022273751843/" xr:uid="{00000000-0004-0000-0000-000001080000}"/>
    <hyperlink ref="A1028" r:id="rId2051" display="https://www.facebook.com/ramil.a.mendoza.3" xr:uid="{00000000-0004-0000-0000-000002080000}"/>
    <hyperlink ref="I1028" r:id="rId2052" display="https://www.facebook.com/rapplerdotcom/photos/a.317154781638645/5596022273751843/" xr:uid="{00000000-0004-0000-0000-000003080000}"/>
    <hyperlink ref="A1029" r:id="rId2053" display="https://www.facebook.com/ventura.mariejane" xr:uid="{00000000-0004-0000-0000-000004080000}"/>
    <hyperlink ref="I1029" r:id="rId2054" display="https://www.facebook.com/rapplerdotcom/photos/a.317154781638645/5596022273751843/" xr:uid="{00000000-0004-0000-0000-000005080000}"/>
    <hyperlink ref="A1030" r:id="rId2055" display="https://www.facebook.com/winet.bautista" xr:uid="{00000000-0004-0000-0000-000006080000}"/>
    <hyperlink ref="I1030" r:id="rId2056" display="https://www.facebook.com/rapplerdotcom/photos/a.317154781638645/5596022273751843/" xr:uid="{00000000-0004-0000-0000-000007080000}"/>
    <hyperlink ref="A1031" r:id="rId2057" display="https://www.facebook.com/ditas.ravanilla" xr:uid="{00000000-0004-0000-0000-000008080000}"/>
    <hyperlink ref="I1031" r:id="rId2058" display="https://www.facebook.com/rapplerdotcom/photos/a.317154781638645/5596022273751843/" xr:uid="{00000000-0004-0000-0000-000009080000}"/>
    <hyperlink ref="A1032" r:id="rId2059" display="https://www.facebook.com/maria.dizon1" xr:uid="{00000000-0004-0000-0000-00000A080000}"/>
    <hyperlink ref="I1032" r:id="rId2060" display="https://www.facebook.com/rapplerdotcom/photos/a.317154781638645/5596022273751843/" xr:uid="{00000000-0004-0000-0000-00000B080000}"/>
    <hyperlink ref="A1033" r:id="rId2061" display="https://www.facebook.com/yvad.onauo" xr:uid="{00000000-0004-0000-0000-00000C080000}"/>
    <hyperlink ref="I1033" r:id="rId2062" display="https://www.facebook.com/rapplerdotcom/photos/a.317154781638645/5596022273751843/" xr:uid="{00000000-0004-0000-0000-00000D080000}"/>
    <hyperlink ref="A1034" r:id="rId2063" display="https://www.facebook.com/maria.dizon1" xr:uid="{00000000-0004-0000-0000-00000E080000}"/>
    <hyperlink ref="I1034" r:id="rId2064" display="https://www.facebook.com/rapplerdotcom/photos/a.317154781638645/5596022273751843/" xr:uid="{00000000-0004-0000-0000-00000F080000}"/>
    <hyperlink ref="A1035" r:id="rId2065" display="https://www.facebook.com/yvad.onauo" xr:uid="{00000000-0004-0000-0000-000010080000}"/>
    <hyperlink ref="I1035" r:id="rId2066" display="https://www.facebook.com/rapplerdotcom/photos/a.317154781638645/5596022273751843/" xr:uid="{00000000-0004-0000-0000-000011080000}"/>
    <hyperlink ref="A1036" r:id="rId2067" display="https://www.facebook.com/myla.malbasbelleza" xr:uid="{00000000-0004-0000-0000-000012080000}"/>
    <hyperlink ref="I1036" r:id="rId2068" display="https://www.facebook.com/rapplerdotcom/photos/a.317154781638645/5596022273751843/" xr:uid="{00000000-0004-0000-0000-000013080000}"/>
    <hyperlink ref="A1037" r:id="rId2069" display="https://www.facebook.com/cookie.car0307" xr:uid="{00000000-0004-0000-0000-000014080000}"/>
    <hyperlink ref="I1037" r:id="rId2070" display="https://www.facebook.com/rapplerdotcom/photos/a.317154781638645/5596022273751843/" xr:uid="{00000000-0004-0000-0000-000015080000}"/>
    <hyperlink ref="A1038" r:id="rId2071" display="https://www.facebook.com/juliette.faith" xr:uid="{00000000-0004-0000-0000-000016080000}"/>
    <hyperlink ref="I1038" r:id="rId2072" display="https://www.facebook.com/rapplerdotcom/photos/a.317154781638645/5596022273751843/" xr:uid="{00000000-0004-0000-0000-000017080000}"/>
    <hyperlink ref="A1039" r:id="rId2073" display="https://www.facebook.com/Jeff5289" xr:uid="{00000000-0004-0000-0000-000018080000}"/>
    <hyperlink ref="I1039" r:id="rId2074" display="https://www.facebook.com/rapplerdotcom/photos/a.317154781638645/5596022273751843/" xr:uid="{00000000-0004-0000-0000-000019080000}"/>
    <hyperlink ref="A1040" r:id="rId2075" display="https://www.facebook.com/annetardeo" xr:uid="{00000000-0004-0000-0000-00001A080000}"/>
    <hyperlink ref="I1040" r:id="rId2076" display="https://www.facebook.com/rapplerdotcom/photos/a.317154781638645/5596022273751843/" xr:uid="{00000000-0004-0000-0000-00001B080000}"/>
    <hyperlink ref="A1041" r:id="rId2077" display="https://www.facebook.com/edgar.millena" xr:uid="{00000000-0004-0000-0000-00001C080000}"/>
    <hyperlink ref="I1041" r:id="rId2078" display="https://www.facebook.com/rapplerdotcom/photos/a.317154781638645/5596022273751843/" xr:uid="{00000000-0004-0000-0000-00001D080000}"/>
    <hyperlink ref="A1042" r:id="rId2079" display="https://www.facebook.com/marite513" xr:uid="{00000000-0004-0000-0000-00001E080000}"/>
    <hyperlink ref="I1042" r:id="rId2080" display="https://www.facebook.com/rapplerdotcom/photos/a.317154781638645/5596022273751843/" xr:uid="{00000000-0004-0000-0000-00001F080000}"/>
    <hyperlink ref="A1043" r:id="rId2081" display="https://www.facebook.com/melita.deleonsantos" xr:uid="{00000000-0004-0000-0000-000020080000}"/>
    <hyperlink ref="I1043" r:id="rId2082" display="https://www.facebook.com/rapplerdotcom/photos/a.317154781638645/5596022273751843/" xr:uid="{00000000-0004-0000-0000-000021080000}"/>
    <hyperlink ref="A1044" r:id="rId2083" display="https://www.facebook.com/arlene.buela.9" xr:uid="{00000000-0004-0000-0000-000022080000}"/>
    <hyperlink ref="I1044" r:id="rId2084" display="https://www.facebook.com/rapplerdotcom/photos/a.317154781638645/5596022273751843/" xr:uid="{00000000-0004-0000-0000-000023080000}"/>
    <hyperlink ref="A1045" r:id="rId2085" display="https://www.facebook.com/rhob.mercado" xr:uid="{00000000-0004-0000-0000-000024080000}"/>
    <hyperlink ref="I1045" r:id="rId2086" display="https://www.facebook.com/rapplerdotcom/photos/a.317154781638645/5596022273751843/" xr:uid="{00000000-0004-0000-0000-000025080000}"/>
    <hyperlink ref="A1046" r:id="rId2087" display="https://www.facebook.com/Theresa074" xr:uid="{00000000-0004-0000-0000-000026080000}"/>
    <hyperlink ref="I1046" r:id="rId2088" display="https://www.facebook.com/rapplerdotcom/photos/a.317154781638645/5596022273751843/" xr:uid="{00000000-0004-0000-0000-000027080000}"/>
    <hyperlink ref="A1047" r:id="rId2089" display="https://www.facebook.com/profile.php?id=100076057558004" xr:uid="{00000000-0004-0000-0000-000028080000}"/>
    <hyperlink ref="I1047" r:id="rId2090" display="https://www.facebook.com/rapplerdotcom/photos/a.317154781638645/5596022273751843/" xr:uid="{00000000-0004-0000-0000-000029080000}"/>
    <hyperlink ref="A1048" r:id="rId2091" display="https://www.facebook.com/profile.php?id=100069091358264" xr:uid="{00000000-0004-0000-0000-00002A080000}"/>
    <hyperlink ref="I1048" r:id="rId2092" display="https://www.facebook.com/rapplerdotcom/photos/a.317154781638645/5596022273751843/" xr:uid="{00000000-0004-0000-0000-00002B080000}"/>
    <hyperlink ref="A1049" r:id="rId2093" display="https://www.facebook.com/davefrancis.ybalig" xr:uid="{00000000-0004-0000-0000-00002C080000}"/>
    <hyperlink ref="I1049" r:id="rId2094" display="https://www.facebook.com/rapplerdotcom/photos/a.317154781638645/5596022273751843/" xr:uid="{00000000-0004-0000-0000-00002D080000}"/>
    <hyperlink ref="A1050" r:id="rId2095" display="https://www.facebook.com/gorife.selas" xr:uid="{00000000-0004-0000-0000-00002E080000}"/>
    <hyperlink ref="I1050" r:id="rId2096" display="https://www.facebook.com/rapplerdotcom/photos/a.317154781638645/5596022273751843/" xr:uid="{00000000-0004-0000-0000-00002F080000}"/>
    <hyperlink ref="A1051" r:id="rId2097" display="https://www.facebook.com/sophia.durmiendo" xr:uid="{00000000-0004-0000-0000-000030080000}"/>
    <hyperlink ref="I1051" r:id="rId2098" display="https://www.facebook.com/rapplerdotcom/photos/a.317154781638645/5596022273751843/" xr:uid="{00000000-0004-0000-0000-000031080000}"/>
    <hyperlink ref="A1052" r:id="rId2099" display="https://www.facebook.com/allan.ticatic" xr:uid="{00000000-0004-0000-0000-000032080000}"/>
    <hyperlink ref="I1052" r:id="rId2100" display="https://www.facebook.com/rapplerdotcom/photos/a.317154781638645/5596022273751843/" xr:uid="{00000000-0004-0000-0000-000033080000}"/>
    <hyperlink ref="A1053" r:id="rId2101" display="https://www.facebook.com/maryrose.t.zamora" xr:uid="{00000000-0004-0000-0000-000034080000}"/>
    <hyperlink ref="I1053" r:id="rId2102" display="https://www.facebook.com/rapplerdotcom/photos/a.317154781638645/5596022273751843/" xr:uid="{00000000-0004-0000-0000-000035080000}"/>
    <hyperlink ref="A1054" r:id="rId2103" display="https://www.facebook.com/jethro.ramirez.3914" xr:uid="{00000000-0004-0000-0000-000036080000}"/>
    <hyperlink ref="I1054" r:id="rId2104" display="https://www.facebook.com/rapplerdotcom/photos/a.317154781638645/5596022273751843/" xr:uid="{00000000-0004-0000-0000-000037080000}"/>
    <hyperlink ref="A1055" r:id="rId2105" display="https://www.facebook.com/ditas.roxas" xr:uid="{00000000-0004-0000-0000-000038080000}"/>
    <hyperlink ref="I1055" r:id="rId2106" display="https://www.facebook.com/rapplerdotcom/photos/a.317154781638645/5596022273751843/" xr:uid="{00000000-0004-0000-0000-000039080000}"/>
    <hyperlink ref="A1056" r:id="rId2107" display="https://www.facebook.com/nino.samuel.14" xr:uid="{00000000-0004-0000-0000-00003A080000}"/>
    <hyperlink ref="I1056" r:id="rId2108" display="https://www.facebook.com/rapplerdotcom/photos/a.317154781638645/5596022273751843/" xr:uid="{00000000-0004-0000-0000-00003B080000}"/>
    <hyperlink ref="A1057" r:id="rId2109" display="https://www.facebook.com/tess.marcelo.7" xr:uid="{00000000-0004-0000-0000-00003C080000}"/>
    <hyperlink ref="I1057" r:id="rId2110" display="https://www.facebook.com/rapplerdotcom/photos/a.317154781638645/5596022273751843/" xr:uid="{00000000-0004-0000-0000-00003D080000}"/>
    <hyperlink ref="A1058" r:id="rId2111" display="https://www.facebook.com/monette.meris" xr:uid="{00000000-0004-0000-0000-00003E080000}"/>
    <hyperlink ref="I1058" r:id="rId2112" display="https://www.facebook.com/rapplerdotcom/photos/a.317154781638645/5596022273751843/" xr:uid="{00000000-0004-0000-0000-00003F080000}"/>
    <hyperlink ref="A1059" r:id="rId2113" display="https://www.facebook.com/liz.lim.50115" xr:uid="{00000000-0004-0000-0000-000040080000}"/>
    <hyperlink ref="I1059" r:id="rId2114" display="https://www.facebook.com/rapplerdotcom/photos/a.317154781638645/5596022273751843/" xr:uid="{00000000-0004-0000-0000-000041080000}"/>
    <hyperlink ref="A1060" r:id="rId2115" display="https://www.facebook.com/maribel.young" xr:uid="{00000000-0004-0000-0000-000042080000}"/>
    <hyperlink ref="I1060" r:id="rId2116" display="https://www.facebook.com/rapplerdotcom/photos/a.317154781638645/5596022273751843/" xr:uid="{00000000-0004-0000-0000-000043080000}"/>
    <hyperlink ref="A1061" r:id="rId2117" display="https://www.facebook.com/jenniebee.hempisao" xr:uid="{00000000-0004-0000-0000-000044080000}"/>
    <hyperlink ref="I1061" r:id="rId2118" display="https://www.facebook.com/rapplerdotcom/photos/a.317154781638645/5596022273751843/" xr:uid="{00000000-0004-0000-0000-000045080000}"/>
    <hyperlink ref="A1062" r:id="rId2119" display="https://www.facebook.com/maceciliamf" xr:uid="{00000000-0004-0000-0000-000046080000}"/>
    <hyperlink ref="I1062" r:id="rId2120" display="https://www.facebook.com/rapplerdotcom/photos/a.317154781638645/5596022273751843/" xr:uid="{00000000-0004-0000-0000-000047080000}"/>
    <hyperlink ref="A1063" r:id="rId2121" display="https://www.facebook.com/remy.dtamayo" xr:uid="{00000000-0004-0000-0000-000048080000}"/>
    <hyperlink ref="I1063" r:id="rId2122" display="https://www.facebook.com/rapplerdotcom/photos/a.317154781638645/5596022273751843/" xr:uid="{00000000-0004-0000-0000-000049080000}"/>
    <hyperlink ref="A1064" r:id="rId2123" display="https://www.facebook.com/gilbert.barbacena.7" xr:uid="{00000000-0004-0000-0000-00004A080000}"/>
    <hyperlink ref="I1064" r:id="rId2124" display="https://www.facebook.com/rapplerdotcom/photos/a.317154781638645/5596022273751843/" xr:uid="{00000000-0004-0000-0000-00004B080000}"/>
    <hyperlink ref="A1065" r:id="rId2125" display="https://www.facebook.com/nonoy.tan.7" xr:uid="{00000000-0004-0000-0000-00004C080000}"/>
    <hyperlink ref="I1065" r:id="rId2126" display="https://www.facebook.com/rapplerdotcom/photos/a.317154781638645/5596022273751843/" xr:uid="{00000000-0004-0000-0000-00004D080000}"/>
    <hyperlink ref="A1066" r:id="rId2127" display="https://www.facebook.com/analyn.bravo" xr:uid="{00000000-0004-0000-0000-00004E080000}"/>
    <hyperlink ref="I1066" r:id="rId2128" display="https://www.facebook.com/rapplerdotcom/photos/a.317154781638645/5596022273751843/" xr:uid="{00000000-0004-0000-0000-00004F080000}"/>
    <hyperlink ref="A1067" r:id="rId2129" display="https://www.facebook.com/leilani.mallorca.543" xr:uid="{00000000-0004-0000-0000-000050080000}"/>
    <hyperlink ref="I1067" r:id="rId2130" display="https://www.facebook.com/rapplerdotcom/photos/a.317154781638645/5596022273751843/" xr:uid="{00000000-0004-0000-0000-000051080000}"/>
    <hyperlink ref="A1068" r:id="rId2131" display="https://www.facebook.com/guenkisses" xr:uid="{00000000-0004-0000-0000-000052080000}"/>
    <hyperlink ref="I1068" r:id="rId2132" display="https://www.facebook.com/rapplerdotcom/photos/a.317154781638645/5596022273751843/" xr:uid="{00000000-0004-0000-0000-000053080000}"/>
    <hyperlink ref="A1069" r:id="rId2133" display="https://www.facebook.com/gem.lazaro" xr:uid="{00000000-0004-0000-0000-000054080000}"/>
    <hyperlink ref="I1069" r:id="rId2134" display="https://www.facebook.com/rapplerdotcom/photos/a.317154781638645/5596022273751843/" xr:uid="{00000000-0004-0000-0000-000055080000}"/>
    <hyperlink ref="A1070" r:id="rId2135" display="https://www.facebook.com/asset.serrano" xr:uid="{00000000-0004-0000-0000-000056080000}"/>
    <hyperlink ref="I1070" r:id="rId2136" display="https://www.facebook.com/rapplerdotcom/photos/a.317154781638645/5596022273751843/" xr:uid="{00000000-0004-0000-0000-000057080000}"/>
    <hyperlink ref="A1071" r:id="rId2137" display="https://www.facebook.com/cherylmae.cy.73" xr:uid="{00000000-0004-0000-0000-000058080000}"/>
    <hyperlink ref="I1071" r:id="rId2138" display="https://www.facebook.com/rapplerdotcom/photos/a.317154781638645/5596022273751843/" xr:uid="{00000000-0004-0000-0000-000059080000}"/>
    <hyperlink ref="A1072" r:id="rId2139" display="https://www.facebook.com/regina.r.bastida" xr:uid="{00000000-0004-0000-0000-00005A080000}"/>
    <hyperlink ref="I1072" r:id="rId2140" display="https://www.facebook.com/rapplerdotcom/photos/a.317154781638645/5596022273751843/" xr:uid="{00000000-0004-0000-0000-00005B080000}"/>
    <hyperlink ref="A1073" r:id="rId2141" display="https://www.facebook.com/ruby.galura" xr:uid="{00000000-0004-0000-0000-00005C080000}"/>
    <hyperlink ref="I1073" r:id="rId2142" display="https://www.facebook.com/rapplerdotcom/photos/a.317154781638645/5596022273751843/" xr:uid="{00000000-0004-0000-0000-00005D080000}"/>
    <hyperlink ref="A1074" r:id="rId2143" display="https://www.facebook.com/restituto.mangalindan" xr:uid="{00000000-0004-0000-0000-00005E080000}"/>
    <hyperlink ref="I1074" r:id="rId2144" display="https://www.facebook.com/rapplerdotcom/photos/a.317154781638645/5596022273751843/" xr:uid="{00000000-0004-0000-0000-00005F080000}"/>
    <hyperlink ref="A1075" r:id="rId2145" display="https://www.facebook.com/kap.riegodedios" xr:uid="{00000000-0004-0000-0000-000060080000}"/>
    <hyperlink ref="I1075" r:id="rId2146" display="https://www.facebook.com/rapplerdotcom/photos/a.317154781638645/5596022273751843/" xr:uid="{00000000-0004-0000-0000-000061080000}"/>
    <hyperlink ref="A1076" r:id="rId2147" display="https://www.facebook.com/uycheskaanne" xr:uid="{00000000-0004-0000-0000-000062080000}"/>
    <hyperlink ref="I1076" r:id="rId2148" display="https://www.facebook.com/rapplerdotcom/photos/a.317154781638645/5596022273751843/" xr:uid="{00000000-0004-0000-0000-000063080000}"/>
    <hyperlink ref="A1077" r:id="rId2149" display="https://www.facebook.com/mynameis.leagirl" xr:uid="{00000000-0004-0000-0000-000064080000}"/>
    <hyperlink ref="I1077" r:id="rId2150" display="https://www.facebook.com/rapplerdotcom/photos/a.317154781638645/5596022273751843/" xr:uid="{00000000-0004-0000-0000-000065080000}"/>
    <hyperlink ref="A1078" r:id="rId2151" display="https://www.facebook.com/joseph.aniversario.9" xr:uid="{00000000-0004-0000-0000-000066080000}"/>
    <hyperlink ref="I1078" r:id="rId2152" display="https://www.facebook.com/rapplerdotcom/photos/a.317154781638645/5596022273751843/" xr:uid="{00000000-0004-0000-0000-000067080000}"/>
    <hyperlink ref="A1079" r:id="rId2153" display="https://www.facebook.com/gorife.selas" xr:uid="{00000000-0004-0000-0000-000068080000}"/>
    <hyperlink ref="I1079" r:id="rId2154" display="https://www.facebook.com/rapplerdotcom/photos/a.317154781638645/5596022273751843/" xr:uid="{00000000-0004-0000-0000-000069080000}"/>
    <hyperlink ref="A1080" r:id="rId2155" display="https://www.facebook.com/joviegee" xr:uid="{00000000-0004-0000-0000-00006A080000}"/>
    <hyperlink ref="I1080" r:id="rId2156" display="https://www.facebook.com/rapplerdotcom/photos/a.317154781638645/5596022273751843/" xr:uid="{00000000-0004-0000-0000-00006B080000}"/>
    <hyperlink ref="A1081" r:id="rId2157" display="https://www.facebook.com/everayo" xr:uid="{00000000-0004-0000-0000-00006C080000}"/>
    <hyperlink ref="I1081" r:id="rId2158" display="https://www.facebook.com/rapplerdotcom/photos/a.317154781638645/5596022273751843/" xr:uid="{00000000-0004-0000-0000-00006D080000}"/>
    <hyperlink ref="A1082" r:id="rId2159" display="https://www.facebook.com/yonehl.inasor" xr:uid="{00000000-0004-0000-0000-00006E080000}"/>
    <hyperlink ref="I1082" r:id="rId2160" display="https://www.facebook.com/rapplerdotcom/photos/a.317154781638645/5596022273751843/" xr:uid="{00000000-0004-0000-0000-00006F080000}"/>
    <hyperlink ref="A1083" r:id="rId2161" display="https://www.facebook.com/egaythessa.resurreccion" xr:uid="{00000000-0004-0000-0000-000070080000}"/>
    <hyperlink ref="I1083" r:id="rId2162" display="https://www.facebook.com/rapplerdotcom/photos/a.317154781638645/5596022273751843/" xr:uid="{00000000-0004-0000-0000-000071080000}"/>
    <hyperlink ref="A1084" r:id="rId2163" display="https://www.facebook.com/joyjoy.montenegro.71" xr:uid="{00000000-0004-0000-0000-000072080000}"/>
    <hyperlink ref="I1084" r:id="rId2164" display="https://www.facebook.com/rapplerdotcom/photos/a.317154781638645/5596022273751843/" xr:uid="{00000000-0004-0000-0000-000073080000}"/>
    <hyperlink ref="A1085" r:id="rId2165" display="https://www.facebook.com/moana.minerva.39" xr:uid="{00000000-0004-0000-0000-000074080000}"/>
    <hyperlink ref="I1085" r:id="rId2166" display="https://www.facebook.com/rapplerdotcom/photos/a.317154781638645/5596022273751843/" xr:uid="{00000000-0004-0000-0000-000075080000}"/>
    <hyperlink ref="A1086" r:id="rId2167" display="https://www.facebook.com/aye.rentoy.73" xr:uid="{00000000-0004-0000-0000-000076080000}"/>
    <hyperlink ref="I1086" r:id="rId2168" display="https://www.facebook.com/rapplerdotcom/photos/a.317154781638645/5596022273751843/" xr:uid="{00000000-0004-0000-0000-000077080000}"/>
    <hyperlink ref="A1087" r:id="rId2169" display="https://www.facebook.com/haidi.lim" xr:uid="{00000000-0004-0000-0000-000078080000}"/>
    <hyperlink ref="I1087" r:id="rId2170" display="https://www.facebook.com/rapplerdotcom/photos/a.317154781638645/5596022273751843/" xr:uid="{00000000-0004-0000-0000-000079080000}"/>
    <hyperlink ref="A1088" r:id="rId2171" display="https://www.facebook.com/annruth.bolisaygochingco" xr:uid="{00000000-0004-0000-0000-00007A080000}"/>
    <hyperlink ref="I1088" r:id="rId2172" display="https://www.facebook.com/rapplerdotcom/photos/a.317154781638645/5596022273751843/" xr:uid="{00000000-0004-0000-0000-00007B080000}"/>
    <hyperlink ref="A1089" r:id="rId2173" display="https://www.facebook.com/johnmark.maclang" xr:uid="{00000000-0004-0000-0000-00007C080000}"/>
    <hyperlink ref="I1089" r:id="rId2174" display="https://www.facebook.com/rapplerdotcom/photos/a.317154781638645/5596022273751843/" xr:uid="{00000000-0004-0000-0000-00007D080000}"/>
    <hyperlink ref="A1090" r:id="rId2175" display="https://www.facebook.com/dynah.ferrer.1" xr:uid="{00000000-0004-0000-0000-00007E080000}"/>
    <hyperlink ref="I1090" r:id="rId2176" display="https://www.facebook.com/rapplerdotcom/photos/a.317154781638645/5596022273751843/" xr:uid="{00000000-0004-0000-0000-00007F080000}"/>
    <hyperlink ref="A1091" r:id="rId2177" display="https://www.facebook.com/ofelia.guimbaolibot" xr:uid="{00000000-0004-0000-0000-000080080000}"/>
    <hyperlink ref="I1091" r:id="rId2178" display="https://www.facebook.com/rapplerdotcom/photos/a.317154781638645/5596022273751843/" xr:uid="{00000000-0004-0000-0000-000081080000}"/>
    <hyperlink ref="A1092" r:id="rId2179" display="https://www.facebook.com/almher.manalo" xr:uid="{00000000-0004-0000-0000-000082080000}"/>
    <hyperlink ref="I1092" r:id="rId2180" display="https://www.facebook.com/rapplerdotcom/photos/a.317154781638645/5596022273751843/" xr:uid="{00000000-0004-0000-0000-000083080000}"/>
    <hyperlink ref="A1093" r:id="rId2181" display="https://www.facebook.com/marygracie.tamayo" xr:uid="{00000000-0004-0000-0000-000084080000}"/>
    <hyperlink ref="I1093" r:id="rId2182" display="https://www.facebook.com/rapplerdotcom/photos/a.317154781638645/5596022273751843/" xr:uid="{00000000-0004-0000-0000-000085080000}"/>
    <hyperlink ref="A1094" r:id="rId2183" display="https://www.facebook.com/arlene.buela.9" xr:uid="{00000000-0004-0000-0000-000086080000}"/>
    <hyperlink ref="I1094" r:id="rId2184" display="https://www.facebook.com/rapplerdotcom/photos/a.317154781638645/5596022273751843/" xr:uid="{00000000-0004-0000-0000-000087080000}"/>
    <hyperlink ref="A1095" r:id="rId2185" display="https://www.facebook.com/marygracie.tamayo" xr:uid="{00000000-0004-0000-0000-000088080000}"/>
    <hyperlink ref="I1095" r:id="rId2186" display="https://www.facebook.com/rapplerdotcom/photos/a.317154781638645/5596022273751843/" xr:uid="{00000000-0004-0000-0000-000089080000}"/>
    <hyperlink ref="A1096" r:id="rId2187" display="https://www.facebook.com/arlene.buela.9" xr:uid="{00000000-0004-0000-0000-00008A080000}"/>
    <hyperlink ref="I1096" r:id="rId2188" display="https://www.facebook.com/rapplerdotcom/photos/a.317154781638645/5596022273751843/" xr:uid="{00000000-0004-0000-0000-00008B080000}"/>
    <hyperlink ref="A1097" r:id="rId2189" display="https://www.facebook.com/marygracie.tamayo" xr:uid="{00000000-0004-0000-0000-00008C080000}"/>
    <hyperlink ref="I1097" r:id="rId2190" display="https://www.facebook.com/rapplerdotcom/photos/a.317154781638645/5596022273751843/" xr:uid="{00000000-0004-0000-0000-00008D080000}"/>
    <hyperlink ref="A1098" r:id="rId2191" display="https://www.facebook.com/litomn" xr:uid="{00000000-0004-0000-0000-00008E080000}"/>
    <hyperlink ref="I1098" r:id="rId2192" display="https://www.facebook.com/rapplerdotcom/photos/a.317154781638645/5596022273751843/" xr:uid="{00000000-0004-0000-0000-00008F080000}"/>
    <hyperlink ref="A1099" r:id="rId2193" display="https://www.facebook.com/faithjoan.gaerlan.5" xr:uid="{00000000-0004-0000-0000-000090080000}"/>
    <hyperlink ref="I1099" r:id="rId2194" display="https://www.facebook.com/rapplerdotcom/photos/a.317154781638645/5596022273751843/" xr:uid="{00000000-0004-0000-0000-000091080000}"/>
    <hyperlink ref="A1100" r:id="rId2195" display="https://www.facebook.com/helen.pesquisa" xr:uid="{00000000-0004-0000-0000-000092080000}"/>
    <hyperlink ref="I1100" r:id="rId2196" display="https://www.facebook.com/rapplerdotcom/photos/a.317154781638645/5596022273751843/" xr:uid="{00000000-0004-0000-0000-000093080000}"/>
    <hyperlink ref="A1101" r:id="rId2197" display="https://www.facebook.com/finkvarna" xr:uid="{00000000-0004-0000-0000-000094080000}"/>
    <hyperlink ref="I1101" r:id="rId2198" display="https://www.facebook.com/rapplerdotcom/photos/a.317154781638645/5596022273751843/" xr:uid="{00000000-0004-0000-0000-000095080000}"/>
    <hyperlink ref="A1102" r:id="rId2199" display="https://www.facebook.com/nhienyanz14" xr:uid="{00000000-0004-0000-0000-000096080000}"/>
    <hyperlink ref="I1102" r:id="rId2200" display="https://www.facebook.com/rapplerdotcom/photos/a.317154781638645/5596022273751843/" xr:uid="{00000000-0004-0000-0000-000097080000}"/>
    <hyperlink ref="A1103" r:id="rId2201" display="https://www.facebook.com/dez.delmundosamson" xr:uid="{00000000-0004-0000-0000-000098080000}"/>
    <hyperlink ref="I1103" r:id="rId2202" display="https://www.facebook.com/rapplerdotcom/photos/a.317154781638645/5596022273751843/" xr:uid="{00000000-0004-0000-0000-000099080000}"/>
    <hyperlink ref="A1104" r:id="rId2203" display="https://www.facebook.com/raquel.timones" xr:uid="{00000000-0004-0000-0000-00009A080000}"/>
    <hyperlink ref="I1104" r:id="rId2204" display="https://www.facebook.com/rapplerdotcom/photos/a.317154781638645/5596022273751843/" xr:uid="{00000000-0004-0000-0000-00009B080000}"/>
    <hyperlink ref="A1105" r:id="rId2205" display="https://www.facebook.com/mariatheresa.cabantog" xr:uid="{00000000-0004-0000-0000-00009C080000}"/>
    <hyperlink ref="I1105" r:id="rId2206" display="https://www.facebook.com/rapplerdotcom/photos/a.317154781638645/5596022273751843/" xr:uid="{00000000-0004-0000-0000-00009D080000}"/>
    <hyperlink ref="A1106" r:id="rId2207" display="https://www.facebook.com/arlene.buela.9" xr:uid="{00000000-0004-0000-0000-00009E080000}"/>
    <hyperlink ref="I1106" r:id="rId2208" display="https://www.facebook.com/rapplerdotcom/photos/a.317154781638645/5596022273751843/" xr:uid="{00000000-0004-0000-0000-00009F080000}"/>
    <hyperlink ref="A1107" r:id="rId2209" display="https://www.facebook.com/lourdeseleanor.miranda" xr:uid="{00000000-0004-0000-0000-0000A0080000}"/>
    <hyperlink ref="I1107" r:id="rId2210" display="https://www.facebook.com/rapplerdotcom/photos/a.317154781638645/5596022273751843/" xr:uid="{00000000-0004-0000-0000-0000A1080000}"/>
    <hyperlink ref="A1108" r:id="rId2211" display="https://www.facebook.com/roberto.sembrano" xr:uid="{00000000-0004-0000-0000-0000A2080000}"/>
    <hyperlink ref="I1108" r:id="rId2212" display="https://www.facebook.com/rapplerdotcom/photos/a.317154781638645/5596022273751843/" xr:uid="{00000000-0004-0000-0000-0000A3080000}"/>
    <hyperlink ref="A1109" r:id="rId2213" display="https://www.facebook.com/noel.ahadan" xr:uid="{00000000-0004-0000-0000-0000A4080000}"/>
    <hyperlink ref="I1109" r:id="rId2214" display="https://www.facebook.com/rapplerdotcom/photos/a.317154781638645/5596022273751843/" xr:uid="{00000000-0004-0000-0000-0000A5080000}"/>
    <hyperlink ref="A1110" r:id="rId2215" display="https://www.facebook.com/johnraffy.patrocinio" xr:uid="{00000000-0004-0000-0000-0000A6080000}"/>
    <hyperlink ref="I1110" r:id="rId2216" display="https://www.facebook.com/rapplerdotcom/photos/a.317154781638645/5596022273751843/" xr:uid="{00000000-0004-0000-0000-0000A7080000}"/>
    <hyperlink ref="A1111" r:id="rId2217" display="https://www.facebook.com/rmdsierra" xr:uid="{00000000-0004-0000-0000-0000A8080000}"/>
    <hyperlink ref="I1111" r:id="rId2218" display="https://www.facebook.com/rapplerdotcom/photos/a.317154781638645/5596022273751843/" xr:uid="{00000000-0004-0000-0000-0000A9080000}"/>
    <hyperlink ref="A1112" r:id="rId2219" display="https://www.facebook.com/johnraffy.patrocinio" xr:uid="{00000000-0004-0000-0000-0000AA080000}"/>
    <hyperlink ref="I1112" r:id="rId2220" display="https://www.facebook.com/rapplerdotcom/photos/a.317154781638645/5596022273751843/" xr:uid="{00000000-0004-0000-0000-0000AB080000}"/>
    <hyperlink ref="A1113" r:id="rId2221" display="https://www.facebook.com/rmdsierra" xr:uid="{00000000-0004-0000-0000-0000AC080000}"/>
    <hyperlink ref="I1113" r:id="rId2222" display="https://www.facebook.com/rapplerdotcom/photos/a.317154781638645/5596022273751843/" xr:uid="{00000000-0004-0000-0000-0000AD080000}"/>
    <hyperlink ref="A1114" r:id="rId2223" display="https://www.facebook.com/jbmcaballero" xr:uid="{00000000-0004-0000-0000-0000AE080000}"/>
    <hyperlink ref="I1114" r:id="rId2224" display="https://www.facebook.com/rapplerdotcom/photos/a.317154781638645/5596022273751843/" xr:uid="{00000000-0004-0000-0000-0000AF080000}"/>
    <hyperlink ref="A1115" r:id="rId2225" display="https://www.facebook.com/jening.martinez" xr:uid="{00000000-0004-0000-0000-0000B0080000}"/>
    <hyperlink ref="I1115" r:id="rId2226" display="https://www.facebook.com/rapplerdotcom/photos/a.317154781638645/5596022273751843/" xr:uid="{00000000-0004-0000-0000-0000B1080000}"/>
    <hyperlink ref="A1116" r:id="rId2227" display="https://www.facebook.com/joelcueno30" xr:uid="{00000000-0004-0000-0000-0000B2080000}"/>
    <hyperlink ref="I1116" r:id="rId2228" display="https://www.facebook.com/rapplerdotcom/photos/a.317154781638645/5596022273751843/" xr:uid="{00000000-0004-0000-0000-0000B3080000}"/>
    <hyperlink ref="A1117" r:id="rId2229" display="https://www.facebook.com/remzi.onal.9" xr:uid="{00000000-0004-0000-0000-0000B4080000}"/>
    <hyperlink ref="I1117" r:id="rId2230" display="https://www.facebook.com/rapplerdotcom/photos/a.317154781638645/5596022273751843/" xr:uid="{00000000-0004-0000-0000-0000B5080000}"/>
    <hyperlink ref="A1118" r:id="rId2231" display="https://www.facebook.com/chabbykitz" xr:uid="{00000000-0004-0000-0000-0000B6080000}"/>
    <hyperlink ref="I1118" r:id="rId2232" display="https://www.facebook.com/rapplerdotcom/photos/a.317154781638645/5596022273751843/" xr:uid="{00000000-0004-0000-0000-0000B7080000}"/>
    <hyperlink ref="A1119" r:id="rId2233" display="https://www.facebook.com/rueven.cuizon" xr:uid="{00000000-0004-0000-0000-0000B8080000}"/>
    <hyperlink ref="I1119" r:id="rId2234" display="https://www.facebook.com/rapplerdotcom/photos/a.317154781638645/5596022273751843/" xr:uid="{00000000-0004-0000-0000-0000B9080000}"/>
    <hyperlink ref="A1120" r:id="rId2235" display="https://www.facebook.com/ferdinand.arellano.92" xr:uid="{00000000-0004-0000-0000-0000BA080000}"/>
    <hyperlink ref="I1120" r:id="rId2236" display="https://www.facebook.com/rapplerdotcom/photos/a.317154781638645/5596022273751843/" xr:uid="{00000000-0004-0000-0000-0000BB080000}"/>
    <hyperlink ref="A1121" r:id="rId2237" display="https://www.facebook.com/lorenzfajardo.amin" xr:uid="{00000000-0004-0000-0000-0000BC080000}"/>
    <hyperlink ref="I1121" r:id="rId2238" display="https://www.facebook.com/rapplerdotcom/photos/a.317154781638645/5596022273751843/" xr:uid="{00000000-0004-0000-0000-0000BD080000}"/>
    <hyperlink ref="A1122" r:id="rId2239" display="https://www.facebook.com/angelica.perig.7" xr:uid="{00000000-0004-0000-0000-0000BE080000}"/>
    <hyperlink ref="I1122" r:id="rId2240" display="https://www.facebook.com/rapplerdotcom/photos/a.317154781638645/5596022273751843/" xr:uid="{00000000-0004-0000-0000-0000BF080000}"/>
    <hyperlink ref="A1123" r:id="rId2241" display="https://www.facebook.com/noel.sison.96" xr:uid="{00000000-0004-0000-0000-0000C0080000}"/>
    <hyperlink ref="I1123" r:id="rId2242" display="https://www.facebook.com/rapplerdotcom/photos/a.317154781638645/5596022273751843/" xr:uid="{00000000-0004-0000-0000-0000C1080000}"/>
    <hyperlink ref="A1124" r:id="rId2243" display="https://www.facebook.com/undress.bonifacio.100" xr:uid="{00000000-0004-0000-0000-0000C2080000}"/>
    <hyperlink ref="I1124" r:id="rId2244" display="https://www.facebook.com/rapplerdotcom/photos/a.317154781638645/5596022273751843/" xr:uid="{00000000-0004-0000-0000-0000C3080000}"/>
    <hyperlink ref="A1125" r:id="rId2245" display="https://www.facebook.com/kenneth.shinkim" xr:uid="{00000000-0004-0000-0000-0000C4080000}"/>
    <hyperlink ref="I1125" r:id="rId2246" display="https://www.facebook.com/rapplerdotcom/photos/a.317154781638645/5596022273751843/" xr:uid="{00000000-0004-0000-0000-0000C5080000}"/>
    <hyperlink ref="A1126" r:id="rId2247" display="https://www.facebook.com/totskie.alkhan" xr:uid="{00000000-0004-0000-0000-0000C6080000}"/>
    <hyperlink ref="I1126" r:id="rId2248" display="https://www.facebook.com/rapplerdotcom/photos/a.317154781638645/5596022273751843/" xr:uid="{00000000-0004-0000-0000-0000C7080000}"/>
    <hyperlink ref="A1127" r:id="rId2249" display="https://www.facebook.com/vicky.v.quiachon" xr:uid="{00000000-0004-0000-0000-0000C8080000}"/>
    <hyperlink ref="I1127" r:id="rId2250" display="https://www.facebook.com/rapplerdotcom/photos/a.317154781638645/5596022273751843/" xr:uid="{00000000-0004-0000-0000-0000C9080000}"/>
    <hyperlink ref="A1128" r:id="rId2251" display="https://www.facebook.com/profile.php?id=100009501826063" xr:uid="{00000000-0004-0000-0000-0000CA080000}"/>
    <hyperlink ref="I1128" r:id="rId2252" display="https://www.facebook.com/rapplerdotcom/photos/a.317154781638645/5596022273751843/" xr:uid="{00000000-0004-0000-0000-0000CB080000}"/>
    <hyperlink ref="A1129" r:id="rId2253" display="https://www.facebook.com/kylie.azure" xr:uid="{00000000-0004-0000-0000-0000CC080000}"/>
    <hyperlink ref="I1129" r:id="rId2254" display="https://www.facebook.com/rapplerdotcom/photos/a.317154781638645/5596022273751843/" xr:uid="{00000000-0004-0000-0000-0000CD080000}"/>
    <hyperlink ref="A1130" r:id="rId2255" display="https://www.facebook.com/marlene.delacruz.5602" xr:uid="{00000000-0004-0000-0000-0000CE080000}"/>
    <hyperlink ref="I1130" r:id="rId2256" display="https://www.facebook.com/rapplerdotcom/photos/a.317154781638645/5596022273751843/" xr:uid="{00000000-0004-0000-0000-0000CF080000}"/>
    <hyperlink ref="A1131" r:id="rId2257" display="https://www.facebook.com/NelvieParilla" xr:uid="{00000000-0004-0000-0000-0000D0080000}"/>
    <hyperlink ref="I1131" r:id="rId2258" display="https://www.facebook.com/rapplerdotcom/photos/a.317154781638645/5596022273751843/" xr:uid="{00000000-0004-0000-0000-0000D1080000}"/>
    <hyperlink ref="A1132" r:id="rId2259" display="https://www.facebook.com/yonehl.inasor" xr:uid="{00000000-0004-0000-0000-0000D2080000}"/>
    <hyperlink ref="I1132" r:id="rId2260" display="https://www.facebook.com/rapplerdotcom/photos/a.317154781638645/5596022273751843/" xr:uid="{00000000-0004-0000-0000-0000D3080000}"/>
    <hyperlink ref="A1133" r:id="rId2261" display="https://www.facebook.com/senpaiz09" xr:uid="{00000000-0004-0000-0000-0000D4080000}"/>
    <hyperlink ref="I1133" r:id="rId2262" display="https://www.facebook.com/rapplerdotcom/photos/a.317154781638645/5596022273751843/" xr:uid="{00000000-0004-0000-0000-0000D5080000}"/>
    <hyperlink ref="A1134" r:id="rId2263" display="https://www.facebook.com/ronnie.mangaoang.1" xr:uid="{00000000-0004-0000-0000-0000D6080000}"/>
    <hyperlink ref="I1134" r:id="rId2264" display="https://www.facebook.com/rapplerdotcom/photos/a.317154781638645/5596022273751843/" xr:uid="{00000000-0004-0000-0000-0000D7080000}"/>
    <hyperlink ref="A1135" r:id="rId2265" display="https://www.facebook.com/jianson" xr:uid="{00000000-0004-0000-0000-0000D8080000}"/>
    <hyperlink ref="I1135" r:id="rId2266" display="https://www.facebook.com/rapplerdotcom/photos/a.317154781638645/5596022273751843/" xr:uid="{00000000-0004-0000-0000-0000D9080000}"/>
    <hyperlink ref="A1136" r:id="rId2267" display="https://www.facebook.com/profile.php?id=100009111409816" xr:uid="{00000000-0004-0000-0000-0000DA080000}"/>
    <hyperlink ref="I1136" r:id="rId2268" display="https://www.facebook.com/rapplerdotcom/photos/a.317154781638645/5596022273751843/" xr:uid="{00000000-0004-0000-0000-0000DB080000}"/>
    <hyperlink ref="A1137" r:id="rId2269" display="https://www.facebook.com/mikhail.maslog" xr:uid="{00000000-0004-0000-0000-0000DC080000}"/>
    <hyperlink ref="I1137" r:id="rId2270" display="https://www.facebook.com/rapplerdotcom/photos/a.317154781638645/5596022273751843/" xr:uid="{00000000-0004-0000-0000-0000DD080000}"/>
    <hyperlink ref="A1138" r:id="rId2271" display="https://www.facebook.com/nissan.urvan.779" xr:uid="{00000000-0004-0000-0000-0000DE080000}"/>
    <hyperlink ref="I1138" r:id="rId2272" display="https://www.facebook.com/rapplerdotcom/photos/a.317154781638645/5596022273751843/" xr:uid="{00000000-0004-0000-0000-0000DF080000}"/>
    <hyperlink ref="A1139" r:id="rId2273" display="https://www.facebook.com/carie.tablismaaguila" xr:uid="{00000000-0004-0000-0000-0000E0080000}"/>
    <hyperlink ref="I1139" r:id="rId2274" display="https://www.facebook.com/rapplerdotcom/photos/a.317154781638645/5596022273751843/" xr:uid="{00000000-0004-0000-0000-0000E1080000}"/>
    <hyperlink ref="A1140" r:id="rId2275" display="https://www.facebook.com/josh.riguer" xr:uid="{00000000-0004-0000-0000-0000E2080000}"/>
    <hyperlink ref="I1140" r:id="rId2276" display="https://www.facebook.com/rapplerdotcom/photos/a.317154781638645/5596022273751843/" xr:uid="{00000000-0004-0000-0000-0000E3080000}"/>
    <hyperlink ref="A1141" r:id="rId2277" display="https://www.facebook.com/Agtakhanisla14" xr:uid="{00000000-0004-0000-0000-0000E4080000}"/>
    <hyperlink ref="I1141" r:id="rId2278" display="https://www.facebook.com/rapplerdotcom/photos/a.317154781638645/5596022273751843/" xr:uid="{00000000-0004-0000-0000-0000E5080000}"/>
    <hyperlink ref="A1142" r:id="rId2279" display="https://www.facebook.com/ferrerantonia" xr:uid="{00000000-0004-0000-0000-0000E6080000}"/>
    <hyperlink ref="I1142" r:id="rId2280" display="https://www.facebook.com/rapplerdotcom/photos/a.317154781638645/5596022273751843/" xr:uid="{00000000-0004-0000-0000-0000E7080000}"/>
    <hyperlink ref="A1143" r:id="rId2281" display="https://www.facebook.com/lmfloralde" xr:uid="{00000000-0004-0000-0000-0000E8080000}"/>
    <hyperlink ref="I1143" r:id="rId2282" display="https://www.facebook.com/rapplerdotcom/photos/a.317154781638645/5596022273751843/" xr:uid="{00000000-0004-0000-0000-0000E9080000}"/>
    <hyperlink ref="A1144" r:id="rId2283" display="https://www.facebook.com/nigeltan.ph" xr:uid="{00000000-0004-0000-0000-0000EA080000}"/>
    <hyperlink ref="I1144" r:id="rId2284" display="https://www.facebook.com/rapplerdotcom/photos/a.317154781638645/5596022273751843/" xr:uid="{00000000-0004-0000-0000-0000EB080000}"/>
    <hyperlink ref="A1145" r:id="rId2285" display="https://www.facebook.com/profile.php?id=100005732081750" xr:uid="{00000000-0004-0000-0000-0000EC080000}"/>
    <hyperlink ref="I1145" r:id="rId2286" display="https://www.facebook.com/rapplerdotcom/photos/a.317154781638645/5596022273751843/" xr:uid="{00000000-0004-0000-0000-0000ED080000}"/>
    <hyperlink ref="A1146" r:id="rId2287" display="https://www.facebook.com/lmfloralde" xr:uid="{00000000-0004-0000-0000-0000EE080000}"/>
    <hyperlink ref="I1146" r:id="rId2288" display="https://www.facebook.com/rapplerdotcom/photos/a.317154781638645/5596022273751843/" xr:uid="{00000000-0004-0000-0000-0000EF080000}"/>
    <hyperlink ref="A1147" r:id="rId2289" display="https://www.facebook.com/lmfloralde" xr:uid="{00000000-0004-0000-0000-0000F0080000}"/>
    <hyperlink ref="I1147" r:id="rId2290" display="https://www.facebook.com/rapplerdotcom/photos/a.317154781638645/5596022273751843/" xr:uid="{00000000-0004-0000-0000-0000F1080000}"/>
    <hyperlink ref="A1148" r:id="rId2291" display="https://www.facebook.com/lmfloralde" xr:uid="{00000000-0004-0000-0000-0000F2080000}"/>
    <hyperlink ref="I1148" r:id="rId2292" display="https://www.facebook.com/rapplerdotcom/photos/a.317154781638645/5596022273751843/" xr:uid="{00000000-0004-0000-0000-0000F3080000}"/>
    <hyperlink ref="A1149" r:id="rId2293" display="https://www.facebook.com/lmfloralde" xr:uid="{00000000-0004-0000-0000-0000F4080000}"/>
    <hyperlink ref="I1149" r:id="rId2294" display="https://www.facebook.com/rapplerdotcom/photos/a.317154781638645/5596022273751843/" xr:uid="{00000000-0004-0000-0000-0000F5080000}"/>
    <hyperlink ref="A1150" r:id="rId2295" display="https://www.facebook.com/profile.php?id=100005732081750" xr:uid="{00000000-0004-0000-0000-0000F6080000}"/>
    <hyperlink ref="I1150" r:id="rId2296" display="https://www.facebook.com/rapplerdotcom/photos/a.317154781638645/5596022273751843/" xr:uid="{00000000-0004-0000-0000-0000F7080000}"/>
    <hyperlink ref="A1151" r:id="rId2297" display="https://www.facebook.com/lmfloralde" xr:uid="{00000000-0004-0000-0000-0000F8080000}"/>
    <hyperlink ref="I1151" r:id="rId2298" display="https://www.facebook.com/rapplerdotcom/photos/a.317154781638645/5596022273751843/" xr:uid="{00000000-0004-0000-0000-0000F9080000}"/>
    <hyperlink ref="A1152" r:id="rId2299" display="https://www.facebook.com/gerard.abangan.1" xr:uid="{00000000-0004-0000-0000-0000FA080000}"/>
    <hyperlink ref="I1152" r:id="rId2300" display="https://www.facebook.com/rapplerdotcom/photos/a.317154781638645/5596022273751843/" xr:uid="{00000000-0004-0000-0000-0000FB080000}"/>
    <hyperlink ref="A1153" r:id="rId2301" display="https://www.facebook.com/rodelmadrid" xr:uid="{00000000-0004-0000-0000-0000FC080000}"/>
    <hyperlink ref="I1153" r:id="rId2302" display="https://www.facebook.com/rapplerdotcom/photos/a.317154781638645/5596022273751843/" xr:uid="{00000000-0004-0000-0000-0000FD080000}"/>
    <hyperlink ref="A1154" r:id="rId2303" display="https://www.facebook.com/alfredofabro.boking" xr:uid="{00000000-0004-0000-0000-0000FE080000}"/>
    <hyperlink ref="I1154" r:id="rId2304" display="https://www.facebook.com/rapplerdotcom/photos/a.317154781638645/5596022273751843/" xr:uid="{00000000-0004-0000-0000-0000FF080000}"/>
    <hyperlink ref="A1155" r:id="rId2305" display="https://www.facebook.com/terrence.co" xr:uid="{00000000-0004-0000-0000-000000090000}"/>
    <hyperlink ref="I1155" r:id="rId2306" display="https://www.facebook.com/rapplerdotcom/posts/pfbid0TYP6syjYwznxJKdhWv9YMaXK9NvsSEhQ2cyyCQCPMvGapWXrQBHehywgT156wqNPl" xr:uid="{00000000-0004-0000-0000-000001090000}"/>
    <hyperlink ref="A1156" r:id="rId2307" display="https://www.facebook.com/profile.php?id=100078461366052" xr:uid="{00000000-0004-0000-0000-000002090000}"/>
    <hyperlink ref="I1156" r:id="rId2308" display="https://www.facebook.com/rapplerdotcom/posts/pfbid0TYP6syjYwznxJKdhWv9YMaXK9NvsSEhQ2cyyCQCPMvGapWXrQBHehywgT156wqNPl" xr:uid="{00000000-0004-0000-0000-000003090000}"/>
    <hyperlink ref="A1157" r:id="rId2309" display="https://www.facebook.com/profile.php?id=100078433647836" xr:uid="{00000000-0004-0000-0000-000004090000}"/>
    <hyperlink ref="I1157" r:id="rId2310" display="https://www.facebook.com/rapplerdotcom/posts/pfbid0TYP6syjYwznxJKdhWv9YMaXK9NvsSEhQ2cyyCQCPMvGapWXrQBHehywgT156wqNPl" xr:uid="{00000000-0004-0000-0000-000005090000}"/>
    <hyperlink ref="A1158" r:id="rId2311" display="https://www.facebook.com/profile.php?id=100077975515176" xr:uid="{00000000-0004-0000-0000-000006090000}"/>
    <hyperlink ref="I1158" r:id="rId2312" display="https://www.facebook.com/rapplerdotcom/posts/pfbid0TYP6syjYwznxJKdhWv9YMaXK9NvsSEhQ2cyyCQCPMvGapWXrQBHehywgT156wqNPl" xr:uid="{00000000-0004-0000-0000-000007090000}"/>
    <hyperlink ref="A1159" r:id="rId2313" display="https://www.facebook.com/leah.leonidas.9" xr:uid="{00000000-0004-0000-0000-000008090000}"/>
    <hyperlink ref="I1159" r:id="rId2314" display="https://www.facebook.com/rapplerdotcom/posts/pfbid0TYP6syjYwznxJKdhWv9YMaXK9NvsSEhQ2cyyCQCPMvGapWXrQBHehywgT156wqNPl" xr:uid="{00000000-0004-0000-0000-000009090000}"/>
    <hyperlink ref="A1160" r:id="rId2315" display="https://www.facebook.com/blesilda.bolante" xr:uid="{00000000-0004-0000-0000-00000A090000}"/>
    <hyperlink ref="I1160" r:id="rId2316" display="https://www.facebook.com/rapplerdotcom/posts/pfbid0TYP6syjYwznxJKdhWv9YMaXK9NvsSEhQ2cyyCQCPMvGapWXrQBHehywgT156wqNPl" xr:uid="{00000000-0004-0000-0000-00000B090000}"/>
    <hyperlink ref="A1161" r:id="rId2317" display="https://www.facebook.com/faithjoan.gaerlan.5" xr:uid="{00000000-0004-0000-0000-00000C090000}"/>
    <hyperlink ref="I1161" r:id="rId2318" display="https://www.facebook.com/rapplerdotcom/posts/pfbid0TYP6syjYwznxJKdhWv9YMaXK9NvsSEhQ2cyyCQCPMvGapWXrQBHehywgT156wqNPl" xr:uid="{00000000-0004-0000-0000-00000D090000}"/>
    <hyperlink ref="A1162" r:id="rId2319" display="https://www.facebook.com/steve.tamayo.18" xr:uid="{00000000-0004-0000-0000-00000E090000}"/>
    <hyperlink ref="I1162" r:id="rId2320" display="https://www.facebook.com/rapplerdotcom/posts/pfbid0TYP6syjYwznxJKdhWv9YMaXK9NvsSEhQ2cyyCQCPMvGapWXrQBHehywgT156wqNPl" xr:uid="{00000000-0004-0000-0000-00000F090000}"/>
    <hyperlink ref="A1163" r:id="rId2321" display="https://www.facebook.com/inquisitive.mind.739" xr:uid="{00000000-0004-0000-0000-000010090000}"/>
    <hyperlink ref="I1163" r:id="rId2322" display="https://www.facebook.com/rapplerdotcom/posts/pfbid0TYP6syjYwznxJKdhWv9YMaXK9NvsSEhQ2cyyCQCPMvGapWXrQBHehywgT156wqNPl" xr:uid="{00000000-0004-0000-0000-000011090000}"/>
    <hyperlink ref="A1164" r:id="rId2323" display="https://www.facebook.com/lian.calizo" xr:uid="{00000000-0004-0000-0000-000012090000}"/>
    <hyperlink ref="I1164" r:id="rId2324" display="https://www.facebook.com/rapplerdotcom/posts/pfbid0TYP6syjYwznxJKdhWv9YMaXK9NvsSEhQ2cyyCQCPMvGapWXrQBHehywgT156wqNPl" xr:uid="{00000000-0004-0000-0000-000013090000}"/>
    <hyperlink ref="A1165" r:id="rId2325" display="https://www.facebook.com/lewizzz" xr:uid="{00000000-0004-0000-0000-000014090000}"/>
    <hyperlink ref="I1165" r:id="rId2326" display="https://www.facebook.com/rapplerdotcom/posts/pfbid0TYP6syjYwznxJKdhWv9YMaXK9NvsSEhQ2cyyCQCPMvGapWXrQBHehywgT156wqNPl" xr:uid="{00000000-0004-0000-0000-000015090000}"/>
    <hyperlink ref="A1166" r:id="rId2327" display="https://www.facebook.com/trish.arana.9" xr:uid="{00000000-0004-0000-0000-000016090000}"/>
    <hyperlink ref="I1166" r:id="rId2328" display="https://www.facebook.com/rapplerdotcom/posts/pfbid0TYP6syjYwznxJKdhWv9YMaXK9NvsSEhQ2cyyCQCPMvGapWXrQBHehywgT156wqNPl" xr:uid="{00000000-0004-0000-0000-000017090000}"/>
    <hyperlink ref="A1167" r:id="rId2329" display="https://www.facebook.com/cielo.dupayamendiola" xr:uid="{00000000-0004-0000-0000-000018090000}"/>
    <hyperlink ref="I1167" r:id="rId2330" display="https://www.facebook.com/rapplerdotcom/posts/pfbid0TYP6syjYwznxJKdhWv9YMaXK9NvsSEhQ2cyyCQCPMvGapWXrQBHehywgT156wqNPl" xr:uid="{00000000-0004-0000-0000-000019090000}"/>
    <hyperlink ref="A1168" r:id="rId2331" display="https://www.facebook.com/profile.php?id=100075207451456" xr:uid="{00000000-0004-0000-0000-00001A090000}"/>
    <hyperlink ref="I1168" r:id="rId2332" display="https://www.facebook.com/rapplerdotcom/posts/pfbid0TYP6syjYwznxJKdhWv9YMaXK9NvsSEhQ2cyyCQCPMvGapWXrQBHehywgT156wqNPl" xr:uid="{00000000-0004-0000-0000-00001B090000}"/>
    <hyperlink ref="A1169" r:id="rId2333" display="https://www.facebook.com/legong.banez.9" xr:uid="{00000000-0004-0000-0000-00001C090000}"/>
    <hyperlink ref="I1169" r:id="rId2334" display="https://www.facebook.com/rapplerdotcom/posts/pfbid0TYP6syjYwznxJKdhWv9YMaXK9NvsSEhQ2cyyCQCPMvGapWXrQBHehywgT156wqNPl" xr:uid="{00000000-0004-0000-0000-00001D090000}"/>
    <hyperlink ref="A1170" r:id="rId2335" display="https://www.facebook.com/marite513" xr:uid="{00000000-0004-0000-0000-00001E090000}"/>
    <hyperlink ref="I1170" r:id="rId2336" display="https://www.facebook.com/rapplerdotcom/posts/pfbid0TYP6syjYwznxJKdhWv9YMaXK9NvsSEhQ2cyyCQCPMvGapWXrQBHehywgT156wqNPl" xr:uid="{00000000-0004-0000-0000-00001F090000}"/>
    <hyperlink ref="A1171" r:id="rId2337" display="https://www.facebook.com/siguenza.med96" xr:uid="{00000000-0004-0000-0000-000020090000}"/>
    <hyperlink ref="I1171" r:id="rId2338" display="https://www.facebook.com/rapplerdotcom/posts/pfbid0TYP6syjYwznxJKdhWv9YMaXK9NvsSEhQ2cyyCQCPMvGapWXrQBHehywgT156wqNPl" xr:uid="{00000000-0004-0000-0000-000021090000}"/>
    <hyperlink ref="A1172" r:id="rId2339" display="https://www.facebook.com/myyaJrosales" xr:uid="{00000000-0004-0000-0000-000022090000}"/>
    <hyperlink ref="I1172" r:id="rId2340" display="https://www.facebook.com/rapplerdotcom/posts/pfbid0TYP6syjYwznxJKdhWv9YMaXK9NvsSEhQ2cyyCQCPMvGapWXrQBHehywgT156wqNPl" xr:uid="{00000000-0004-0000-0000-000023090000}"/>
    <hyperlink ref="A1173" r:id="rId2341" display="https://www.facebook.com/ventura.mariejane" xr:uid="{00000000-0004-0000-0000-000024090000}"/>
    <hyperlink ref="I1173" r:id="rId2342" display="https://www.facebook.com/rapplerdotcom/posts/pfbid0TYP6syjYwznxJKdhWv9YMaXK9NvsSEhQ2cyyCQCPMvGapWXrQBHehywgT156wqNPl" xr:uid="{00000000-0004-0000-0000-000025090000}"/>
    <hyperlink ref="A1174" r:id="rId2343" display="https://www.facebook.com/ditas.ravanilla" xr:uid="{00000000-0004-0000-0000-000026090000}"/>
    <hyperlink ref="I1174" r:id="rId2344" display="https://www.facebook.com/rapplerdotcom/posts/pfbid0TYP6syjYwznxJKdhWv9YMaXK9NvsSEhQ2cyyCQCPMvGapWXrQBHehywgT156wqNPl" xr:uid="{00000000-0004-0000-0000-000027090000}"/>
    <hyperlink ref="A1175" r:id="rId2345" display="https://www.facebook.com/felicidad.lala.7" xr:uid="{00000000-0004-0000-0000-000028090000}"/>
    <hyperlink ref="I1175" r:id="rId2346" display="https://www.facebook.com/rapplerdotcom/posts/pfbid0TYP6syjYwznxJKdhWv9YMaXK9NvsSEhQ2cyyCQCPMvGapWXrQBHehywgT156wqNPl" xr:uid="{00000000-0004-0000-0000-000029090000}"/>
    <hyperlink ref="A1176" r:id="rId2347" display="https://www.facebook.com/ajejejejejelly" xr:uid="{00000000-0004-0000-0000-00002A090000}"/>
    <hyperlink ref="I1176" r:id="rId2348" display="https://www.facebook.com/rapplerdotcom/posts/pfbid0TYP6syjYwznxJKdhWv9YMaXK9NvsSEhQ2cyyCQCPMvGapWXrQBHehywgT156wqNPl" xr:uid="{00000000-0004-0000-0000-00002B090000}"/>
    <hyperlink ref="A1177" r:id="rId2349" display="https://www.facebook.com/christinejoy.cabrera.92" xr:uid="{00000000-0004-0000-0000-00002C090000}"/>
    <hyperlink ref="I1177" r:id="rId2350" display="https://www.facebook.com/rapplerdotcom/posts/pfbid0TYP6syjYwznxJKdhWv9YMaXK9NvsSEhQ2cyyCQCPMvGapWXrQBHehywgT156wqNPl" xr:uid="{00000000-0004-0000-0000-00002D090000}"/>
    <hyperlink ref="A1178" r:id="rId2351" display="https://www.facebook.com/nilo.seda" xr:uid="{00000000-0004-0000-0000-00002E090000}"/>
    <hyperlink ref="I1178" r:id="rId2352" display="https://www.facebook.com/rapplerdotcom/posts/pfbid0TYP6syjYwznxJKdhWv9YMaXK9NvsSEhQ2cyyCQCPMvGapWXrQBHehywgT156wqNPl" xr:uid="{00000000-0004-0000-0000-00002F090000}"/>
    <hyperlink ref="A1179" r:id="rId2353" display="https://www.facebook.com/jeremiasmoronjr" xr:uid="{00000000-0004-0000-0000-000030090000}"/>
    <hyperlink ref="I1179" r:id="rId2354" display="https://www.facebook.com/rapplerdotcom/posts/pfbid0TYP6syjYwznxJKdhWv9YMaXK9NvsSEhQ2cyyCQCPMvGapWXrQBHehywgT156wqNPl" xr:uid="{00000000-0004-0000-0000-000031090000}"/>
    <hyperlink ref="A1180" r:id="rId2355" display="https://www.facebook.com/winet.bautista" xr:uid="{00000000-0004-0000-0000-000032090000}"/>
    <hyperlink ref="I1180" r:id="rId2356" display="https://www.facebook.com/rapplerdotcom/posts/pfbid0TYP6syjYwznxJKdhWv9YMaXK9NvsSEhQ2cyyCQCPMvGapWXrQBHehywgT156wqNPl" xr:uid="{00000000-0004-0000-0000-000033090000}"/>
    <hyperlink ref="A1181" r:id="rId2357" display="https://www.facebook.com/yisamagallanes" xr:uid="{00000000-0004-0000-0000-000034090000}"/>
    <hyperlink ref="I1181" r:id="rId2358" display="https://www.facebook.com/rapplerdotcom/posts/pfbid0TYP6syjYwznxJKdhWv9YMaXK9NvsSEhQ2cyyCQCPMvGapWXrQBHehywgT156wqNPl" xr:uid="{00000000-0004-0000-0000-000035090000}"/>
    <hyperlink ref="A1182" r:id="rId2359" display="https://www.facebook.com/haidi.lim" xr:uid="{00000000-0004-0000-0000-000036090000}"/>
    <hyperlink ref="I1182" r:id="rId2360" display="https://www.facebook.com/rapplerdotcom/posts/pfbid0TYP6syjYwznxJKdhWv9YMaXK9NvsSEhQ2cyyCQCPMvGapWXrQBHehywgT156wqNPl" xr:uid="{00000000-0004-0000-0000-000037090000}"/>
    <hyperlink ref="A1183" r:id="rId2361" display="https://www.facebook.com/ligaya.acsay" xr:uid="{00000000-0004-0000-0000-000038090000}"/>
    <hyperlink ref="I1183" r:id="rId2362" display="https://www.facebook.com/rapplerdotcom/posts/pfbid0TYP6syjYwznxJKdhWv9YMaXK9NvsSEhQ2cyyCQCPMvGapWXrQBHehywgT156wqNPl" xr:uid="{00000000-0004-0000-0000-000039090000}"/>
    <hyperlink ref="A1184" r:id="rId2363" display="https://www.facebook.com/sweetverni" xr:uid="{00000000-0004-0000-0000-00003A090000}"/>
    <hyperlink ref="I1184" r:id="rId2364" display="https://www.facebook.com/rapplerdotcom/posts/pfbid0TYP6syjYwznxJKdhWv9YMaXK9NvsSEhQ2cyyCQCPMvGapWXrQBHehywgT156wqNPl" xr:uid="{00000000-0004-0000-0000-00003B090000}"/>
    <hyperlink ref="A1185" r:id="rId2365" display="https://www.facebook.com/hermiehernandez07" xr:uid="{00000000-0004-0000-0000-00003C090000}"/>
    <hyperlink ref="I1185" r:id="rId2366" display="https://www.facebook.com/rapplerdotcom/posts/pfbid0TYP6syjYwznxJKdhWv9YMaXK9NvsSEhQ2cyyCQCPMvGapWXrQBHehywgT156wqNPl" xr:uid="{00000000-0004-0000-0000-00003D090000}"/>
    <hyperlink ref="A1186" r:id="rId2367" display="https://www.facebook.com/rey.ben.7758" xr:uid="{00000000-0004-0000-0000-00003E090000}"/>
    <hyperlink ref="I1186" r:id="rId2368" display="https://www.facebook.com/rapplerdotcom/posts/pfbid0TYP6syjYwznxJKdhWv9YMaXK9NvsSEhQ2cyyCQCPMvGapWXrQBHehywgT156wqNPl" xr:uid="{00000000-0004-0000-0000-00003F090000}"/>
    <hyperlink ref="A1187" r:id="rId2369" display="https://www.facebook.com/marissa.bernabetecson" xr:uid="{00000000-0004-0000-0000-000040090000}"/>
    <hyperlink ref="I1187" r:id="rId2370" display="https://www.facebook.com/rapplerdotcom/posts/pfbid0TYP6syjYwznxJKdhWv9YMaXK9NvsSEhQ2cyyCQCPMvGapWXrQBHehywgT156wqNPl" xr:uid="{00000000-0004-0000-0000-000041090000}"/>
    <hyperlink ref="A1188" r:id="rId2371" display="https://www.facebook.com/profile.php?id=100078461366052" xr:uid="{00000000-0004-0000-0000-000042090000}"/>
    <hyperlink ref="I1188" r:id="rId2372" display="https://www.facebook.com/rapplerdotcom/posts/pfbid0TYP6syjYwznxJKdhWv9YMaXK9NvsSEhQ2cyyCQCPMvGapWXrQBHehywgT156wqNPl" xr:uid="{00000000-0004-0000-0000-000043090000}"/>
    <hyperlink ref="A1189" r:id="rId2373" display="https://www.facebook.com/juliette.faith" xr:uid="{00000000-0004-0000-0000-000044090000}"/>
    <hyperlink ref="I1189" r:id="rId2374" display="https://www.facebook.com/rapplerdotcom/posts/pfbid0TYP6syjYwznxJKdhWv9YMaXK9NvsSEhQ2cyyCQCPMvGapWXrQBHehywgT156wqNPl" xr:uid="{00000000-0004-0000-0000-000045090000}"/>
    <hyperlink ref="A1190" r:id="rId2375" display="https://www.facebook.com/earl.liquigan" xr:uid="{00000000-0004-0000-0000-000046090000}"/>
    <hyperlink ref="I1190" r:id="rId2376" display="https://www.facebook.com/rapplerdotcom/posts/pfbid0TYP6syjYwznxJKdhWv9YMaXK9NvsSEhQ2cyyCQCPMvGapWXrQBHehywgT156wqNPl" xr:uid="{00000000-0004-0000-0000-000047090000}"/>
    <hyperlink ref="A1191" r:id="rId2377" display="https://www.facebook.com/profile.php?id=100064228440132" xr:uid="{00000000-0004-0000-0000-000048090000}"/>
    <hyperlink ref="I1191" r:id="rId2378" display="https://www.facebook.com/rapplerdotcom/posts/pfbid0TYP6syjYwznxJKdhWv9YMaXK9NvsSEhQ2cyyCQCPMvGapWXrQBHehywgT156wqNPl" xr:uid="{00000000-0004-0000-0000-000049090000}"/>
    <hyperlink ref="A1192" r:id="rId2379" display="https://www.facebook.com/scott.wuming" xr:uid="{00000000-0004-0000-0000-00004A090000}"/>
    <hyperlink ref="I1192" r:id="rId2380" display="https://www.facebook.com/rapplerdotcom/posts/pfbid0TYP6syjYwznxJKdhWv9YMaXK9NvsSEhQ2cyyCQCPMvGapWXrQBHehywgT156wqNPl" xr:uid="{00000000-0004-0000-0000-00004B090000}"/>
    <hyperlink ref="A1193" r:id="rId2381" display="https://www.facebook.com/nyx.deleon" xr:uid="{00000000-0004-0000-0000-00004C090000}"/>
    <hyperlink ref="I1193" r:id="rId2382" display="https://www.facebook.com/rapplerdotcom/posts/pfbid0TYP6syjYwznxJKdhWv9YMaXK9NvsSEhQ2cyyCQCPMvGapWXrQBHehywgT156wqNPl" xr:uid="{00000000-0004-0000-0000-00004D090000}"/>
    <hyperlink ref="A1194" r:id="rId2383" display="https://www.facebook.com/janlo" xr:uid="{00000000-0004-0000-0000-00004E090000}"/>
    <hyperlink ref="I1194" r:id="rId2384" display="https://www.facebook.com/rapplerdotcom/posts/pfbid0TYP6syjYwznxJKdhWv9YMaXK9NvsSEhQ2cyyCQCPMvGapWXrQBHehywgT156wqNPl" xr:uid="{00000000-0004-0000-0000-00004F090000}"/>
    <hyperlink ref="A1195" r:id="rId2385" display="https://www.facebook.com/scott.wuming" xr:uid="{00000000-0004-0000-0000-000050090000}"/>
    <hyperlink ref="I1195" r:id="rId2386" display="https://www.facebook.com/rapplerdotcom/posts/pfbid0TYP6syjYwznxJKdhWv9YMaXK9NvsSEhQ2cyyCQCPMvGapWXrQBHehywgT156wqNPl" xr:uid="{00000000-0004-0000-0000-000051090000}"/>
    <hyperlink ref="A1196" r:id="rId2387" display="https://www.facebook.com/profile.php?id=100077324863738" xr:uid="{00000000-0004-0000-0000-000052090000}"/>
    <hyperlink ref="I1196" r:id="rId2388" display="https://www.facebook.com/rapplerdotcom/posts/pfbid0TYP6syjYwznxJKdhWv9YMaXK9NvsSEhQ2cyyCQCPMvGapWXrQBHehywgT156wqNPl" xr:uid="{00000000-0004-0000-0000-000053090000}"/>
    <hyperlink ref="A1197" r:id="rId2389" display="https://www.facebook.com/maryrose.t.zamora" xr:uid="{00000000-0004-0000-0000-000054090000}"/>
    <hyperlink ref="I1197" r:id="rId2390" display="https://www.facebook.com/rapplerdotcom/posts/pfbid0TYP6syjYwznxJKdhWv9YMaXK9NvsSEhQ2cyyCQCPMvGapWXrQBHehywgT156wqNPl" xr:uid="{00000000-0004-0000-0000-000055090000}"/>
    <hyperlink ref="A1198" r:id="rId2391" display="https://www.facebook.com/tonitz.pepito" xr:uid="{00000000-0004-0000-0000-000056090000}"/>
    <hyperlink ref="I1198" r:id="rId2392" display="https://www.facebook.com/rapplerdotcom/posts/pfbid0TYP6syjYwznxJKdhWv9YMaXK9NvsSEhQ2cyyCQCPMvGapWXrQBHehywgT156wqNPl" xr:uid="{00000000-0004-0000-0000-000057090000}"/>
    <hyperlink ref="A1199" r:id="rId2393" display="https://www.facebook.com/mae.empal" xr:uid="{00000000-0004-0000-0000-000058090000}"/>
    <hyperlink ref="I1199" r:id="rId2394" display="https://www.facebook.com/rapplerdotcom/posts/pfbid0TYP6syjYwznxJKdhWv9YMaXK9NvsSEhQ2cyyCQCPMvGapWXrQBHehywgT156wqNPl" xr:uid="{00000000-0004-0000-0000-000059090000}"/>
    <hyperlink ref="A1200" r:id="rId2395" display="https://www.facebook.com/profile.php?id=100001497297306" xr:uid="{00000000-0004-0000-0000-00005A090000}"/>
    <hyperlink ref="I1200" r:id="rId2396" display="https://www.facebook.com/rapplerdotcom/posts/pfbid0TYP6syjYwznxJKdhWv9YMaXK9NvsSEhQ2cyyCQCPMvGapWXrQBHehywgT156wqNPl" xr:uid="{00000000-0004-0000-0000-00005B090000}"/>
    <hyperlink ref="A1201" r:id="rId2397" display="https://www.facebook.com/profile.php?id=100004736566728" xr:uid="{00000000-0004-0000-0000-00005C090000}"/>
    <hyperlink ref="I1201" r:id="rId2398" display="https://www.facebook.com/rapplerdotcom/posts/pfbid0TYP6syjYwznxJKdhWv9YMaXK9NvsSEhQ2cyyCQCPMvGapWXrQBHehywgT156wqNPl" xr:uid="{00000000-0004-0000-0000-00005D090000}"/>
    <hyperlink ref="A1202" r:id="rId2399" display="https://www.facebook.com/mitzinorona" xr:uid="{00000000-0004-0000-0000-00005E090000}"/>
    <hyperlink ref="I1202" r:id="rId2400" display="https://www.facebook.com/rapplerdotcom/posts/pfbid0TYP6syjYwznxJKdhWv9YMaXK9NvsSEhQ2cyyCQCPMvGapWXrQBHehywgT156wqNPl" xr:uid="{00000000-0004-0000-0000-00005F090000}"/>
    <hyperlink ref="A1203" r:id="rId2401" display="https://www.facebook.com/alexa.glodo.75" xr:uid="{00000000-0004-0000-0000-000060090000}"/>
    <hyperlink ref="I1203" r:id="rId2402" display="https://www.facebook.com/rapplerdotcom/posts/pfbid0TYP6syjYwznxJKdhWv9YMaXK9NvsSEhQ2cyyCQCPMvGapWXrQBHehywgT156wqNPl" xr:uid="{00000000-0004-0000-0000-000061090000}"/>
    <hyperlink ref="A1204" r:id="rId2403" display="https://www.facebook.com/pau.ruds" xr:uid="{00000000-0004-0000-0000-000062090000}"/>
    <hyperlink ref="I1204" r:id="rId2404" display="https://www.facebook.com/rapplerdotcom/posts/pfbid0TYP6syjYwznxJKdhWv9YMaXK9NvsSEhQ2cyyCQCPMvGapWXrQBHehywgT156wqNPl" xr:uid="{00000000-0004-0000-0000-000063090000}"/>
    <hyperlink ref="A1205" r:id="rId2405" display="https://www.facebook.com/ignacio.degocena" xr:uid="{00000000-0004-0000-0000-000064090000}"/>
    <hyperlink ref="I1205" r:id="rId2406" display="https://www.facebook.com/rapplerdotcom/posts/pfbid0TYP6syjYwznxJKdhWv9YMaXK9NvsSEhQ2cyyCQCPMvGapWXrQBHehywgT156wqNPl" xr:uid="{00000000-0004-0000-0000-000065090000}"/>
    <hyperlink ref="A1206" r:id="rId2407" display="https://www.facebook.com/triplovers143" xr:uid="{00000000-0004-0000-0000-000066090000}"/>
    <hyperlink ref="I1206" r:id="rId2408" display="https://www.facebook.com/rapplerdotcom/posts/pfbid0TYP6syjYwznxJKdhWv9YMaXK9NvsSEhQ2cyyCQCPMvGapWXrQBHehywgT156wqNPl" xr:uid="{00000000-0004-0000-0000-000067090000}"/>
    <hyperlink ref="A1207" r:id="rId2409" display="https://www.facebook.com/michelle.m.casal" xr:uid="{00000000-0004-0000-0000-000068090000}"/>
    <hyperlink ref="I1207" r:id="rId2410" display="https://www.facebook.com/rapplerdotcom/posts/pfbid0TYP6syjYwznxJKdhWv9YMaXK9NvsSEhQ2cyyCQCPMvGapWXrQBHehywgT156wqNPl" xr:uid="{00000000-0004-0000-0000-000069090000}"/>
    <hyperlink ref="A1208" r:id="rId2411" display="https://www.facebook.com/AmyCoyocaMeracap" xr:uid="{00000000-0004-0000-0000-00006A090000}"/>
    <hyperlink ref="I1208" r:id="rId2412" display="https://www.facebook.com/rapplerdotcom/posts/pfbid0TYP6syjYwznxJKdhWv9YMaXK9NvsSEhQ2cyyCQCPMvGapWXrQBHehywgT156wqNPl" xr:uid="{00000000-0004-0000-0000-00006B090000}"/>
    <hyperlink ref="A1209" r:id="rId2413" display="https://www.facebook.com/michael.denzo" xr:uid="{00000000-0004-0000-0000-00006C090000}"/>
    <hyperlink ref="I1209" r:id="rId2414" display="https://www.facebook.com/rapplerdotcom/posts/pfbid0TYP6syjYwznxJKdhWv9YMaXK9NvsSEhQ2cyyCQCPMvGapWXrQBHehywgT156wqNPl" xr:uid="{00000000-0004-0000-0000-00006D090000}"/>
    <hyperlink ref="A1210" r:id="rId2415" display="https://www.facebook.com/profile.php?id=100067476167968" xr:uid="{00000000-0004-0000-0000-00006E090000}"/>
    <hyperlink ref="I1210" r:id="rId2416" display="https://www.facebook.com/rapplerdotcom/posts/pfbid0TYP6syjYwznxJKdhWv9YMaXK9NvsSEhQ2cyyCQCPMvGapWXrQBHehywgT156wqNPl" xr:uid="{00000000-0004-0000-0000-00006F090000}"/>
    <hyperlink ref="A1211" r:id="rId2417" display="https://www.facebook.com/trisha.gellangarin" xr:uid="{00000000-0004-0000-0000-000070090000}"/>
    <hyperlink ref="I1211" r:id="rId2418" display="https://www.facebook.com/rapplerdotcom/posts/pfbid0TYP6syjYwznxJKdhWv9YMaXK9NvsSEhQ2cyyCQCPMvGapWXrQBHehywgT156wqNPl" xr:uid="{00000000-0004-0000-0000-000071090000}"/>
    <hyperlink ref="A1212" r:id="rId2419" display="https://www.facebook.com/WordsArchitect" xr:uid="{00000000-0004-0000-0000-000072090000}"/>
    <hyperlink ref="I1212" r:id="rId2420" display="https://www.facebook.com/rapplerdotcom/posts/pfbid0TYP6syjYwznxJKdhWv9YMaXK9NvsSEhQ2cyyCQCPMvGapWXrQBHehywgT156wqNPl" xr:uid="{00000000-0004-0000-0000-000073090000}"/>
    <hyperlink ref="A1213" r:id="rId2421" display="https://www.facebook.com/joseline.nepomuceno2" xr:uid="{00000000-0004-0000-0000-000074090000}"/>
    <hyperlink ref="I1213" r:id="rId2422" display="https://www.facebook.com/rapplerdotcom/posts/pfbid0TYP6syjYwznxJKdhWv9YMaXK9NvsSEhQ2cyyCQCPMvGapWXrQBHehywgT156wqNPl" xr:uid="{00000000-0004-0000-0000-000075090000}"/>
    <hyperlink ref="A1214" r:id="rId2423" display="https://www.facebook.com/joan.lastrilla2" xr:uid="{00000000-0004-0000-0000-000076090000}"/>
    <hyperlink ref="I1214" r:id="rId2424" display="https://www.facebook.com/rapplerdotcom/posts/pfbid0TYP6syjYwznxJKdhWv9YMaXK9NvsSEhQ2cyyCQCPMvGapWXrQBHehywgT156wqNPl" xr:uid="{00000000-0004-0000-0000-000077090000}"/>
    <hyperlink ref="A1215" r:id="rId2425" display="https://www.facebook.com/gina.deleon.5070" xr:uid="{00000000-0004-0000-0000-000078090000}"/>
    <hyperlink ref="I1215" r:id="rId2426" display="https://www.facebook.com/rapplerdotcom/posts/pfbid0TYP6syjYwznxJKdhWv9YMaXK9NvsSEhQ2cyyCQCPMvGapWXrQBHehywgT156wqNPl" xr:uid="{00000000-0004-0000-0000-000079090000}"/>
    <hyperlink ref="A1216" r:id="rId2427" display="https://www.facebook.com/jennbenneth" xr:uid="{00000000-0004-0000-0000-00007A090000}"/>
    <hyperlink ref="I1216" r:id="rId2428" display="https://www.facebook.com/rapplerdotcom/posts/pfbid0TYP6syjYwznxJKdhWv9YMaXK9NvsSEhQ2cyyCQCPMvGapWXrQBHehywgT156wqNPl" xr:uid="{00000000-0004-0000-0000-00007B090000}"/>
    <hyperlink ref="A1217" r:id="rId2429" display="https://www.facebook.com/Krislenakate" xr:uid="{00000000-0004-0000-0000-00007C090000}"/>
    <hyperlink ref="I1217" r:id="rId2430" display="https://www.facebook.com/rapplerdotcom/posts/pfbid0TYP6syjYwznxJKdhWv9YMaXK9NvsSEhQ2cyyCQCPMvGapWXrQBHehywgT156wqNPl" xr:uid="{00000000-0004-0000-0000-00007D090000}"/>
    <hyperlink ref="A1218" r:id="rId2431" display="https://www.facebook.com/iamdenaquino" xr:uid="{00000000-0004-0000-0000-00007E090000}"/>
    <hyperlink ref="I1218" r:id="rId2432" display="https://www.facebook.com/rapplerdotcom/posts/pfbid0TYP6syjYwznxJKdhWv9YMaXK9NvsSEhQ2cyyCQCPMvGapWXrQBHehywgT156wqNPl" xr:uid="{00000000-0004-0000-0000-00007F090000}"/>
    <hyperlink ref="A1219" r:id="rId2433" display="https://www.facebook.com/irma.lacorte" xr:uid="{00000000-0004-0000-0000-000080090000}"/>
    <hyperlink ref="I1219" r:id="rId2434" display="https://www.facebook.com/rapplerdotcom/posts/pfbid0TYP6syjYwznxJKdhWv9YMaXK9NvsSEhQ2cyyCQCPMvGapWXrQBHehywgT156wqNPl" xr:uid="{00000000-0004-0000-0000-000081090000}"/>
    <hyperlink ref="A1220" r:id="rId2435" display="https://www.facebook.com/eternal.swordsman" xr:uid="{00000000-0004-0000-0000-000082090000}"/>
    <hyperlink ref="I1220" r:id="rId2436" display="https://www.facebook.com/rapplerdotcom/posts/pfbid0TYP6syjYwznxJKdhWv9YMaXK9NvsSEhQ2cyyCQCPMvGapWXrQBHehywgT156wqNPl" xr:uid="{00000000-0004-0000-0000-000083090000}"/>
    <hyperlink ref="A1221" r:id="rId2437" display="https://www.facebook.com/aprillyn.factor" xr:uid="{00000000-0004-0000-0000-000084090000}"/>
    <hyperlink ref="I1221" r:id="rId2438" display="https://www.facebook.com/rapplerdotcom/posts/pfbid0TYP6syjYwznxJKdhWv9YMaXK9NvsSEhQ2cyyCQCPMvGapWXrQBHehywgT156wqNPl" xr:uid="{00000000-0004-0000-0000-000085090000}"/>
    <hyperlink ref="A1222" r:id="rId2439" display="https://www.facebook.com/maryjo.aragon.5" xr:uid="{00000000-0004-0000-0000-000086090000}"/>
    <hyperlink ref="I1222" r:id="rId2440" display="https://www.facebook.com/rapplerdotcom/posts/pfbid0TYP6syjYwznxJKdhWv9YMaXK9NvsSEhQ2cyyCQCPMvGapWXrQBHehywgT156wqNPl" xr:uid="{00000000-0004-0000-0000-000087090000}"/>
    <hyperlink ref="A1223" r:id="rId2441" display="https://www.facebook.com/arisayokoya4" xr:uid="{00000000-0004-0000-0000-000088090000}"/>
    <hyperlink ref="I1223" r:id="rId2442" display="https://www.facebook.com/rapplerdotcom/posts/pfbid0TYP6syjYwznxJKdhWv9YMaXK9NvsSEhQ2cyyCQCPMvGapWXrQBHehywgT156wqNPl" xr:uid="{00000000-0004-0000-0000-000089090000}"/>
    <hyperlink ref="A1224" r:id="rId2443" display="https://www.facebook.com/zeke.santos.581" xr:uid="{00000000-0004-0000-0000-00008A090000}"/>
    <hyperlink ref="I1224" r:id="rId2444" display="https://www.facebook.com/rapplerdotcom/posts/pfbid0TYP6syjYwznxJKdhWv9YMaXK9NvsSEhQ2cyyCQCPMvGapWXrQBHehywgT156wqNPl" xr:uid="{00000000-0004-0000-0000-00008B090000}"/>
    <hyperlink ref="A1225" r:id="rId2445" display="https://www.facebook.com/reby.figueroa" xr:uid="{00000000-0004-0000-0000-00008C090000}"/>
    <hyperlink ref="I1225" r:id="rId2446" display="https://www.facebook.com/rapplerdotcom/posts/pfbid0TYP6syjYwznxJKdhWv9YMaXK9NvsSEhQ2cyyCQCPMvGapWXrQBHehywgT156wqNPl" xr:uid="{00000000-0004-0000-0000-00008D090000}"/>
    <hyperlink ref="A1226" r:id="rId2447" display="https://www.facebook.com/mbungabong1" xr:uid="{00000000-0004-0000-0000-00008E090000}"/>
    <hyperlink ref="I1226" r:id="rId2448" display="https://www.facebook.com/rapplerdotcom/posts/pfbid0TYP6syjYwznxJKdhWv9YMaXK9NvsSEhQ2cyyCQCPMvGapWXrQBHehywgT156wqNPl" xr:uid="{00000000-0004-0000-0000-00008F090000}"/>
    <hyperlink ref="A1227" r:id="rId2449" display="https://www.facebook.com/babeleth.inigo" xr:uid="{00000000-0004-0000-0000-000090090000}"/>
    <hyperlink ref="I1227" r:id="rId2450" display="https://www.facebook.com/rapplerdotcom/posts/pfbid0TYP6syjYwznxJKdhWv9YMaXK9NvsSEhQ2cyyCQCPMvGapWXrQBHehywgT156wqNPl" xr:uid="{00000000-0004-0000-0000-000091090000}"/>
    <hyperlink ref="A1228" r:id="rId2451" display="https://www.facebook.com/profile.php?id=100021390940755" xr:uid="{00000000-0004-0000-0000-000092090000}"/>
    <hyperlink ref="I1228" r:id="rId2452" display="https://www.facebook.com/rapplerdotcom/posts/pfbid0TYP6syjYwznxJKdhWv9YMaXK9NvsSEhQ2cyyCQCPMvGapWXrQBHehywgT156wqNPl" xr:uid="{00000000-0004-0000-0000-000093090000}"/>
    <hyperlink ref="A1229" r:id="rId2453" display="https://www.facebook.com/alistairjason.tamayou" xr:uid="{00000000-0004-0000-0000-000094090000}"/>
    <hyperlink ref="I1229" r:id="rId2454" display="https://www.facebook.com/rapplerdotcom/posts/pfbid0TYP6syjYwznxJKdhWv9YMaXK9NvsSEhQ2cyyCQCPMvGapWXrQBHehywgT156wqNPl" xr:uid="{00000000-0004-0000-0000-000095090000}"/>
    <hyperlink ref="A1230" r:id="rId2455" display="https://www.facebook.com/asela.calamlam" xr:uid="{00000000-0004-0000-0000-000096090000}"/>
    <hyperlink ref="I1230" r:id="rId2456" display="https://www.facebook.com/rapplerdotcom/posts/pfbid0TYP6syjYwznxJKdhWv9YMaXK9NvsSEhQ2cyyCQCPMvGapWXrQBHehywgT156wqNPl" xr:uid="{00000000-0004-0000-0000-000097090000}"/>
    <hyperlink ref="A1231" r:id="rId2457" display="https://www.facebook.com/jauny.marifecdoguinon" xr:uid="{00000000-0004-0000-0000-000098090000}"/>
    <hyperlink ref="I1231" r:id="rId2458" display="https://www.facebook.com/rapplerdotcom/posts/pfbid0TYP6syjYwznxJKdhWv9YMaXK9NvsSEhQ2cyyCQCPMvGapWXrQBHehywgT156wqNPl" xr:uid="{00000000-0004-0000-0000-000099090000}"/>
    <hyperlink ref="A1232" r:id="rId2459" display="https://www.facebook.com/cherrylynyapchapco.diaz" xr:uid="{00000000-0004-0000-0000-00009A090000}"/>
    <hyperlink ref="I1232" r:id="rId2460" display="https://www.facebook.com/rapplerdotcom/posts/pfbid0TYP6syjYwznxJKdhWv9YMaXK9NvsSEhQ2cyyCQCPMvGapWXrQBHehywgT156wqNPl" xr:uid="{00000000-0004-0000-0000-00009B090000}"/>
    <hyperlink ref="A1233" r:id="rId2461" display="https://www.facebook.com/jury.vibar" xr:uid="{00000000-0004-0000-0000-00009C090000}"/>
    <hyperlink ref="I1233" r:id="rId2462" display="https://www.facebook.com/rapplerdotcom/posts/pfbid0TYP6syjYwznxJKdhWv9YMaXK9NvsSEhQ2cyyCQCPMvGapWXrQBHehywgT156wqNPl" xr:uid="{00000000-0004-0000-0000-00009D090000}"/>
    <hyperlink ref="A1234" r:id="rId2463" display="https://www.facebook.com/cherry.samson.7374" xr:uid="{00000000-0004-0000-0000-00009E090000}"/>
    <hyperlink ref="I1234" r:id="rId2464" display="https://www.facebook.com/rapplerdotcom/posts/pfbid0TYP6syjYwznxJKdhWv9YMaXK9NvsSEhQ2cyyCQCPMvGapWXrQBHehywgT156wqNPl" xr:uid="{00000000-0004-0000-0000-00009F090000}"/>
    <hyperlink ref="A1235" r:id="rId2465" display="https://www.facebook.com/profile.php?id=100009085638334" xr:uid="{00000000-0004-0000-0000-0000A0090000}"/>
    <hyperlink ref="I1235" r:id="rId2466" display="https://www.facebook.com/rapplerdotcom/posts/pfbid0TYP6syjYwznxJKdhWv9YMaXK9NvsSEhQ2cyyCQCPMvGapWXrQBHehywgT156wqNPl" xr:uid="{00000000-0004-0000-0000-0000A1090000}"/>
    <hyperlink ref="A1236" r:id="rId2467" display="https://www.facebook.com/ej.munieza1027" xr:uid="{00000000-0004-0000-0000-0000A2090000}"/>
    <hyperlink ref="I1236" r:id="rId2468" display="https://www.facebook.com/rapplerdotcom/posts/pfbid0TYP6syjYwznxJKdhWv9YMaXK9NvsSEhQ2cyyCQCPMvGapWXrQBHehywgT156wqNPl" xr:uid="{00000000-0004-0000-0000-0000A3090000}"/>
    <hyperlink ref="A1237" r:id="rId2469" display="https://www.facebook.com/hayzexxi.14" xr:uid="{00000000-0004-0000-0000-0000A4090000}"/>
    <hyperlink ref="I1237" r:id="rId2470" display="https://www.facebook.com/rapplerdotcom/posts/pfbid0TYP6syjYwznxJKdhWv9YMaXK9NvsSEhQ2cyyCQCPMvGapWXrQBHehywgT156wqNPl" xr:uid="{00000000-0004-0000-0000-0000A5090000}"/>
    <hyperlink ref="A1238" r:id="rId2471" display="https://www.facebook.com/stalkpamoredzai" xr:uid="{00000000-0004-0000-0000-0000A6090000}"/>
    <hyperlink ref="I1238" r:id="rId2472" display="https://www.facebook.com/rapplerdotcom/posts/pfbid0TYP6syjYwznxJKdhWv9YMaXK9NvsSEhQ2cyyCQCPMvGapWXrQBHehywgT156wqNPl" xr:uid="{00000000-0004-0000-0000-0000A7090000}"/>
    <hyperlink ref="A1239" r:id="rId2473" display="https://www.facebook.com/earl.liquigan" xr:uid="{00000000-0004-0000-0000-0000A8090000}"/>
    <hyperlink ref="I1239" r:id="rId2474" display="https://www.facebook.com/rapplerdotcom/posts/pfbid0TYP6syjYwznxJKdhWv9YMaXK9NvsSEhQ2cyyCQCPMvGapWXrQBHehywgT156wqNPl" xr:uid="{00000000-0004-0000-0000-0000A9090000}"/>
    <hyperlink ref="A1240" r:id="rId2475" display="https://www.facebook.com/Paola.Tan.23" xr:uid="{00000000-0004-0000-0000-0000AA090000}"/>
    <hyperlink ref="I1240" r:id="rId2476" display="https://www.facebook.com/rapplerdotcom/posts/pfbid0TYP6syjYwznxJKdhWv9YMaXK9NvsSEhQ2cyyCQCPMvGapWXrQBHehywgT156wqNPl" xr:uid="{00000000-0004-0000-0000-0000AB090000}"/>
    <hyperlink ref="A1241" r:id="rId2477" display="https://www.facebook.com/jheiykun.tolentino" xr:uid="{00000000-0004-0000-0000-0000AC090000}"/>
    <hyperlink ref="I1241" r:id="rId2478" display="https://www.facebook.com/rapplerdotcom/posts/pfbid0TYP6syjYwznxJKdhWv9YMaXK9NvsSEhQ2cyyCQCPMvGapWXrQBHehywgT156wqNPl" xr:uid="{00000000-0004-0000-0000-0000AD090000}"/>
    <hyperlink ref="A1242" r:id="rId2479" display="https://www.facebook.com/jnardcurvy" xr:uid="{00000000-0004-0000-0000-0000AE090000}"/>
    <hyperlink ref="I1242" r:id="rId2480" display="https://www.facebook.com/rapplerdotcom/posts/pfbid0TYP6syjYwznxJKdhWv9YMaXK9NvsSEhQ2cyyCQCPMvGapWXrQBHehywgT156wqNPl" xr:uid="{00000000-0004-0000-0000-0000AF090000}"/>
    <hyperlink ref="A1243" r:id="rId2481" display="https://www.facebook.com/romer.carredo" xr:uid="{00000000-0004-0000-0000-0000B0090000}"/>
    <hyperlink ref="I1243" r:id="rId2482" display="https://www.facebook.com/rapplerdotcom/posts/pfbid0TYP6syjYwznxJKdhWv9YMaXK9NvsSEhQ2cyyCQCPMvGapWXrQBHehywgT156wqNPl" xr:uid="{00000000-0004-0000-0000-0000B1090000}"/>
    <hyperlink ref="A1244" r:id="rId2483" display="https://www.facebook.com/deepblue69" xr:uid="{00000000-0004-0000-0000-0000B2090000}"/>
    <hyperlink ref="I1244" r:id="rId2484" display="https://www.facebook.com/rapplerdotcom/posts/pfbid0TYP6syjYwznxJKdhWv9YMaXK9NvsSEhQ2cyyCQCPMvGapWXrQBHehywgT156wqNPl" xr:uid="{00000000-0004-0000-0000-0000B3090000}"/>
    <hyperlink ref="A1245" r:id="rId2485" display="https://www.facebook.com/hanzhabon" xr:uid="{00000000-0004-0000-0000-0000B4090000}"/>
    <hyperlink ref="I1245" r:id="rId2486" display="https://www.facebook.com/rapplerdotcom/posts/pfbid0TYP6syjYwznxJKdhWv9YMaXK9NvsSEhQ2cyyCQCPMvGapWXrQBHehywgT156wqNPl" xr:uid="{00000000-0004-0000-0000-0000B5090000}"/>
    <hyperlink ref="A1246" r:id="rId2487" display="https://www.facebook.com/profile.php?id=1669143901" xr:uid="{00000000-0004-0000-0000-0000B6090000}"/>
    <hyperlink ref="I1246" r:id="rId2488" display="https://www.facebook.com/rapplerdotcom/posts/pfbid0TYP6syjYwznxJKdhWv9YMaXK9NvsSEhQ2cyyCQCPMvGapWXrQBHehywgT156wqNPl" xr:uid="{00000000-0004-0000-0000-0000B7090000}"/>
    <hyperlink ref="A1247" r:id="rId2489" display="https://www.facebook.com/EdithaSeva" xr:uid="{00000000-0004-0000-0000-0000B8090000}"/>
    <hyperlink ref="I1247" r:id="rId2490" display="https://www.facebook.com/rapplerdotcom/posts/pfbid0TYP6syjYwznxJKdhWv9YMaXK9NvsSEhQ2cyyCQCPMvGapWXrQBHehywgT156wqNPl" xr:uid="{00000000-0004-0000-0000-0000B9090000}"/>
    <hyperlink ref="A1248" r:id="rId2491" display="https://www.facebook.com/danilos.deleon.54" xr:uid="{00000000-0004-0000-0000-0000BA090000}"/>
    <hyperlink ref="I1248" r:id="rId2492" display="https://www.facebook.com/rapplerdotcom/posts/pfbid0TYP6syjYwznxJKdhWv9YMaXK9NvsSEhQ2cyyCQCPMvGapWXrQBHehywgT156wqNPl" xr:uid="{00000000-0004-0000-0000-0000BB090000}"/>
    <hyperlink ref="A1249" r:id="rId2493" display="https://www.facebook.com/midsayap.vines.9" xr:uid="{00000000-0004-0000-0000-0000BC090000}"/>
    <hyperlink ref="I1249" r:id="rId2494" display="https://www.facebook.com/rapplerdotcom/posts/pfbid0TYP6syjYwznxJKdhWv9YMaXK9NvsSEhQ2cyyCQCPMvGapWXrQBHehywgT156wqNPl" xr:uid="{00000000-0004-0000-0000-0000BD090000}"/>
    <hyperlink ref="A1250" r:id="rId2495" display="https://www.facebook.com/rheajoycehernandez" xr:uid="{00000000-0004-0000-0000-0000BE090000}"/>
    <hyperlink ref="I1250" r:id="rId2496" display="https://www.facebook.com/rapplerdotcom/posts/pfbid0TYP6syjYwznxJKdhWv9YMaXK9NvsSEhQ2cyyCQCPMvGapWXrQBHehywgT156wqNPl" xr:uid="{00000000-0004-0000-0000-0000BF090000}"/>
    <hyperlink ref="A1251" r:id="rId2497" display="https://www.facebook.com/rachel.zamora.5680" xr:uid="{00000000-0004-0000-0000-0000C0090000}"/>
    <hyperlink ref="I1251" r:id="rId2498" display="https://www.facebook.com/rapplerdotcom/posts/pfbid0TYP6syjYwznxJKdhWv9YMaXK9NvsSEhQ2cyyCQCPMvGapWXrQBHehywgT156wqNPl" xr:uid="{00000000-0004-0000-0000-0000C1090000}"/>
    <hyperlink ref="A1252" r:id="rId2499" display="https://www.facebook.com/arni.reyes.5" xr:uid="{00000000-0004-0000-0000-0000C2090000}"/>
    <hyperlink ref="I1252" r:id="rId2500" display="https://www.facebook.com/rapplerdotcom/posts/pfbid0TYP6syjYwznxJKdhWv9YMaXK9NvsSEhQ2cyyCQCPMvGapWXrQBHehywgT156wqNPl" xr:uid="{00000000-0004-0000-0000-0000C3090000}"/>
    <hyperlink ref="A1253" r:id="rId2501" display="https://www.facebook.com/profile.php?id=100078937432698" xr:uid="{00000000-0004-0000-0000-0000C4090000}"/>
    <hyperlink ref="I1253" r:id="rId2502" display="https://www.facebook.com/rapplerdotcom/posts/pfbid0TYP6syjYwznxJKdhWv9YMaXK9NvsSEhQ2cyyCQCPMvGapWXrQBHehywgT156wqNPl" xr:uid="{00000000-0004-0000-0000-0000C5090000}"/>
    <hyperlink ref="A1254" r:id="rId2503" display="https://www.facebook.com/profile.php?id=100079992361922" xr:uid="{00000000-0004-0000-0000-0000C6090000}"/>
    <hyperlink ref="I1254" r:id="rId2504" display="https://www.facebook.com/rapplerdotcom/posts/pfbid0TYP6syjYwznxJKdhWv9YMaXK9NvsSEhQ2cyyCQCPMvGapWXrQBHehywgT156wqNPl" xr:uid="{00000000-0004-0000-0000-0000C7090000}"/>
    <hyperlink ref="A1255" r:id="rId2505" display="https://www.facebook.com/iamALArreza" xr:uid="{00000000-0004-0000-0000-0000C8090000}"/>
    <hyperlink ref="I1255" r:id="rId2506" display="https://www.facebook.com/rapplerdotcom/posts/pfbid0TYP6syjYwznxJKdhWv9YMaXK9NvsSEhQ2cyyCQCPMvGapWXrQBHehywgT156wqNPl" xr:uid="{00000000-0004-0000-0000-0000C9090000}"/>
    <hyperlink ref="A1256" r:id="rId2507" display="https://www.facebook.com/iamALArreza" xr:uid="{00000000-0004-0000-0000-0000CA090000}"/>
    <hyperlink ref="I1256" r:id="rId2508" display="https://www.facebook.com/rapplerdotcom/posts/pfbid0TYP6syjYwznxJKdhWv9YMaXK9NvsSEhQ2cyyCQCPMvGapWXrQBHehywgT156wqNPl" xr:uid="{00000000-0004-0000-0000-0000CB090000}"/>
    <hyperlink ref="A1257" r:id="rId2509" display="https://www.facebook.com/iamALArreza" xr:uid="{00000000-0004-0000-0000-0000CC090000}"/>
    <hyperlink ref="I1257" r:id="rId2510" display="https://www.facebook.com/rapplerdotcom/posts/pfbid0TYP6syjYwznxJKdhWv9YMaXK9NvsSEhQ2cyyCQCPMvGapWXrQBHehywgT156wqNPl" xr:uid="{00000000-0004-0000-0000-0000CD090000}"/>
    <hyperlink ref="A1258" r:id="rId2511" display="https://www.facebook.com/profile.php?id=100077966070661" xr:uid="{00000000-0004-0000-0000-0000CE090000}"/>
    <hyperlink ref="I1258" r:id="rId2512" display="https://www.facebook.com/rapplerdotcom/posts/pfbid0TYP6syjYwznxJKdhWv9YMaXK9NvsSEhQ2cyyCQCPMvGapWXrQBHehywgT156wqNPl" xr:uid="{00000000-0004-0000-0000-0000CF090000}"/>
    <hyperlink ref="A1259" r:id="rId2513" display="https://www.facebook.com/michaeljenard.ligan" xr:uid="{00000000-0004-0000-0000-0000D0090000}"/>
    <hyperlink ref="I1259" r:id="rId2514" display="https://www.facebook.com/rapplerdotcom/posts/pfbid0TYP6syjYwznxJKdhWv9YMaXK9NvsSEhQ2cyyCQCPMvGapWXrQBHehywgT156wqNPl" xr:uid="{00000000-0004-0000-0000-0000D1090000}"/>
    <hyperlink ref="A1260" r:id="rId2515" display="https://www.facebook.com/cookshop168" xr:uid="{00000000-0004-0000-0000-0000D2090000}"/>
    <hyperlink ref="I1260" r:id="rId2516" display="https://www.facebook.com/rapplerdotcom/posts/pfbid0TYP6syjYwznxJKdhWv9YMaXK9NvsSEhQ2cyyCQCPMvGapWXrQBHehywgT156wqNPl" xr:uid="{00000000-0004-0000-0000-0000D3090000}"/>
    <hyperlink ref="A1261" r:id="rId2517" display="https://www.facebook.com/tommy.o.chua" xr:uid="{00000000-0004-0000-0000-0000D4090000}"/>
    <hyperlink ref="I1261" r:id="rId2518" display="https://www.facebook.com/rapplerdotcom/posts/pfbid0TYP6syjYwznxJKdhWv9YMaXK9NvsSEhQ2cyyCQCPMvGapWXrQBHehywgT156wqNPl" xr:uid="{00000000-0004-0000-0000-0000D5090000}"/>
    <hyperlink ref="A1262" r:id="rId2519" display="https://www.facebook.com/tommy.o.chua" xr:uid="{00000000-0004-0000-0000-0000D6090000}"/>
    <hyperlink ref="I1262" r:id="rId2520" display="https://www.facebook.com/rapplerdotcom/posts/pfbid0TYP6syjYwznxJKdhWv9YMaXK9NvsSEhQ2cyyCQCPMvGapWXrQBHehywgT156wqNPl" xr:uid="{00000000-0004-0000-0000-0000D7090000}"/>
    <hyperlink ref="A1263" r:id="rId2521" display="https://www.facebook.com/tommy.o.chua" xr:uid="{00000000-0004-0000-0000-0000D8090000}"/>
    <hyperlink ref="I1263" r:id="rId2522" display="https://www.facebook.com/rapplerdotcom/posts/pfbid0TYP6syjYwznxJKdhWv9YMaXK9NvsSEhQ2cyyCQCPMvGapWXrQBHehywgT156wqNPl" xr:uid="{00000000-0004-0000-0000-0000D9090000}"/>
    <hyperlink ref="A1264" r:id="rId2523" display="https://www.facebook.com/william.pajarillo.1" xr:uid="{00000000-0004-0000-0000-0000DA090000}"/>
    <hyperlink ref="I1264" r:id="rId2524" display="https://www.facebook.com/rapplerdotcom/posts/pfbid0TYP6syjYwznxJKdhWv9YMaXK9NvsSEhQ2cyyCQCPMvGapWXrQBHehywgT156wqNPl" xr:uid="{00000000-0004-0000-0000-0000DB090000}"/>
    <hyperlink ref="A1265" r:id="rId2525" display="https://www.facebook.com/mariaashley.rigos.3" xr:uid="{00000000-0004-0000-0000-0000DC090000}"/>
    <hyperlink ref="I1265" r:id="rId2526" display="https://www.facebook.com/rapplerdotcom/posts/pfbid0TYP6syjYwznxJKdhWv9YMaXK9NvsSEhQ2cyyCQCPMvGapWXrQBHehywgT156wqNPl" xr:uid="{00000000-0004-0000-0000-0000DD090000}"/>
    <hyperlink ref="A1266" r:id="rId2527" display="https://www.facebook.com/lucille.r.villanueva" xr:uid="{00000000-0004-0000-0000-0000DE090000}"/>
    <hyperlink ref="I1266" r:id="rId2528" display="https://www.facebook.com/rapplerdotcom/posts/pfbid0TYP6syjYwznxJKdhWv9YMaXK9NvsSEhQ2cyyCQCPMvGapWXrQBHehywgT156wqNPl" xr:uid="{00000000-0004-0000-0000-0000DF090000}"/>
    <hyperlink ref="A1267" r:id="rId2529" display="https://www.facebook.com/shootafar" xr:uid="{00000000-0004-0000-0000-0000E0090000}"/>
    <hyperlink ref="I1267" r:id="rId2530" display="https://www.facebook.com/rapplerdotcom/posts/pfbid0TYP6syjYwznxJKdhWv9YMaXK9NvsSEhQ2cyyCQCPMvGapWXrQBHehywgT156wqNPl" xr:uid="{00000000-0004-0000-0000-0000E1090000}"/>
    <hyperlink ref="A1268" r:id="rId2531" display="https://www.facebook.com/Gheniirose" xr:uid="{00000000-0004-0000-0000-0000E2090000}"/>
    <hyperlink ref="I1268" r:id="rId2532" display="https://www.facebook.com/rapplerdotcom/posts/pfbid0TYP6syjYwznxJKdhWv9YMaXK9NvsSEhQ2cyyCQCPMvGapWXrQBHehywgT156wqNPl" xr:uid="{00000000-0004-0000-0000-0000E3090000}"/>
    <hyperlink ref="A1269" r:id="rId2533" display="https://www.facebook.com/emman.montenegro.1" xr:uid="{00000000-0004-0000-0000-0000E4090000}"/>
    <hyperlink ref="I1269" r:id="rId2534" display="https://www.facebook.com/rapplerdotcom/photos/a.317154781638645/5595733810447356/" xr:uid="{00000000-0004-0000-0000-0000E5090000}"/>
    <hyperlink ref="A1270" r:id="rId2535" display="https://www.facebook.com/johndiazcortez" xr:uid="{00000000-0004-0000-0000-0000E6090000}"/>
    <hyperlink ref="I1270" r:id="rId2536" display="https://www.facebook.com/rapplerdotcom/photos/a.317154781638645/5595733810447356/" xr:uid="{00000000-0004-0000-0000-0000E7090000}"/>
    <hyperlink ref="A1271" r:id="rId2537" display="https://www.facebook.com/pepe.ledesma.7140" xr:uid="{00000000-0004-0000-0000-0000E8090000}"/>
    <hyperlink ref="I1271" r:id="rId2538" display="https://www.facebook.com/rapplerdotcom/photos/a.317154781638645/5595733810447356/" xr:uid="{00000000-0004-0000-0000-0000E9090000}"/>
    <hyperlink ref="A1272" r:id="rId2539" display="https://www.facebook.com/dr.julius.uy" xr:uid="{00000000-0004-0000-0000-0000EA090000}"/>
    <hyperlink ref="I1272" r:id="rId2540" display="https://www.facebook.com/rapplerdotcom/photos/a.317154781638645/5595733810447356/" xr:uid="{00000000-0004-0000-0000-0000EB090000}"/>
    <hyperlink ref="A1273" r:id="rId2541" display="https://www.facebook.com/poli.lidi" xr:uid="{00000000-0004-0000-0000-0000EC090000}"/>
    <hyperlink ref="I1273" r:id="rId2542" display="https://www.facebook.com/rapplerdotcom/photos/a.317154781638645/5595733810447356/" xr:uid="{00000000-0004-0000-0000-0000ED090000}"/>
    <hyperlink ref="A1274" r:id="rId2543" display="https://www.facebook.com/bong.nicdao.3" xr:uid="{00000000-0004-0000-0000-0000EE090000}"/>
    <hyperlink ref="I1274" r:id="rId2544" display="https://www.facebook.com/rapplerdotcom/photos/a.317154781638645/5595733810447356/" xr:uid="{00000000-0004-0000-0000-0000EF090000}"/>
    <hyperlink ref="A1275" r:id="rId2545" display="https://www.facebook.com/chelle.alvarez.581" xr:uid="{00000000-0004-0000-0000-0000F0090000}"/>
    <hyperlink ref="I1275" r:id="rId2546" display="https://www.facebook.com/rapplerdotcom/photos/a.317154781638645/5595733810447356/" xr:uid="{00000000-0004-0000-0000-0000F1090000}"/>
    <hyperlink ref="A1276" r:id="rId2547" display="https://www.facebook.com/almher.manalo" xr:uid="{00000000-0004-0000-0000-0000F2090000}"/>
    <hyperlink ref="I1276" r:id="rId2548" display="https://www.facebook.com/rapplerdotcom/photos/a.317154781638645/5595733810447356/" xr:uid="{00000000-0004-0000-0000-0000F3090000}"/>
    <hyperlink ref="A1277" r:id="rId2549" display="https://www.facebook.com/arturo.rondolos.3" xr:uid="{00000000-0004-0000-0000-0000F4090000}"/>
    <hyperlink ref="I1277" r:id="rId2550" display="https://www.facebook.com/rapplerdotcom/photos/a.317154781638645/5595733810447356/" xr:uid="{00000000-0004-0000-0000-0000F5090000}"/>
    <hyperlink ref="A1278" r:id="rId2551" display="https://www.facebook.com/marilou.palomata" xr:uid="{00000000-0004-0000-0000-0000F6090000}"/>
    <hyperlink ref="I1278" r:id="rId2552" display="https://www.facebook.com/rapplerdotcom/photos/a.317154781638645/5595733810447356/" xr:uid="{00000000-0004-0000-0000-0000F7090000}"/>
    <hyperlink ref="A1279" r:id="rId2553" display="https://www.facebook.com/gejan" xr:uid="{00000000-0004-0000-0000-0000F8090000}"/>
    <hyperlink ref="I1279" r:id="rId2554" display="https://www.facebook.com/rapplerdotcom/photos/a.317154781638645/5595733810447356/" xr:uid="{00000000-0004-0000-0000-0000F9090000}"/>
    <hyperlink ref="A1280" r:id="rId2555" display="https://www.facebook.com/kay.flameno" xr:uid="{00000000-0004-0000-0000-0000FA090000}"/>
    <hyperlink ref="I1280" r:id="rId2556" display="https://www.facebook.com/rapplerdotcom/photos/a.317154781638645/5595733810447356/" xr:uid="{00000000-0004-0000-0000-0000FB090000}"/>
    <hyperlink ref="A1281" r:id="rId2557" display="https://www.facebook.com/marissa.bernabetecson" xr:uid="{00000000-0004-0000-0000-0000FC090000}"/>
    <hyperlink ref="I1281" r:id="rId2558" display="https://www.facebook.com/rapplerdotcom/photos/a.317154781638645/5595733810447356/" xr:uid="{00000000-0004-0000-0000-0000FD090000}"/>
    <hyperlink ref="A1282" r:id="rId2559" display="https://www.facebook.com/profile.php?id=100075703493857" xr:uid="{00000000-0004-0000-0000-0000FE090000}"/>
    <hyperlink ref="I1282" r:id="rId2560" display="https://www.facebook.com/rapplerdotcom/photos/a.317154781638645/5595733810447356/" xr:uid="{00000000-0004-0000-0000-0000FF090000}"/>
    <hyperlink ref="A1283" r:id="rId2561" display="https://www.facebook.com/pilar.alejo.9" xr:uid="{00000000-0004-0000-0000-0000000A0000}"/>
    <hyperlink ref="I1283" r:id="rId2562" display="https://www.facebook.com/rapplerdotcom/photos/a.317154781638645/5595733810447356/" xr:uid="{00000000-0004-0000-0000-0000010A0000}"/>
    <hyperlink ref="A1284" r:id="rId2563" display="https://www.facebook.com/francis.bartolome.52" xr:uid="{00000000-0004-0000-0000-0000020A0000}"/>
    <hyperlink ref="I1284" r:id="rId2564" display="https://www.facebook.com/rapplerdotcom/photos/a.317154781638645/5595733810447356/" xr:uid="{00000000-0004-0000-0000-0000030A0000}"/>
    <hyperlink ref="A1285" r:id="rId2565" display="https://www.facebook.com/harveychato" xr:uid="{00000000-0004-0000-0000-0000040A0000}"/>
    <hyperlink ref="I1285" r:id="rId2566" display="https://www.facebook.com/rapplerdotcom/photos/a.317154781638645/5595733810447356/" xr:uid="{00000000-0004-0000-0000-0000050A0000}"/>
    <hyperlink ref="A1286" r:id="rId2567" display="https://www.facebook.com/maryjane.martizano" xr:uid="{00000000-0004-0000-0000-0000060A0000}"/>
    <hyperlink ref="I1286" r:id="rId2568" display="https://www.facebook.com/rapplerdotcom/photos/a.317154781638645/5595733810447356/" xr:uid="{00000000-0004-0000-0000-0000070A0000}"/>
    <hyperlink ref="A1287" r:id="rId2569" display="https://www.facebook.com/pulubeng.kabute" xr:uid="{00000000-0004-0000-0000-0000080A0000}"/>
    <hyperlink ref="I1287" r:id="rId2570" display="https://www.facebook.com/rapplerdotcom/photos/a.317154781638645/5595733810447356/" xr:uid="{00000000-0004-0000-0000-0000090A0000}"/>
    <hyperlink ref="A1288" r:id="rId2571" display="https://www.facebook.com/profile.php?id=100009637215034" xr:uid="{00000000-0004-0000-0000-00000A0A0000}"/>
    <hyperlink ref="I1288" r:id="rId2572" display="https://www.facebook.com/rapplerdotcom/photos/a.317154781638645/5595733810447356/" xr:uid="{00000000-0004-0000-0000-00000B0A0000}"/>
    <hyperlink ref="A1289" r:id="rId2573" display="https://www.facebook.com/mariano.josh99" xr:uid="{00000000-0004-0000-0000-00000C0A0000}"/>
    <hyperlink ref="I1289" r:id="rId2574" display="https://www.facebook.com/rapplerdotcom/photos/a.317154781638645/5595733810447356/" xr:uid="{00000000-0004-0000-0000-00000D0A0000}"/>
    <hyperlink ref="A1290" r:id="rId2575" display="https://www.facebook.com/lorenztumamao1980" xr:uid="{00000000-0004-0000-0000-00000E0A0000}"/>
    <hyperlink ref="I1290" r:id="rId2576" display="https://www.facebook.com/rapplerdotcom/photos/a.317154781638645/5595733810447356/" xr:uid="{00000000-0004-0000-0000-00000F0A0000}"/>
    <hyperlink ref="A1291" r:id="rId2577" display="https://www.facebook.com/profile.php?id=100011150311111" xr:uid="{00000000-0004-0000-0000-0000100A0000}"/>
    <hyperlink ref="I1291" r:id="rId2578" display="https://www.facebook.com/rapplerdotcom/photos/a.317154781638645/5595733810447356/" xr:uid="{00000000-0004-0000-0000-0000110A0000}"/>
    <hyperlink ref="A1292" r:id="rId2579" display="https://www.facebook.com/xernes.martinez" xr:uid="{00000000-0004-0000-0000-0000120A0000}"/>
    <hyperlink ref="I1292" r:id="rId2580" display="https://www.facebook.com/rapplerdotcom/photos/a.317154781638645/5595733810447356/" xr:uid="{00000000-0004-0000-0000-0000130A0000}"/>
    <hyperlink ref="A1293" r:id="rId2581" display="https://www.facebook.com/mirandilla.alexract" xr:uid="{00000000-0004-0000-0000-0000140A0000}"/>
    <hyperlink ref="I1293" r:id="rId2582" display="https://www.facebook.com/rapplerdotcom/photos/a.317154781638645/5595733810447356/" xr:uid="{00000000-0004-0000-0000-0000150A0000}"/>
    <hyperlink ref="A1294" r:id="rId2583" display="https://www.facebook.com/IamRoselleBaltazar" xr:uid="{00000000-0004-0000-0000-0000160A0000}"/>
    <hyperlink ref="I1294" r:id="rId2584" display="https://www.facebook.com/rapplerdotcom/photos/a.317154781638645/5595733810447356/" xr:uid="{00000000-0004-0000-0000-0000170A0000}"/>
    <hyperlink ref="A1295" r:id="rId2585" display="https://www.facebook.com/profile.php?id=100009637215034" xr:uid="{00000000-0004-0000-0000-0000180A0000}"/>
    <hyperlink ref="I1295" r:id="rId2586" display="https://www.facebook.com/rapplerdotcom/photos/a.317154781638645/5595733810447356/" xr:uid="{00000000-0004-0000-0000-0000190A0000}"/>
    <hyperlink ref="A1296" r:id="rId2587" display="https://www.facebook.com/mariano.josh99" xr:uid="{00000000-0004-0000-0000-00001A0A0000}"/>
    <hyperlink ref="I1296" r:id="rId2588" display="https://www.facebook.com/rapplerdotcom/photos/a.317154781638645/5595733810447356/" xr:uid="{00000000-0004-0000-0000-00001B0A0000}"/>
    <hyperlink ref="A1297" r:id="rId2589" display="https://www.facebook.com/gia.mitchell.9655" xr:uid="{00000000-0004-0000-0000-00001C0A0000}"/>
    <hyperlink ref="I1297" r:id="rId2590" display="https://www.facebook.com/rapplerdotcom/photos/a.317154781638645/5595733810447356/" xr:uid="{00000000-0004-0000-0000-00001D0A0000}"/>
    <hyperlink ref="A1298" r:id="rId2591" display="https://www.facebook.com/marlon.argonza" xr:uid="{00000000-0004-0000-0000-00001E0A0000}"/>
    <hyperlink ref="I1298" r:id="rId2592" display="https://www.facebook.com/rapplerdotcom/photos/a.317154781638645/5595733810447356/" xr:uid="{00000000-0004-0000-0000-00001F0A0000}"/>
    <hyperlink ref="A1299" r:id="rId2593" display="https://www.facebook.com/vinz.jasareno" xr:uid="{00000000-0004-0000-0000-0000200A0000}"/>
    <hyperlink ref="I1299" r:id="rId2594" display="https://www.facebook.com/rapplerdotcom/photos/a.317154781638645/5595733810447356/" xr:uid="{00000000-0004-0000-0000-0000210A0000}"/>
    <hyperlink ref="A1300" r:id="rId2595" display="https://www.facebook.com/Mrs.prias.3" xr:uid="{00000000-0004-0000-0000-0000220A0000}"/>
    <hyperlink ref="I1300" r:id="rId2596" display="https://www.facebook.com/rapplerdotcom/photos/a.317154781638645/5595733810447356/" xr:uid="{00000000-0004-0000-0000-0000230A0000}"/>
    <hyperlink ref="A1301" r:id="rId2597" display="https://www.facebook.com/maryjane.martizano" xr:uid="{00000000-0004-0000-0000-0000240A0000}"/>
    <hyperlink ref="I1301" r:id="rId2598" display="https://www.facebook.com/rapplerdotcom/photos/a.317154781638645/5595733810447356/" xr:uid="{00000000-0004-0000-0000-0000250A0000}"/>
    <hyperlink ref="A1302" r:id="rId2599" display="https://www.facebook.com/IamRoselleBaltazar" xr:uid="{00000000-0004-0000-0000-0000260A0000}"/>
    <hyperlink ref="I1302" r:id="rId2600" display="https://www.facebook.com/rapplerdotcom/photos/a.317154781638645/5595733810447356/" xr:uid="{00000000-0004-0000-0000-0000270A0000}"/>
    <hyperlink ref="A1303" r:id="rId2601" display="https://www.facebook.com/migsaquino" xr:uid="{00000000-0004-0000-0000-0000280A0000}"/>
    <hyperlink ref="I1303" r:id="rId2602" display="https://www.facebook.com/rapplerdotcom/photos/a.317154781638645/5595733810447356/" xr:uid="{00000000-0004-0000-0000-0000290A0000}"/>
    <hyperlink ref="A1304" r:id="rId2603" display="https://www.facebook.com/IamRoselleBaltazar" xr:uid="{00000000-0004-0000-0000-00002A0A0000}"/>
    <hyperlink ref="I1304" r:id="rId2604" display="https://www.facebook.com/rapplerdotcom/photos/a.317154781638645/5595733810447356/" xr:uid="{00000000-0004-0000-0000-00002B0A0000}"/>
    <hyperlink ref="A1305" r:id="rId2605" display="https://www.facebook.com/richard.delacruz.75033" xr:uid="{00000000-0004-0000-0000-00002C0A0000}"/>
    <hyperlink ref="I1305" r:id="rId2606" display="https://www.facebook.com/rapplerdotcom/photos/a.317154781638645/5595733810447356/" xr:uid="{00000000-0004-0000-0000-00002D0A0000}"/>
    <hyperlink ref="A1306" r:id="rId2607" display="https://www.facebook.com/profile.php?id=100009637215034" xr:uid="{00000000-0004-0000-0000-00002E0A0000}"/>
    <hyperlink ref="I1306" r:id="rId2608" display="https://www.facebook.com/rapplerdotcom/photos/a.317154781638645/5595733810447356/" xr:uid="{00000000-0004-0000-0000-00002F0A0000}"/>
    <hyperlink ref="A1307" r:id="rId2609" display="https://www.facebook.com/cat.carrot.50" xr:uid="{00000000-0004-0000-0000-0000300A0000}"/>
    <hyperlink ref="I1307" r:id="rId2610" display="https://www.facebook.com/rapplerdotcom/photos/a.317154781638645/5595733810447356/" xr:uid="{00000000-0004-0000-0000-0000310A0000}"/>
    <hyperlink ref="A1308" r:id="rId2611" display="https://www.facebook.com/sunday.dugong" xr:uid="{00000000-0004-0000-0000-0000320A0000}"/>
    <hyperlink ref="I1308" r:id="rId2612" display="https://www.facebook.com/rapplerdotcom/photos/a.317154781638645/5595733810447356/" xr:uid="{00000000-0004-0000-0000-0000330A0000}"/>
    <hyperlink ref="A1309" r:id="rId2613" display="https://www.facebook.com/pulubeng.kabute" xr:uid="{00000000-0004-0000-0000-0000340A0000}"/>
    <hyperlink ref="I1309" r:id="rId2614" display="https://www.facebook.com/rapplerdotcom/photos/a.317154781638645/5595733810447356/" xr:uid="{00000000-0004-0000-0000-0000350A0000}"/>
    <hyperlink ref="A1310" r:id="rId2615" display="https://www.facebook.com/sunday.dugong" xr:uid="{00000000-0004-0000-0000-0000360A0000}"/>
    <hyperlink ref="I1310" r:id="rId2616" display="https://www.facebook.com/rapplerdotcom/photos/a.317154781638645/5595733810447356/" xr:uid="{00000000-0004-0000-0000-0000370A0000}"/>
    <hyperlink ref="A1311" r:id="rId2617" display="https://www.facebook.com/gina.parin.7" xr:uid="{00000000-0004-0000-0000-0000380A0000}"/>
    <hyperlink ref="I1311" r:id="rId2618" display="https://www.facebook.com/rapplerdotcom/photos/a.317154781638645/5595733810447356/" xr:uid="{00000000-0004-0000-0000-0000390A0000}"/>
    <hyperlink ref="A1312" r:id="rId2619" display="https://www.facebook.com/gia.mitchell.9655" xr:uid="{00000000-0004-0000-0000-00003A0A0000}"/>
    <hyperlink ref="I1312" r:id="rId2620" display="https://www.facebook.com/rapplerdotcom/photos/a.317154781638645/5595733810447356/" xr:uid="{00000000-0004-0000-0000-00003B0A0000}"/>
    <hyperlink ref="A1313" r:id="rId2621" display="https://www.facebook.com/sunday.dugong" xr:uid="{00000000-0004-0000-0000-00003C0A0000}"/>
    <hyperlink ref="I1313" r:id="rId2622" display="https://www.facebook.com/rapplerdotcom/photos/a.317154781638645/5595733810447356/" xr:uid="{00000000-0004-0000-0000-00003D0A0000}"/>
    <hyperlink ref="A1314" r:id="rId2623" display="https://www.facebook.com/edison.lagota.1" xr:uid="{00000000-0004-0000-0000-00003E0A0000}"/>
    <hyperlink ref="I1314" r:id="rId2624" display="https://www.facebook.com/rapplerdotcom/photos/a.317154781638645/5595733810447356/" xr:uid="{00000000-0004-0000-0000-00003F0A0000}"/>
    <hyperlink ref="A1315" r:id="rId2625" display="https://www.facebook.com/aila0726" xr:uid="{00000000-0004-0000-0000-0000400A0000}"/>
    <hyperlink ref="I1315" r:id="rId2626" display="https://www.facebook.com/rapplerdotcom/photos/a.317154781638645/5595733810447356/" xr:uid="{00000000-0004-0000-0000-0000410A0000}"/>
    <hyperlink ref="A1316" r:id="rId2627" display="https://www.facebook.com/melay.rosales" xr:uid="{00000000-0004-0000-0000-0000420A0000}"/>
    <hyperlink ref="I1316" r:id="rId2628" display="https://www.facebook.com/rapplerdotcom/photos/a.317154781638645/5595733810447356/" xr:uid="{00000000-0004-0000-0000-0000430A0000}"/>
    <hyperlink ref="A1317" r:id="rId2629" display="https://www.facebook.com/rdoroon1" xr:uid="{00000000-0004-0000-0000-0000440A0000}"/>
    <hyperlink ref="I1317" r:id="rId2630" display="https://www.facebook.com/rapplerdotcom/photos/a.317154781638645/5595733810447356/" xr:uid="{00000000-0004-0000-0000-0000450A0000}"/>
    <hyperlink ref="A1318" r:id="rId2631" display="https://www.facebook.com/profile.php?id=100003506242168" xr:uid="{00000000-0004-0000-0000-0000460A0000}"/>
    <hyperlink ref="I1318" r:id="rId2632" display="https://www.facebook.com/rapplerdotcom/photos/a.317154781638645/5595733810447356/" xr:uid="{00000000-0004-0000-0000-0000470A0000}"/>
    <hyperlink ref="A1319" r:id="rId2633" display="https://www.facebook.com/alexasophiaaa" xr:uid="{00000000-0004-0000-0000-0000480A0000}"/>
    <hyperlink ref="I1319" r:id="rId2634" display="https://www.facebook.com/rapplerdotcom/photos/a.317154781638645/5595733810447356/" xr:uid="{00000000-0004-0000-0000-0000490A0000}"/>
    <hyperlink ref="A1320" r:id="rId2635" display="https://www.facebook.com/ivansalanguit21" xr:uid="{00000000-0004-0000-0000-00004A0A0000}"/>
    <hyperlink ref="I1320" r:id="rId2636" display="https://www.facebook.com/rapplerdotcom/photos/a.317154781638645/5595733810447356/" xr:uid="{00000000-0004-0000-0000-00004B0A0000}"/>
    <hyperlink ref="A1321" r:id="rId2637" display="https://www.facebook.com/profile.php?id=100069842376386" xr:uid="{00000000-0004-0000-0000-00004C0A0000}"/>
    <hyperlink ref="I1321" r:id="rId2638" display="https://www.facebook.com/rapplerdotcom/photos/a.317154781638645/5595733810447356/" xr:uid="{00000000-0004-0000-0000-00004D0A0000}"/>
    <hyperlink ref="A1322" r:id="rId2639" display="https://www.facebook.com/ancelcurativo" xr:uid="{00000000-0004-0000-0000-00004E0A0000}"/>
    <hyperlink ref="I1322" r:id="rId2640" display="https://www.facebook.com/rapplerdotcom/photos/a.317154781638645/5595733810447356/" xr:uid="{00000000-0004-0000-0000-00004F0A0000}"/>
    <hyperlink ref="A1323" r:id="rId2641" display="https://www.facebook.com/mariano.josh99" xr:uid="{00000000-0004-0000-0000-0000500A0000}"/>
    <hyperlink ref="I1323" r:id="rId2642" display="https://www.facebook.com/rapplerdotcom/photos/a.317154781638645/5595733810447356/" xr:uid="{00000000-0004-0000-0000-0000510A0000}"/>
    <hyperlink ref="A1324" r:id="rId2643" display="https://www.facebook.com/cat.carrot.50" xr:uid="{00000000-0004-0000-0000-0000520A0000}"/>
    <hyperlink ref="I1324" r:id="rId2644" display="https://www.facebook.com/rapplerdotcom/photos/a.317154781638645/5595733810447356/" xr:uid="{00000000-0004-0000-0000-0000530A0000}"/>
    <hyperlink ref="A1325" r:id="rId2645" display="https://www.facebook.com/renward4short" xr:uid="{00000000-0004-0000-0000-0000540A0000}"/>
    <hyperlink ref="I1325" r:id="rId2646" display="https://www.facebook.com/rapplerdotcom/photos/a.317154781638645/5595733810447356/" xr:uid="{00000000-0004-0000-0000-0000550A0000}"/>
    <hyperlink ref="A1326" r:id="rId2647" display="https://www.facebook.com/she.real.9883" xr:uid="{00000000-0004-0000-0000-0000560A0000}"/>
    <hyperlink ref="I1326" r:id="rId2648" display="https://www.facebook.com/rapplerdotcom/photos/a.317154781638645/5595733810447356/" xr:uid="{00000000-0004-0000-0000-0000570A0000}"/>
    <hyperlink ref="A1327" r:id="rId2649" display="https://www.facebook.com/nonongfroilan" xr:uid="{00000000-0004-0000-0000-0000580A0000}"/>
    <hyperlink ref="I1327" r:id="rId2650" display="https://www.facebook.com/rapplerdotcom/photos/a.317154781638645/5595733810447356/" xr:uid="{00000000-0004-0000-0000-0000590A0000}"/>
    <hyperlink ref="A1328" r:id="rId2651" display="https://www.facebook.com/jeffrey.alfaro.10" xr:uid="{00000000-0004-0000-0000-00005A0A0000}"/>
    <hyperlink ref="I1328" r:id="rId2652" display="https://www.facebook.com/rapplerdotcom/photos/a.317154781638645/5595733810447356/" xr:uid="{00000000-0004-0000-0000-00005B0A0000}"/>
    <hyperlink ref="A1329" r:id="rId2653" display="https://www.facebook.com/profile.php?id=100010524198327" xr:uid="{00000000-0004-0000-0000-00005C0A0000}"/>
    <hyperlink ref="I1329" r:id="rId2654" display="https://www.facebook.com/rapplerdotcom/photos/a.317154781638645/5595733810447356/" xr:uid="{00000000-0004-0000-0000-00005D0A0000}"/>
    <hyperlink ref="A1330" r:id="rId2655" display="https://www.facebook.com/profile.php?id=100009637215034" xr:uid="{00000000-0004-0000-0000-00005E0A0000}"/>
    <hyperlink ref="I1330" r:id="rId2656" display="https://www.facebook.com/rapplerdotcom/photos/a.317154781638645/5595733810447356/" xr:uid="{00000000-0004-0000-0000-00005F0A0000}"/>
    <hyperlink ref="A1331" r:id="rId2657" display="https://www.facebook.com/kttykrsh" xr:uid="{00000000-0004-0000-0000-0000600A0000}"/>
    <hyperlink ref="I1331" r:id="rId2658" display="https://www.facebook.com/rapplerdotcom/photos/a.317154781638645/5595733810447356/" xr:uid="{00000000-0004-0000-0000-0000610A0000}"/>
    <hyperlink ref="A1332" r:id="rId2659" display="https://www.facebook.com/christina.aranda.188" xr:uid="{00000000-0004-0000-0000-0000620A0000}"/>
    <hyperlink ref="I1332" r:id="rId2660" display="https://www.facebook.com/rapplerdotcom/photos/a.317154781638645/5595733810447356/" xr:uid="{00000000-0004-0000-0000-0000630A0000}"/>
    <hyperlink ref="A1333" r:id="rId2661" display="https://www.facebook.com/alonso.severo.5" xr:uid="{00000000-0004-0000-0000-0000640A0000}"/>
    <hyperlink ref="I1333" r:id="rId2662" display="https://www.facebook.com/rapplerdotcom/photos/a.317154781638645/5595733810447356/" xr:uid="{00000000-0004-0000-0000-0000650A0000}"/>
    <hyperlink ref="A1334" r:id="rId2663" display="https://www.facebook.com/michelle.eslit" xr:uid="{00000000-0004-0000-0000-0000660A0000}"/>
    <hyperlink ref="I1334" r:id="rId2664" display="https://www.facebook.com/rapplerdotcom/photos/a.317154781638645/5595733810447356/" xr:uid="{00000000-0004-0000-0000-0000670A0000}"/>
    <hyperlink ref="A1335" r:id="rId2665" display="https://www.facebook.com/saldy.herrera.73" xr:uid="{00000000-0004-0000-0000-0000680A0000}"/>
    <hyperlink ref="I1335" r:id="rId2666" display="https://www.facebook.com/rapplerdotcom/photos/a.317154781638645/5595733810447356/" xr:uid="{00000000-0004-0000-0000-0000690A0000}"/>
    <hyperlink ref="A1336" r:id="rId2667" display="https://www.facebook.com/romel.palcis" xr:uid="{00000000-0004-0000-0000-00006A0A0000}"/>
    <hyperlink ref="I1336" r:id="rId2668" display="https://www.facebook.com/rapplerdotcom/photos/a.317154781638645/5595733810447356/" xr:uid="{00000000-0004-0000-0000-00006B0A0000}"/>
    <hyperlink ref="A1337" r:id="rId2669" display="https://www.facebook.com/celia.santos.397501" xr:uid="{00000000-0004-0000-0000-00006C0A0000}"/>
    <hyperlink ref="I1337" r:id="rId2670" display="https://www.facebook.com/rapplerdotcom/photos/a.317154781638645/5595733810447356/" xr:uid="{00000000-0004-0000-0000-00006D0A0000}"/>
    <hyperlink ref="A1338" r:id="rId2671" display="https://www.facebook.com/geobert.osma" xr:uid="{00000000-0004-0000-0000-00006E0A0000}"/>
    <hyperlink ref="I1338" r:id="rId2672" display="https://www.facebook.com/rapplerdotcom/photos/a.317154781638645/5595733810447356/" xr:uid="{00000000-0004-0000-0000-00006F0A0000}"/>
    <hyperlink ref="A1339" r:id="rId2673" display="https://www.facebook.com/profile.php?id=100078911753810" xr:uid="{00000000-0004-0000-0000-0000700A0000}"/>
    <hyperlink ref="I1339" r:id="rId2674" display="https://www.facebook.com/rapplerdotcom/photos/a.317154781638645/5595733810447356/" xr:uid="{00000000-0004-0000-0000-0000710A0000}"/>
    <hyperlink ref="A1340" r:id="rId2675" display="https://www.facebook.com/profile.php?id=100076597585055" xr:uid="{00000000-0004-0000-0000-0000720A0000}"/>
    <hyperlink ref="I1340" r:id="rId2676" display="https://www.facebook.com/rapplerdotcom/photos/a.317154781638645/5595733810447356/" xr:uid="{00000000-0004-0000-0000-0000730A0000}"/>
    <hyperlink ref="A1341" r:id="rId2677" display="https://www.facebook.com/profile.php?id=100012992791715" xr:uid="{00000000-0004-0000-0000-0000740A0000}"/>
    <hyperlink ref="I1341" r:id="rId2678" display="https://www.facebook.com/rapplerdotcom/photos/a.317154781638645/5595733810447356/" xr:uid="{00000000-0004-0000-0000-0000750A0000}"/>
    <hyperlink ref="A1342" r:id="rId2679" display="https://www.facebook.com/profile.php?id=100079988850982" xr:uid="{00000000-0004-0000-0000-0000760A0000}"/>
    <hyperlink ref="I1342" r:id="rId2680" display="https://www.facebook.com/rapplerdotcom/photos/a.317154781638645/5595733810447356/" xr:uid="{00000000-0004-0000-0000-0000770A0000}"/>
    <hyperlink ref="A1343" r:id="rId2681" display="https://www.facebook.com/profile.php?id=100073431611450" xr:uid="{00000000-0004-0000-0000-0000780A0000}"/>
    <hyperlink ref="I1343" r:id="rId2682" display="https://www.facebook.com/rapplerdotcom/photos/a.317154781638645/5595733810447356/" xr:uid="{00000000-0004-0000-0000-0000790A0000}"/>
    <hyperlink ref="A1344" r:id="rId2683" display="https://www.facebook.com/renato.francisco.16503" xr:uid="{00000000-0004-0000-0000-00007A0A0000}"/>
    <hyperlink ref="I1344" r:id="rId2684" display="https://www.facebook.com/rapplerdotcom/photos/a.317154781638645/5595733810447356/" xr:uid="{00000000-0004-0000-0000-00007B0A0000}"/>
    <hyperlink ref="A1345" r:id="rId2685" display="https://www.facebook.com/dindo.ducay" xr:uid="{00000000-0004-0000-0000-00007C0A0000}"/>
    <hyperlink ref="I1345" r:id="rId2686" display="https://www.facebook.com/rapplerdotcom/photos/a.317154781638645/5595733810447356/" xr:uid="{00000000-0004-0000-0000-00007D0A0000}"/>
    <hyperlink ref="A1346" r:id="rId2687" display="https://www.facebook.com/obiso.clarissa" xr:uid="{00000000-0004-0000-0000-00007E0A0000}"/>
    <hyperlink ref="I1346" r:id="rId2688" display="https://www.facebook.com/rapplerdotcom/photos/a.317154781638645/5595733810447356/" xr:uid="{00000000-0004-0000-0000-00007F0A0000}"/>
    <hyperlink ref="A1347" r:id="rId2689" display="https://www.facebook.com/benjamin.naces.3" xr:uid="{00000000-0004-0000-0000-0000800A0000}"/>
    <hyperlink ref="I1347" r:id="rId2690" display="https://www.facebook.com/rapplerdotcom/photos/a.317154781638645/5595733810447356/" xr:uid="{00000000-0004-0000-0000-0000810A0000}"/>
    <hyperlink ref="A1348" r:id="rId2691" display="https://www.facebook.com/profile.php?id=100071816821889" xr:uid="{00000000-0004-0000-0000-0000820A0000}"/>
    <hyperlink ref="I1348" r:id="rId2692" display="https://www.facebook.com/rapplerdotcom/photos/a.317154781638645/5595733810447356/" xr:uid="{00000000-0004-0000-0000-0000830A0000}"/>
    <hyperlink ref="A1349" r:id="rId2693" display="https://www.facebook.com/tom.bolero1" xr:uid="{00000000-0004-0000-0000-0000840A0000}"/>
    <hyperlink ref="I1349" r:id="rId2694" display="https://www.facebook.com/rapplerdotcom/photos/a.317154781638645/5595733810447356/" xr:uid="{00000000-0004-0000-0000-0000850A0000}"/>
    <hyperlink ref="A1350" r:id="rId2695" display="https://www.facebook.com/alex.guza" xr:uid="{00000000-0004-0000-0000-0000860A0000}"/>
    <hyperlink ref="I1350" r:id="rId2696" display="https://www.facebook.com/rapplerdotcom/photos/a.317154781638645/5595733810447356/" xr:uid="{00000000-0004-0000-0000-0000870A0000}"/>
    <hyperlink ref="A1351" r:id="rId2697" display="https://www.facebook.com/carlito.dimayacyac" xr:uid="{00000000-0004-0000-0000-0000880A0000}"/>
    <hyperlink ref="I1351" r:id="rId2698" display="https://www.facebook.com/rapplerdotcom/photos/a.317154781638645/5595733810447356/" xr:uid="{00000000-0004-0000-0000-0000890A0000}"/>
    <hyperlink ref="A1352" r:id="rId2699" display="https://www.facebook.com/glenn.esmores.1" xr:uid="{00000000-0004-0000-0000-00008A0A0000}"/>
    <hyperlink ref="I1352" r:id="rId2700" display="https://www.facebook.com/rapplerdotcom/photos/a.317154781638645/5595733810447356/" xr:uid="{00000000-0004-0000-0000-00008B0A0000}"/>
    <hyperlink ref="A1353" r:id="rId2701" display="https://www.facebook.com/alvarez.eragen" xr:uid="{00000000-0004-0000-0000-00008C0A0000}"/>
    <hyperlink ref="I1353" r:id="rId2702" display="https://www.facebook.com/rapplerdotcom/photos/a.317154781638645/5595733810447356/" xr:uid="{00000000-0004-0000-0000-00008D0A0000}"/>
    <hyperlink ref="A1354" r:id="rId2703" display="https://www.facebook.com/cirilobalong.lapaz" xr:uid="{00000000-0004-0000-0000-00008E0A0000}"/>
    <hyperlink ref="I1354" r:id="rId2704" display="https://www.facebook.com/rapplerdotcom/photos/a.317154781638645/5595733810447356/" xr:uid="{00000000-0004-0000-0000-00008F0A0000}"/>
    <hyperlink ref="A1355" r:id="rId2705" display="https://www.facebook.com/janerick.mendozaalarcon" xr:uid="{00000000-0004-0000-0000-0000900A0000}"/>
    <hyperlink ref="I1355" r:id="rId2706" display="https://www.facebook.com/rapplerdotcom/photos/a.317154781638645/5595733810447356/" xr:uid="{00000000-0004-0000-0000-0000910A0000}"/>
    <hyperlink ref="A1356" r:id="rId2707" display="https://www.facebook.com/henry.daco" xr:uid="{00000000-0004-0000-0000-0000920A0000}"/>
    <hyperlink ref="I1356" r:id="rId2708" display="https://www.facebook.com/rapplerdotcom/photos/a.317154781638645/5595733810447356/" xr:uid="{00000000-0004-0000-0000-0000930A0000}"/>
    <hyperlink ref="A1357" r:id="rId2709" display="https://www.facebook.com/maritesse.espinaz" xr:uid="{00000000-0004-0000-0000-0000940A0000}"/>
    <hyperlink ref="I1357" r:id="rId2710" display="https://www.facebook.com/rapplerdotcom/photos/a.317154781638645/5595733810447356/" xr:uid="{00000000-0004-0000-0000-0000950A0000}"/>
    <hyperlink ref="A1358" r:id="rId2711" display="https://www.facebook.com/davidlacsina4" xr:uid="{00000000-0004-0000-0000-0000960A0000}"/>
    <hyperlink ref="I1358" r:id="rId2712" display="https://www.facebook.com/rapplerdotcom/photos/a.317154781638645/5595733810447356/" xr:uid="{00000000-0004-0000-0000-0000970A0000}"/>
    <hyperlink ref="A1359" r:id="rId2713" display="https://www.facebook.com/romeo.banderado.56" xr:uid="{00000000-0004-0000-0000-0000980A0000}"/>
    <hyperlink ref="I1359" r:id="rId2714" display="https://www.facebook.com/rapplerdotcom/photos/a.317154781638645/5595733810447356/" xr:uid="{00000000-0004-0000-0000-0000990A0000}"/>
    <hyperlink ref="A1360" r:id="rId2715" display="https://www.facebook.com/bobby.gonzaga.9404" xr:uid="{00000000-0004-0000-0000-00009A0A0000}"/>
    <hyperlink ref="I1360" r:id="rId2716" display="https://www.facebook.com/rapplerdotcom/photos/a.317154781638645/5595733810447356/" xr:uid="{00000000-0004-0000-0000-00009B0A0000}"/>
    <hyperlink ref="A1361" r:id="rId2717" display="https://www.facebook.com/wilbert.gadayan" xr:uid="{00000000-0004-0000-0000-00009C0A0000}"/>
    <hyperlink ref="I1361" r:id="rId2718" display="https://www.facebook.com/rapplerdotcom/photos/a.317154781638645/5595733810447356/" xr:uid="{00000000-0004-0000-0000-00009D0A0000}"/>
    <hyperlink ref="A1362" r:id="rId2719" display="https://www.facebook.com/bobby.gonzaga.9404" xr:uid="{00000000-0004-0000-0000-00009E0A0000}"/>
    <hyperlink ref="I1362" r:id="rId2720" display="https://www.facebook.com/rapplerdotcom/photos/a.317154781638645/5595733810447356/" xr:uid="{00000000-0004-0000-0000-00009F0A0000}"/>
    <hyperlink ref="A1363" r:id="rId2721" display="https://www.facebook.com/ariesian.eleazar" xr:uid="{00000000-0004-0000-0000-0000A00A0000}"/>
    <hyperlink ref="I1363" r:id="rId2722" display="https://www.facebook.com/rapplerdotcom/photos/a.317154781638645/5595733810447356/" xr:uid="{00000000-0004-0000-0000-0000A10A0000}"/>
    <hyperlink ref="A1364" r:id="rId2723" display="https://www.facebook.com/queeniejoy.echavez" xr:uid="{00000000-0004-0000-0000-0000A20A0000}"/>
    <hyperlink ref="I1364" r:id="rId2724" display="https://www.facebook.com/rapplerdotcom/photos/a.317154781638645/5595733810447356/" xr:uid="{00000000-0004-0000-0000-0000A30A0000}"/>
    <hyperlink ref="A1365" r:id="rId2725" display="https://www.facebook.com/carlomanuel.mendoza" xr:uid="{00000000-0004-0000-0000-0000A40A0000}"/>
    <hyperlink ref="I1365" r:id="rId2726" display="https://www.facebook.com/rapplerdotcom/photos/a.317154781638645/5595733810447356/" xr:uid="{00000000-0004-0000-0000-0000A50A0000}"/>
    <hyperlink ref="A1366" r:id="rId2727" display="https://www.facebook.com/chloe.vncr" xr:uid="{00000000-0004-0000-0000-0000A60A0000}"/>
    <hyperlink ref="I1366" r:id="rId2728" display="https://www.facebook.com/rapplerdotcom/photos/a.317154781638645/5595733810447356/" xr:uid="{00000000-0004-0000-0000-0000A70A0000}"/>
    <hyperlink ref="A1367" r:id="rId2729" display="https://www.facebook.com/cherrylynyapchapco.diaz" xr:uid="{00000000-0004-0000-0000-0000A80A0000}"/>
    <hyperlink ref="I1367" r:id="rId2730" display="https://www.facebook.com/rapplerdotcom/photos/a.317154781638645/5595733810447356/" xr:uid="{00000000-0004-0000-0000-0000A90A0000}"/>
    <hyperlink ref="A1368" r:id="rId2731" display="https://www.facebook.com/hz2094" xr:uid="{00000000-0004-0000-0000-0000AA0A0000}"/>
    <hyperlink ref="I1368" r:id="rId2732" display="https://www.facebook.com/rapplerdotcom/photos/a.317154781638645/5595733810447356/" xr:uid="{00000000-0004-0000-0000-0000AB0A0000}"/>
    <hyperlink ref="A1369" r:id="rId2733" display="https://www.facebook.com/profile.php?id=100009060038408" xr:uid="{00000000-0004-0000-0000-0000AC0A0000}"/>
    <hyperlink ref="I1369" r:id="rId2734" display="https://www.facebook.com/rapplerdotcom/photos/a.317154781638645/5595733810447356/" xr:uid="{00000000-0004-0000-0000-0000AD0A0000}"/>
    <hyperlink ref="A1370" r:id="rId2735" display="https://www.facebook.com/jegals.dep" xr:uid="{00000000-0004-0000-0000-0000AE0A0000}"/>
    <hyperlink ref="I1370" r:id="rId2736" display="https://www.facebook.com/rapplerdotcom/photos/a.317154781638645/5595733810447356/" xr:uid="{00000000-0004-0000-0000-0000AF0A0000}"/>
    <hyperlink ref="A1371" r:id="rId2737" display="https://www.facebook.com/myrna.zuasula" xr:uid="{00000000-0004-0000-0000-0000B00A0000}"/>
    <hyperlink ref="I1371" r:id="rId2738" display="https://www.facebook.com/rapplerdotcom/photos/a.317154781638645/5595733810447356/" xr:uid="{00000000-0004-0000-0000-0000B10A0000}"/>
    <hyperlink ref="A1372" r:id="rId2739" display="https://www.facebook.com/marlovasquezmiranda1979" xr:uid="{00000000-0004-0000-0000-0000B20A0000}"/>
    <hyperlink ref="I1372" r:id="rId2740" display="https://www.facebook.com/rapplerdotcom/photos/a.317154781638645/5595733810447356/" xr:uid="{00000000-0004-0000-0000-0000B30A0000}"/>
    <hyperlink ref="A1373" r:id="rId2741" display="https://www.facebook.com/claro.miranda.7" xr:uid="{00000000-0004-0000-0000-0000B40A0000}"/>
    <hyperlink ref="I1373" r:id="rId2742" display="https://www.facebook.com/rapplerdotcom/photos/a.317154781638645/5595733810447356/" xr:uid="{00000000-0004-0000-0000-0000B50A0000}"/>
    <hyperlink ref="A1374" r:id="rId2743" display="https://www.facebook.com/benjamin.alejandro.142" xr:uid="{00000000-0004-0000-0000-0000B60A0000}"/>
    <hyperlink ref="I1374" r:id="rId2744" display="https://www.facebook.com/rapplerdotcom/photos/a.317154781638645/5595733810447356/" xr:uid="{00000000-0004-0000-0000-0000B70A0000}"/>
    <hyperlink ref="A1375" r:id="rId2745" display="https://www.facebook.com/obiso.clarissa" xr:uid="{00000000-0004-0000-0000-0000B80A0000}"/>
    <hyperlink ref="I1375" r:id="rId2746" display="https://www.facebook.com/rapplerdotcom/photos/a.317154781638645/5595733810447356/" xr:uid="{00000000-0004-0000-0000-0000B90A0000}"/>
    <hyperlink ref="A1376" r:id="rId2747" display="https://www.facebook.com/profile.php?id=100076809421771" xr:uid="{00000000-0004-0000-0000-0000BA0A0000}"/>
    <hyperlink ref="I1376" r:id="rId2748" display="https://www.facebook.com/rapplerdotcom/photos/a.317154781638645/5595733810447356/" xr:uid="{00000000-0004-0000-0000-0000BB0A0000}"/>
    <hyperlink ref="A1377" r:id="rId2749" display="https://www.facebook.com/profile.php?id=100074931561512" xr:uid="{00000000-0004-0000-0000-0000BC0A0000}"/>
    <hyperlink ref="I1377" r:id="rId2750" display="https://www.facebook.com/rapplerdotcom/photos/a.317154781638645/5595733810447356/" xr:uid="{00000000-0004-0000-0000-0000BD0A0000}"/>
    <hyperlink ref="A1378" r:id="rId2751" display="https://www.facebook.com/jimmy.rebollo" xr:uid="{00000000-0004-0000-0000-0000BE0A0000}"/>
    <hyperlink ref="I1378" r:id="rId2752" display="https://www.facebook.com/rapplerdotcom/photos/a.317154781638645/5595733810447356/" xr:uid="{00000000-0004-0000-0000-0000BF0A0000}"/>
    <hyperlink ref="A1379" r:id="rId2753" display="https://www.facebook.com/profile.php?id=100074931561512" xr:uid="{00000000-0004-0000-0000-0000C00A0000}"/>
    <hyperlink ref="I1379" r:id="rId2754" display="https://www.facebook.com/rapplerdotcom/photos/a.317154781638645/5595733810447356/" xr:uid="{00000000-0004-0000-0000-0000C10A0000}"/>
    <hyperlink ref="A1380" r:id="rId2755" display="https://www.facebook.com/roland.somera.129" xr:uid="{00000000-0004-0000-0000-0000C20A0000}"/>
    <hyperlink ref="I1380" r:id="rId2756" display="https://www.facebook.com/rapplerdotcom/photos/a.317154781638645/5595733810447356/" xr:uid="{00000000-0004-0000-0000-0000C30A0000}"/>
    <hyperlink ref="A1381" r:id="rId2757" display="https://www.facebook.com/profile.php?id=100074931561512" xr:uid="{00000000-0004-0000-0000-0000C40A0000}"/>
    <hyperlink ref="I1381" r:id="rId2758" display="https://www.facebook.com/rapplerdotcom/photos/a.317154781638645/5595733810447356/" xr:uid="{00000000-0004-0000-0000-0000C50A0000}"/>
    <hyperlink ref="A1382" r:id="rId2759" display="https://www.facebook.com/profile.php?id=100074931561512" xr:uid="{00000000-0004-0000-0000-0000C60A0000}"/>
    <hyperlink ref="I1382" r:id="rId2760" display="https://www.facebook.com/rapplerdotcom/photos/a.317154781638645/5595733810447356/" xr:uid="{00000000-0004-0000-0000-0000C70A0000}"/>
    <hyperlink ref="A1383" r:id="rId2761" display="https://www.facebook.com/june.vicentino.11" xr:uid="{00000000-0004-0000-0000-0000C80A0000}"/>
    <hyperlink ref="I1383" r:id="rId2762" display="https://www.facebook.com/rapplerdotcom/photos/a.317154781638645/5595733810447356/" xr:uid="{00000000-0004-0000-0000-0000C90A0000}"/>
    <hyperlink ref="A1384" r:id="rId2763" display="https://www.facebook.com/emeleen.17" xr:uid="{00000000-0004-0000-0000-0000CA0A0000}"/>
    <hyperlink ref="I1384" r:id="rId2764" display="https://www.facebook.com/rapplerdotcom/photos/a.317154781638645/5595733810447356/" xr:uid="{00000000-0004-0000-0000-0000CB0A0000}"/>
    <hyperlink ref="A1385" r:id="rId2765" display="https://www.facebook.com/taipan.shantel" xr:uid="{00000000-0004-0000-0000-0000CC0A0000}"/>
    <hyperlink ref="I1385" r:id="rId2766" display="https://www.facebook.com/rapplerdotcom/photos/a.317154781638645/5595733810447356/" xr:uid="{00000000-0004-0000-0000-0000CD0A0000}"/>
    <hyperlink ref="A1386" r:id="rId2767" display="https://www.facebook.com/minato.batousai" xr:uid="{00000000-0004-0000-0000-0000CE0A0000}"/>
    <hyperlink ref="I1386" r:id="rId2768" display="https://www.facebook.com/rapplerdotcom/photos/a.317154781638645/5595733810447356/" xr:uid="{00000000-0004-0000-0000-0000CF0A0000}"/>
    <hyperlink ref="A1387" r:id="rId2769" display="https://www.facebook.com/profile.php?id=100069939051229" xr:uid="{00000000-0004-0000-0000-0000D00A0000}"/>
    <hyperlink ref="I1387" r:id="rId2770" display="https://www.facebook.com/rapplerdotcom/photos/a.317154781638645/5595733810447356/" xr:uid="{00000000-0004-0000-0000-0000D10A0000}"/>
    <hyperlink ref="A1388" r:id="rId2771" display="https://www.facebook.com/djlansang" xr:uid="{00000000-0004-0000-0000-0000D20A0000}"/>
    <hyperlink ref="I1388" r:id="rId2772" display="https://www.facebook.com/watch/?v=570590637273208" xr:uid="{00000000-0004-0000-0000-0000D30A0000}"/>
    <hyperlink ref="A1389" r:id="rId2773" display="https://www.facebook.com/profile.php?id=100078441967269" xr:uid="{00000000-0004-0000-0000-0000D40A0000}"/>
    <hyperlink ref="I1389" r:id="rId2774" display="https://www.facebook.com/watch/?v=570590637273208" xr:uid="{00000000-0004-0000-0000-0000D50A0000}"/>
    <hyperlink ref="A1390" r:id="rId2775" display="https://www.facebook.com/profile.php?id=100076165174797" xr:uid="{00000000-0004-0000-0000-0000D60A0000}"/>
    <hyperlink ref="I1390" r:id="rId2776" display="https://www.facebook.com/watch/?v=570590637273208" xr:uid="{00000000-0004-0000-0000-0000D70A0000}"/>
    <hyperlink ref="A1391" r:id="rId2777" display="https://www.facebook.com/profile.php?id=100076165174797" xr:uid="{00000000-0004-0000-0000-0000D80A0000}"/>
    <hyperlink ref="I1391" r:id="rId2778" display="https://www.facebook.com/watch/?v=570590637273208" xr:uid="{00000000-0004-0000-0000-0000D90A0000}"/>
    <hyperlink ref="A1392" r:id="rId2779" display="https://www.facebook.com/bechabye" xr:uid="{00000000-0004-0000-0000-0000DA0A0000}"/>
    <hyperlink ref="I1392" r:id="rId2780" display="https://www.facebook.com/watch/?v=570590637273208" xr:uid="{00000000-0004-0000-0000-0000DB0A0000}"/>
    <hyperlink ref="A1393" r:id="rId2781" display="https://www.facebook.com/richardo.deloreto" xr:uid="{00000000-0004-0000-0000-0000DC0A0000}"/>
    <hyperlink ref="I1393" r:id="rId2782" display="https://www.facebook.com/watch/?v=570590637273208" xr:uid="{00000000-0004-0000-0000-0000DD0A0000}"/>
    <hyperlink ref="A1394" r:id="rId2783" display="https://www.facebook.com/vincedexter.teves" xr:uid="{00000000-0004-0000-0000-0000DE0A0000}"/>
    <hyperlink ref="I1394" r:id="rId2784" display="https://www.facebook.com/watch/?v=570590637273208" xr:uid="{00000000-0004-0000-0000-0000DF0A0000}"/>
    <hyperlink ref="A1395" r:id="rId2785" display="https://www.facebook.com/jhonatan.dordas" xr:uid="{00000000-0004-0000-0000-0000E00A0000}"/>
    <hyperlink ref="I1395" r:id="rId2786" display="https://www.facebook.com/watch/?v=570590637273208" xr:uid="{00000000-0004-0000-0000-0000E10A0000}"/>
    <hyperlink ref="A1396" r:id="rId2787" display="https://www.facebook.com/james.yodong" xr:uid="{00000000-0004-0000-0000-0000E20A0000}"/>
    <hyperlink ref="I1396" r:id="rId2788" display="https://www.facebook.com/watch/?v=570590637273208" xr:uid="{00000000-0004-0000-0000-0000E30A0000}"/>
    <hyperlink ref="A1397" r:id="rId2789" display="https://www.facebook.com/profile.php?id=100007491668111" xr:uid="{00000000-0004-0000-0000-0000E40A0000}"/>
    <hyperlink ref="I1397" r:id="rId2790" display="https://www.facebook.com/watch/?v=570590637273208" xr:uid="{00000000-0004-0000-0000-0000E50A0000}"/>
    <hyperlink ref="A1398" r:id="rId2791" display="https://www.facebook.com/pensylvania.eightythree" xr:uid="{00000000-0004-0000-0000-0000E60A0000}"/>
    <hyperlink ref="I1398" r:id="rId2792" display="https://www.facebook.com/watch/?v=570590637273208" xr:uid="{00000000-0004-0000-0000-0000E70A0000}"/>
    <hyperlink ref="A1399" r:id="rId2793" display="https://www.facebook.com/sedfrey.canizares" xr:uid="{00000000-0004-0000-0000-0000E80A0000}"/>
    <hyperlink ref="I1399" r:id="rId2794" display="https://www.facebook.com/watch/?v=570590637273208" xr:uid="{00000000-0004-0000-0000-0000E90A0000}"/>
    <hyperlink ref="A1400" r:id="rId2795" display="https://www.facebook.com/eunicemay.bbe" xr:uid="{00000000-0004-0000-0000-0000EA0A0000}"/>
    <hyperlink ref="I1400" r:id="rId2796" display="https://www.facebook.com/watch/?v=570590637273208" xr:uid="{00000000-0004-0000-0000-0000EB0A0000}"/>
    <hyperlink ref="A1401" r:id="rId2797" display="https://www.facebook.com/Aga0129" xr:uid="{00000000-0004-0000-0000-0000EC0A0000}"/>
    <hyperlink ref="I1401" r:id="rId2798" display="https://www.facebook.com/watch/?v=570590637273208" xr:uid="{00000000-0004-0000-0000-0000ED0A0000}"/>
    <hyperlink ref="A1402" r:id="rId2799" display="https://www.facebook.com/gil.d.berino" xr:uid="{00000000-0004-0000-0000-0000EE0A0000}"/>
    <hyperlink ref="I1402" r:id="rId2800" display="https://www.facebook.com/watch/?v=570590637273208" xr:uid="{00000000-0004-0000-0000-0000EF0A0000}"/>
    <hyperlink ref="A1403" r:id="rId2801" display="https://www.facebook.com/juliedcpacheco" xr:uid="{00000000-0004-0000-0000-0000F00A0000}"/>
    <hyperlink ref="I1403" r:id="rId2802" display="https://www.facebook.com/watch/?v=570590637273208" xr:uid="{00000000-0004-0000-0000-0000F10A0000}"/>
    <hyperlink ref="A1404" r:id="rId2803" display="https://www.facebook.com/alex.jaylo.7" xr:uid="{00000000-0004-0000-0000-0000F20A0000}"/>
    <hyperlink ref="I1404" r:id="rId2804" display="https://www.facebook.com/watch/?v=570590637273208" xr:uid="{00000000-0004-0000-0000-0000F30A0000}"/>
    <hyperlink ref="A1405" r:id="rId2805" display="https://www.facebook.com/ronski.alde" xr:uid="{00000000-0004-0000-0000-0000F40A0000}"/>
    <hyperlink ref="I1405" r:id="rId2806" display="https://www.facebook.com/watch/?v=570590637273208" xr:uid="{00000000-0004-0000-0000-0000F50A0000}"/>
    <hyperlink ref="A1406" r:id="rId2807" display="https://www.facebook.com/jennifer.zafra.1" xr:uid="{00000000-0004-0000-0000-0000F60A0000}"/>
    <hyperlink ref="I1406" r:id="rId2808" display="https://www.facebook.com/watch/?v=570590637273208" xr:uid="{00000000-0004-0000-0000-0000F70A0000}"/>
    <hyperlink ref="A1407" r:id="rId2809" display="https://www.facebook.com/indiping.cosmetic" xr:uid="{00000000-0004-0000-0000-0000F80A0000}"/>
    <hyperlink ref="I1407" r:id="rId2810" display="https://www.facebook.com/watch/?v=570590637273208" xr:uid="{00000000-0004-0000-0000-0000F90A0000}"/>
    <hyperlink ref="A1408" r:id="rId2811" display="https://www.facebook.com/emily.ananda.3" xr:uid="{00000000-0004-0000-0000-0000FA0A0000}"/>
    <hyperlink ref="I1408" r:id="rId2812" display="https://www.facebook.com/watch/?v=570590637273208" xr:uid="{00000000-0004-0000-0000-0000FB0A0000}"/>
    <hyperlink ref="A1409" r:id="rId2813" display="https://www.facebook.com/buday.7777777" xr:uid="{00000000-0004-0000-0000-0000FC0A0000}"/>
    <hyperlink ref="I1409" r:id="rId2814" display="https://www.facebook.com/watch/?v=570590637273208" xr:uid="{00000000-0004-0000-0000-0000FD0A0000}"/>
    <hyperlink ref="A1410" r:id="rId2815" display="https://www.facebook.com/profile.php?id=100076467948562" xr:uid="{00000000-0004-0000-0000-0000FE0A0000}"/>
    <hyperlink ref="I1410" r:id="rId2816" display="https://www.facebook.com/watch/?v=570590637273208" xr:uid="{00000000-0004-0000-0000-0000FF0A0000}"/>
    <hyperlink ref="A1411" r:id="rId2817" display="https://www.facebook.com/joeynatallo" xr:uid="{00000000-0004-0000-0000-0000000B0000}"/>
    <hyperlink ref="I1411" r:id="rId2818" display="https://www.facebook.com/watch/?v=570590637273208" xr:uid="{00000000-0004-0000-0000-0000010B0000}"/>
    <hyperlink ref="A1412" r:id="rId2819" display="https://www.facebook.com/emily.ananda.3" xr:uid="{00000000-0004-0000-0000-0000020B0000}"/>
    <hyperlink ref="I1412" r:id="rId2820" display="https://www.facebook.com/watch/?v=570590637273208" xr:uid="{00000000-0004-0000-0000-0000030B0000}"/>
    <hyperlink ref="A1413" r:id="rId2821" display="https://www.facebook.com/theresa.ysabella.75" xr:uid="{00000000-0004-0000-0000-0000040B0000}"/>
    <hyperlink ref="I1413" r:id="rId2822" display="https://www.facebook.com/watch/?v=570590637273208" xr:uid="{00000000-0004-0000-0000-0000050B0000}"/>
    <hyperlink ref="A1414" r:id="rId2823" display="https://www.facebook.com/vincent.deleon.14473" xr:uid="{00000000-0004-0000-0000-0000060B0000}"/>
    <hyperlink ref="I1414" r:id="rId2824" display="https://www.facebook.com/watch/?v=570590637273208" xr:uid="{00000000-0004-0000-0000-0000070B0000}"/>
    <hyperlink ref="A1415" r:id="rId2825" display="https://www.facebook.com/vincent.deleon.14473" xr:uid="{00000000-0004-0000-0000-0000080B0000}"/>
    <hyperlink ref="I1415" r:id="rId2826" display="https://www.facebook.com/watch/?v=570590637273208" xr:uid="{00000000-0004-0000-0000-0000090B0000}"/>
    <hyperlink ref="A1416" r:id="rId2827" display="https://www.facebook.com/salvacion.balidoy.58" xr:uid="{00000000-0004-0000-0000-00000A0B0000}"/>
    <hyperlink ref="I1416" r:id="rId2828" display="https://www.facebook.com/watch/?v=570590637273208" xr:uid="{00000000-0004-0000-0000-00000B0B0000}"/>
    <hyperlink ref="A1417" r:id="rId2829" display="https://www.facebook.com/profile.php?id=100076125252754" xr:uid="{00000000-0004-0000-0000-00000C0B0000}"/>
    <hyperlink ref="I1417" r:id="rId2830" display="https://www.facebook.com/watch/?v=570590637273208" xr:uid="{00000000-0004-0000-0000-00000D0B0000}"/>
    <hyperlink ref="A1418" r:id="rId2831" display="https://www.facebook.com/jhonatan.dordas" xr:uid="{00000000-0004-0000-0000-00000E0B0000}"/>
    <hyperlink ref="I1418" r:id="rId2832" display="https://www.facebook.com/watch/?v=570590637273208" xr:uid="{00000000-0004-0000-0000-00000F0B0000}"/>
    <hyperlink ref="A1419" r:id="rId2833" display="https://www.facebook.com/divina.ritualpujeda" xr:uid="{00000000-0004-0000-0000-0000100B0000}"/>
    <hyperlink ref="I1419" r:id="rId2834" display="https://www.facebook.com/watch/?v=570590637273208" xr:uid="{00000000-0004-0000-0000-0000110B0000}"/>
    <hyperlink ref="A1420" r:id="rId2835" display="https://www.facebook.com/veron.uera" xr:uid="{00000000-0004-0000-0000-0000120B0000}"/>
    <hyperlink ref="I1420" r:id="rId2836" display="https://www.facebook.com/watch/?v=570590637273208" xr:uid="{00000000-0004-0000-0000-0000130B0000}"/>
    <hyperlink ref="A1421" r:id="rId2837" display="https://www.facebook.com/roberto.como.14" xr:uid="{00000000-0004-0000-0000-0000140B0000}"/>
    <hyperlink ref="I1421" r:id="rId2838" display="https://www.facebook.com/watch/?v=570590637273208" xr:uid="{00000000-0004-0000-0000-0000150B0000}"/>
    <hyperlink ref="A1422" r:id="rId2839" display="https://www.facebook.com/ventura.mariejane" xr:uid="{00000000-0004-0000-0000-0000160B0000}"/>
    <hyperlink ref="I1422" r:id="rId2840" display="https://www.facebook.com/watch/?v=570590637273208" xr:uid="{00000000-0004-0000-0000-0000170B0000}"/>
    <hyperlink ref="A1423" r:id="rId2841" display="https://www.facebook.com/profile.php?id=100075179869760" xr:uid="{00000000-0004-0000-0000-0000180B0000}"/>
    <hyperlink ref="I1423" r:id="rId2842" display="https://www.facebook.com/watch/?v=570590637273208" xr:uid="{00000000-0004-0000-0000-0000190B0000}"/>
    <hyperlink ref="A1424" r:id="rId2843" display="https://www.facebook.com/argie.salo" xr:uid="{00000000-0004-0000-0000-00001A0B0000}"/>
    <hyperlink ref="I1424" r:id="rId2844" display="https://www.facebook.com/watch/?v=570590637273208" xr:uid="{00000000-0004-0000-0000-00001B0B0000}"/>
    <hyperlink ref="A1425" r:id="rId2845" display="https://www.facebook.com/chitocmorales" xr:uid="{00000000-0004-0000-0000-00001C0B0000}"/>
    <hyperlink ref="I1425" r:id="rId2846" display="https://www.facebook.com/watch/?v=570590637273208" xr:uid="{00000000-0004-0000-0000-00001D0B0000}"/>
    <hyperlink ref="A1426" r:id="rId2847" display="https://www.facebook.com/benjie.roquejr" xr:uid="{00000000-0004-0000-0000-00001E0B0000}"/>
    <hyperlink ref="I1426" r:id="rId2848" display="https://www.facebook.com/watch/?v=570590637273208" xr:uid="{00000000-0004-0000-0000-00001F0B0000}"/>
    <hyperlink ref="A1427" r:id="rId2849" display="https://www.facebook.com/james.yodong" xr:uid="{00000000-0004-0000-0000-0000200B0000}"/>
    <hyperlink ref="I1427" r:id="rId2850" display="https://www.facebook.com/watch/?v=570590637273208" xr:uid="{00000000-0004-0000-0000-0000210B0000}"/>
    <hyperlink ref="A1428" r:id="rId2851" display="https://www.facebook.com/lizaabrigos" xr:uid="{00000000-0004-0000-0000-0000220B0000}"/>
    <hyperlink ref="I1428" r:id="rId2852" display="https://www.facebook.com/watch/?v=570590637273208" xr:uid="{00000000-0004-0000-0000-0000230B0000}"/>
    <hyperlink ref="A1429" r:id="rId2853" display="https://www.facebook.com/evangeline.cayabyab.79" xr:uid="{00000000-0004-0000-0000-0000240B0000}"/>
    <hyperlink ref="I1429" r:id="rId2854" display="https://www.facebook.com/watch/?v=570590637273208" xr:uid="{00000000-0004-0000-0000-0000250B0000}"/>
    <hyperlink ref="A1430" r:id="rId2855" display="https://www.facebook.com/marnito.peligro" xr:uid="{00000000-0004-0000-0000-0000260B0000}"/>
    <hyperlink ref="I1430" r:id="rId2856" display="https://www.facebook.com/watch/?v=570590637273208" xr:uid="{00000000-0004-0000-0000-0000270B0000}"/>
    <hyperlink ref="A1431" r:id="rId2857" display="https://www.facebook.com/joem.nadong.5" xr:uid="{00000000-0004-0000-0000-0000280B0000}"/>
    <hyperlink ref="I1431" r:id="rId2858" display="https://www.facebook.com/watch/?v=570590637273208" xr:uid="{00000000-0004-0000-0000-0000290B0000}"/>
    <hyperlink ref="A1432" r:id="rId2859" display="https://www.facebook.com/ojcuison109" xr:uid="{00000000-0004-0000-0000-00002A0B0000}"/>
    <hyperlink ref="I1432" r:id="rId2860" display="https://www.facebook.com/watch/?v=570590637273208" xr:uid="{00000000-0004-0000-0000-00002B0B0000}"/>
    <hyperlink ref="A1433" r:id="rId2861" display="https://www.facebook.com/ernie.lebrillarigo" xr:uid="{00000000-0004-0000-0000-00002C0B0000}"/>
    <hyperlink ref="I1433" r:id="rId2862" display="https://www.facebook.com/watch/?v=570590637273208" xr:uid="{00000000-0004-0000-0000-00002D0B0000}"/>
    <hyperlink ref="A1434" r:id="rId2863" display="https://www.facebook.com/melyn.eridao" xr:uid="{00000000-0004-0000-0000-00002E0B0000}"/>
    <hyperlink ref="I1434" r:id="rId2864" display="https://www.facebook.com/watch/?v=570590637273208" xr:uid="{00000000-0004-0000-0000-00002F0B0000}"/>
    <hyperlink ref="A1435" r:id="rId2865" display="https://www.facebook.com/yuseri.rashida" xr:uid="{00000000-0004-0000-0000-0000300B0000}"/>
    <hyperlink ref="I1435" r:id="rId2866" display="https://www.facebook.com/watch/?v=570590637273208" xr:uid="{00000000-0004-0000-0000-0000310B0000}"/>
    <hyperlink ref="A1436" r:id="rId2867" display="https://www.facebook.com/francisco.deriquito" xr:uid="{00000000-0004-0000-0000-0000320B0000}"/>
    <hyperlink ref="I1436" r:id="rId2868" display="https://www.facebook.com/watch/?v=570590637273208" xr:uid="{00000000-0004-0000-0000-0000330B0000}"/>
    <hyperlink ref="A1437" r:id="rId2869" display="https://www.facebook.com/naty.relato" xr:uid="{00000000-0004-0000-0000-0000340B0000}"/>
    <hyperlink ref="I1437" r:id="rId2870" display="https://www.facebook.com/watch/?v=570590637273208" xr:uid="{00000000-0004-0000-0000-0000350B0000}"/>
    <hyperlink ref="A1438" r:id="rId2871" display="https://www.facebook.com/maryrosetimbol.bual" xr:uid="{00000000-0004-0000-0000-0000360B0000}"/>
    <hyperlink ref="I1438" r:id="rId2872" display="https://www.facebook.com/watch/?v=570590637273208" xr:uid="{00000000-0004-0000-0000-0000370B0000}"/>
    <hyperlink ref="A1439" r:id="rId2873" display="https://www.facebook.com/maryrosetimbol.bual" xr:uid="{00000000-0004-0000-0000-0000380B0000}"/>
    <hyperlink ref="I1439" r:id="rId2874" display="https://www.facebook.com/watch/?v=570590637273208" xr:uid="{00000000-0004-0000-0000-0000390B0000}"/>
    <hyperlink ref="A1440" r:id="rId2875" display="https://www.facebook.com/amie.maroma.9" xr:uid="{00000000-0004-0000-0000-00003A0B0000}"/>
    <hyperlink ref="I1440" r:id="rId2876" display="https://www.facebook.com/watch/?v=570590637273208" xr:uid="{00000000-0004-0000-0000-00003B0B0000}"/>
    <hyperlink ref="A1441" r:id="rId2877" display="https://www.facebook.com/lucy.reeves.792" xr:uid="{00000000-0004-0000-0000-00003C0B0000}"/>
    <hyperlink ref="I1441" r:id="rId2878" display="https://www.facebook.com/watch/?v=570590637273208" xr:uid="{00000000-0004-0000-0000-00003D0B0000}"/>
    <hyperlink ref="A1442" r:id="rId2879" display="https://www.facebook.com/cortesobet.shooter" xr:uid="{00000000-0004-0000-0000-00003E0B0000}"/>
    <hyperlink ref="I1442" r:id="rId2880" display="https://www.facebook.com/watch/?v=570590637273208" xr:uid="{00000000-0004-0000-0000-00003F0B0000}"/>
    <hyperlink ref="A1443" r:id="rId2881" display="https://www.facebook.com/RitaAvilaBooksforChildren" xr:uid="{00000000-0004-0000-0000-0000400B0000}"/>
    <hyperlink ref="I1443" r:id="rId2882" display="https://www.facebook.com/watch/live/?ref=watch_permalink&amp;v=360307549312104" xr:uid="{00000000-0004-0000-0000-0000410B0000}"/>
    <hyperlink ref="A1444" r:id="rId2883" display="https://www.facebook.com/romiel.cabrezajr" xr:uid="{00000000-0004-0000-0000-0000420B0000}"/>
    <hyperlink ref="I1444" r:id="rId2884" display="https://www.facebook.com/watch/live/?ref=watch_permalink&amp;v=360307549312104" xr:uid="{00000000-0004-0000-0000-0000430B0000}"/>
    <hyperlink ref="A1445" r:id="rId2885" display="https://www.facebook.com/raulg.azcuna" xr:uid="{00000000-0004-0000-0000-0000440B0000}"/>
    <hyperlink ref="I1445" r:id="rId2886" display="https://www.facebook.com/watch/live/?ref=watch_permalink&amp;v=360307549312104" xr:uid="{00000000-0004-0000-0000-0000450B0000}"/>
    <hyperlink ref="A1446" r:id="rId2887" display="https://www.facebook.com/RitaAvilaBooksforChildren" xr:uid="{00000000-0004-0000-0000-0000460B0000}"/>
    <hyperlink ref="I1446" r:id="rId2888" display="https://www.facebook.com/watch/live/?ref=watch_permalink&amp;v=360307549312104" xr:uid="{00000000-0004-0000-0000-0000470B0000}"/>
    <hyperlink ref="A1447" r:id="rId2889" display="https://www.facebook.com/mheldzkie.jean.1" xr:uid="{00000000-0004-0000-0000-0000480B0000}"/>
    <hyperlink ref="I1447" r:id="rId2890" display="https://www.facebook.com/watch/live/?ref=watch_permalink&amp;v=360307549312104" xr:uid="{00000000-0004-0000-0000-0000490B0000}"/>
    <hyperlink ref="A1448" r:id="rId2891" display="https://www.facebook.com/divz.magz" xr:uid="{00000000-0004-0000-0000-00004A0B0000}"/>
    <hyperlink ref="I1448" r:id="rId2892" display="https://www.facebook.com/watch/live/?ref=watch_permalink&amp;v=360307549312104" xr:uid="{00000000-0004-0000-0000-00004B0B0000}"/>
    <hyperlink ref="A1449" r:id="rId2893" display="https://www.facebook.com/RitaAvilaBooksforChildren" xr:uid="{00000000-0004-0000-0000-00004C0B0000}"/>
    <hyperlink ref="I1449" r:id="rId2894" display="https://www.facebook.com/watch/live/?ref=watch_permalink&amp;v=360307549312104" xr:uid="{00000000-0004-0000-0000-00004D0B0000}"/>
    <hyperlink ref="A1450" r:id="rId2895" display="https://www.facebook.com/adelfa.abuda" xr:uid="{00000000-0004-0000-0000-00004E0B0000}"/>
    <hyperlink ref="I1450" r:id="rId2896" display="https://www.facebook.com/watch/live/?ref=watch_permalink&amp;v=360307549312104" xr:uid="{00000000-0004-0000-0000-00004F0B0000}"/>
    <hyperlink ref="A1451" r:id="rId2897" display="https://www.facebook.com/mheldzkie.jean.1" xr:uid="{00000000-0004-0000-0000-0000500B0000}"/>
    <hyperlink ref="I1451" r:id="rId2898" display="https://www.facebook.com/watch/live/?ref=watch_permalink&amp;v=360307549312104" xr:uid="{00000000-0004-0000-0000-0000510B0000}"/>
    <hyperlink ref="A1452" r:id="rId2899" display="https://www.facebook.com/mheldzkie.jean.1" xr:uid="{00000000-0004-0000-0000-0000520B0000}"/>
    <hyperlink ref="I1452" r:id="rId2900" display="https://www.facebook.com/watch/live/?ref=watch_permalink&amp;v=360307549312104" xr:uid="{00000000-0004-0000-0000-0000530B0000}"/>
    <hyperlink ref="A1453" r:id="rId2901" display="https://www.facebook.com/carizamae.mendoza" xr:uid="{00000000-0004-0000-0000-0000540B0000}"/>
    <hyperlink ref="I1453" r:id="rId2902" display="https://www.facebook.com/watch/live/?ref=watch_permalink&amp;v=360307549312104" xr:uid="{00000000-0004-0000-0000-0000550B0000}"/>
    <hyperlink ref="A1454" r:id="rId2903" display="https://www.facebook.com/profile.php?id=100078423849655" xr:uid="{00000000-0004-0000-0000-0000560B0000}"/>
    <hyperlink ref="I1454" r:id="rId2904" display="https://www.facebook.com/watch/live/?ref=watch_permalink&amp;v=360307549312104" xr:uid="{00000000-0004-0000-0000-0000570B0000}"/>
    <hyperlink ref="A1455" r:id="rId2905" display="https://www.facebook.com/bella.iriberribuniel" xr:uid="{00000000-0004-0000-0000-0000580B0000}"/>
    <hyperlink ref="I1455" r:id="rId2906" display="https://www.facebook.com/watch/live/?ref=watch_permalink&amp;v=360307549312104" xr:uid="{00000000-0004-0000-0000-0000590B0000}"/>
    <hyperlink ref="A1456" r:id="rId2907" display="https://www.facebook.com/roger.espiritu.5" xr:uid="{00000000-0004-0000-0000-00005A0B0000}"/>
    <hyperlink ref="I1456" r:id="rId2908" display="https://www.facebook.com/watch/live/?ref=watch_permalink&amp;v=360307549312104" xr:uid="{00000000-0004-0000-0000-00005B0B0000}"/>
    <hyperlink ref="A1457" r:id="rId2909" display="https://www.facebook.com/raulg.azcuna" xr:uid="{00000000-0004-0000-0000-00005C0B0000}"/>
    <hyperlink ref="I1457" r:id="rId2910" display="https://www.facebook.com/watch/live/?ref=watch_permalink&amp;v=360307549312104" xr:uid="{00000000-0004-0000-0000-00005D0B0000}"/>
    <hyperlink ref="A1458" r:id="rId2911" display="https://www.facebook.com/elie.cosep.75" xr:uid="{00000000-0004-0000-0000-00005E0B0000}"/>
    <hyperlink ref="I1458" r:id="rId2912" display="https://www.facebook.com/watch/live/?ref=watch_permalink&amp;v=360307549312104" xr:uid="{00000000-0004-0000-0000-00005F0B0000}"/>
    <hyperlink ref="A1459" r:id="rId2913" display="https://www.facebook.com/marlon.sambile.12" xr:uid="{00000000-0004-0000-0000-0000600B0000}"/>
    <hyperlink ref="I1459" r:id="rId2914" display="https://www.facebook.com/watch/live/?ref=watch_permalink&amp;v=360307549312104" xr:uid="{00000000-0004-0000-0000-0000610B0000}"/>
    <hyperlink ref="A1460" r:id="rId2915" display="https://www.facebook.com/RitaAvilaBooksforChildren" xr:uid="{00000000-0004-0000-0000-0000620B0000}"/>
    <hyperlink ref="I1460" r:id="rId2916" display="https://www.facebook.com/watch/live/?ref=watch_permalink&amp;v=360307549312104" xr:uid="{00000000-0004-0000-0000-0000630B0000}"/>
    <hyperlink ref="A1461" r:id="rId2917" display="https://www.facebook.com/romiel.cabrezajr" xr:uid="{00000000-0004-0000-0000-0000640B0000}"/>
    <hyperlink ref="I1461" r:id="rId2918" display="https://www.facebook.com/watch/live/?ref=watch_permalink&amp;v=360307549312104" xr:uid="{00000000-0004-0000-0000-0000650B0000}"/>
    <hyperlink ref="A1462" r:id="rId2919" display="https://www.facebook.com/mheldzkie.jean.1" xr:uid="{00000000-0004-0000-0000-0000660B0000}"/>
    <hyperlink ref="I1462" r:id="rId2920" display="https://www.facebook.com/watch/live/?ref=watch_permalink&amp;v=360307549312104" xr:uid="{00000000-0004-0000-0000-0000670B0000}"/>
    <hyperlink ref="A1463" r:id="rId2921" display="https://www.facebook.com/nathann.delacruz.1" xr:uid="{00000000-0004-0000-0000-0000680B0000}"/>
    <hyperlink ref="I1463" r:id="rId2922" display="https://www.facebook.com/watch/live/?ref=watch_permalink&amp;v=360307549312104" xr:uid="{00000000-0004-0000-0000-0000690B0000}"/>
    <hyperlink ref="A1464" r:id="rId2923" display="https://www.facebook.com/nathann.delacruz.1" xr:uid="{00000000-0004-0000-0000-00006A0B0000}"/>
    <hyperlink ref="I1464" r:id="rId2924" display="https://www.facebook.com/watch/live/?ref=watch_permalink&amp;v=360307549312104" xr:uid="{00000000-0004-0000-0000-00006B0B0000}"/>
    <hyperlink ref="A1465" r:id="rId2925" display="https://www.facebook.com/nathann.delacruz.1" xr:uid="{00000000-0004-0000-0000-00006C0B0000}"/>
    <hyperlink ref="I1465" r:id="rId2926" display="https://www.facebook.com/watch/live/?ref=watch_permalink&amp;v=360307549312104" xr:uid="{00000000-0004-0000-0000-00006D0B0000}"/>
    <hyperlink ref="A1466" r:id="rId2927" display="https://www.facebook.com/nathann.delacruz.1" xr:uid="{00000000-0004-0000-0000-00006E0B0000}"/>
    <hyperlink ref="I1466" r:id="rId2928" display="https://www.facebook.com/watch/live/?ref=watch_permalink&amp;v=360307549312104" xr:uid="{00000000-0004-0000-0000-00006F0B0000}"/>
    <hyperlink ref="A1467" r:id="rId2929" display="https://www.facebook.com/emily.capistrano.5" xr:uid="{00000000-0004-0000-0000-0000700B0000}"/>
    <hyperlink ref="I1467" r:id="rId2930" display="https://www.facebook.com/watch/live/?ref=watch_permalink&amp;v=360307549312104" xr:uid="{00000000-0004-0000-0000-0000710B0000}"/>
    <hyperlink ref="A1468" r:id="rId2931" display="https://www.facebook.com/mariabella.fernandez.9" xr:uid="{00000000-0004-0000-0000-0000720B0000}"/>
    <hyperlink ref="I1468" r:id="rId2932" display="https://www.facebook.com/watch/live/?ref=watch_permalink&amp;v=360307549312104" xr:uid="{00000000-0004-0000-0000-0000730B0000}"/>
    <hyperlink ref="A1469" r:id="rId2933" display="https://www.facebook.com/gem.hernan" xr:uid="{00000000-0004-0000-0000-0000740B0000}"/>
    <hyperlink ref="I1469" r:id="rId2934" display="https://www.facebook.com/watch/live/?ref=watch_permalink&amp;v=360307549312104" xr:uid="{00000000-0004-0000-0000-0000750B0000}"/>
    <hyperlink ref="A1470" r:id="rId2935" display="https://www.facebook.com/gil.cerin" xr:uid="{00000000-0004-0000-0000-0000760B0000}"/>
    <hyperlink ref="I1470" r:id="rId2936" display="https://www.facebook.com/watch/live/?ref=watch_permalink&amp;v=360307549312104" xr:uid="{00000000-0004-0000-0000-0000770B0000}"/>
    <hyperlink ref="A1471" r:id="rId2937" display="https://www.facebook.com/ashley.siodena" xr:uid="{00000000-0004-0000-0000-0000780B0000}"/>
    <hyperlink ref="I1471" r:id="rId2938" display="https://www.facebook.com/watch/live/?ref=watch_permalink&amp;v=360307549312104" xr:uid="{00000000-0004-0000-0000-0000790B0000}"/>
    <hyperlink ref="A1472" r:id="rId2939" display="https://www.facebook.com/0331Dva" xr:uid="{00000000-0004-0000-0000-00007A0B0000}"/>
    <hyperlink ref="I1472" r:id="rId2940" display="https://www.facebook.com/watch/live/?ref=watch_permalink&amp;v=360307549312104" xr:uid="{00000000-0004-0000-0000-00007B0B0000}"/>
    <hyperlink ref="A1473" r:id="rId2941" display="https://www.facebook.com/mabeltamparong" xr:uid="{00000000-0004-0000-0000-00007C0B0000}"/>
    <hyperlink ref="I1473" r:id="rId2942" display="https://www.facebook.com/watch/live/?ref=watch_permalink&amp;v=360307549312104" xr:uid="{00000000-0004-0000-0000-00007D0B0000}"/>
    <hyperlink ref="A1474" r:id="rId2943" display="https://www.facebook.com/edralin.munoz.7" xr:uid="{00000000-0004-0000-0000-00007E0B0000}"/>
    <hyperlink ref="I1474" r:id="rId2944" display="https://www.facebook.com/watch/live/?ref=watch_permalink&amp;v=360307549312104" xr:uid="{00000000-0004-0000-0000-00007F0B0000}"/>
    <hyperlink ref="A1475" r:id="rId2945" display="https://www.facebook.com/arki.ikra" xr:uid="{00000000-0004-0000-0000-0000800B0000}"/>
    <hyperlink ref="I1475" r:id="rId2946" display="https://www.facebook.com/watch/live/?ref=watch_permalink&amp;v=360307549312104" xr:uid="{00000000-0004-0000-0000-0000810B0000}"/>
    <hyperlink ref="A1476" r:id="rId2947" display="https://www.facebook.com/road.mccane" xr:uid="{00000000-0004-0000-0000-0000820B0000}"/>
    <hyperlink ref="I1476" r:id="rId2948" display="https://www.facebook.com/watch/live/?ref=watch_permalink&amp;v=360307549312104" xr:uid="{00000000-0004-0000-0000-0000830B0000}"/>
    <hyperlink ref="A1477" r:id="rId2949" display="https://www.facebook.com/sham.city" xr:uid="{00000000-0004-0000-0000-0000840B0000}"/>
    <hyperlink ref="I1477" r:id="rId2950" display="https://www.facebook.com/watch/live/?ref=watch_permalink&amp;v=360307549312104" xr:uid="{00000000-0004-0000-0000-0000850B0000}"/>
    <hyperlink ref="A1478" r:id="rId2951" display="https://www.facebook.com/kimashley.simbillo" xr:uid="{00000000-0004-0000-0000-0000860B0000}"/>
    <hyperlink ref="I1478" r:id="rId2952" display="https://www.facebook.com/watch/live/?ref=watch_permalink&amp;v=360307549312104" xr:uid="{00000000-0004-0000-0000-0000870B0000}"/>
    <hyperlink ref="A1479" r:id="rId2953" display="https://www.facebook.com/debrah.wasay" xr:uid="{00000000-0004-0000-0000-0000880B0000}"/>
    <hyperlink ref="I1479" r:id="rId2954" display="https://www.facebook.com/watch/live/?ref=watch_permalink&amp;v=360307549312104" xr:uid="{00000000-0004-0000-0000-0000890B0000}"/>
    <hyperlink ref="A1480" r:id="rId2955" display="https://www.facebook.com/Stain0826" xr:uid="{00000000-0004-0000-0000-00008A0B0000}"/>
    <hyperlink ref="I1480" r:id="rId2956" display="https://www.facebook.com/watch/live/?ref=watch_permalink&amp;v=360307549312104" xr:uid="{00000000-0004-0000-0000-00008B0B0000}"/>
    <hyperlink ref="A1481" r:id="rId2957" display="https://www.facebook.com/jeannalyn.f.concepcion" xr:uid="{00000000-0004-0000-0000-00008C0B0000}"/>
    <hyperlink ref="I1481" r:id="rId2958" display="https://www.facebook.com/watch/live/?ref=watch_permalink&amp;v=360307549312104" xr:uid="{00000000-0004-0000-0000-00008D0B0000}"/>
    <hyperlink ref="A1482" r:id="rId2959" display="https://www.facebook.com/metchroa" xr:uid="{00000000-0004-0000-0000-00008E0B0000}"/>
    <hyperlink ref="I1482" r:id="rId2960" display="https://www.facebook.com/watch/live/?ref=watch_permalink&amp;v=360307549312104" xr:uid="{00000000-0004-0000-0000-00008F0B0000}"/>
    <hyperlink ref="A1483" r:id="rId2961" display="https://www.facebook.com/phoungchanh.nguyen" xr:uid="{00000000-0004-0000-0000-0000900B0000}"/>
    <hyperlink ref="I1483" r:id="rId2962" display="https://www.facebook.com/watch/live/?ref=watch_permalink&amp;v=360307549312104" xr:uid="{00000000-0004-0000-0000-0000910B0000}"/>
    <hyperlink ref="A1484" r:id="rId2963" display="https://www.facebook.com/aerol.plamenio" xr:uid="{00000000-0004-0000-0000-0000920B0000}"/>
    <hyperlink ref="I1484" r:id="rId2964" display="https://www.facebook.com/watch/live/?ref=watch_permalink&amp;v=360307549312104" xr:uid="{00000000-0004-0000-0000-0000930B0000}"/>
    <hyperlink ref="A1485" r:id="rId2965" display="https://www.facebook.com/profile.php?id=100004812961576" xr:uid="{00000000-0004-0000-0000-0000940B0000}"/>
    <hyperlink ref="I1485" r:id="rId2966" display="https://www.facebook.com/watch/live/?ref=watch_permalink&amp;v=360307549312104" xr:uid="{00000000-0004-0000-0000-0000950B0000}"/>
    <hyperlink ref="A1486" r:id="rId2967" display="https://www.facebook.com/cora.ropeta" xr:uid="{00000000-0004-0000-0000-0000960B0000}"/>
    <hyperlink ref="I1486" r:id="rId2968" display="https://www.facebook.com/watch/live/?ref=watch_permalink&amp;v=360307549312104" xr:uid="{00000000-0004-0000-0000-0000970B0000}"/>
    <hyperlink ref="A1487" r:id="rId2969" display="https://www.facebook.com/adelfa.abuda" xr:uid="{00000000-0004-0000-0000-0000980B0000}"/>
    <hyperlink ref="I1487" r:id="rId2970" display="https://www.facebook.com/watch/live/?ref=watch_permalink&amp;v=360307549312104" xr:uid="{00000000-0004-0000-0000-0000990B0000}"/>
    <hyperlink ref="A1488" r:id="rId2971" display="https://www.facebook.com/jowel.geroy" xr:uid="{00000000-0004-0000-0000-00009A0B0000}"/>
    <hyperlink ref="I1488" r:id="rId2972" display="https://www.facebook.com/watch/live/?ref=watch_permalink&amp;v=360307549312104" xr:uid="{00000000-0004-0000-0000-00009B0B0000}"/>
    <hyperlink ref="A1489" r:id="rId2973" display="https://www.facebook.com/bong.umpa.1" xr:uid="{00000000-0004-0000-0000-00009C0B0000}"/>
    <hyperlink ref="I1489" r:id="rId2974" display="https://www.facebook.com/watch/live/?ref=watch_permalink&amp;v=360307549312104" xr:uid="{00000000-0004-0000-0000-00009D0B0000}"/>
    <hyperlink ref="A1490" r:id="rId2975" display="https://www.facebook.com/antonette.fernandez.583" xr:uid="{00000000-0004-0000-0000-00009E0B0000}"/>
    <hyperlink ref="I1490" r:id="rId2976" display="https://www.facebook.com/watch/live/?ref=watch_permalink&amp;v=360307549312104" xr:uid="{00000000-0004-0000-0000-00009F0B0000}"/>
    <hyperlink ref="A1491" r:id="rId2977" display="https://www.facebook.com/profile.php?id=100011473596628" xr:uid="{00000000-0004-0000-0000-0000A00B0000}"/>
    <hyperlink ref="I1491" r:id="rId2978" display="https://www.facebook.com/watch/live/?ref=watch_permalink&amp;v=360307549312104" xr:uid="{00000000-0004-0000-0000-0000A10B0000}"/>
    <hyperlink ref="A1492" r:id="rId2979" display="https://www.facebook.com/jerry.deguzman1" xr:uid="{00000000-0004-0000-0000-0000A20B0000}"/>
    <hyperlink ref="I1492" r:id="rId2980" display="https://www.facebook.com/watch/live/?ref=watch_permalink&amp;v=360307549312104" xr:uid="{00000000-0004-0000-0000-0000A30B0000}"/>
    <hyperlink ref="A1493" r:id="rId2981" display="https://www.facebook.com/raul.dizon.5" xr:uid="{00000000-0004-0000-0000-0000A40B0000}"/>
    <hyperlink ref="I1493" r:id="rId2982" display="https://www.facebook.com/watch/live/?ref=watch_permalink&amp;v=360307549312104" xr:uid="{00000000-0004-0000-0000-0000A50B0000}"/>
    <hyperlink ref="A1494" r:id="rId2983" display="https://www.facebook.com/rowena.o.alvarez" xr:uid="{00000000-0004-0000-0000-0000A60B0000}"/>
    <hyperlink ref="I1494" r:id="rId2984" display="https://www.facebook.com/watch/live/?ref=watch_permalink&amp;v=360307549312104" xr:uid="{00000000-0004-0000-0000-0000A70B0000}"/>
    <hyperlink ref="A1495" r:id="rId2985" display="https://www.facebook.com/emily.c.luague" xr:uid="{00000000-0004-0000-0000-0000A80B0000}"/>
    <hyperlink ref="I1495" r:id="rId2986" display="https://www.facebook.com/watch/live/?ref=watch_permalink&amp;v=360307549312104" xr:uid="{00000000-0004-0000-0000-0000A90B0000}"/>
    <hyperlink ref="A1496" r:id="rId2987" display="https://www.facebook.com/babycoolette" xr:uid="{00000000-0004-0000-0000-0000AA0B0000}"/>
    <hyperlink ref="I1496" r:id="rId2988" display="https://www.facebook.com/watch/live/?ref=watch_permalink&amp;v=360307549312104" xr:uid="{00000000-0004-0000-0000-0000AB0B0000}"/>
    <hyperlink ref="A1497" r:id="rId2989" display="https://www.facebook.com/profile.php?id=100073807421844" xr:uid="{00000000-0004-0000-0000-0000AC0B0000}"/>
    <hyperlink ref="I1497" r:id="rId2990" display="https://www.facebook.com/watch/live/?ref=watch_permalink&amp;v=360307549312104" xr:uid="{00000000-0004-0000-0000-0000AD0B0000}"/>
    <hyperlink ref="A1498" r:id="rId2991" display="https://www.facebook.com/sandra.siaton" xr:uid="{00000000-0004-0000-0000-0000AE0B0000}"/>
    <hyperlink ref="I1498" r:id="rId2992" display="https://www.facebook.com/watch/live/?ref=watch_permalink&amp;v=360307549312104" xr:uid="{00000000-0004-0000-0000-0000AF0B0000}"/>
    <hyperlink ref="A1499" r:id="rId2993" display="https://www.facebook.com/adelfa.abuda" xr:uid="{00000000-0004-0000-0000-0000B00B0000}"/>
    <hyperlink ref="I1499" r:id="rId2994" display="https://www.facebook.com/watch/live/?ref=watch_permalink&amp;v=360307549312104" xr:uid="{00000000-0004-0000-0000-0000B10B0000}"/>
    <hyperlink ref="A1500" r:id="rId2995" display="https://www.facebook.com/sialexto" xr:uid="{00000000-0004-0000-0000-0000B20B0000}"/>
    <hyperlink ref="I1500" r:id="rId2996" display="https://www.facebook.com/watch/live/?ref=watch_permalink&amp;v=360307549312104" xr:uid="{00000000-0004-0000-0000-0000B30B0000}"/>
    <hyperlink ref="A1501" r:id="rId2997" display="https://www.facebook.com/marygrace.bruma" xr:uid="{00000000-0004-0000-0000-0000B40B0000}"/>
    <hyperlink ref="I1501" r:id="rId2998" display="https://www.facebook.com/watch/live/?ref=watch_permalink&amp;v=360307549312104" xr:uid="{00000000-0004-0000-0000-0000B50B0000}"/>
    <hyperlink ref="A1502" r:id="rId2999" display="https://www.facebook.com/pearl.a.pedroso" xr:uid="{00000000-0004-0000-0000-0000B60B0000}"/>
    <hyperlink ref="I1502" r:id="rId3000" display="https://www.facebook.com/watch/live/?ref=watch_permalink&amp;v=360307549312104" xr:uid="{00000000-0004-0000-0000-0000B70B0000}"/>
    <hyperlink ref="A1503" r:id="rId3001" display="https://www.facebook.com/jowel.geroy" xr:uid="{00000000-0004-0000-0000-0000B80B0000}"/>
    <hyperlink ref="I1503" r:id="rId3002" display="https://www.facebook.com/watch/live/?ref=watch_permalink&amp;v=360307549312104" xr:uid="{00000000-0004-0000-0000-0000B90B0000}"/>
    <hyperlink ref="A1504" r:id="rId3003" display="https://www.facebook.com/silvana.kagura" xr:uid="{00000000-0004-0000-0000-0000BA0B0000}"/>
    <hyperlink ref="I1504" r:id="rId3004" display="https://www.facebook.com/watch/live/?ref=watch_permalink&amp;v=360307549312104" xr:uid="{00000000-0004-0000-0000-0000BB0B0000}"/>
    <hyperlink ref="A1505" r:id="rId3005" display="https://www.facebook.com/jowel.geroy" xr:uid="{00000000-0004-0000-0000-0000BC0B0000}"/>
    <hyperlink ref="I1505" r:id="rId3006" display="https://www.facebook.com/watch/live/?ref=watch_permalink&amp;v=360307549312104" xr:uid="{00000000-0004-0000-0000-0000BD0B0000}"/>
    <hyperlink ref="A1506" r:id="rId3007" display="https://www.facebook.com/rottenlittlecog" xr:uid="{00000000-0004-0000-0000-0000BE0B0000}"/>
    <hyperlink ref="I1506" r:id="rId3008" display="https://www.facebook.com/watch/live/?ref=watch_permalink&amp;v=360307549312104" xr:uid="{00000000-0004-0000-0000-0000BF0B0000}"/>
    <hyperlink ref="A1507" r:id="rId3009" display="https://www.facebook.com/john.tayone.56" xr:uid="{00000000-0004-0000-0000-0000C00B0000}"/>
    <hyperlink ref="I1507" r:id="rId3010" display="https://www.facebook.com/watch/live/?ref=watch_permalink&amp;v=360307549312104" xr:uid="{00000000-0004-0000-0000-0000C10B0000}"/>
    <hyperlink ref="A1508" r:id="rId3011" display="https://www.facebook.com/samantha.luiz.92" xr:uid="{00000000-0004-0000-0000-0000C20B0000}"/>
    <hyperlink ref="I1508" r:id="rId3012" display="https://www.facebook.com/watch/live/?ref=watch_permalink&amp;v=360307549312104" xr:uid="{00000000-0004-0000-0000-0000C30B0000}"/>
    <hyperlink ref="A1509" r:id="rId3013" display="https://www.facebook.com/profile.php?id=100010223315744" xr:uid="{00000000-0004-0000-0000-0000C40B0000}"/>
    <hyperlink ref="I1509" r:id="rId3014" display="https://www.facebook.com/watch/live/?ref=watch_permalink&amp;v=360307549312104" xr:uid="{00000000-0004-0000-0000-0000C50B0000}"/>
    <hyperlink ref="A1510" r:id="rId3015" display="https://www.facebook.com/nelia.alfonso" xr:uid="{00000000-0004-0000-0000-0000C60B0000}"/>
    <hyperlink ref="I1510" r:id="rId3016" display="https://www.facebook.com/watch/live/?ref=watch_permalink&amp;v=360307549312104" xr:uid="{00000000-0004-0000-0000-0000C70B0000}"/>
    <hyperlink ref="A1511" r:id="rId3017" display="https://www.facebook.com/riooochaaan" xr:uid="{00000000-0004-0000-0000-0000C80B0000}"/>
    <hyperlink ref="I1511" r:id="rId3018" display="https://www.facebook.com/watch/live/?ref=watch_permalink&amp;v=360307549312104" xr:uid="{00000000-0004-0000-0000-0000C90B0000}"/>
    <hyperlink ref="A1512" r:id="rId3019" display="https://www.facebook.com/albert.erebito" xr:uid="{00000000-0004-0000-0000-0000CA0B0000}"/>
    <hyperlink ref="I1512" r:id="rId3020" display="https://www.facebook.com/watch/live/?ref=watch_permalink&amp;v=360307549312104" xr:uid="{00000000-0004-0000-0000-0000CB0B0000}"/>
    <hyperlink ref="A1513" r:id="rId3021" display="https://www.facebook.com/deth.mamaclay" xr:uid="{00000000-0004-0000-0000-0000CC0B0000}"/>
    <hyperlink ref="I1513" r:id="rId3022" display="https://www.facebook.com/watch/live/?ref=watch_permalink&amp;v=360307549312104" xr:uid="{00000000-0004-0000-0000-0000CD0B0000}"/>
    <hyperlink ref="A1514" r:id="rId3023" display="https://www.facebook.com/jazzminelouisse.agudo.3" xr:uid="{00000000-0004-0000-0000-0000CE0B0000}"/>
    <hyperlink ref="I1514" r:id="rId3024" display="https://www.facebook.com/watch/live/?ref=watch_permalink&amp;v=360307549312104" xr:uid="{00000000-0004-0000-0000-0000CF0B0000}"/>
    <hyperlink ref="A1515" r:id="rId3025" display="https://www.facebook.com/profile.php?id=100071111743897" xr:uid="{00000000-0004-0000-0000-0000D00B0000}"/>
    <hyperlink ref="I1515" r:id="rId3026" display="https://www.facebook.com/watch/live/?ref=watch_permalink&amp;v=360307549312104" xr:uid="{00000000-0004-0000-0000-0000D10B0000}"/>
    <hyperlink ref="A1516" r:id="rId3027" display="https://www.facebook.com/gin.elle.100" xr:uid="{00000000-0004-0000-0000-0000D20B0000}"/>
    <hyperlink ref="I1516" r:id="rId3028" display="https://www.facebook.com/watch/live/?ref=watch_permalink&amp;v=360307549312104" xr:uid="{00000000-0004-0000-0000-0000D30B0000}"/>
    <hyperlink ref="A1517" r:id="rId3029" display="https://www.facebook.com/wilma.remobautista.9" xr:uid="{00000000-0004-0000-0000-0000D40B0000}"/>
    <hyperlink ref="I1517" r:id="rId3030" display="https://www.facebook.com/watch/live/?ref=watch_permalink&amp;v=360307549312104" xr:uid="{00000000-0004-0000-0000-0000D50B0000}"/>
    <hyperlink ref="A1518" r:id="rId3031" display="https://www.facebook.com/titorobert.piansay.12" xr:uid="{00000000-0004-0000-0000-0000D60B0000}"/>
    <hyperlink ref="I1518" r:id="rId3032" display="https://www.facebook.com/watch/live/?ref=watch_permalink&amp;v=360307549312104" xr:uid="{00000000-0004-0000-0000-0000D70B0000}"/>
    <hyperlink ref="A1519" r:id="rId3033" display="https://www.facebook.com/ester.manlisic" xr:uid="{00000000-0004-0000-0000-0000D80B0000}"/>
    <hyperlink ref="I1519" r:id="rId3034" display="https://www.facebook.com/watch/live/?ref=watch_permalink&amp;v=360307549312104" xr:uid="{00000000-0004-0000-0000-0000D90B0000}"/>
    <hyperlink ref="A1520" r:id="rId3035" display="https://www.facebook.com/maryjean.larion" xr:uid="{00000000-0004-0000-0000-0000DA0B0000}"/>
    <hyperlink ref="I1520" r:id="rId3036" display="https://www.facebook.com/watch/live/?ref=watch_permalink&amp;v=360307549312104" xr:uid="{00000000-0004-0000-0000-0000DB0B0000}"/>
    <hyperlink ref="A1521" r:id="rId3037" display="https://www.facebook.com/madonna.bagalayfulgar.3" xr:uid="{00000000-0004-0000-0000-0000DC0B0000}"/>
    <hyperlink ref="I1521" r:id="rId3038" display="https://www.facebook.com/watch/live/?ref=watch_permalink&amp;v=360307549312104" xr:uid="{00000000-0004-0000-0000-0000DD0B0000}"/>
    <hyperlink ref="A1522" r:id="rId3039" display="https://www.facebook.com/cora.ropeta" xr:uid="{00000000-0004-0000-0000-0000DE0B0000}"/>
    <hyperlink ref="I1522" r:id="rId3040" display="https://www.facebook.com/watch/live/?ref=watch_permalink&amp;v=360307549312104" xr:uid="{00000000-0004-0000-0000-0000DF0B0000}"/>
    <hyperlink ref="A1523" r:id="rId3041" display="https://www.facebook.com/profile.php?id=100070893796485" xr:uid="{00000000-0004-0000-0000-0000E00B0000}"/>
    <hyperlink ref="I1523" r:id="rId3042" display="https://www.facebook.com/watch/live/?ref=watch_permalink&amp;v=360307549312104" xr:uid="{00000000-0004-0000-0000-0000E10B0000}"/>
    <hyperlink ref="A1524" r:id="rId3043" display="https://www.facebook.com/dollysampane" xr:uid="{00000000-0004-0000-0000-0000E20B0000}"/>
    <hyperlink ref="I1524" r:id="rId3044" display="https://www.facebook.com/watch/live/?ref=watch_permalink&amp;v=360307549312104" xr:uid="{00000000-0004-0000-0000-0000E30B0000}"/>
    <hyperlink ref="A1525" r:id="rId3045" display="https://www.facebook.com/ayen.francisco.927" xr:uid="{00000000-0004-0000-0000-0000E40B0000}"/>
    <hyperlink ref="I1525" r:id="rId3046" display="https://www.facebook.com/watch/live/?ref=watch_permalink&amp;v=360307549312104" xr:uid="{00000000-0004-0000-0000-0000E50B0000}"/>
    <hyperlink ref="A1526" r:id="rId3047" display="https://www.facebook.com/mariane.mangubat" xr:uid="{00000000-0004-0000-0000-0000E60B0000}"/>
    <hyperlink ref="I1526" r:id="rId3048" display="https://www.facebook.com/watch/live/?ref=watch_permalink&amp;v=360307549312104" xr:uid="{00000000-0004-0000-0000-0000E70B0000}"/>
    <hyperlink ref="A1527" r:id="rId3049" display="https://www.facebook.com/elanie.berou.3" xr:uid="{00000000-0004-0000-0000-0000E80B0000}"/>
    <hyperlink ref="I1527" r:id="rId3050" display="https://www.facebook.com/watch/live/?ref=watch_permalink&amp;v=360307549312104" xr:uid="{00000000-0004-0000-0000-0000E90B0000}"/>
    <hyperlink ref="A1528" r:id="rId3051" display="https://www.facebook.com/arnold.alam.12" xr:uid="{00000000-0004-0000-0000-0000EA0B0000}"/>
    <hyperlink ref="I1528" r:id="rId3052" display="https://www.facebook.com/watch/live/?ref=watch_permalink&amp;v=360307549312104" xr:uid="{00000000-0004-0000-0000-0000EB0B0000}"/>
    <hyperlink ref="A1529" r:id="rId3053" display="https://www.facebook.com/jingjing.abellana" xr:uid="{00000000-0004-0000-0000-0000EC0B0000}"/>
    <hyperlink ref="I1529" r:id="rId3054" display="https://www.facebook.com/watch/live/?ref=watch_permalink&amp;v=360307549312104" xr:uid="{00000000-0004-0000-0000-0000ED0B0000}"/>
    <hyperlink ref="A1530" r:id="rId3055" display="https://www.facebook.com/maryjean.larion" xr:uid="{00000000-0004-0000-0000-0000EE0B0000}"/>
    <hyperlink ref="I1530" r:id="rId3056" display="https://www.facebook.com/watch/live/?ref=watch_permalink&amp;v=360307549312104" xr:uid="{00000000-0004-0000-0000-0000EF0B0000}"/>
    <hyperlink ref="A1531" r:id="rId3057" display="https://www.facebook.com/siguenza.med96" xr:uid="{00000000-0004-0000-0000-0000F00B0000}"/>
    <hyperlink ref="I1531" r:id="rId3058" display="https://www.facebook.com/watch/live/?ref=watch_permalink&amp;v=360307549312104" xr:uid="{00000000-0004-0000-0000-0000F10B0000}"/>
    <hyperlink ref="A1532" r:id="rId3059" display="https://www.facebook.com/annalyn.patayan" xr:uid="{00000000-0004-0000-0000-0000F20B0000}"/>
    <hyperlink ref="I1532" r:id="rId3060" display="https://www.facebook.com/watch/live/?ref=watch_permalink&amp;v=360307549312104" xr:uid="{00000000-0004-0000-0000-0000F30B0000}"/>
    <hyperlink ref="A1533" r:id="rId3061" display="https://www.facebook.com/ayen.francisco.927" xr:uid="{00000000-0004-0000-0000-0000F40B0000}"/>
    <hyperlink ref="I1533" r:id="rId3062" display="https://www.facebook.com/watch/live/?ref=watch_permalink&amp;v=360307549312104" xr:uid="{00000000-0004-0000-0000-0000F50B0000}"/>
    <hyperlink ref="A1534" r:id="rId3063" display="https://www.facebook.com/ayen.francisco.927" xr:uid="{00000000-0004-0000-0000-0000F60B0000}"/>
    <hyperlink ref="I1534" r:id="rId3064" display="https://www.facebook.com/watch/live/?ref=watch_permalink&amp;v=360307549312104" xr:uid="{00000000-0004-0000-0000-0000F70B0000}"/>
    <hyperlink ref="A1535" r:id="rId3065" display="https://www.facebook.com/ayen.francisco.927" xr:uid="{00000000-0004-0000-0000-0000F80B0000}"/>
    <hyperlink ref="I1535" r:id="rId3066" display="https://www.facebook.com/watch/live/?ref=watch_permalink&amp;v=360307549312104" xr:uid="{00000000-0004-0000-0000-0000F90B0000}"/>
    <hyperlink ref="A1536" r:id="rId3067" display="https://www.facebook.com/ayen.francisco.927" xr:uid="{00000000-0004-0000-0000-0000FA0B0000}"/>
    <hyperlink ref="I1536" r:id="rId3068" display="https://www.facebook.com/watch/live/?ref=watch_permalink&amp;v=360307549312104" xr:uid="{00000000-0004-0000-0000-0000FB0B0000}"/>
    <hyperlink ref="A1537" r:id="rId3069" display="https://www.facebook.com/ayen.francisco.927" xr:uid="{00000000-0004-0000-0000-0000FC0B0000}"/>
    <hyperlink ref="I1537" r:id="rId3070" display="https://www.facebook.com/watch/live/?ref=watch_permalink&amp;v=360307549312104" xr:uid="{00000000-0004-0000-0000-0000FD0B0000}"/>
    <hyperlink ref="A1538" r:id="rId3071" display="https://www.facebook.com/ayen.francisco.927" xr:uid="{00000000-0004-0000-0000-0000FE0B0000}"/>
    <hyperlink ref="I1538" r:id="rId3072" display="https://www.facebook.com/watch/live/?ref=watch_permalink&amp;v=360307549312104" xr:uid="{00000000-0004-0000-0000-0000FF0B0000}"/>
    <hyperlink ref="A1539" r:id="rId3073" display="https://www.facebook.com/ayen.francisco.927" xr:uid="{00000000-0004-0000-0000-0000000C0000}"/>
    <hyperlink ref="I1539" r:id="rId3074" display="https://www.facebook.com/watch/live/?ref=watch_permalink&amp;v=360307549312104" xr:uid="{00000000-0004-0000-0000-0000010C0000}"/>
    <hyperlink ref="A1540" r:id="rId3075" display="https://www.facebook.com/ayen.francisco.927" xr:uid="{00000000-0004-0000-0000-0000020C0000}"/>
    <hyperlink ref="I1540" r:id="rId3076" display="https://www.facebook.com/watch/live/?ref=watch_permalink&amp;v=360307549312104" xr:uid="{00000000-0004-0000-0000-0000030C0000}"/>
    <hyperlink ref="A1541" r:id="rId3077" display="https://www.facebook.com/materesa.villa.9" xr:uid="{00000000-0004-0000-0000-0000040C0000}"/>
    <hyperlink ref="I1541" r:id="rId3078" display="https://www.facebook.com/watch/live/?ref=watch_permalink&amp;v=360307549312104" xr:uid="{00000000-0004-0000-0000-0000050C0000}"/>
    <hyperlink ref="A1542" r:id="rId3079" display="https://www.facebook.com/ayen.francisco.927" xr:uid="{00000000-0004-0000-0000-0000060C0000}"/>
    <hyperlink ref="I1542" r:id="rId3080" display="https://www.facebook.com/watch/live/?ref=watch_permalink&amp;v=360307549312104" xr:uid="{00000000-0004-0000-0000-0000070C0000}"/>
    <hyperlink ref="A1543" r:id="rId3081" display="https://www.facebook.com/profile.php?id=100071111743897" xr:uid="{00000000-0004-0000-0000-0000080C0000}"/>
    <hyperlink ref="I1543" r:id="rId3082" display="https://www.facebook.com/watch/live/?ref=watch_permalink&amp;v=360307549312104" xr:uid="{00000000-0004-0000-0000-0000090C0000}"/>
    <hyperlink ref="A1544" r:id="rId3083" display="https://www.facebook.com/nenita.nino.37" xr:uid="{00000000-0004-0000-0000-00000A0C0000}"/>
    <hyperlink ref="I1544" r:id="rId3084" display="https://www.facebook.com/watch/live/?ref=watch_permalink&amp;v=360307549312104" xr:uid="{00000000-0004-0000-0000-00000B0C0000}"/>
    <hyperlink ref="A1545" r:id="rId3085" display="https://www.facebook.com/gin.elle.100" xr:uid="{00000000-0004-0000-0000-00000C0C0000}"/>
    <hyperlink ref="I1545" r:id="rId3086" display="https://www.facebook.com/watch/live/?ref=watch_permalink&amp;v=360307549312104" xr:uid="{00000000-0004-0000-0000-00000D0C0000}"/>
    <hyperlink ref="A1546" r:id="rId3087" display="https://www.facebook.com/samantha.luiz.92" xr:uid="{00000000-0004-0000-0000-00000E0C0000}"/>
    <hyperlink ref="I1546" r:id="rId3088" display="https://www.facebook.com/watch/live/?ref=watch_permalink&amp;v=360307549312104" xr:uid="{00000000-0004-0000-0000-00000F0C0000}"/>
    <hyperlink ref="A1547" r:id="rId3089" display="https://www.facebook.com/wilma.remobautista.9" xr:uid="{00000000-0004-0000-0000-0000100C0000}"/>
    <hyperlink ref="I1547" r:id="rId3090" display="https://www.facebook.com/watch/live/?ref=watch_permalink&amp;v=360307549312104" xr:uid="{00000000-0004-0000-0000-0000110C0000}"/>
    <hyperlink ref="A1548" r:id="rId3091" display="https://www.facebook.com/romer.carredo" xr:uid="{00000000-0004-0000-0000-0000120C0000}"/>
    <hyperlink ref="I1548" r:id="rId3092" display="https://www.facebook.com/watch/live/?ref=watch_permalink&amp;v=360307549312104" xr:uid="{00000000-0004-0000-0000-0000130C0000}"/>
    <hyperlink ref="A1549" r:id="rId3093" display="https://www.facebook.com/yhel.domingo.9" xr:uid="{00000000-0004-0000-0000-0000140C0000}"/>
    <hyperlink ref="I1549" r:id="rId3094" display="https://www.facebook.com/watch/live/?ref=watch_permalink&amp;v=360307549312104" xr:uid="{00000000-0004-0000-0000-0000150C0000}"/>
    <hyperlink ref="A1550" r:id="rId3095" display="https://www.facebook.com/gin.elle.100" xr:uid="{00000000-0004-0000-0000-0000160C0000}"/>
    <hyperlink ref="I1550" r:id="rId3096" display="https://www.facebook.com/watch/live/?ref=watch_permalink&amp;v=360307549312104" xr:uid="{00000000-0004-0000-0000-0000170C0000}"/>
    <hyperlink ref="A1551" r:id="rId3097" display="https://www.facebook.com/rona.baltazar.16" xr:uid="{00000000-0004-0000-0000-0000180C0000}"/>
    <hyperlink ref="I1551" r:id="rId3098" display="https://www.facebook.com/watch/live/?ref=watch_permalink&amp;v=360307549312104" xr:uid="{00000000-0004-0000-0000-0000190C0000}"/>
    <hyperlink ref="A1552" r:id="rId3099" display="https://www.facebook.com/elanie.berou.3" xr:uid="{00000000-0004-0000-0000-00001A0C0000}"/>
    <hyperlink ref="I1552" r:id="rId3100" display="https://www.facebook.com/watch/live/?ref=watch_permalink&amp;v=360307549312104" xr:uid="{00000000-0004-0000-0000-00001B0C0000}"/>
    <hyperlink ref="A1553" r:id="rId3101" display="https://www.facebook.com/ophelia.villapando" xr:uid="{00000000-0004-0000-0000-00001C0C0000}"/>
    <hyperlink ref="I1553" r:id="rId3102" display="https://www.facebook.com/watch/live/?ref=watch_permalink&amp;v=360307549312104" xr:uid="{00000000-0004-0000-0000-00001D0C0000}"/>
    <hyperlink ref="A1554" r:id="rId3103" display="https://www.facebook.com/madonna.bagalayfulgar.3" xr:uid="{00000000-0004-0000-0000-00001E0C0000}"/>
    <hyperlink ref="I1554" r:id="rId3104" display="https://www.facebook.com/watch/live/?ref=watch_permalink&amp;v=360307549312104" xr:uid="{00000000-0004-0000-0000-00001F0C0000}"/>
    <hyperlink ref="A1555" r:id="rId3105" display="https://www.facebook.com/profile.php?id=100071047785780" xr:uid="{00000000-0004-0000-0000-0000200C0000}"/>
    <hyperlink ref="I1555" r:id="rId3106" display="https://www.facebook.com/watch/live/?ref=watch_permalink&amp;v=360307549312104" xr:uid="{00000000-0004-0000-0000-0000210C0000}"/>
    <hyperlink ref="A1556" r:id="rId3107" display="https://www.facebook.com/maryjean.larion" xr:uid="{00000000-0004-0000-0000-0000220C0000}"/>
    <hyperlink ref="I1556" r:id="rId3108" display="https://www.facebook.com/watch/live/?ref=watch_permalink&amp;v=360307549312104" xr:uid="{00000000-0004-0000-0000-0000230C0000}"/>
    <hyperlink ref="A1557" r:id="rId3109" display="https://www.facebook.com/maryjean.larion" xr:uid="{00000000-0004-0000-0000-0000240C0000}"/>
    <hyperlink ref="I1557" r:id="rId3110" display="https://www.facebook.com/watch/live/?ref=watch_permalink&amp;v=360307549312104" xr:uid="{00000000-0004-0000-0000-0000250C0000}"/>
    <hyperlink ref="A1558" r:id="rId3111" display="https://www.facebook.com/profile.php?id=100070893796485" xr:uid="{00000000-0004-0000-0000-0000260C0000}"/>
    <hyperlink ref="I1558" r:id="rId3112" display="https://www.facebook.com/watch/live/?ref=watch_permalink&amp;v=360307549312104" xr:uid="{00000000-0004-0000-0000-0000270C0000}"/>
    <hyperlink ref="A1559" r:id="rId3113" display="https://www.facebook.com/materesa.villa.9" xr:uid="{00000000-0004-0000-0000-0000280C0000}"/>
    <hyperlink ref="I1559" r:id="rId3114" display="https://www.facebook.com/watch/live/?ref=watch_permalink&amp;v=360307549312104" xr:uid="{00000000-0004-0000-0000-0000290C0000}"/>
    <hyperlink ref="A1560" r:id="rId3115" display="https://www.facebook.com/maryjean.larion" xr:uid="{00000000-0004-0000-0000-00002A0C0000}"/>
    <hyperlink ref="I1560" r:id="rId3116" display="https://www.facebook.com/watch/live/?ref=watch_permalink&amp;v=360307549312104" xr:uid="{00000000-0004-0000-0000-00002B0C0000}"/>
    <hyperlink ref="A1561" r:id="rId3117" display="https://www.facebook.com/madonna.bagalayfulgar.3" xr:uid="{00000000-0004-0000-0000-00002C0C0000}"/>
    <hyperlink ref="I1561" r:id="rId3118" display="https://www.facebook.com/watch/live/?ref=watch_permalink&amp;v=360307549312104" xr:uid="{00000000-0004-0000-0000-00002D0C0000}"/>
    <hyperlink ref="A1562" r:id="rId3119" display="https://www.facebook.com/profile.php?id=100070669880767" xr:uid="{00000000-0004-0000-0000-00002E0C0000}"/>
    <hyperlink ref="I1562" r:id="rId3120" display="https://www.facebook.com/watch/live/?ref=watch_permalink&amp;v=360307549312104" xr:uid="{00000000-0004-0000-0000-00002F0C0000}"/>
    <hyperlink ref="A1563" r:id="rId3121" display="https://www.facebook.com/madonna.bagalayfulgar.3" xr:uid="{00000000-0004-0000-0000-0000300C0000}"/>
    <hyperlink ref="I1563" r:id="rId3122" display="https://www.facebook.com/watch/live/?ref=watch_permalink&amp;v=360307549312104" xr:uid="{00000000-0004-0000-0000-0000310C0000}"/>
    <hyperlink ref="A1564" r:id="rId3123" display="https://www.facebook.com/madonna.bagalayfulgar.3" xr:uid="{00000000-0004-0000-0000-0000320C0000}"/>
    <hyperlink ref="I1564" r:id="rId3124" display="https://www.facebook.com/watch/live/?ref=watch_permalink&amp;v=360307549312104" xr:uid="{00000000-0004-0000-0000-0000330C0000}"/>
    <hyperlink ref="A1565" r:id="rId3125" display="https://www.facebook.com/madonna.bagalayfulgar.3" xr:uid="{00000000-0004-0000-0000-0000340C0000}"/>
    <hyperlink ref="I1565" r:id="rId3126" display="https://www.facebook.com/watch/live/?ref=watch_permalink&amp;v=360307549312104" xr:uid="{00000000-0004-0000-0000-0000350C0000}"/>
    <hyperlink ref="A1566" r:id="rId3127" display="https://www.facebook.com/madonna.bagalayfulgar.3" xr:uid="{00000000-0004-0000-0000-0000360C0000}"/>
    <hyperlink ref="I1566" r:id="rId3128" display="https://www.facebook.com/watch/live/?ref=watch_permalink&amp;v=360307549312104" xr:uid="{00000000-0004-0000-0000-0000370C0000}"/>
    <hyperlink ref="A1567" r:id="rId3129" display="https://www.facebook.com/madonna.bagalayfulgar.3" xr:uid="{00000000-0004-0000-0000-0000380C0000}"/>
    <hyperlink ref="I1567" r:id="rId3130" display="https://www.facebook.com/watch/live/?ref=watch_permalink&amp;v=360307549312104" xr:uid="{00000000-0004-0000-0000-0000390C0000}"/>
    <hyperlink ref="A1568" r:id="rId3131" display="https://www.facebook.com/madonna.bagalayfulgar.3" xr:uid="{00000000-0004-0000-0000-00003A0C0000}"/>
    <hyperlink ref="I1568" r:id="rId3132" display="https://www.facebook.com/watch/live/?ref=watch_permalink&amp;v=360307549312104" xr:uid="{00000000-0004-0000-0000-00003B0C0000}"/>
    <hyperlink ref="A1569" r:id="rId3133" display="https://www.facebook.com/madonna.bagalayfulgar.3" xr:uid="{00000000-0004-0000-0000-00003C0C0000}"/>
    <hyperlink ref="I1569" r:id="rId3134" display="https://www.facebook.com/watch/live/?ref=watch_permalink&amp;v=360307549312104" xr:uid="{00000000-0004-0000-0000-00003D0C0000}"/>
    <hyperlink ref="A1570" r:id="rId3135" display="https://www.facebook.com/madonna.bagalayfulgar.3" xr:uid="{00000000-0004-0000-0000-00003E0C0000}"/>
    <hyperlink ref="I1570" r:id="rId3136" display="https://www.facebook.com/watch/live/?ref=watch_permalink&amp;v=360307549312104" xr:uid="{00000000-0004-0000-0000-00003F0C0000}"/>
    <hyperlink ref="A1571" r:id="rId3137" display="https://www.facebook.com/hannah.2793" xr:uid="{00000000-0004-0000-0000-0000400C0000}"/>
    <hyperlink ref="I1571" r:id="rId3138" display="https://www.facebook.com/watch/live/?ref=watch_permalink&amp;v=360307549312104" xr:uid="{00000000-0004-0000-0000-0000410C0000}"/>
    <hyperlink ref="A1572" r:id="rId3139" display="https://www.facebook.com/clifordjay.infante" xr:uid="{00000000-0004-0000-0000-0000420C0000}"/>
    <hyperlink ref="I1572" r:id="rId3140" display="https://www.facebook.com/watch/live/?ref=watch_permalink&amp;v=360307549312104" xr:uid="{00000000-0004-0000-0000-0000430C0000}"/>
    <hyperlink ref="A1573" r:id="rId3141" display="https://www.facebook.com/ae.aebcd.71" xr:uid="{00000000-0004-0000-0000-0000440C0000}"/>
    <hyperlink ref="I1573" r:id="rId3142" display="https://www.facebook.com/watch/live/?ref=watch_permalink&amp;v=360307549312104" xr:uid="{00000000-0004-0000-0000-0000450C0000}"/>
    <hyperlink ref="A1574" r:id="rId3143" display="https://www.facebook.com/gin.elle.100" xr:uid="{00000000-0004-0000-0000-0000460C0000}"/>
    <hyperlink ref="I1574" r:id="rId3144" display="https://www.facebook.com/watch/live/?ref=watch_permalink&amp;v=360307549312104" xr:uid="{00000000-0004-0000-0000-0000470C0000}"/>
    <hyperlink ref="A1575" r:id="rId3145" display="https://www.facebook.com/elanie.berou.3" xr:uid="{00000000-0004-0000-0000-0000480C0000}"/>
    <hyperlink ref="I1575" r:id="rId3146" display="https://www.facebook.com/watch/live/?ref=watch_permalink&amp;v=360307549312104" xr:uid="{00000000-0004-0000-0000-0000490C0000}"/>
    <hyperlink ref="A1576" r:id="rId3147" display="https://www.facebook.com/jingjing.abellana" xr:uid="{00000000-0004-0000-0000-00004A0C0000}"/>
    <hyperlink ref="I1576" r:id="rId3148" display="https://www.facebook.com/watch/live/?ref=watch_permalink&amp;v=360307549312104" xr:uid="{00000000-0004-0000-0000-00004B0C0000}"/>
    <hyperlink ref="A1577" r:id="rId3149" display="https://www.facebook.com/gin.elle.100" xr:uid="{00000000-0004-0000-0000-00004C0C0000}"/>
    <hyperlink ref="I1577" r:id="rId3150" display="https://www.facebook.com/watch/live/?ref=watch_permalink&amp;v=360307549312104" xr:uid="{00000000-0004-0000-0000-00004D0C0000}"/>
    <hyperlink ref="A1578" r:id="rId3151" display="https://www.facebook.com/lito.ramos.14" xr:uid="{00000000-0004-0000-0000-00004E0C0000}"/>
    <hyperlink ref="I1578" r:id="rId3152" display="https://www.facebook.com/watch/live/?ref=watch_permalink&amp;v=332681445500650" xr:uid="{00000000-0004-0000-0000-00004F0C0000}"/>
    <hyperlink ref="A1579" r:id="rId3153" display="https://www.facebook.com/janicetsotto" xr:uid="{00000000-0004-0000-0000-0000500C0000}"/>
    <hyperlink ref="I1579" r:id="rId3154" display="https://www.facebook.com/watch/live/?ref=watch_permalink&amp;v=332681445500650" xr:uid="{00000000-0004-0000-0000-0000510C0000}"/>
    <hyperlink ref="A1580" r:id="rId3155" display="https://www.facebook.com/profile.php?id=100008524260472" xr:uid="{00000000-0004-0000-0000-0000520C0000}"/>
    <hyperlink ref="I1580" r:id="rId3156" display="https://www.facebook.com/watch/live/?ref=watch_permalink&amp;v=332681445500650" xr:uid="{00000000-0004-0000-0000-0000530C0000}"/>
    <hyperlink ref="A1581" r:id="rId3157" display="https://www.facebook.com/anabell.macalisang" xr:uid="{00000000-0004-0000-0000-0000540C0000}"/>
    <hyperlink ref="I1581" r:id="rId3158" display="https://www.facebook.com/watch/live/?ref=watch_permalink&amp;v=332681445500650" xr:uid="{00000000-0004-0000-0000-0000550C0000}"/>
    <hyperlink ref="A1582" r:id="rId3159" display="https://www.facebook.com/profile.php?id=100011366202531" xr:uid="{00000000-0004-0000-0000-0000560C0000}"/>
    <hyperlink ref="I1582" r:id="rId3160" display="https://www.facebook.com/watch/live/?ref=watch_permalink&amp;v=332681445500650" xr:uid="{00000000-0004-0000-0000-0000570C0000}"/>
    <hyperlink ref="A1583" r:id="rId3161" display="https://www.facebook.com/khlaire.pioquinto" xr:uid="{00000000-0004-0000-0000-0000580C0000}"/>
    <hyperlink ref="I1583" r:id="rId3162" display="https://www.facebook.com/watch/live/?ref=watch_permalink&amp;v=332681445500650" xr:uid="{00000000-0004-0000-0000-0000590C0000}"/>
    <hyperlink ref="A1584" r:id="rId3163" display="https://www.facebook.com/marjorie.santillan.31" xr:uid="{00000000-0004-0000-0000-00005A0C0000}"/>
    <hyperlink ref="I1584" r:id="rId3164" display="https://www.facebook.com/watch/live/?ref=watch_permalink&amp;v=332681445500650" xr:uid="{00000000-0004-0000-0000-00005B0C0000}"/>
    <hyperlink ref="A1585" r:id="rId3165" display="https://www.facebook.com/williambilly.kwong" xr:uid="{00000000-0004-0000-0000-00005C0C0000}"/>
    <hyperlink ref="I1585" r:id="rId3166" display="https://www.facebook.com/watch/live/?ref=watch_permalink&amp;v=332681445500650" xr:uid="{00000000-0004-0000-0000-00005D0C0000}"/>
    <hyperlink ref="A1586" r:id="rId3167" display="https://www.facebook.com/madz.flores.18" xr:uid="{00000000-0004-0000-0000-00005E0C0000}"/>
    <hyperlink ref="I1586" r:id="rId3168" display="https://www.facebook.com/watch/live/?ref=watch_permalink&amp;v=332681445500650" xr:uid="{00000000-0004-0000-0000-00005F0C0000}"/>
    <hyperlink ref="A1587" r:id="rId3169" display="https://www.facebook.com/germie.arandia" xr:uid="{00000000-0004-0000-0000-0000600C0000}"/>
    <hyperlink ref="I1587" r:id="rId3170" display="https://www.facebook.com/watch/live/?ref=watch_permalink&amp;v=332681445500650" xr:uid="{00000000-0004-0000-0000-0000610C0000}"/>
    <hyperlink ref="A1588" r:id="rId3171" display="https://www.facebook.com/profile.php?id=100078433647836" xr:uid="{00000000-0004-0000-0000-0000620C0000}"/>
    <hyperlink ref="I1588" r:id="rId3172" display="https://www.facebook.com/watch/live/?ref=watch_permalink&amp;v=332681445500650" xr:uid="{00000000-0004-0000-0000-0000630C0000}"/>
    <hyperlink ref="A1589" r:id="rId3173" display="https://www.facebook.com/profile.php?id=100077975515176" xr:uid="{00000000-0004-0000-0000-0000640C0000}"/>
    <hyperlink ref="I1589" r:id="rId3174" display="https://www.facebook.com/watch/live/?ref=watch_permalink&amp;v=332681445500650" xr:uid="{00000000-0004-0000-0000-0000650C0000}"/>
    <hyperlink ref="A1590" r:id="rId3175" display="https://www.facebook.com/marela.alinea" xr:uid="{00000000-0004-0000-0000-0000660C0000}"/>
    <hyperlink ref="I1590" r:id="rId3176" display="https://www.facebook.com/watch/live/?ref=watch_permalink&amp;v=332681445500650" xr:uid="{00000000-0004-0000-0000-0000670C0000}"/>
    <hyperlink ref="A1591" r:id="rId3177" display="https://www.facebook.com/mutia.joyce.1" xr:uid="{00000000-0004-0000-0000-0000680C0000}"/>
    <hyperlink ref="I1591" r:id="rId3178" display="https://www.facebook.com/watch/live/?ref=watch_permalink&amp;v=332681445500650" xr:uid="{00000000-0004-0000-0000-0000690C0000}"/>
    <hyperlink ref="A1592" r:id="rId3179" display="https://www.facebook.com/tammy.aldezaafrica" xr:uid="{00000000-0004-0000-0000-00006A0C0000}"/>
    <hyperlink ref="I1592" r:id="rId3180" display="https://www.facebook.com/watch/live/?ref=watch_permalink&amp;v=332681445500650" xr:uid="{00000000-0004-0000-0000-00006B0C0000}"/>
    <hyperlink ref="A1593" r:id="rId3181" display="https://www.facebook.com/steph.dannugcadelina" xr:uid="{00000000-0004-0000-0000-00006C0C0000}"/>
    <hyperlink ref="I1593" r:id="rId3182" display="https://www.facebook.com/watch/live/?ref=watch_permalink&amp;v=332681445500650" xr:uid="{00000000-0004-0000-0000-00006D0C0000}"/>
    <hyperlink ref="A1594" r:id="rId3183" display="https://www.facebook.com/mar.freedom.35" xr:uid="{00000000-0004-0000-0000-00006E0C0000}"/>
    <hyperlink ref="I1594" r:id="rId3184" display="https://www.facebook.com/watch/live/?ref=watch_permalink&amp;v=332681445500650" xr:uid="{00000000-0004-0000-0000-00006F0C0000}"/>
    <hyperlink ref="A1595" r:id="rId3185" display="https://www.facebook.com/profile.php?id=100011416980940" xr:uid="{00000000-0004-0000-0000-0000700C0000}"/>
    <hyperlink ref="I1595" r:id="rId3186" display="https://www.facebook.com/watch/live/?ref=watch_permalink&amp;v=332681445500650" xr:uid="{00000000-0004-0000-0000-0000710C0000}"/>
    <hyperlink ref="A1596" r:id="rId3187" display="https://www.facebook.com/profile.php?id=100018941223924" xr:uid="{00000000-0004-0000-0000-0000720C0000}"/>
    <hyperlink ref="I1596" r:id="rId3188" display="https://www.facebook.com/watch/live/?ref=watch_permalink&amp;v=332681445500650" xr:uid="{00000000-0004-0000-0000-0000730C0000}"/>
    <hyperlink ref="A1597" r:id="rId3189" display="https://www.facebook.com/nikka.santos" xr:uid="{00000000-0004-0000-0000-0000740C0000}"/>
    <hyperlink ref="I1597" r:id="rId3190" display="https://www.facebook.com/watch/live/?ref=watch_permalink&amp;v=332681445500650" xr:uid="{00000000-0004-0000-0000-0000750C0000}"/>
    <hyperlink ref="A1598" r:id="rId3191" display="https://www.facebook.com/vito.bose.5" xr:uid="{00000000-0004-0000-0000-0000760C0000}"/>
    <hyperlink ref="I1598" r:id="rId3192" display="https://www.facebook.com/watch/live/?ref=watch_permalink&amp;v=332681445500650" xr:uid="{00000000-0004-0000-0000-0000770C0000}"/>
    <hyperlink ref="A1599" r:id="rId3193" display="https://www.facebook.com/del.ching" xr:uid="{00000000-0004-0000-0000-0000780C0000}"/>
    <hyperlink ref="I1599" r:id="rId3194" display="https://www.facebook.com/watch/live/?ref=watch_permalink&amp;v=332681445500650" xr:uid="{00000000-0004-0000-0000-0000790C0000}"/>
    <hyperlink ref="A1600" r:id="rId3195" display="https://www.facebook.com/profile.php?id=100007491668111" xr:uid="{00000000-0004-0000-0000-00007A0C0000}"/>
    <hyperlink ref="I1600" r:id="rId3196" display="https://www.facebook.com/watch/live/?ref=watch_permalink&amp;v=332681445500650" xr:uid="{00000000-0004-0000-0000-00007B0C0000}"/>
    <hyperlink ref="A1601" r:id="rId3197" display="https://www.facebook.com/melpcatre" xr:uid="{00000000-0004-0000-0000-00007C0C0000}"/>
    <hyperlink ref="I1601" r:id="rId3198" display="https://www.facebook.com/watch/live/?ref=watch_permalink&amp;v=332681445500650" xr:uid="{00000000-0004-0000-0000-00007D0C0000}"/>
    <hyperlink ref="A1602" r:id="rId3199" display="https://www.facebook.com/miki.iida1" xr:uid="{00000000-0004-0000-0000-00007E0C0000}"/>
    <hyperlink ref="I1602" r:id="rId3200" display="https://www.facebook.com/watch/live/?ref=watch_permalink&amp;v=332681445500650" xr:uid="{00000000-0004-0000-0000-00007F0C0000}"/>
    <hyperlink ref="A1603" r:id="rId3201" display="https://www.facebook.com/paz.gerero.1" xr:uid="{00000000-0004-0000-0000-0000800C0000}"/>
    <hyperlink ref="I1603" r:id="rId3202" display="https://www.facebook.com/watch/live/?ref=watch_permalink&amp;v=332681445500650" xr:uid="{00000000-0004-0000-0000-0000810C0000}"/>
    <hyperlink ref="A1604" r:id="rId3203" display="https://www.facebook.com/profile.php?id=100007622536597" xr:uid="{00000000-0004-0000-0000-0000820C0000}"/>
    <hyperlink ref="I1604" r:id="rId3204" display="https://www.facebook.com/watch/live/?ref=watch_permalink&amp;v=332681445500650" xr:uid="{00000000-0004-0000-0000-0000830C0000}"/>
    <hyperlink ref="A1605" r:id="rId3205" display="https://www.facebook.com/istib.sabater.3" xr:uid="{00000000-0004-0000-0000-0000840C0000}"/>
    <hyperlink ref="I1605" r:id="rId3206" display="https://www.facebook.com/watch/live/?ref=watch_permalink&amp;v=332681445500650" xr:uid="{00000000-0004-0000-0000-0000850C0000}"/>
    <hyperlink ref="A1606" r:id="rId3207" display="https://www.facebook.com/erlindaonaalbofera" xr:uid="{00000000-0004-0000-0000-0000860C0000}"/>
    <hyperlink ref="I1606" r:id="rId3208" display="https://www.facebook.com/watch/live/?ref=watch_permalink&amp;v=332681445500650" xr:uid="{00000000-0004-0000-0000-0000870C0000}"/>
    <hyperlink ref="A1607" r:id="rId3209" display="https://www.facebook.com/viamarcelo" xr:uid="{00000000-0004-0000-0000-0000880C0000}"/>
    <hyperlink ref="I1607" r:id="rId3210" display="https://www.facebook.com/watch/live/?ref=watch_permalink&amp;v=332681445500650" xr:uid="{00000000-0004-0000-0000-0000890C0000}"/>
    <hyperlink ref="A1608" r:id="rId3211" display="https://www.facebook.com/sonia.t.cruz" xr:uid="{00000000-0004-0000-0000-00008A0C0000}"/>
    <hyperlink ref="I1608" r:id="rId3212" display="https://www.facebook.com/watch/live/?ref=watch_permalink&amp;v=332681445500650" xr:uid="{00000000-0004-0000-0000-00008B0C0000}"/>
    <hyperlink ref="A1609" r:id="rId3213" display="https://www.facebook.com/ryutuc" xr:uid="{00000000-0004-0000-0000-00008C0C0000}"/>
    <hyperlink ref="I1609" r:id="rId3214" display="https://www.facebook.com/watch/live/?ref=watch_permalink&amp;v=332681445500650" xr:uid="{00000000-0004-0000-0000-00008D0C0000}"/>
    <hyperlink ref="A1610" r:id="rId3215" display="https://www.facebook.com/paul.balite" xr:uid="{00000000-0004-0000-0000-00008E0C0000}"/>
    <hyperlink ref="I1610" r:id="rId3216" display="https://www.facebook.com/watch/live/?ref=watch_permalink&amp;v=332681445500650" xr:uid="{00000000-0004-0000-0000-00008F0C0000}"/>
    <hyperlink ref="A1611" r:id="rId3217" display="https://www.facebook.com/paz.gerero.1" xr:uid="{00000000-0004-0000-0000-0000900C0000}"/>
    <hyperlink ref="I1611" r:id="rId3218" display="https://www.facebook.com/watch/live/?ref=watch_permalink&amp;v=332681445500650" xr:uid="{00000000-0004-0000-0000-0000910C0000}"/>
    <hyperlink ref="A1612" r:id="rId3219" display="https://www.facebook.com/danielle.reyeshabla" xr:uid="{00000000-0004-0000-0000-0000920C0000}"/>
    <hyperlink ref="I1612" r:id="rId3220" display="https://www.facebook.com/watch/live/?ref=watch_permalink&amp;v=332681445500650" xr:uid="{00000000-0004-0000-0000-0000930C0000}"/>
    <hyperlink ref="A1613" r:id="rId3221" display="https://www.facebook.com/melanie.diomampo.7" xr:uid="{00000000-0004-0000-0000-0000940C0000}"/>
    <hyperlink ref="I1613" r:id="rId3222" display="https://www.facebook.com/watch/live/?ref=watch_permalink&amp;v=332681445500650" xr:uid="{00000000-0004-0000-0000-0000950C0000}"/>
    <hyperlink ref="A1614" r:id="rId3223" display="https://www.facebook.com/profile.php?id=100071843274449" xr:uid="{00000000-0004-0000-0000-0000960C0000}"/>
    <hyperlink ref="I1614" r:id="rId3224" display="https://www.facebook.com/watch/live/?ref=watch_permalink&amp;v=332681445500650" xr:uid="{00000000-0004-0000-0000-0000970C0000}"/>
    <hyperlink ref="A1615" r:id="rId3225" display="https://www.facebook.com/liza.isagra" xr:uid="{00000000-0004-0000-0000-0000980C0000}"/>
    <hyperlink ref="I1615" r:id="rId3226" display="https://www.facebook.com/watch/live/?ref=watch_permalink&amp;v=332681445500650" xr:uid="{00000000-0004-0000-0000-0000990C0000}"/>
    <hyperlink ref="A1616" r:id="rId3227" display="https://www.facebook.com/ghaga.c.landero" xr:uid="{00000000-0004-0000-0000-00009A0C0000}"/>
    <hyperlink ref="I1616" r:id="rId3228" display="https://www.facebook.com/watch/live/?ref=watch_permalink&amp;v=332681445500650" xr:uid="{00000000-0004-0000-0000-00009B0C0000}"/>
    <hyperlink ref="A1617" r:id="rId3229" display="https://www.facebook.com/elizabeth.eslao" xr:uid="{00000000-0004-0000-0000-00009C0C0000}"/>
    <hyperlink ref="I1617" r:id="rId3230" display="https://www.facebook.com/watch/live/?ref=watch_permalink&amp;v=332681445500650" xr:uid="{00000000-0004-0000-0000-00009D0C0000}"/>
    <hyperlink ref="A1618" r:id="rId3231" display="https://www.facebook.com/gigidominguezdelosreyes" xr:uid="{00000000-0004-0000-0000-00009E0C0000}"/>
    <hyperlink ref="I1618" r:id="rId3232" display="https://www.facebook.com/watch/live/?ref=watch_permalink&amp;v=332681445500650" xr:uid="{00000000-0004-0000-0000-00009F0C0000}"/>
    <hyperlink ref="A1619" r:id="rId3233" display="https://www.facebook.com/iamwilverlalu" xr:uid="{00000000-0004-0000-0000-0000A00C0000}"/>
    <hyperlink ref="I1619" r:id="rId3234" display="https://www.facebook.com/watch/live/?ref=watch_permalink&amp;v=332681445500650" xr:uid="{00000000-0004-0000-0000-0000A10C0000}"/>
    <hyperlink ref="A1620" r:id="rId3235" display="https://www.facebook.com/annie.hao.58" xr:uid="{00000000-0004-0000-0000-0000A20C0000}"/>
    <hyperlink ref="I1620" r:id="rId3236" display="https://www.facebook.com/rapplerdotcom/posts/pfbid035u2RhZvcYSiCeymgBfXLoFoq87y2V8v81A9xDtyoKJgzTGtotsEEoj2bH7Zd4mtzl" xr:uid="{00000000-0004-0000-0000-0000A30C0000}"/>
    <hyperlink ref="A1621" r:id="rId3237" display="https://www.facebook.com/profile.php?id=100077672017175" xr:uid="{00000000-0004-0000-0000-0000A40C0000}"/>
    <hyperlink ref="I1621" r:id="rId3238" display="https://www.facebook.com/rapplerdotcom/posts/pfbid035u2RhZvcYSiCeymgBfXLoFoq87y2V8v81A9xDtyoKJgzTGtotsEEoj2bH7Zd4mtzl" xr:uid="{00000000-0004-0000-0000-0000A50C0000}"/>
    <hyperlink ref="A1622" r:id="rId3239" display="https://www.facebook.com/profile.php?id=100078131813881" xr:uid="{00000000-0004-0000-0000-0000A60C0000}"/>
    <hyperlink ref="I1622" r:id="rId3240" display="https://www.facebook.com/rapplerdotcom/posts/pfbid035u2RhZvcYSiCeymgBfXLoFoq87y2V8v81A9xDtyoKJgzTGtotsEEoj2bH7Zd4mtzl" xr:uid="{00000000-0004-0000-0000-0000A70C0000}"/>
    <hyperlink ref="A1623" r:id="rId3241" display="https://www.facebook.com/profile.php?id=100078872943485" xr:uid="{00000000-0004-0000-0000-0000A80C0000}"/>
    <hyperlink ref="I1623" r:id="rId3242" display="https://www.facebook.com/rapplerdotcom/posts/pfbid035u2RhZvcYSiCeymgBfXLoFoq87y2V8v81A9xDtyoKJgzTGtotsEEoj2bH7Zd4mtzl" xr:uid="{00000000-0004-0000-0000-0000A90C0000}"/>
    <hyperlink ref="A1624" r:id="rId3243" display="https://www.facebook.com/profile.php?id=100077417917077" xr:uid="{00000000-0004-0000-0000-0000AA0C0000}"/>
    <hyperlink ref="I1624" r:id="rId3244" display="https://www.facebook.com/rapplerdotcom/posts/pfbid035u2RhZvcYSiCeymgBfXLoFoq87y2V8v81A9xDtyoKJgzTGtotsEEoj2bH7Zd4mtzl" xr:uid="{00000000-0004-0000-0000-0000AB0C0000}"/>
    <hyperlink ref="A1625" r:id="rId3245" display="https://www.facebook.com/profile.php?id=100077279991106" xr:uid="{00000000-0004-0000-0000-0000AC0C0000}"/>
    <hyperlink ref="I1625" r:id="rId3246" display="https://www.facebook.com/rapplerdotcom/posts/pfbid035u2RhZvcYSiCeymgBfXLoFoq87y2V8v81A9xDtyoKJgzTGtotsEEoj2bH7Zd4mtzl" xr:uid="{00000000-0004-0000-0000-0000AD0C0000}"/>
    <hyperlink ref="A1626" r:id="rId3247" display="https://www.facebook.com/profile.php?id=100078582816731" xr:uid="{00000000-0004-0000-0000-0000AE0C0000}"/>
    <hyperlink ref="I1626" r:id="rId3248" display="https://www.facebook.com/rapplerdotcom/posts/pfbid035u2RhZvcYSiCeymgBfXLoFoq87y2V8v81A9xDtyoKJgzTGtotsEEoj2bH7Zd4mtzl" xr:uid="{00000000-0004-0000-0000-0000AF0C0000}"/>
    <hyperlink ref="A1627" r:id="rId3249" display="https://www.facebook.com/eden.lara" xr:uid="{00000000-0004-0000-0000-0000B00C0000}"/>
    <hyperlink ref="I1627" r:id="rId3250" display="https://www.facebook.com/rapplerdotcom/posts/pfbid035u2RhZvcYSiCeymgBfXLoFoq87y2V8v81A9xDtyoKJgzTGtotsEEoj2bH7Zd4mtzl" xr:uid="{00000000-0004-0000-0000-0000B10C0000}"/>
    <hyperlink ref="A1628" r:id="rId3251" display="https://www.facebook.com/florence.tejada.31" xr:uid="{00000000-0004-0000-0000-0000B20C0000}"/>
    <hyperlink ref="I1628" r:id="rId3252" display="https://www.facebook.com/rapplerdotcom/posts/pfbid035u2RhZvcYSiCeymgBfXLoFoq87y2V8v81A9xDtyoKJgzTGtotsEEoj2bH7Zd4mtzl" xr:uid="{00000000-0004-0000-0000-0000B30C0000}"/>
    <hyperlink ref="A1629" r:id="rId3253" display="https://www.facebook.com/arjay.quirino.5" xr:uid="{00000000-0004-0000-0000-0000B40C0000}"/>
    <hyperlink ref="I1629" r:id="rId3254" display="https://www.facebook.com/rapplerdotcom/posts/pfbid035u2RhZvcYSiCeymgBfXLoFoq87y2V8v81A9xDtyoKJgzTGtotsEEoj2bH7Zd4mtzl" xr:uid="{00000000-0004-0000-0000-0000B50C0000}"/>
    <hyperlink ref="A1630" r:id="rId3255" display="https://www.facebook.com/mayumi.cruz.90" xr:uid="{00000000-0004-0000-0000-0000B60C0000}"/>
    <hyperlink ref="I1630" r:id="rId3256" display="https://www.facebook.com/rapplerdotcom/posts/pfbid035u2RhZvcYSiCeymgBfXLoFoq87y2V8v81A9xDtyoKJgzTGtotsEEoj2bH7Zd4mtzl" xr:uid="{00000000-0004-0000-0000-0000B70C0000}"/>
    <hyperlink ref="A1631" r:id="rId3257" display="https://www.facebook.com/jayceeguspid" xr:uid="{00000000-0004-0000-0000-0000B80C0000}"/>
    <hyperlink ref="I1631" r:id="rId3258" display="https://www.facebook.com/rapplerdotcom/posts/pfbid035u2RhZvcYSiCeymgBfXLoFoq87y2V8v81A9xDtyoKJgzTGtotsEEoj2bH7Zd4mtzl" xr:uid="{00000000-0004-0000-0000-0000B90C0000}"/>
    <hyperlink ref="A1632" r:id="rId3259" display="https://www.facebook.com/jaime.gacusan.12" xr:uid="{00000000-0004-0000-0000-0000BA0C0000}"/>
    <hyperlink ref="I1632" r:id="rId3260" display="https://www.facebook.com/rapplerdotcom/posts/pfbid035u2RhZvcYSiCeymgBfXLoFoq87y2V8v81A9xDtyoKJgzTGtotsEEoj2bH7Zd4mtzl" xr:uid="{00000000-0004-0000-0000-0000BB0C0000}"/>
    <hyperlink ref="A1633" r:id="rId3261" display="https://www.facebook.com/wallye.napua" xr:uid="{00000000-0004-0000-0000-0000BC0C0000}"/>
    <hyperlink ref="I1633" r:id="rId3262" display="https://www.facebook.com/rapplerdotcom/posts/pfbid035u2RhZvcYSiCeymgBfXLoFoq87y2V8v81A9xDtyoKJgzTGtotsEEoj2bH7Zd4mtzl" xr:uid="{00000000-0004-0000-0000-0000BD0C0000}"/>
    <hyperlink ref="A1634" r:id="rId3263" display="https://www.facebook.com/airajoyces" xr:uid="{00000000-0004-0000-0000-0000BE0C0000}"/>
    <hyperlink ref="I1634" r:id="rId3264" display="https://www.facebook.com/rapplerdotcom/posts/pfbid035u2RhZvcYSiCeymgBfXLoFoq87y2V8v81A9xDtyoKJgzTGtotsEEoj2bH7Zd4mtzl" xr:uid="{00000000-0004-0000-0000-0000BF0C0000}"/>
    <hyperlink ref="A1635" r:id="rId3265" display="https://www.facebook.com/rene.r.galang.5" xr:uid="{00000000-0004-0000-0000-0000C00C0000}"/>
    <hyperlink ref="I1635" r:id="rId3266" display="https://www.facebook.com/rapplerdotcom/posts/pfbid035u2RhZvcYSiCeymgBfXLoFoq87y2V8v81A9xDtyoKJgzTGtotsEEoj2bH7Zd4mtzl" xr:uid="{00000000-0004-0000-0000-0000C10C0000}"/>
    <hyperlink ref="A1636" r:id="rId3267" display="https://www.facebook.com/clarenceedward.castillo" xr:uid="{00000000-0004-0000-0000-0000C20C0000}"/>
    <hyperlink ref="I1636" r:id="rId3268" display="https://www.facebook.com/rapplerdotcom/posts/pfbid035u2RhZvcYSiCeymgBfXLoFoq87y2V8v81A9xDtyoKJgzTGtotsEEoj2bH7Zd4mtzl" xr:uid="{00000000-0004-0000-0000-0000C30C0000}"/>
    <hyperlink ref="A1637" r:id="rId3269" display="https://www.facebook.com/carandang.rnold" xr:uid="{00000000-0004-0000-0000-0000C40C0000}"/>
    <hyperlink ref="I1637" r:id="rId3270" display="https://www.facebook.com/rapplerdotcom/posts/pfbid035u2RhZvcYSiCeymgBfXLoFoq87y2V8v81A9xDtyoKJgzTGtotsEEoj2bH7Zd4mtzl" xr:uid="{00000000-0004-0000-0000-0000C50C0000}"/>
    <hyperlink ref="A1638" r:id="rId3271" display="https://www.facebook.com/wyralin.fuentes" xr:uid="{00000000-0004-0000-0000-0000C60C0000}"/>
    <hyperlink ref="I1638" r:id="rId3272" display="https://www.facebook.com/rapplerdotcom/posts/pfbid035u2RhZvcYSiCeymgBfXLoFoq87y2V8v81A9xDtyoKJgzTGtotsEEoj2bH7Zd4mtzl" xr:uid="{00000000-0004-0000-0000-0000C70C0000}"/>
    <hyperlink ref="A1639" r:id="rId3273" display="https://www.facebook.com/nuelle.dominguezduterte.5" xr:uid="{00000000-0004-0000-0000-0000C80C0000}"/>
    <hyperlink ref="I1639" r:id="rId3274" display="https://www.facebook.com/rapplerdotcom/photos/a.317154781638645/5595372260483511/" xr:uid="{00000000-0004-0000-0000-0000C90C0000}"/>
    <hyperlink ref="A1640" r:id="rId3275" display="https://www.facebook.com/orchid.blk" xr:uid="{00000000-0004-0000-0000-0000CA0C0000}"/>
    <hyperlink ref="I1640" r:id="rId3276" display="https://www.facebook.com/rapplerdotcom/photos/a.317154781638645/5595372260483511/" xr:uid="{00000000-0004-0000-0000-0000CB0C0000}"/>
    <hyperlink ref="A1641" r:id="rId3277" display="https://www.facebook.com/bulacan.trolley" xr:uid="{00000000-0004-0000-0000-0000CC0C0000}"/>
    <hyperlink ref="I1641" r:id="rId3278" display="https://www.facebook.com/rapplerdotcom/photos/a.317154781638645/5595372260483511/" xr:uid="{00000000-0004-0000-0000-0000CD0C0000}"/>
    <hyperlink ref="A1642" r:id="rId3279" display="https://www.facebook.com/profile.php?id=100072652930837" xr:uid="{00000000-0004-0000-0000-0000CE0C0000}"/>
    <hyperlink ref="I1642" r:id="rId3280" display="https://www.facebook.com/rapplerdotcom/photos/a.317154781638645/5595372260483511/" xr:uid="{00000000-0004-0000-0000-0000CF0C0000}"/>
    <hyperlink ref="A1643" r:id="rId3281" display="https://www.facebook.com/profile.php?id=100072652930837" xr:uid="{00000000-0004-0000-0000-0000D00C0000}"/>
    <hyperlink ref="I1643" r:id="rId3282" display="https://www.facebook.com/rapplerdotcom/photos/a.317154781638645/5595372260483511/" xr:uid="{00000000-0004-0000-0000-0000D10C0000}"/>
    <hyperlink ref="A1644" r:id="rId3283" display="https://www.facebook.com/christopher.ramos.31521301" xr:uid="{00000000-0004-0000-0000-0000D20C0000}"/>
    <hyperlink ref="I1644" r:id="rId3284" display="https://www.facebook.com/rapplerdotcom/photos/a.317154781638645/5595372260483511/" xr:uid="{00000000-0004-0000-0000-0000D30C0000}"/>
    <hyperlink ref="A1645" r:id="rId3285" display="https://www.facebook.com/jesmirabel" xr:uid="{00000000-0004-0000-0000-0000D40C0000}"/>
    <hyperlink ref="I1645" r:id="rId3286" display="https://www.facebook.com/rapplerdotcom/photos/a.317154781638645/5595372260483511/" xr:uid="{00000000-0004-0000-0000-0000D50C0000}"/>
    <hyperlink ref="A1646" r:id="rId3287" display="https://www.facebook.com/santos.yap.37" xr:uid="{00000000-0004-0000-0000-0000D60C0000}"/>
    <hyperlink ref="I1646" r:id="rId3288" display="https://www.facebook.com/rapplerdotcom/photos/a.317154781638645/5595372260483511/" xr:uid="{00000000-0004-0000-0000-0000D70C0000}"/>
    <hyperlink ref="A1647" r:id="rId3289" display="https://www.facebook.com/astroboiscout" xr:uid="{00000000-0004-0000-0000-0000D80C0000}"/>
    <hyperlink ref="I1647" r:id="rId3290" display="https://www.facebook.com/rapplerdotcom/photos/a.317154781638645/5595372260483511/" xr:uid="{00000000-0004-0000-0000-0000D90C0000}"/>
    <hyperlink ref="A1648" r:id="rId3291" display="https://www.facebook.com/normel.panergo" xr:uid="{00000000-0004-0000-0000-0000DA0C0000}"/>
    <hyperlink ref="I1648" r:id="rId3292" display="https://www.facebook.com/rapplerdotcom/photos/a.317154781638645/5595372260483511/" xr:uid="{00000000-0004-0000-0000-0000DB0C0000}"/>
    <hyperlink ref="A1649" r:id="rId3293" display="https://www.facebook.com/gia.mitchell.9655" xr:uid="{00000000-0004-0000-0000-0000DC0C0000}"/>
    <hyperlink ref="I1649" r:id="rId3294" display="https://www.facebook.com/rapplerdotcom/photos/a.317154781638645/5595372260483511/" xr:uid="{00000000-0004-0000-0000-0000DD0C0000}"/>
    <hyperlink ref="A1650" r:id="rId3295" display="https://www.facebook.com/profile.php?id=100011569547804" xr:uid="{00000000-0004-0000-0000-0000DE0C0000}"/>
    <hyperlink ref="I1650" r:id="rId3296" display="https://www.facebook.com/rapplerdotcom/photos/a.317154781638645/5595372260483511/" xr:uid="{00000000-0004-0000-0000-0000DF0C0000}"/>
    <hyperlink ref="A1651" r:id="rId3297" display="https://www.facebook.com/profile.php?id=100069939051229" xr:uid="{00000000-0004-0000-0000-0000E00C0000}"/>
    <hyperlink ref="I1651" r:id="rId3298" display="https://www.facebook.com/rapplerdotcom/photos/a.317154781638645/5595372260483511/" xr:uid="{00000000-0004-0000-0000-0000E10C0000}"/>
    <hyperlink ref="A1652" r:id="rId3299" display="https://www.facebook.com/vicky.v.quiachon" xr:uid="{00000000-0004-0000-0000-0000E20C0000}"/>
    <hyperlink ref="I1652" r:id="rId3300" display="https://www.facebook.com/rapplerdotcom/photos/a.317154781638645/5595372260483511/" xr:uid="{00000000-0004-0000-0000-0000E30C0000}"/>
    <hyperlink ref="A1653" r:id="rId3301" display="https://www.facebook.com/nel.almira.1" xr:uid="{00000000-0004-0000-0000-0000E40C0000}"/>
    <hyperlink ref="I1653" r:id="rId3302" display="https://www.facebook.com/rapplerdotcom/photos/a.317154781638645/5595372260483511/" xr:uid="{00000000-0004-0000-0000-0000E50C0000}"/>
    <hyperlink ref="A1654" r:id="rId3303" display="https://www.facebook.com/evette.ramos.79" xr:uid="{00000000-0004-0000-0000-0000E60C0000}"/>
    <hyperlink ref="I1654" r:id="rId3304" display="https://www.facebook.com/rapplerdotcom/photos/a.317154781638645/5595372260483511/" xr:uid="{00000000-0004-0000-0000-0000E70C0000}"/>
    <hyperlink ref="A1655" r:id="rId3305" display="https://www.facebook.com/adrian.nepomuceno.58" xr:uid="{00000000-0004-0000-0000-0000E80C0000}"/>
    <hyperlink ref="I1655" r:id="rId3306" display="https://www.facebook.com/rapplerdotcom/photos/a.317154781638645/5595372260483511/" xr:uid="{00000000-0004-0000-0000-0000E90C0000}"/>
    <hyperlink ref="A1656" r:id="rId3307" display="https://www.facebook.com/adrian.nepomuceno.58" xr:uid="{00000000-0004-0000-0000-0000EA0C0000}"/>
    <hyperlink ref="I1656" r:id="rId3308" display="https://www.facebook.com/rapplerdotcom/photos/a.317154781638645/5595372260483511/" xr:uid="{00000000-0004-0000-0000-0000EB0C0000}"/>
    <hyperlink ref="A1657" r:id="rId3309" display="https://www.facebook.com/edwin.sapnu.7" xr:uid="{00000000-0004-0000-0000-0000EC0C0000}"/>
    <hyperlink ref="I1657" r:id="rId3310" display="https://www.facebook.com/rapplerdotcom/photos/a.317154781638645/5595372260483511/" xr:uid="{00000000-0004-0000-0000-0000ED0C0000}"/>
    <hyperlink ref="A1658" r:id="rId3311" display="https://www.facebook.com/marvin.dequina.773" xr:uid="{00000000-0004-0000-0000-0000EE0C0000}"/>
    <hyperlink ref="I1658" r:id="rId3312" display="https://www.facebook.com/rapplerdotcom/photos/a.317154781638645/5595372260483511/" xr:uid="{00000000-0004-0000-0000-0000EF0C0000}"/>
    <hyperlink ref="A1659" r:id="rId3313" display="https://www.facebook.com/loreta.ardaban.3" xr:uid="{00000000-0004-0000-0000-0000F00C0000}"/>
    <hyperlink ref="I1659" r:id="rId3314" display="https://www.facebook.com/rapplerdotcom/photos/a.317154781638645/5595372260483511/" xr:uid="{00000000-0004-0000-0000-0000F10C0000}"/>
    <hyperlink ref="A1660" r:id="rId3315" display="https://www.facebook.com/profile.php?id=100009126387339" xr:uid="{00000000-0004-0000-0000-0000F20C0000}"/>
    <hyperlink ref="I1660" r:id="rId3316" display="https://www.facebook.com/rapplerdotcom/photos/a.317154781638645/5595372260483511/" xr:uid="{00000000-0004-0000-0000-0000F30C0000}"/>
    <hyperlink ref="A1661" r:id="rId3317" display="https://www.facebook.com/fides.ayuste" xr:uid="{00000000-0004-0000-0000-0000F40C0000}"/>
    <hyperlink ref="I1661" r:id="rId3318" display="https://www.facebook.com/rapplerdotcom/photos/a.317154781638645/5595372260483511/" xr:uid="{00000000-0004-0000-0000-0000F50C0000}"/>
    <hyperlink ref="A1662" r:id="rId3319" display="https://www.facebook.com/lina.adlao.cayong" xr:uid="{00000000-0004-0000-0000-0000F60C0000}"/>
    <hyperlink ref="I1662" r:id="rId3320" display="https://www.facebook.com/rapplerdotcom/photos/a.317154781638645/5595372260483511/" xr:uid="{00000000-0004-0000-0000-0000F70C0000}"/>
    <hyperlink ref="A1663" r:id="rId3321" display="https://www.facebook.com/edwin.sapnu.7" xr:uid="{00000000-0004-0000-0000-0000F80C0000}"/>
    <hyperlink ref="I1663" r:id="rId3322" display="https://www.facebook.com/rapplerdotcom/photos/a.317154781638645/5595372260483511/" xr:uid="{00000000-0004-0000-0000-0000F90C0000}"/>
    <hyperlink ref="A1664" r:id="rId3323" display="https://www.facebook.com/myla.malbasbelleza" xr:uid="{00000000-0004-0000-0000-0000FA0C0000}"/>
    <hyperlink ref="I1664" r:id="rId3324" display="https://www.facebook.com/rapplerdotcom/photos/a.317154781638645/5595372260483511/" xr:uid="{00000000-0004-0000-0000-0000FB0C0000}"/>
    <hyperlink ref="A1665" r:id="rId3325" display="https://www.facebook.com/gerard.yap.7" xr:uid="{00000000-0004-0000-0000-0000FC0C0000}"/>
    <hyperlink ref="I1665" r:id="rId3326" display="https://www.facebook.com/rapplerdotcom/photos/a.317154781638645/5595372260483511/" xr:uid="{00000000-0004-0000-0000-0000FD0C0000}"/>
    <hyperlink ref="A1666" r:id="rId3327" display="https://www.facebook.com/junior.pontongan" xr:uid="{00000000-0004-0000-0000-0000FE0C0000}"/>
    <hyperlink ref="I1666" r:id="rId3328" display="https://www.facebook.com/rapplerdotcom/photos/a.317154781638645/5595372260483511/" xr:uid="{00000000-0004-0000-0000-0000FF0C0000}"/>
    <hyperlink ref="A1667" r:id="rId3329" display="https://www.facebook.com/profile.php?id=100009061696259" xr:uid="{00000000-0004-0000-0000-0000000D0000}"/>
    <hyperlink ref="I1667" r:id="rId3330" display="https://www.facebook.com/rapplerdotcom/photos/a.317154781638645/5595372260483511/" xr:uid="{00000000-0004-0000-0000-0000010D0000}"/>
    <hyperlink ref="A1668" r:id="rId3331" display="https://www.facebook.com/junior.pontongan" xr:uid="{00000000-0004-0000-0000-0000020D0000}"/>
    <hyperlink ref="I1668" r:id="rId3332" display="https://www.facebook.com/rapplerdotcom/photos/a.317154781638645/5595372260483511/" xr:uid="{00000000-0004-0000-0000-0000030D0000}"/>
    <hyperlink ref="A1669" r:id="rId3333" display="https://www.facebook.com/mariajesusa.menor" xr:uid="{00000000-0004-0000-0000-0000040D0000}"/>
    <hyperlink ref="I1669" r:id="rId3334" display="https://www.facebook.com/rapplerdotcom/photos/a.317154781638645/5595372260483511/" xr:uid="{00000000-0004-0000-0000-0000050D0000}"/>
    <hyperlink ref="A1670" r:id="rId3335" display="https://www.facebook.com/profile.php?id=100009061696259" xr:uid="{00000000-0004-0000-0000-0000060D0000}"/>
    <hyperlink ref="I1670" r:id="rId3336" display="https://www.facebook.com/rapplerdotcom/photos/a.317154781638645/5595372260483511/" xr:uid="{00000000-0004-0000-0000-0000070D0000}"/>
    <hyperlink ref="A1671" r:id="rId3337" display="https://www.facebook.com/mariajesusa.menor" xr:uid="{00000000-0004-0000-0000-0000080D0000}"/>
    <hyperlink ref="I1671" r:id="rId3338" display="https://www.facebook.com/rapplerdotcom/photos/a.317154781638645/5595372260483511/" xr:uid="{00000000-0004-0000-0000-0000090D0000}"/>
    <hyperlink ref="A1672" r:id="rId3339" display="https://www.facebook.com/profile.php?id=100078458811413" xr:uid="{00000000-0004-0000-0000-00000A0D0000}"/>
    <hyperlink ref="I1672" r:id="rId3340" display="https://www.facebook.com/rapplerdotcom/photos/a.317154781638645/5595372260483511/" xr:uid="{00000000-0004-0000-0000-00000B0D0000}"/>
    <hyperlink ref="A1673" r:id="rId3341" display="https://www.facebook.com/ate.rose.73" xr:uid="{00000000-0004-0000-0000-00000C0D0000}"/>
    <hyperlink ref="I1673" r:id="rId3342" display="https://www.facebook.com/rapplerdotcom/photos/a.317154781638645/5595372260483511/" xr:uid="{00000000-0004-0000-0000-00000D0D0000}"/>
    <hyperlink ref="A1674" r:id="rId3343" display="https://www.facebook.com/markvincent.almanzor" xr:uid="{00000000-0004-0000-0000-00000E0D0000}"/>
    <hyperlink ref="I1674" r:id="rId3344" display="https://www.facebook.com/rapplerdotcom/photos/a.317154781638645/5595372260483511/" xr:uid="{00000000-0004-0000-0000-00000F0D0000}"/>
    <hyperlink ref="A1675" r:id="rId3345" display="https://www.facebook.com/junior.pontongan" xr:uid="{00000000-0004-0000-0000-0000100D0000}"/>
    <hyperlink ref="I1675" r:id="rId3346" display="https://www.facebook.com/rapplerdotcom/photos/a.317154781638645/5595372260483511/" xr:uid="{00000000-0004-0000-0000-0000110D0000}"/>
    <hyperlink ref="A1676" r:id="rId3347" display="https://www.facebook.com/jessvillante" xr:uid="{00000000-0004-0000-0000-0000120D0000}"/>
    <hyperlink ref="I1676" r:id="rId3348" display="https://www.facebook.com/rapplerdotcom/photos/a.317154781638645/5595372260483511/" xr:uid="{00000000-0004-0000-0000-0000130D0000}"/>
    <hyperlink ref="A1677" r:id="rId3349" display="https://www.facebook.com/paulpatrick.sapaden" xr:uid="{00000000-0004-0000-0000-0000140D0000}"/>
    <hyperlink ref="I1677" r:id="rId3350" display="https://www.facebook.com/rapplerdotcom/photos/a.317154781638645/5595372260483511/" xr:uid="{00000000-0004-0000-0000-0000150D0000}"/>
    <hyperlink ref="A1678" r:id="rId3351" display="https://www.facebook.com/julio.quian" xr:uid="{00000000-0004-0000-0000-0000160D0000}"/>
    <hyperlink ref="I1678" r:id="rId3352" display="https://www.facebook.com/rapplerdotcom/photos/a.317154781638645/5595372260483511/" xr:uid="{00000000-0004-0000-0000-0000170D0000}"/>
    <hyperlink ref="A1679" r:id="rId3353" display="https://www.facebook.com/BabymetalxDesu" xr:uid="{00000000-0004-0000-0000-0000180D0000}"/>
    <hyperlink ref="I1679" r:id="rId3354" display="https://www.facebook.com/rapplerdotcom/photos/a.317154781638645/5595372260483511/" xr:uid="{00000000-0004-0000-0000-0000190D0000}"/>
    <hyperlink ref="A1680" r:id="rId3355" display="https://www.facebook.com/kir.aguilar.cabasaan" xr:uid="{00000000-0004-0000-0000-00001A0D0000}"/>
    <hyperlink ref="I1680" r:id="rId3356" display="https://www.facebook.com/rapplerdotcom/photos/a.317154781638645/5595372260483511/" xr:uid="{00000000-0004-0000-0000-00001B0D0000}"/>
    <hyperlink ref="A1681" r:id="rId3357" display="https://www.facebook.com/fcyrylguray07" xr:uid="{00000000-0004-0000-0000-00001C0D0000}"/>
    <hyperlink ref="I1681" r:id="rId3358" display="https://www.facebook.com/rapplerdotcom/photos/a.317154781638645/5595372260483511/" xr:uid="{00000000-0004-0000-0000-00001D0D0000}"/>
    <hyperlink ref="A1682" r:id="rId3359" display="https://www.facebook.com/belen.bosea" xr:uid="{00000000-0004-0000-0000-00001E0D0000}"/>
    <hyperlink ref="I1682" r:id="rId3360" display="https://www.facebook.com/rapplerdotcom/photos/a.317154781638645/5595372260483511/" xr:uid="{00000000-0004-0000-0000-00001F0D0000}"/>
    <hyperlink ref="A1683" r:id="rId3361" display="https://www.facebook.com/nilo.asas" xr:uid="{00000000-0004-0000-0000-0000200D0000}"/>
    <hyperlink ref="I1683" r:id="rId3362" display="https://www.facebook.com/rapplerdotcom/photos/a.317154781638645/5595372260483511/" xr:uid="{00000000-0004-0000-0000-0000210D0000}"/>
    <hyperlink ref="A1684" r:id="rId3363" display="https://www.facebook.com/cyluh" xr:uid="{00000000-0004-0000-0000-0000220D0000}"/>
    <hyperlink ref="I1684" r:id="rId3364" display="https://www.facebook.com/rapplerdotcom/photos/a.317154781638645/5595372260483511/" xr:uid="{00000000-0004-0000-0000-0000230D0000}"/>
    <hyperlink ref="A1685" r:id="rId3365" display="https://www.facebook.com/VictoriaLPoblete" xr:uid="{00000000-0004-0000-0000-0000240D0000}"/>
    <hyperlink ref="I1685" r:id="rId3366" display="https://www.facebook.com/rapplerdotcom/photos/a.317154781638645/5595372260483511/" xr:uid="{00000000-0004-0000-0000-0000250D0000}"/>
    <hyperlink ref="A1686" r:id="rId3367" display="https://www.facebook.com/julio.quian" xr:uid="{00000000-0004-0000-0000-0000260D0000}"/>
    <hyperlink ref="I1686" r:id="rId3368" display="https://www.facebook.com/rapplerdotcom/photos/a.317154781638645/5595372260483511/" xr:uid="{00000000-0004-0000-0000-0000270D0000}"/>
    <hyperlink ref="A1687" r:id="rId3369" display="https://www.facebook.com/ledecia.sendayen.3" xr:uid="{00000000-0004-0000-0000-0000280D0000}"/>
    <hyperlink ref="I1687" r:id="rId3370" display="https://www.facebook.com/rapplerdotcom/photos/a.317154781638645/5595372260483511/" xr:uid="{00000000-0004-0000-0000-0000290D0000}"/>
    <hyperlink ref="A1688" r:id="rId3371" display="https://www.facebook.com/loreta.ardaban.3" xr:uid="{00000000-0004-0000-0000-00002A0D0000}"/>
    <hyperlink ref="I1688" r:id="rId3372" display="https://www.facebook.com/rapplerdotcom/photos/a.317154781638645/5595372260483511/" xr:uid="{00000000-0004-0000-0000-00002B0D0000}"/>
    <hyperlink ref="A1689" r:id="rId3373" display="https://www.facebook.com/profile.php?id=100076940169855" xr:uid="{00000000-0004-0000-0000-00002C0D0000}"/>
    <hyperlink ref="I1689" r:id="rId3374" display="https://www.facebook.com/rapplerdotcom/photos/a.317154781638645/5595372260483511/" xr:uid="{00000000-0004-0000-0000-00002D0D0000}"/>
    <hyperlink ref="A1690" r:id="rId3375" display="https://www.facebook.com/dez.delmundosamson" xr:uid="{00000000-0004-0000-0000-00002E0D0000}"/>
    <hyperlink ref="I1690" r:id="rId3376" display="https://www.facebook.com/rapplerdotcom/photos/a.317154781638645/5595372260483511/" xr:uid="{00000000-0004-0000-0000-00002F0D0000}"/>
    <hyperlink ref="A1691" r:id="rId3377" display="https://www.facebook.com/rapkarl04" xr:uid="{00000000-0004-0000-0000-0000300D0000}"/>
    <hyperlink ref="I1691" r:id="rId3378" display="https://www.facebook.com/rapplerdotcom/photos/a.317154781638645/5595372260483511/" xr:uid="{00000000-0004-0000-0000-0000310D0000}"/>
    <hyperlink ref="A1692" r:id="rId3379" display="https://www.facebook.com/eduardo.m.lombo" xr:uid="{00000000-0004-0000-0000-0000320D0000}"/>
    <hyperlink ref="I1692" r:id="rId3380" display="https://www.facebook.com/rapplerdotcom/photos/a.317154781638645/5595372260483511/" xr:uid="{00000000-0004-0000-0000-0000330D0000}"/>
    <hyperlink ref="A1693" r:id="rId3381" display="https://www.facebook.com/eduardo.m.lombo" xr:uid="{00000000-0004-0000-0000-0000340D0000}"/>
    <hyperlink ref="I1693" r:id="rId3382" display="https://www.facebook.com/rapplerdotcom/photos/a.317154781638645/5595372260483511/" xr:uid="{00000000-0004-0000-0000-0000350D0000}"/>
    <hyperlink ref="A1694" r:id="rId3383" display="https://www.facebook.com/profile.php?id=100008200051155" xr:uid="{00000000-0004-0000-0000-0000360D0000}"/>
    <hyperlink ref="I1694" r:id="rId3384" display="https://www.facebook.com/rapplerdotcom/photos/a.317154781638645/5595372260483511/" xr:uid="{00000000-0004-0000-0000-0000370D0000}"/>
    <hyperlink ref="A1695" r:id="rId3385" display="https://www.facebook.com/nonoyofalae" xr:uid="{00000000-0004-0000-0000-0000380D0000}"/>
    <hyperlink ref="I1695" r:id="rId3386" display="https://www.facebook.com/rapplerdotcom/photos/a.317154781638645/5595372260483511/" xr:uid="{00000000-0004-0000-0000-0000390D0000}"/>
    <hyperlink ref="A1696" r:id="rId3387" display="https://www.facebook.com/kenneth.cauntay" xr:uid="{00000000-0004-0000-0000-00003A0D0000}"/>
    <hyperlink ref="I1696" r:id="rId3388" display="https://www.facebook.com/rapplerdotcom/photos/a.317154781638645/5595372260483511/" xr:uid="{00000000-0004-0000-0000-00003B0D0000}"/>
    <hyperlink ref="A1697" r:id="rId3389" display="https://www.facebook.com/eduardo.m.lombo" xr:uid="{00000000-0004-0000-0000-00003C0D0000}"/>
    <hyperlink ref="I1697" r:id="rId3390" display="https://www.facebook.com/rapplerdotcom/photos/a.317154781638645/5595372260483511/" xr:uid="{00000000-0004-0000-0000-00003D0D0000}"/>
    <hyperlink ref="A1698" r:id="rId3391" display="https://www.facebook.com/ate.rose.73" xr:uid="{00000000-0004-0000-0000-00003E0D0000}"/>
    <hyperlink ref="I1698" r:id="rId3392" display="https://www.facebook.com/rapplerdotcom/photos/a.317154781638645/5595372260483511/" xr:uid="{00000000-0004-0000-0000-00003F0D0000}"/>
    <hyperlink ref="A1699" r:id="rId3393" display="https://www.facebook.com/deanny.magana" xr:uid="{00000000-0004-0000-0000-0000400D0000}"/>
    <hyperlink ref="I1699" r:id="rId3394" display="https://www.facebook.com/rapplerdotcom/photos/a.317154781638645/5595372260483511/" xr:uid="{00000000-0004-0000-0000-0000410D0000}"/>
    <hyperlink ref="A1700" r:id="rId3395" display="https://www.facebook.com/deanny.magana" xr:uid="{00000000-0004-0000-0000-0000420D0000}"/>
    <hyperlink ref="I1700" r:id="rId3396" display="https://www.facebook.com/rapplerdotcom/photos/a.317154781638645/5595372260483511/" xr:uid="{00000000-0004-0000-0000-0000430D0000}"/>
    <hyperlink ref="A1701" r:id="rId3397" display="https://www.facebook.com/eduardo.m.lombo" xr:uid="{00000000-0004-0000-0000-0000440D0000}"/>
    <hyperlink ref="I1701" r:id="rId3398" display="https://www.facebook.com/rapplerdotcom/photos/a.317154781638645/5595372260483511/" xr:uid="{00000000-0004-0000-0000-0000450D0000}"/>
    <hyperlink ref="A1702" r:id="rId3399" display="https://www.facebook.com/eduardo.m.lombo" xr:uid="{00000000-0004-0000-0000-0000460D0000}"/>
    <hyperlink ref="I1702" r:id="rId3400" display="https://www.facebook.com/rapplerdotcom/photos/a.317154781638645/5595372260483511/" xr:uid="{00000000-0004-0000-0000-0000470D0000}"/>
    <hyperlink ref="A1703" r:id="rId3401" display="https://www.facebook.com/profile.php?id=100011569547804" xr:uid="{00000000-0004-0000-0000-0000480D0000}"/>
    <hyperlink ref="I1703" r:id="rId3402" display="https://www.facebook.com/rapplerdotcom/photos/a.317154781638645/5595372260483511/" xr:uid="{00000000-0004-0000-0000-0000490D0000}"/>
    <hyperlink ref="A1704" r:id="rId3403" display="https://www.facebook.com/eduardo.m.lombo" xr:uid="{00000000-0004-0000-0000-00004A0D0000}"/>
    <hyperlink ref="I1704" r:id="rId3404" display="https://www.facebook.com/rapplerdotcom/photos/a.317154781638645/5595372260483511/" xr:uid="{00000000-0004-0000-0000-00004B0D0000}"/>
    <hyperlink ref="A1705" r:id="rId3405" display="https://www.facebook.com/profile.php?id=100011569547804" xr:uid="{00000000-0004-0000-0000-00004C0D0000}"/>
    <hyperlink ref="I1705" r:id="rId3406" display="https://www.facebook.com/rapplerdotcom/photos/a.317154781638645/5595372260483511/" xr:uid="{00000000-0004-0000-0000-00004D0D0000}"/>
    <hyperlink ref="A1706" r:id="rId3407" display="https://www.facebook.com/eduardo.m.lombo" xr:uid="{00000000-0004-0000-0000-00004E0D0000}"/>
    <hyperlink ref="I1706" r:id="rId3408" display="https://www.facebook.com/rapplerdotcom/photos/a.317154781638645/5595372260483511/" xr:uid="{00000000-0004-0000-0000-00004F0D0000}"/>
    <hyperlink ref="A1707" r:id="rId3409" display="https://www.facebook.com/profile.php?id=100011569547804" xr:uid="{00000000-0004-0000-0000-0000500D0000}"/>
    <hyperlink ref="I1707" r:id="rId3410" display="https://www.facebook.com/rapplerdotcom/photos/a.317154781638645/5595372260483511/" xr:uid="{00000000-0004-0000-0000-0000510D0000}"/>
    <hyperlink ref="A1708" r:id="rId3411" display="https://www.facebook.com/eduardo.m.lombo" xr:uid="{00000000-0004-0000-0000-0000520D0000}"/>
    <hyperlink ref="I1708" r:id="rId3412" display="https://www.facebook.com/rapplerdotcom/photos/a.317154781638645/5595372260483511/" xr:uid="{00000000-0004-0000-0000-0000530D0000}"/>
    <hyperlink ref="A1709" r:id="rId3413" display="https://www.facebook.com/deanny.magana" xr:uid="{00000000-0004-0000-0000-0000540D0000}"/>
    <hyperlink ref="I1709" r:id="rId3414" display="https://www.facebook.com/rapplerdotcom/photos/a.317154781638645/5595372260483511/" xr:uid="{00000000-0004-0000-0000-0000550D0000}"/>
    <hyperlink ref="A1710" r:id="rId3415" display="https://www.facebook.com/eduardo.m.lombo" xr:uid="{00000000-0004-0000-0000-0000560D0000}"/>
    <hyperlink ref="I1710" r:id="rId3416" display="https://www.facebook.com/rapplerdotcom/photos/a.317154781638645/5595372260483511/" xr:uid="{00000000-0004-0000-0000-0000570D0000}"/>
    <hyperlink ref="A1711" r:id="rId3417" display="https://www.facebook.com/eduardo.m.lombo" xr:uid="{00000000-0004-0000-0000-0000580D0000}"/>
    <hyperlink ref="I1711" r:id="rId3418" display="https://www.facebook.com/rapplerdotcom/photos/a.317154781638645/5595372260483511/" xr:uid="{00000000-0004-0000-0000-0000590D0000}"/>
    <hyperlink ref="A1712" r:id="rId3419" display="https://www.facebook.com/eduardo.m.lombo" xr:uid="{00000000-0004-0000-0000-00005A0D0000}"/>
    <hyperlink ref="I1712" r:id="rId3420" display="https://www.facebook.com/rapplerdotcom/photos/a.317154781638645/5595372260483511/" xr:uid="{00000000-0004-0000-0000-00005B0D0000}"/>
    <hyperlink ref="A1713" r:id="rId3421" display="https://www.facebook.com/eduardo.m.lombo" xr:uid="{00000000-0004-0000-0000-00005C0D0000}"/>
    <hyperlink ref="I1713" r:id="rId3422" display="https://www.facebook.com/rapplerdotcom/photos/a.317154781638645/5595372260483511/" xr:uid="{00000000-0004-0000-0000-00005D0D0000}"/>
    <hyperlink ref="A1714" r:id="rId3423" display="https://www.facebook.com/eduardo.m.lombo" xr:uid="{00000000-0004-0000-0000-00005E0D0000}"/>
    <hyperlink ref="I1714" r:id="rId3424" display="https://www.facebook.com/rapplerdotcom/photos/a.317154781638645/5595372260483511/" xr:uid="{00000000-0004-0000-0000-00005F0D0000}"/>
    <hyperlink ref="A1715" r:id="rId3425" display="https://www.facebook.com/blackwidow0910" xr:uid="{00000000-0004-0000-0000-0000600D0000}"/>
    <hyperlink ref="I1715" r:id="rId3426" display="https://www.facebook.com/rapplerdotcom/photos/a.317154781638645/5595372260483511/" xr:uid="{00000000-0004-0000-0000-0000610D0000}"/>
    <hyperlink ref="A1716" r:id="rId3427" display="https://www.facebook.com/jaye.jackson.5" xr:uid="{00000000-0004-0000-0000-0000620D0000}"/>
    <hyperlink ref="I1716" r:id="rId3428" display="https://www.facebook.com/rapplerdotcom/photos/a.317154781638645/5595372260483511/" xr:uid="{00000000-0004-0000-0000-0000630D0000}"/>
    <hyperlink ref="A1717" r:id="rId3429" display="https://www.facebook.com/olracyer.nadneba.3" xr:uid="{00000000-0004-0000-0000-0000640D0000}"/>
    <hyperlink ref="I1717" r:id="rId3430" display="https://www.facebook.com/rapplerdotcom/photos/a.317154781638645/5595372260483511/" xr:uid="{00000000-0004-0000-0000-0000650D0000}"/>
    <hyperlink ref="A1718" r:id="rId3431" display="https://www.facebook.com/profile.php?id=100049380352017" xr:uid="{00000000-0004-0000-0000-0000660D0000}"/>
    <hyperlink ref="I1718" r:id="rId3432" display="https://www.facebook.com/rapplerdotcom/photos/a.317154781638645/5595372260483511/" xr:uid="{00000000-0004-0000-0000-0000670D0000}"/>
    <hyperlink ref="A1719" r:id="rId3433" display="https://www.facebook.com/jonathan.biwit" xr:uid="{00000000-0004-0000-0000-0000680D0000}"/>
    <hyperlink ref="I1719" r:id="rId3434" display="https://www.facebook.com/rapplerdotcom/photos/a.317154781638645/5595372260483511/" xr:uid="{00000000-0004-0000-0000-0000690D0000}"/>
    <hyperlink ref="A1720" r:id="rId3435" display="https://www.facebook.com/rodelmadrid" xr:uid="{00000000-0004-0000-0000-00006A0D0000}"/>
    <hyperlink ref="I1720" r:id="rId3436" display="https://www.facebook.com/rapplerdotcom/photos/a.317154781638645/5595372260483511/" xr:uid="{00000000-0004-0000-0000-00006B0D0000}"/>
    <hyperlink ref="A1721" r:id="rId3437" display="https://www.facebook.com/herdie.092020" xr:uid="{00000000-0004-0000-0000-00006C0D0000}"/>
    <hyperlink ref="I1721" r:id="rId3438" display="https://www.facebook.com/rapplerdotcom/photos/a.317154781638645/5595372260483511/" xr:uid="{00000000-0004-0000-0000-00006D0D0000}"/>
    <hyperlink ref="A1722" r:id="rId3439" display="https://www.facebook.com/melo.napiza.7" xr:uid="{00000000-0004-0000-0000-00006E0D0000}"/>
    <hyperlink ref="I1722" r:id="rId3440" display="https://www.facebook.com/rapplerdotcom/photos/a.317154781638645/5595372260483511/" xr:uid="{00000000-0004-0000-0000-00006F0D0000}"/>
    <hyperlink ref="A1723" r:id="rId3441" display="https://www.facebook.com/lily.maglalang" xr:uid="{00000000-0004-0000-0000-0000700D0000}"/>
    <hyperlink ref="I1723" r:id="rId3442" display="https://www.facebook.com/rapplerdotcom/photos/a.317154781638645/5595372260483511/" xr:uid="{00000000-0004-0000-0000-0000710D0000}"/>
    <hyperlink ref="A1724" r:id="rId3443" display="https://www.facebook.com/samuel.cajipe.9" xr:uid="{00000000-0004-0000-0000-0000720D0000}"/>
    <hyperlink ref="I1724" r:id="rId3444" display="https://www.facebook.com/rapplerdotcom/photos/a.317154781638645/5595372260483511/" xr:uid="{00000000-0004-0000-0000-0000730D0000}"/>
    <hyperlink ref="A1725" r:id="rId3445" display="https://www.facebook.com/bautista.jimmy.98" xr:uid="{00000000-0004-0000-0000-0000740D0000}"/>
    <hyperlink ref="I1725" r:id="rId3446" display="https://www.facebook.com/rapplerdotcom/photos/a.317154781638645/5595372260483511/" xr:uid="{00000000-0004-0000-0000-0000750D0000}"/>
    <hyperlink ref="A1726" r:id="rId3447" display="https://www.facebook.com/patricio.patriciosemilla" xr:uid="{00000000-0004-0000-0000-0000760D0000}"/>
    <hyperlink ref="I1726" r:id="rId3448" display="https://www.facebook.com/rapplerdotcom/photos/a.317154781638645/5595372260483511/" xr:uid="{00000000-0004-0000-0000-0000770D0000}"/>
    <hyperlink ref="A1727" r:id="rId3449" display="https://www.facebook.com/profile.php?id=100008200051155" xr:uid="{00000000-0004-0000-0000-0000780D0000}"/>
    <hyperlink ref="I1727" r:id="rId3450" display="https://www.facebook.com/rapplerdotcom/photos/a.317154781638645/5595372260483511/" xr:uid="{00000000-0004-0000-0000-0000790D0000}"/>
    <hyperlink ref="A1728" r:id="rId3451" display="https://www.facebook.com/patricio.patriciosemilla" xr:uid="{00000000-0004-0000-0000-00007A0D0000}"/>
    <hyperlink ref="I1728" r:id="rId3452" display="https://www.facebook.com/rapplerdotcom/photos/a.317154781638645/5595372260483511/" xr:uid="{00000000-0004-0000-0000-00007B0D0000}"/>
    <hyperlink ref="A1729" r:id="rId3453" display="https://www.facebook.com/profile.php?id=100008200051155" xr:uid="{00000000-0004-0000-0000-00007C0D0000}"/>
    <hyperlink ref="I1729" r:id="rId3454" display="https://www.facebook.com/rapplerdotcom/photos/a.317154781638645/5595372260483511/" xr:uid="{00000000-0004-0000-0000-00007D0D0000}"/>
    <hyperlink ref="A1730" r:id="rId3455" display="https://www.facebook.com/chug.mercado" xr:uid="{00000000-0004-0000-0000-00007E0D0000}"/>
    <hyperlink ref="I1730" r:id="rId3456" display="https://www.facebook.com/rapplerdotcom/photos/a.317154781638645/5595372260483511/" xr:uid="{00000000-0004-0000-0000-00007F0D0000}"/>
    <hyperlink ref="A1731" r:id="rId3457" display="https://www.facebook.com/patricio.patriciosemilla" xr:uid="{00000000-0004-0000-0000-0000800D0000}"/>
    <hyperlink ref="I1731" r:id="rId3458" display="https://www.facebook.com/rapplerdotcom/photos/a.317154781638645/5595372260483511/" xr:uid="{00000000-0004-0000-0000-0000810D0000}"/>
    <hyperlink ref="A1732" r:id="rId3459" display="https://www.facebook.com/leilani.roxas" xr:uid="{00000000-0004-0000-0000-0000820D0000}"/>
    <hyperlink ref="I1732" r:id="rId3460" display="https://www.facebook.com/rapplerdotcom/photos/a.317154781638645/5595372260483511/" xr:uid="{00000000-0004-0000-0000-0000830D0000}"/>
    <hyperlink ref="A1733" r:id="rId3461" display="https://www.facebook.com/victoriano.pimentel.980" xr:uid="{00000000-0004-0000-0000-0000840D0000}"/>
    <hyperlink ref="I1733" r:id="rId3462" display="https://www.facebook.com/rapplerdotcom/photos/a.317154781638645/5595372260483511/" xr:uid="{00000000-0004-0000-0000-0000850D0000}"/>
    <hyperlink ref="A1734" r:id="rId3463" display="https://www.facebook.com/icarro1821" xr:uid="{00000000-0004-0000-0000-0000860D0000}"/>
    <hyperlink ref="I1734" r:id="rId3464" display="https://www.facebook.com/rapplerdotcom/photos/a.317154781638645/5595372260483511/" xr:uid="{00000000-0004-0000-0000-0000870D0000}"/>
    <hyperlink ref="A1735" r:id="rId3465" display="https://www.facebook.com/profile.php?id=100012286893622" xr:uid="{00000000-0004-0000-0000-0000880D0000}"/>
    <hyperlink ref="I1735" r:id="rId3466" display="https://www.facebook.com/rapplerdotcom/photos/a.317154781638645/5595372260483511/" xr:uid="{00000000-0004-0000-0000-0000890D0000}"/>
    <hyperlink ref="A1736" r:id="rId3467" display="https://www.facebook.com/ttanchanco" xr:uid="{00000000-0004-0000-0000-00008A0D0000}"/>
    <hyperlink ref="I1736" r:id="rId3468" display="https://www.facebook.com/rapplerdotcom/photos/a.317154781638645/5595372260483511/" xr:uid="{00000000-0004-0000-0000-00008B0D0000}"/>
    <hyperlink ref="A1737" r:id="rId3469" display="https://www.facebook.com/icarro1821" xr:uid="{00000000-0004-0000-0000-00008C0D0000}"/>
    <hyperlink ref="I1737" r:id="rId3470" display="https://www.facebook.com/rapplerdotcom/photos/a.317154781638645/5595372260483511/" xr:uid="{00000000-0004-0000-0000-00008D0D0000}"/>
    <hyperlink ref="A1738" r:id="rId3471" display="https://www.facebook.com/icarro1821" xr:uid="{00000000-0004-0000-0000-00008E0D0000}"/>
    <hyperlink ref="I1738" r:id="rId3472" display="https://www.facebook.com/rapplerdotcom/photos/a.317154781638645/5595372260483511/" xr:uid="{00000000-0004-0000-0000-00008F0D0000}"/>
    <hyperlink ref="A1739" r:id="rId3473" display="https://www.facebook.com/profile.php?id=100012286893622" xr:uid="{00000000-0004-0000-0000-0000900D0000}"/>
    <hyperlink ref="I1739" r:id="rId3474" display="https://www.facebook.com/rapplerdotcom/photos/a.317154781638645/5595372260483511/" xr:uid="{00000000-0004-0000-0000-0000910D0000}"/>
    <hyperlink ref="A1740" r:id="rId3475" display="https://www.facebook.com/icarro1821" xr:uid="{00000000-0004-0000-0000-0000920D0000}"/>
    <hyperlink ref="I1740" r:id="rId3476" display="https://www.facebook.com/rapplerdotcom/photos/a.317154781638645/5595372260483511/" xr:uid="{00000000-0004-0000-0000-0000930D0000}"/>
    <hyperlink ref="A1741" r:id="rId3477" display="https://www.facebook.com/ttanchanco" xr:uid="{00000000-0004-0000-0000-0000940D0000}"/>
    <hyperlink ref="I1741" r:id="rId3478" display="https://www.facebook.com/rapplerdotcom/photos/a.317154781638645/5595372260483511/" xr:uid="{00000000-0004-0000-0000-0000950D0000}"/>
    <hyperlink ref="A1742" r:id="rId3479" display="https://www.facebook.com/profile.php?id=100012286893622" xr:uid="{00000000-0004-0000-0000-0000960D0000}"/>
    <hyperlink ref="I1742" r:id="rId3480" display="https://www.facebook.com/rapplerdotcom/photos/a.317154781638645/5595372260483511/" xr:uid="{00000000-0004-0000-0000-0000970D0000}"/>
    <hyperlink ref="A1743" r:id="rId3481" display="https://www.facebook.com/profile.php?id=100012286893622" xr:uid="{00000000-0004-0000-0000-0000980D0000}"/>
    <hyperlink ref="I1743" r:id="rId3482" display="https://www.facebook.com/rapplerdotcom/photos/a.317154781638645/5595372260483511/" xr:uid="{00000000-0004-0000-0000-0000990D0000}"/>
    <hyperlink ref="A1744" r:id="rId3483" display="https://www.facebook.com/ann070694" xr:uid="{00000000-0004-0000-0000-00009A0D0000}"/>
    <hyperlink ref="I1744" r:id="rId3484" display="https://www.facebook.com/rapplerdotcom/photos/a.317154781638645/5595372260483511/" xr:uid="{00000000-0004-0000-0000-00009B0D0000}"/>
    <hyperlink ref="A1745" r:id="rId3485" display="https://www.facebook.com/cyrilljoy.baldera.3" xr:uid="{00000000-0004-0000-0000-00009C0D0000}"/>
    <hyperlink ref="I1745" r:id="rId3486" display="https://www.facebook.com/rapplerdotcom/photos/a.317154781638645/5595372260483511/" xr:uid="{00000000-0004-0000-0000-00009D0D0000}"/>
    <hyperlink ref="A1746" r:id="rId3487" display="https://www.facebook.com/icarro1821" xr:uid="{00000000-0004-0000-0000-00009E0D0000}"/>
    <hyperlink ref="I1746" r:id="rId3488" display="https://www.facebook.com/rapplerdotcom/photos/a.317154781638645/5595372260483511/" xr:uid="{00000000-0004-0000-0000-00009F0D0000}"/>
    <hyperlink ref="A1747" r:id="rId3489" display="https://www.facebook.com/phoebe.delara.1" xr:uid="{00000000-0004-0000-0000-0000A00D0000}"/>
    <hyperlink ref="I1747" r:id="rId3490" display="https://www.facebook.com/rapplerdotcom/photos/a.317154781638645/5595372260483511/" xr:uid="{00000000-0004-0000-0000-0000A10D0000}"/>
    <hyperlink ref="A1748" r:id="rId3491" display="https://www.facebook.com/icarro1821" xr:uid="{00000000-0004-0000-0000-0000A20D0000}"/>
    <hyperlink ref="I1748" r:id="rId3492" display="https://www.facebook.com/rapplerdotcom/photos/a.317154781638645/5595372260483511/" xr:uid="{00000000-0004-0000-0000-0000A30D0000}"/>
    <hyperlink ref="A1749" r:id="rId3493" display="https://www.facebook.com/phoebe.delara.1" xr:uid="{00000000-0004-0000-0000-0000A40D0000}"/>
    <hyperlink ref="I1749" r:id="rId3494" display="https://www.facebook.com/rapplerdotcom/photos/a.317154781638645/5595372260483511/" xr:uid="{00000000-0004-0000-0000-0000A50D0000}"/>
    <hyperlink ref="A1750" r:id="rId3495" display="https://www.facebook.com/BimBirimBimBim" xr:uid="{00000000-0004-0000-0000-0000A60D0000}"/>
    <hyperlink ref="I1750" r:id="rId3496" display="https://www.facebook.com/rapplerdotcom/photos/a.317154781638645/5595372260483511/" xr:uid="{00000000-0004-0000-0000-0000A70D0000}"/>
    <hyperlink ref="A1751" r:id="rId3497" display="https://www.facebook.com/HaruldStories" xr:uid="{00000000-0004-0000-0000-0000A80D0000}"/>
    <hyperlink ref="I1751" r:id="rId3498" display="https://www.facebook.com/rapplerdotcom/photos/a.317154781638645/5595372260483511/" xr:uid="{00000000-0004-0000-0000-0000A90D0000}"/>
    <hyperlink ref="A1752" r:id="rId3499" display="https://www.facebook.com/profile.php?id=100000429193684" xr:uid="{00000000-0004-0000-0000-0000AA0D0000}"/>
    <hyperlink ref="I1752" r:id="rId3500" display="https://www.facebook.com/rapplerdotcom/photos/a.317154781638645/5595372260483511/" xr:uid="{00000000-0004-0000-0000-0000AB0D0000}"/>
    <hyperlink ref="A1753" r:id="rId3501" display="https://www.facebook.com/eva.jimenez.39794895" xr:uid="{00000000-0004-0000-0000-0000AC0D0000}"/>
    <hyperlink ref="I1753" r:id="rId3502" display="https://www.facebook.com/rapplerdotcom/photos/a.317154781638645/5595372260483511/" xr:uid="{00000000-0004-0000-0000-0000AD0D0000}"/>
    <hyperlink ref="A1754" r:id="rId3503" display="https://www.facebook.com/profile.php?id=100073772812583" xr:uid="{00000000-0004-0000-0000-0000AE0D0000}"/>
    <hyperlink ref="I1754" r:id="rId3504" display="https://www.facebook.com/rapplerdotcom/photos/a.317154781638645/5595372260483511/" xr:uid="{00000000-0004-0000-0000-0000AF0D0000}"/>
    <hyperlink ref="A1755" r:id="rId3505" display="https://www.facebook.com/manuel.cero.750" xr:uid="{00000000-0004-0000-0000-0000B00D0000}"/>
    <hyperlink ref="I1755" r:id="rId3506" display="https://www.facebook.com/rapplerdotcom/photos/a.317154781638645/5595372260483511/" xr:uid="{00000000-0004-0000-0000-0000B10D0000}"/>
    <hyperlink ref="A1756" r:id="rId3507" display="https://www.facebook.com/rhey.olan.3" xr:uid="{00000000-0004-0000-0000-0000B20D0000}"/>
    <hyperlink ref="I1756" r:id="rId3508" display="https://www.facebook.com/rapplerdotcom/photos/a.317154781638645/5595372260483511/" xr:uid="{00000000-0004-0000-0000-0000B30D0000}"/>
    <hyperlink ref="A1757" r:id="rId3509" display="https://www.facebook.com/cezar.borja.96" xr:uid="{00000000-0004-0000-0000-0000B40D0000}"/>
    <hyperlink ref="I1757" r:id="rId3510" display="https://www.facebook.com/rapplerdotcom/photos/a.317154781638645/5595372260483511/" xr:uid="{00000000-0004-0000-0000-0000B50D0000}"/>
    <hyperlink ref="A1758" r:id="rId3511" display="https://www.facebook.com/inday.jayme.5" xr:uid="{00000000-0004-0000-0000-0000B60D0000}"/>
    <hyperlink ref="I1758" r:id="rId3512" display="https://www.facebook.com/rapplerdotcom/photos/a.317154781638645/5595372260483511/" xr:uid="{00000000-0004-0000-0000-0000B70D0000}"/>
    <hyperlink ref="A1759" r:id="rId3513" display="https://www.facebook.com/profile.php?id=100067656224446" xr:uid="{00000000-0004-0000-0000-0000B80D0000}"/>
    <hyperlink ref="I1759" r:id="rId3514" display="https://www.facebook.com/rapplerdotcom/photos/a.317154781638645/5595372260483511/" xr:uid="{00000000-0004-0000-0000-0000B90D0000}"/>
    <hyperlink ref="A1760" r:id="rId3515" display="https://www.facebook.com/pamilyado" xr:uid="{00000000-0004-0000-0000-0000BA0D0000}"/>
    <hyperlink ref="I1760" r:id="rId3516" display="https://www.facebook.com/rapplerdotcom/photos/a.317154781638645/5595372260483511/" xr:uid="{00000000-0004-0000-0000-0000BB0D0000}"/>
    <hyperlink ref="A1761" r:id="rId3517" display="https://www.facebook.com/profile.php?id=100078937432698" xr:uid="{00000000-0004-0000-0000-0000BC0D0000}"/>
    <hyperlink ref="I1761" r:id="rId3518" display="https://www.facebook.com/rapplerdotcom/photos/a.317154781638645/5595372260483511/" xr:uid="{00000000-0004-0000-0000-0000BD0D0000}"/>
    <hyperlink ref="A1762" r:id="rId3519" display="https://www.facebook.com/michelle.v.gomonit" xr:uid="{00000000-0004-0000-0000-0000BE0D0000}"/>
    <hyperlink ref="I1762" r:id="rId3520" display="https://www.facebook.com/rapplerdotcom/photos/a.317154781638645/5595372260483511/" xr:uid="{00000000-0004-0000-0000-0000BF0D0000}"/>
    <hyperlink ref="A1763" r:id="rId3521" display="https://www.facebook.com/icmayordo" xr:uid="{00000000-0004-0000-0000-0000C00D0000}"/>
    <hyperlink ref="I1763" r:id="rId3522" display="https://www.facebook.com/rapplerdotcom/photos/a.317154781638645/5595372260483511/" xr:uid="{00000000-0004-0000-0000-0000C10D0000}"/>
    <hyperlink ref="A1764" r:id="rId3523" display="https://www.facebook.com/eveloren.gulla" xr:uid="{00000000-0004-0000-0000-0000C20D0000}"/>
    <hyperlink ref="I1764" r:id="rId3524" display="https://www.facebook.com/rapplerdotcom/photos/a.317154781638645/5595372260483511/" xr:uid="{00000000-0004-0000-0000-0000C30D0000}"/>
    <hyperlink ref="A1765" r:id="rId3525" display="https://www.facebook.com/schezo12" xr:uid="{00000000-0004-0000-0000-0000C40D0000}"/>
    <hyperlink ref="I1765" r:id="rId3526" display="https://www.facebook.com/rapplerdotcom/photos/a.317154781638645/5595372260483511/" xr:uid="{00000000-0004-0000-0000-0000C50D0000}"/>
    <hyperlink ref="A1766" r:id="rId3527" display="https://www.facebook.com/ferdinandferdinandzein" xr:uid="{00000000-0004-0000-0000-0000C60D0000}"/>
    <hyperlink ref="I1766" r:id="rId3528" display="https://www.facebook.com/rapplerdotcom/photos/a.317154781638645/5595372260483511/" xr:uid="{00000000-0004-0000-0000-0000C70D0000}"/>
    <hyperlink ref="A1767" r:id="rId3529" display="https://www.facebook.com/ed.saenz" xr:uid="{00000000-0004-0000-0000-0000C80D0000}"/>
    <hyperlink ref="I1767" r:id="rId3530" display="https://www.facebook.com/rapplerdotcom/photos/a.317154781638645/5595372260483511/" xr:uid="{00000000-0004-0000-0000-0000C90D0000}"/>
    <hyperlink ref="A1768" r:id="rId3531" display="https://www.facebook.com/edwin.portillo.100" xr:uid="{00000000-0004-0000-0000-0000CA0D0000}"/>
    <hyperlink ref="I1768" r:id="rId3532" display="https://www.facebook.com/rapplerdotcom/photos/a.317154781638645/5595372260483511/" xr:uid="{00000000-0004-0000-0000-0000CB0D0000}"/>
    <hyperlink ref="A1769" r:id="rId3533" display="https://www.facebook.com/rohan2009" xr:uid="{00000000-0004-0000-0000-0000CC0D0000}"/>
    <hyperlink ref="I1769" r:id="rId3534" display="https://www.facebook.com/rapplerdotcom/photos/a.317154781638645/5595372260483511/" xr:uid="{00000000-0004-0000-0000-0000CD0D0000}"/>
    <hyperlink ref="A1770" r:id="rId3535" display="https://www.facebook.com/jerome.sebedorio" xr:uid="{00000000-0004-0000-0000-0000CE0D0000}"/>
    <hyperlink ref="I1770" r:id="rId3536" display="https://www.facebook.com/rapplerdotcom/photos/a.317154781638645/5595372260483511/" xr:uid="{00000000-0004-0000-0000-0000CF0D0000}"/>
    <hyperlink ref="A1771" r:id="rId3537" display="https://www.facebook.com/cyrilljoy.baldera.3" xr:uid="{00000000-0004-0000-0000-0000D00D0000}"/>
    <hyperlink ref="I1771" r:id="rId3538" display="https://www.facebook.com/rapplerdotcom/photos/a.317154781638645/5595372260483511/" xr:uid="{00000000-0004-0000-0000-0000D10D0000}"/>
    <hyperlink ref="A1772" r:id="rId3539" display="https://www.facebook.com/emilyanne.viar.50" xr:uid="{00000000-0004-0000-0000-0000D20D0000}"/>
    <hyperlink ref="I1772" r:id="rId3540" display="https://www.facebook.com/rapplerdotcom/photos/a.317154781638645/5595372260483511/" xr:uid="{00000000-0004-0000-0000-0000D30D0000}"/>
    <hyperlink ref="A1773" r:id="rId3541" display="https://www.facebook.com/wagakopre123" xr:uid="{00000000-0004-0000-0000-0000D40D0000}"/>
    <hyperlink ref="I1773" r:id="rId3542" display="https://www.facebook.com/rapplerdotcom/photos/a.317154781638645/5595372260483511/" xr:uid="{00000000-0004-0000-0000-0000D50D0000}"/>
    <hyperlink ref="A1774" r:id="rId3543" display="https://www.facebook.com/mussulleni.vega" xr:uid="{00000000-0004-0000-0000-0000D60D0000}"/>
    <hyperlink ref="I1774" r:id="rId3544" display="https://www.facebook.com/rapplerdotcom/photos/a.317154781638645/5595372260483511/" xr:uid="{00000000-0004-0000-0000-0000D70D0000}"/>
    <hyperlink ref="A1775" r:id="rId3545" display="https://www.facebook.com/jasperg5" xr:uid="{00000000-0004-0000-0000-0000D80D0000}"/>
    <hyperlink ref="I1775" r:id="rId3546" display="https://www.facebook.com/rapplerdotcom/photos/a.317154781638645/5595372260483511/" xr:uid="{00000000-0004-0000-0000-0000D90D0000}"/>
    <hyperlink ref="A1776" r:id="rId3547" display="https://www.facebook.com/bautista.jimmy.98" xr:uid="{00000000-0004-0000-0000-0000DA0D0000}"/>
    <hyperlink ref="I1776" r:id="rId3548" display="https://www.facebook.com/rapplerdotcom/photos/a.317154781638645/5595372260483511/" xr:uid="{00000000-0004-0000-0000-0000DB0D0000}"/>
    <hyperlink ref="A1777" r:id="rId3549" display="https://www.facebook.com/bautista.jimmy.98" xr:uid="{00000000-0004-0000-0000-0000DC0D0000}"/>
    <hyperlink ref="I1777" r:id="rId3550" display="https://www.facebook.com/rapplerdotcom/photos/a.317154781638645/5595372260483511/" xr:uid="{00000000-0004-0000-0000-0000DD0D0000}"/>
    <hyperlink ref="A1778" r:id="rId3551" display="https://www.facebook.com/bautista.jimmy.98" xr:uid="{00000000-0004-0000-0000-0000DE0D0000}"/>
    <hyperlink ref="I1778" r:id="rId3552" display="https://www.facebook.com/rapplerdotcom/photos/a.317154781638645/5595372260483511/" xr:uid="{00000000-0004-0000-0000-0000DF0D0000}"/>
    <hyperlink ref="A1779" r:id="rId3553" display="https://www.facebook.com/ann070694" xr:uid="{00000000-0004-0000-0000-0000E00D0000}"/>
    <hyperlink ref="I1779" r:id="rId3554" display="https://www.facebook.com/rapplerdotcom/photos/a.317154781638645/5595372260483511/" xr:uid="{00000000-0004-0000-0000-0000E10D0000}"/>
    <hyperlink ref="A1780" r:id="rId3555" display="https://www.facebook.com/bautista.jimmy.98" xr:uid="{00000000-0004-0000-0000-0000E20D0000}"/>
    <hyperlink ref="I1780" r:id="rId3556" display="https://www.facebook.com/rapplerdotcom/photos/a.317154781638645/5595372260483511/" xr:uid="{00000000-0004-0000-0000-0000E30D0000}"/>
    <hyperlink ref="A1781" r:id="rId3557" display="https://www.facebook.com/cyrilljoy.baldera.3" xr:uid="{00000000-0004-0000-0000-0000E40D0000}"/>
    <hyperlink ref="I1781" r:id="rId3558" display="https://www.facebook.com/rapplerdotcom/photos/a.317154781638645/5595372260483511/" xr:uid="{00000000-0004-0000-0000-0000E50D0000}"/>
    <hyperlink ref="A1782" r:id="rId3559" display="https://www.facebook.com/bautista.jimmy.98" xr:uid="{00000000-0004-0000-0000-0000E60D0000}"/>
    <hyperlink ref="I1782" r:id="rId3560" display="https://www.facebook.com/rapplerdotcom/photos/a.317154781638645/5595372260483511/" xr:uid="{00000000-0004-0000-0000-0000E70D0000}"/>
    <hyperlink ref="A1783" r:id="rId3561" display="https://www.facebook.com/bautista.jimmy.98" xr:uid="{00000000-0004-0000-0000-0000E80D0000}"/>
    <hyperlink ref="I1783" r:id="rId3562" display="https://www.facebook.com/rapplerdotcom/photos/a.317154781638645/5595372260483511/" xr:uid="{00000000-0004-0000-0000-0000E90D0000}"/>
    <hyperlink ref="A1784" r:id="rId3563" display="https://www.facebook.com/cyrilljoy.baldera.3" xr:uid="{00000000-0004-0000-0000-0000EA0D0000}"/>
    <hyperlink ref="I1784" r:id="rId3564" display="https://www.facebook.com/rapplerdotcom/photos/a.317154781638645/5595372260483511/" xr:uid="{00000000-0004-0000-0000-0000EB0D0000}"/>
    <hyperlink ref="A1785" r:id="rId3565" display="https://www.facebook.com/jose.ladiana" xr:uid="{00000000-0004-0000-0000-0000EC0D0000}"/>
    <hyperlink ref="I1785" r:id="rId3566" display="https://www.facebook.com/rapplerdotcom/photos/a.317154781638645/5595372260483511/" xr:uid="{00000000-0004-0000-0000-0000ED0D0000}"/>
    <hyperlink ref="A1786" r:id="rId3567" display="https://www.facebook.com/bautista.jimmy.98" xr:uid="{00000000-0004-0000-0000-0000EE0D0000}"/>
    <hyperlink ref="I1786" r:id="rId3568" display="https://www.facebook.com/rapplerdotcom/photos/a.317154781638645/5595372260483511/" xr:uid="{00000000-0004-0000-0000-0000EF0D0000}"/>
    <hyperlink ref="A1787" r:id="rId3569" display="https://www.facebook.com/profile.php?id=100070381902310" xr:uid="{00000000-0004-0000-0000-0000F00D0000}"/>
    <hyperlink ref="I1787" r:id="rId3570" display="https://www.facebook.com/rapplerdotcom/photos/a.317154781638645/5595372260483511/" xr:uid="{00000000-0004-0000-0000-0000F10D0000}"/>
    <hyperlink ref="A1788" r:id="rId3571" display="https://www.facebook.com/profile.php?id=100060978745003" xr:uid="{00000000-0004-0000-0000-0000F20D0000}"/>
    <hyperlink ref="I1788" r:id="rId3572" display="https://www.facebook.com/rapplerdotcom/photos/a.317154781638645/5595372260483511/" xr:uid="{00000000-0004-0000-0000-0000F30D0000}"/>
    <hyperlink ref="A1789" r:id="rId3573" display="https://www.facebook.com/profile.php?id=100072514314651" xr:uid="{00000000-0004-0000-0000-0000F40D0000}"/>
    <hyperlink ref="I1789" r:id="rId3574" display="https://www.facebook.com/rapplerdotcom/photos/a.317154781638645/5595372260483511/" xr:uid="{00000000-0004-0000-0000-0000F50D0000}"/>
    <hyperlink ref="A1790" r:id="rId3575" display="https://www.facebook.com/louigie012" xr:uid="{00000000-0004-0000-0000-0000F60D0000}"/>
    <hyperlink ref="I1790" r:id="rId3576" display="https://www.facebook.com/rapplerdotcom/photos/a.317154781638645/5595372260483511/" xr:uid="{00000000-0004-0000-0000-0000F70D0000}"/>
    <hyperlink ref="A1791" r:id="rId3577" display="https://www.facebook.com/francisco.sabado.585" xr:uid="{00000000-0004-0000-0000-0000F80D0000}"/>
    <hyperlink ref="I1791" r:id="rId3578" display="https://www.facebook.com/rapplerdotcom/photos/a.317154781638645/5595372260483511/" xr:uid="{00000000-0004-0000-0000-0000F90D0000}"/>
    <hyperlink ref="A1792" r:id="rId3579" display="https://www.facebook.com/pol.lareza.9" xr:uid="{00000000-0004-0000-0000-0000FA0D0000}"/>
    <hyperlink ref="I1792" r:id="rId3580" display="https://www.facebook.com/rapplerdotcom/photos/a.317154781638645/5595372260483511/" xr:uid="{00000000-0004-0000-0000-0000FB0D0000}"/>
    <hyperlink ref="A1793" r:id="rId3581" display="https://www.facebook.com/sham.cunanan.7" xr:uid="{00000000-0004-0000-0000-0000FC0D0000}"/>
    <hyperlink ref="I1793" r:id="rId3582" display="https://www.facebook.com/rapplerdotcom/photos/a.317154781638645/5595372260483511/" xr:uid="{00000000-0004-0000-0000-0000FD0D0000}"/>
    <hyperlink ref="A1794" r:id="rId3583" display="https://www.facebook.com/rlduldulao" xr:uid="{00000000-0004-0000-0000-0000FE0D0000}"/>
    <hyperlink ref="I1794" r:id="rId3584" display="https://www.facebook.com/rapplerdotcom/photos/a.317154781638645/5595372260483511/" xr:uid="{00000000-0004-0000-0000-0000FF0D0000}"/>
    <hyperlink ref="A1795" r:id="rId3585" display="https://www.facebook.com/clark.collin.583" xr:uid="{00000000-0004-0000-0000-0000000E0000}"/>
    <hyperlink ref="I1795" r:id="rId3586" display="https://www.facebook.com/rapplerdotcom/photos/a.317154781638645/5595372260483511/" xr:uid="{00000000-0004-0000-0000-0000010E0000}"/>
    <hyperlink ref="A1796" r:id="rId3587" display="https://www.facebook.com/profile.php?id=100074949353472" xr:uid="{00000000-0004-0000-0000-0000020E0000}"/>
    <hyperlink ref="I1796" r:id="rId3588" display="https://www.facebook.com/rapplerdotcom/photos/a.317154781638645/5595372260483511/" xr:uid="{00000000-0004-0000-0000-0000030E0000}"/>
    <hyperlink ref="A1797" r:id="rId3589" display="https://www.facebook.com/rolando.adriano" xr:uid="{00000000-0004-0000-0000-0000040E0000}"/>
    <hyperlink ref="I1797" r:id="rId3590" display="https://www.facebook.com/rapplerdotcom/photos/a.317154781638645/5595372260483511/" xr:uid="{00000000-0004-0000-0000-0000050E0000}"/>
    <hyperlink ref="A1798" r:id="rId3591" display="https://www.facebook.com/profile.php?id=100078467486543" xr:uid="{00000000-0004-0000-0000-0000060E0000}"/>
    <hyperlink ref="I1798" r:id="rId3592" display="https://www.facebook.com/rapplerdotcom/photos/a.317154781638645/5595372260483511/" xr:uid="{00000000-0004-0000-0000-0000070E0000}"/>
    <hyperlink ref="A1799" r:id="rId3593" display="https://www.facebook.com/tony.deguzman.104" xr:uid="{00000000-0004-0000-0000-0000080E0000}"/>
    <hyperlink ref="I1799" r:id="rId3594" display="https://www.facebook.com/rapplerdotcom/photos/a.317154781638645/5595372260483511/" xr:uid="{00000000-0004-0000-0000-0000090E0000}"/>
    <hyperlink ref="A1800" r:id="rId3595" display="https://www.facebook.com/elmer.cordero.3" xr:uid="{00000000-0004-0000-0000-00000A0E0000}"/>
    <hyperlink ref="I1800" r:id="rId3596" display="https://www.facebook.com/rapplerdotcom/photos/a.317154781638645/5595372260483511/" xr:uid="{00000000-0004-0000-0000-00000B0E0000}"/>
    <hyperlink ref="A1801" r:id="rId3597" display="https://www.facebook.com/profile.php?id=100077069798588" xr:uid="{00000000-0004-0000-0000-00000C0E0000}"/>
    <hyperlink ref="I1801" r:id="rId3598" display="https://www.facebook.com/rapplerdotcom/photos/a.317154781638645/5595372260483511/" xr:uid="{00000000-0004-0000-0000-00000D0E0000}"/>
    <hyperlink ref="A1802" r:id="rId3599" display="https://www.facebook.com/profile.php?id=100079452280429" xr:uid="{00000000-0004-0000-0000-00000E0E0000}"/>
    <hyperlink ref="I1802" r:id="rId3600" display="https://www.facebook.com/rapplerdotcom/photos/a.317154781638645/5595372260483511/" xr:uid="{00000000-0004-0000-0000-00000F0E0000}"/>
    <hyperlink ref="A1803" r:id="rId3601" display="https://www.facebook.com/claridad.delfin" xr:uid="{00000000-0004-0000-0000-0000100E0000}"/>
    <hyperlink ref="I1803" r:id="rId3602" display="https://www.facebook.com/rapplerdotcom/photos/a.317154781638645/5595372260483511/" xr:uid="{00000000-0004-0000-0000-0000110E0000}"/>
    <hyperlink ref="A1804" r:id="rId3603" display="https://www.facebook.com/little.master.7792" xr:uid="{00000000-0004-0000-0000-0000120E0000}"/>
    <hyperlink ref="I1804" r:id="rId3604" display="https://www.facebook.com/rapplerdotcom/photos/a.317154781638645/5595372260483511/" xr:uid="{00000000-0004-0000-0000-0000130E0000}"/>
    <hyperlink ref="A1805" r:id="rId3605" display="https://www.facebook.com/marlon.pumicpic" xr:uid="{00000000-0004-0000-0000-0000140E0000}"/>
    <hyperlink ref="I1805" r:id="rId3606" display="https://www.facebook.com/rapplerdotcom/photos/a.317154781638645/5595372260483511/" xr:uid="{00000000-0004-0000-0000-0000150E0000}"/>
    <hyperlink ref="A1806" r:id="rId3607" display="https://www.facebook.com/profile.php?id=100079481263558" xr:uid="{00000000-0004-0000-0000-0000160E0000}"/>
    <hyperlink ref="I1806" r:id="rId3608" display="https://www.facebook.com/rapplerdotcom/photos/a.317154781638645/5595372260483511/" xr:uid="{00000000-0004-0000-0000-0000170E0000}"/>
    <hyperlink ref="A1807" r:id="rId3609" display="https://www.facebook.com/jeanpaul.jazmin" xr:uid="{00000000-0004-0000-0000-0000180E0000}"/>
    <hyperlink ref="I1807" r:id="rId3610" display="https://www.facebook.com/rapplerdotcom/photos/a.317154781638645/5595372260483511/" xr:uid="{00000000-0004-0000-0000-0000190E0000}"/>
    <hyperlink ref="A1808" r:id="rId3611" display="https://www.facebook.com/irisjem.sanidad.9" xr:uid="{00000000-0004-0000-0000-00001A0E0000}"/>
    <hyperlink ref="I1808" r:id="rId3612" display="https://www.facebook.com/rapplerdotcom/photos/a.317154781638645/5595372260483511/" xr:uid="{00000000-0004-0000-0000-00001B0E0000}"/>
    <hyperlink ref="A1809" r:id="rId3613" display="https://www.facebook.com/202angelocruz" xr:uid="{00000000-0004-0000-0000-00001C0E0000}"/>
    <hyperlink ref="I1809" r:id="rId3614" display="https://www.facebook.com/rapplerdotcom/photos/a.317154781638645/5595372260483511/" xr:uid="{00000000-0004-0000-0000-00001D0E0000}"/>
    <hyperlink ref="A1810" r:id="rId3615" display="https://www.facebook.com/pepe.ledesma.7140" xr:uid="{00000000-0004-0000-0000-00001E0E0000}"/>
    <hyperlink ref="I1810" r:id="rId3616" display="https://www.facebook.com/rapplerdotcom/photos/a.317154781638645/5595372260483511/" xr:uid="{00000000-0004-0000-0000-00001F0E0000}"/>
    <hyperlink ref="A1811" r:id="rId3617" display="https://www.facebook.com/dez.delmundosamson" xr:uid="{00000000-0004-0000-0000-0000200E0000}"/>
    <hyperlink ref="I1811" r:id="rId3618" display="https://www.facebook.com/rapplerdotcom/photos/a.317154781638645/5595372260483511/" xr:uid="{00000000-0004-0000-0000-0000210E0000}"/>
    <hyperlink ref="A1812" r:id="rId3619" display="https://www.facebook.com/dez.delmundosamson" xr:uid="{00000000-0004-0000-0000-0000220E0000}"/>
    <hyperlink ref="I1812" r:id="rId3620" display="https://www.facebook.com/rapplerdotcom/photos/a.317154781638645/5595372260483511/" xr:uid="{00000000-0004-0000-0000-0000230E0000}"/>
    <hyperlink ref="A1813" r:id="rId3621" display="https://www.facebook.com/dr.julius.uy" xr:uid="{00000000-0004-0000-0000-0000240E0000}"/>
    <hyperlink ref="I1813" r:id="rId3622" display="https://www.facebook.com/rapplerdotcom/photos/a.317154781638645/5595372260483511/" xr:uid="{00000000-0004-0000-0000-0000250E0000}"/>
    <hyperlink ref="A1814" r:id="rId3623" display="https://www.facebook.com/johndiazcortez" xr:uid="{00000000-0004-0000-0000-0000260E0000}"/>
    <hyperlink ref="I1814" r:id="rId3624" display="https://www.facebook.com/rapplerdotcom/photos/a.317154781638645/5595372260483511/" xr:uid="{00000000-0004-0000-0000-0000270E0000}"/>
    <hyperlink ref="A1815" r:id="rId3625" display="https://www.facebook.com/dez.delmundosamson" xr:uid="{00000000-0004-0000-0000-0000280E0000}"/>
    <hyperlink ref="I1815" r:id="rId3626" display="https://www.facebook.com/rapplerdotcom/photos/a.317154781638645/5595372260483511/" xr:uid="{00000000-0004-0000-0000-0000290E0000}"/>
    <hyperlink ref="A1816" r:id="rId3627" display="https://www.facebook.com/chitocmorales" xr:uid="{00000000-0004-0000-0000-00002A0E0000}"/>
    <hyperlink ref="I1816" r:id="rId3628" display="https://www.facebook.com/rapplerdotcom/photos/a.317154781638645/5595372260483511/" xr:uid="{00000000-0004-0000-0000-00002B0E0000}"/>
    <hyperlink ref="A1817" r:id="rId3629" display="https://www.facebook.com/lina.tomboconmiralles" xr:uid="{00000000-0004-0000-0000-00002C0E0000}"/>
    <hyperlink ref="I1817" r:id="rId3630" display="https://www.facebook.com/rapplerdotcom/photos/a.317154781638645/5595372260483511/" xr:uid="{00000000-0004-0000-0000-00002D0E0000}"/>
    <hyperlink ref="A1818" r:id="rId3631" display="https://www.facebook.com/profile.php?id=100014924436490" xr:uid="{00000000-0004-0000-0000-00002E0E0000}"/>
    <hyperlink ref="I1818" r:id="rId3632" display="https://www.facebook.com/rapplerdotcom/photos/a.317154781638645/5595372260483511/" xr:uid="{00000000-0004-0000-0000-00002F0E0000}"/>
    <hyperlink ref="A1819" r:id="rId3633" display="https://www.facebook.com/adelina.francisco.3" xr:uid="{00000000-0004-0000-0000-0000300E0000}"/>
    <hyperlink ref="I1819" r:id="rId3634" display="https://www.facebook.com/rapplerdotcom/photos/a.317154781638645/5595372260483511/" xr:uid="{00000000-0004-0000-0000-0000310E0000}"/>
    <hyperlink ref="A1820" r:id="rId3635" display="https://www.facebook.com/pilar.alejo.9" xr:uid="{00000000-0004-0000-0000-0000320E0000}"/>
    <hyperlink ref="I1820" r:id="rId3636" display="https://www.facebook.com/rapplerdotcom/photos/a.317154781638645/5595372260483511/" xr:uid="{00000000-0004-0000-0000-0000330E0000}"/>
    <hyperlink ref="A1821" r:id="rId3637" display="https://www.facebook.com/reginald.gavini" xr:uid="{00000000-0004-0000-0000-0000340E0000}"/>
    <hyperlink ref="I1821" r:id="rId3638" display="https://www.facebook.com/rapplerdotcom/photos/a.317154781638645/5595372260483511/" xr:uid="{00000000-0004-0000-0000-0000350E0000}"/>
    <hyperlink ref="A1822" r:id="rId3639" display="https://www.facebook.com/vinceian06" xr:uid="{00000000-0004-0000-0000-0000360E0000}"/>
    <hyperlink ref="I1822" r:id="rId3640" display="https://www.facebook.com/rapplerdotcom/photos/a.317154781638645/5595372260483511/" xr:uid="{00000000-0004-0000-0000-0000370E0000}"/>
    <hyperlink ref="A1823" r:id="rId3641" display="https://www.facebook.com/joshybanez" xr:uid="{00000000-0004-0000-0000-0000380E0000}"/>
    <hyperlink ref="I1823" r:id="rId3642" display="https://www.facebook.com/rapplerdotcom/photos/a.317154781638645/5595372260483511/" xr:uid="{00000000-0004-0000-0000-0000390E0000}"/>
    <hyperlink ref="A1824" r:id="rId3643" display="https://www.facebook.com/champoybulletelbow" xr:uid="{00000000-0004-0000-0000-00003A0E0000}"/>
    <hyperlink ref="I1824" r:id="rId3644" display="https://www.facebook.com/rapplerdotcom/photos/a.317154781638645/5595372260483511/" xr:uid="{00000000-0004-0000-0000-00003B0E0000}"/>
    <hyperlink ref="A1825" r:id="rId3645" display="https://www.facebook.com/maleolore.piczon" xr:uid="{00000000-0004-0000-0000-00003C0E0000}"/>
    <hyperlink ref="I1825" r:id="rId3646" display="https://www.facebook.com/rapplerdotcom/photos/a.317154781638645/5595372260483511/" xr:uid="{00000000-0004-0000-0000-00003D0E0000}"/>
    <hyperlink ref="A1826" r:id="rId3647" display="https://www.facebook.com/john.f.papa" xr:uid="{00000000-0004-0000-0000-00003E0E0000}"/>
    <hyperlink ref="I1826" r:id="rId3648" display="https://www.facebook.com/rapplerdotcom/photos/a.317154781638645/5595372260483511/" xr:uid="{00000000-0004-0000-0000-00003F0E0000}"/>
    <hyperlink ref="A1827" r:id="rId3649" display="https://www.facebook.com/davidlacsina4" xr:uid="{00000000-0004-0000-0000-0000400E0000}"/>
    <hyperlink ref="I1827" r:id="rId3650" display="https://www.facebook.com/rapplerdotcom/photos/a.317154781638645/5595372260483511/" xr:uid="{00000000-0004-0000-0000-0000410E0000}"/>
    <hyperlink ref="A1828" r:id="rId3651" display="https://www.facebook.com/john.f.papa" xr:uid="{00000000-0004-0000-0000-0000420E0000}"/>
    <hyperlink ref="I1828" r:id="rId3652" display="https://www.facebook.com/rapplerdotcom/photos/a.317154781638645/5595372260483511/" xr:uid="{00000000-0004-0000-0000-0000430E0000}"/>
    <hyperlink ref="A1829" r:id="rId3653" display="https://www.facebook.com/araceli.ceciliobaduria" xr:uid="{00000000-0004-0000-0000-0000440E0000}"/>
    <hyperlink ref="I1829" r:id="rId3654" display="https://www.facebook.com/rapplerdotcom/photos/a.317154781638645/5595372260483511/" xr:uid="{00000000-0004-0000-0000-0000450E0000}"/>
    <hyperlink ref="A1830" r:id="rId3655" display="https://www.facebook.com/cherryl.manjares.14" xr:uid="{00000000-0004-0000-0000-0000460E0000}"/>
    <hyperlink ref="I1830" r:id="rId3656" display="https://www.facebook.com/rapplerdotcom/photos/a.317154781638645/5595372260483511/" xr:uid="{00000000-0004-0000-0000-0000470E0000}"/>
    <hyperlink ref="A1831" r:id="rId3657" display="https://www.facebook.com/dale.paypa" xr:uid="{00000000-0004-0000-0000-0000480E0000}"/>
    <hyperlink ref="I1831" r:id="rId3658" display="https://www.facebook.com/rapplerdotcom/photos/a.317154781638645/5595372260483511/" xr:uid="{00000000-0004-0000-0000-0000490E0000}"/>
    <hyperlink ref="A1832" r:id="rId3659" display="https://www.facebook.com/cora.ropeta" xr:uid="{00000000-0004-0000-0000-00004A0E0000}"/>
    <hyperlink ref="I1832" r:id="rId3660" display="https://www.facebook.com/rapplerdotcom/photos/a.317154781638645/5595372260483511/" xr:uid="{00000000-0004-0000-0000-00004B0E0000}"/>
    <hyperlink ref="A1833" r:id="rId3661" display="https://www.facebook.com/malikbin6.581730" xr:uid="{00000000-0004-0000-0000-00004C0E0000}"/>
    <hyperlink ref="I1833" r:id="rId3662" display="https://www.facebook.com/rapplerdotcom/photos/a.317154781638645/5595372260483511/" xr:uid="{00000000-0004-0000-0000-00004D0E0000}"/>
    <hyperlink ref="A1834" r:id="rId3663" display="https://www.facebook.com/yvic.delapena" xr:uid="{00000000-0004-0000-0000-00004E0E0000}"/>
    <hyperlink ref="I1834" r:id="rId3664" display="https://www.facebook.com/rapplerdotcom/photos/a.317154781638645/5595372260483511/" xr:uid="{00000000-0004-0000-0000-00004F0E0000}"/>
    <hyperlink ref="A1835" r:id="rId3665" display="https://www.facebook.com/xtudie" xr:uid="{00000000-0004-0000-0000-0000500E0000}"/>
    <hyperlink ref="I1835" r:id="rId3666" display="https://www.facebook.com/rapplerdotcom/photos/a.317154781638645/5595372260483511/" xr:uid="{00000000-0004-0000-0000-0000510E0000}"/>
    <hyperlink ref="A1836" r:id="rId3667" display="https://www.facebook.com/jf.ortega.9" xr:uid="{00000000-0004-0000-0000-0000520E0000}"/>
    <hyperlink ref="I1836" r:id="rId3668" display="https://www.facebook.com/rapplerdotcom/photos/a.317154781638645/5595162900504447/" xr:uid="{00000000-0004-0000-0000-0000530E0000}"/>
    <hyperlink ref="A1837" r:id="rId3669" display="https://www.facebook.com/ngorab.ngidnam" xr:uid="{00000000-0004-0000-0000-0000540E0000}"/>
    <hyperlink ref="I1837" r:id="rId3670" display="https://www.facebook.com/rapplerdotcom/photos/a.317154781638645/5595162900504447/" xr:uid="{00000000-0004-0000-0000-0000550E0000}"/>
    <hyperlink ref="A1838" r:id="rId3671" display="https://www.facebook.com/jimmy.ballesteros" xr:uid="{00000000-0004-0000-0000-0000560E0000}"/>
    <hyperlink ref="I1838" r:id="rId3672" display="https://www.facebook.com/rapplerdotcom/photos/a.317154781638645/5595162900504447/" xr:uid="{00000000-0004-0000-0000-0000570E0000}"/>
    <hyperlink ref="A1839" r:id="rId3673" display="https://www.facebook.com/celia.menaje" xr:uid="{00000000-0004-0000-0000-0000580E0000}"/>
    <hyperlink ref="I1839" r:id="rId3674" display="https://www.facebook.com/rapplerdotcom/photos/a.317154781638645/5595162900504447/" xr:uid="{00000000-0004-0000-0000-0000590E0000}"/>
    <hyperlink ref="A1840" r:id="rId3675" display="https://www.facebook.com/alma.deguzman.5891" xr:uid="{00000000-0004-0000-0000-00005A0E0000}"/>
    <hyperlink ref="I1840" r:id="rId3676" display="https://www.facebook.com/rapplerdotcom/photos/a.317154781638645/5595162900504447/" xr:uid="{00000000-0004-0000-0000-00005B0E0000}"/>
    <hyperlink ref="A1841" r:id="rId3677" display="https://www.facebook.com/profile.php?id=100076244510404" xr:uid="{00000000-0004-0000-0000-00005C0E0000}"/>
    <hyperlink ref="I1841" r:id="rId3678" display="https://www.facebook.com/rapplerdotcom/photos/a.317154781638645/5595162900504447/" xr:uid="{00000000-0004-0000-0000-00005D0E0000}"/>
    <hyperlink ref="A1842" r:id="rId3679" display="https://www.facebook.com/rolan.conos" xr:uid="{00000000-0004-0000-0000-00005E0E0000}"/>
    <hyperlink ref="I1842" r:id="rId3680" display="https://www.facebook.com/rapplerdotcom/photos/a.317154781638645/5595162900504447/" xr:uid="{00000000-0004-0000-0000-00005F0E0000}"/>
    <hyperlink ref="A1843" r:id="rId3681" display="https://www.facebook.com/JayArziiGee" xr:uid="{00000000-0004-0000-0000-0000600E0000}"/>
    <hyperlink ref="I1843" r:id="rId3682" display="https://www.facebook.com/rapplerdotcom/photos/a.317154781638645/5595162900504447/" xr:uid="{00000000-0004-0000-0000-0000610E0000}"/>
    <hyperlink ref="A1844" r:id="rId3683" display="https://www.facebook.com/bodick.cruz" xr:uid="{00000000-0004-0000-0000-0000620E0000}"/>
    <hyperlink ref="I1844" r:id="rId3684" display="https://www.facebook.com/rapplerdotcom/photos/a.317154781638645/5595162900504447/" xr:uid="{00000000-0004-0000-0000-0000630E0000}"/>
    <hyperlink ref="A1845" r:id="rId3685" display="https://www.facebook.com/linda.gardon" xr:uid="{00000000-0004-0000-0000-0000640E0000}"/>
    <hyperlink ref="I1845" r:id="rId3686" display="https://www.facebook.com/rapplerdotcom/photos/a.317154781638645/5595162900504447/" xr:uid="{00000000-0004-0000-0000-0000650E0000}"/>
    <hyperlink ref="A1846" r:id="rId3687" display="https://www.facebook.com/maricel.delacruz.399" xr:uid="{00000000-0004-0000-0000-0000660E0000}"/>
    <hyperlink ref="I1846" r:id="rId3688" display="https://www.facebook.com/rapplerdotcom/photos/a.317154781638645/5595162900504447/" xr:uid="{00000000-0004-0000-0000-0000670E0000}"/>
    <hyperlink ref="A1847" r:id="rId3689" display="https://www.facebook.com/annabelle.cruz.98" xr:uid="{00000000-0004-0000-0000-0000680E0000}"/>
    <hyperlink ref="I1847" r:id="rId3690" display="https://www.facebook.com/rapplerdotcom/photos/a.317154781638645/5595162900504447/" xr:uid="{00000000-0004-0000-0000-0000690E0000}"/>
    <hyperlink ref="A1848" r:id="rId3691" display="https://www.facebook.com/sally.benasfre" xr:uid="{00000000-0004-0000-0000-00006A0E0000}"/>
    <hyperlink ref="I1848" r:id="rId3692" display="https://www.facebook.com/rapplerdotcom/photos/a.317154781638645/5595162900504447/" xr:uid="{00000000-0004-0000-0000-00006B0E0000}"/>
    <hyperlink ref="A1849" r:id="rId3693" display="https://www.facebook.com/maricel.delacruz.399" xr:uid="{00000000-0004-0000-0000-00006C0E0000}"/>
    <hyperlink ref="I1849" r:id="rId3694" display="https://www.facebook.com/rapplerdotcom/photos/a.317154781638645/5595162900504447/" xr:uid="{00000000-0004-0000-0000-00006D0E0000}"/>
    <hyperlink ref="A1850" r:id="rId3695" display="https://www.facebook.com/wystanc" xr:uid="{00000000-0004-0000-0000-00006E0E0000}"/>
    <hyperlink ref="I1850" r:id="rId3696" display="https://www.facebook.com/rapplerdotcom/photos/a.317154781638645/5595162900504447/" xr:uid="{00000000-0004-0000-0000-00006F0E0000}"/>
    <hyperlink ref="A1851" r:id="rId3697" display="https://www.facebook.com/pepe.jacinto" xr:uid="{00000000-0004-0000-0000-0000700E0000}"/>
    <hyperlink ref="I1851" r:id="rId3698" display="https://www.facebook.com/rapplerdotcom/photos/a.317154781638645/5595162900504447/" xr:uid="{00000000-0004-0000-0000-0000710E0000}"/>
    <hyperlink ref="A1852" r:id="rId3699" display="https://www.facebook.com/jimmy.ballesteros" xr:uid="{00000000-0004-0000-0000-0000720E0000}"/>
    <hyperlink ref="I1852" r:id="rId3700" display="https://www.facebook.com/rapplerdotcom/photos/a.317154781638645/5595162900504447/" xr:uid="{00000000-0004-0000-0000-0000730E0000}"/>
    <hyperlink ref="A1853" r:id="rId3701" display="https://www.facebook.com/profile.php?id=100070542605397" xr:uid="{00000000-0004-0000-0000-0000740E0000}"/>
    <hyperlink ref="I1853" r:id="rId3702" display="https://www.facebook.com/rapplerdotcom/photos/a.317154781638645/5595162900504447/" xr:uid="{00000000-0004-0000-0000-0000750E0000}"/>
    <hyperlink ref="A1854" r:id="rId3703" display="https://www.facebook.com/smileydokie" xr:uid="{00000000-0004-0000-0000-0000760E0000}"/>
    <hyperlink ref="I1854" r:id="rId3704" display="https://www.facebook.com/rapplerdotcom/photos/a.317154781638645/5595162900504447/" xr:uid="{00000000-0004-0000-0000-0000770E0000}"/>
    <hyperlink ref="A1855" r:id="rId3705" display="https://www.facebook.com/profile.php?id=100008376073692" xr:uid="{00000000-0004-0000-0000-0000780E0000}"/>
    <hyperlink ref="I1855" r:id="rId3706" display="https://www.facebook.com/rapplerdotcom/photos/a.317154781638645/5595162900504447/" xr:uid="{00000000-0004-0000-0000-0000790E0000}"/>
    <hyperlink ref="A1856" r:id="rId3707" display="https://www.facebook.com/jimmy.ballesteros" xr:uid="{00000000-0004-0000-0000-00007A0E0000}"/>
    <hyperlink ref="I1856" r:id="rId3708" display="https://www.facebook.com/rapplerdotcom/photos/a.317154781638645/5595162900504447/" xr:uid="{00000000-0004-0000-0000-00007B0E0000}"/>
    <hyperlink ref="A1857" r:id="rId3709" display="https://www.facebook.com/rey.sumam" xr:uid="{00000000-0004-0000-0000-00007C0E0000}"/>
    <hyperlink ref="I1857" r:id="rId3710" display="https://www.facebook.com/rapplerdotcom/photos/a.317154781638645/5595162900504447/" xr:uid="{00000000-0004-0000-0000-00007D0E0000}"/>
    <hyperlink ref="A1858" r:id="rId3711" display="https://www.facebook.com/profile.php?id=100079524022087" xr:uid="{00000000-0004-0000-0000-00007E0E0000}"/>
    <hyperlink ref="I1858" r:id="rId3712" display="https://www.facebook.com/rapplerdotcom/photos/a.317154781638645/5595162900504447/" xr:uid="{00000000-0004-0000-0000-00007F0E0000}"/>
    <hyperlink ref="A1859" r:id="rId3713" display="https://www.facebook.com/johndel.abella.7" xr:uid="{00000000-0004-0000-0000-0000800E0000}"/>
    <hyperlink ref="I1859" r:id="rId3714" display="https://www.facebook.com/rapplerdotcom/photos/a.317154781638645/5595162900504447/" xr:uid="{00000000-0004-0000-0000-0000810E0000}"/>
    <hyperlink ref="A1860" r:id="rId3715" display="https://www.facebook.com/hansel.brown.100" xr:uid="{00000000-0004-0000-0000-0000820E0000}"/>
    <hyperlink ref="I1860" r:id="rId3716" display="https://www.facebook.com/rapplerdotcom/photos/a.317154781638645/5595162900504447/" xr:uid="{00000000-0004-0000-0000-0000830E0000}"/>
    <hyperlink ref="A1861" r:id="rId3717" display="https://www.facebook.com/ameliaarana12345" xr:uid="{00000000-0004-0000-0000-0000840E0000}"/>
    <hyperlink ref="I1861" r:id="rId3718" display="https://www.facebook.com/rapplerdotcom/photos/a.317154781638645/5595162900504447/" xr:uid="{00000000-0004-0000-0000-0000850E0000}"/>
    <hyperlink ref="A1862" r:id="rId3719" display="https://www.facebook.com/profile.php?id=100007713915539" xr:uid="{00000000-0004-0000-0000-0000860E0000}"/>
    <hyperlink ref="I1862" r:id="rId3720" display="https://www.facebook.com/rapplerdotcom/photos/a.317154781638645/5595162900504447/" xr:uid="{00000000-0004-0000-0000-0000870E0000}"/>
    <hyperlink ref="A1863" r:id="rId3721" display="https://www.facebook.com/profile.php?id=100040658171991" xr:uid="{00000000-0004-0000-0000-0000880E0000}"/>
    <hyperlink ref="I1863" r:id="rId3722" display="https://www.facebook.com/rapplerdotcom/photos/a.317154781638645/5595162900504447/" xr:uid="{00000000-0004-0000-0000-0000890E0000}"/>
    <hyperlink ref="A1864" r:id="rId3723" display="https://www.facebook.com/butz.arribe" xr:uid="{00000000-0004-0000-0000-00008A0E0000}"/>
    <hyperlink ref="I1864" r:id="rId3724" display="https://www.facebook.com/rapplerdotcom/photos/a.317154781638645/5595162900504447/" xr:uid="{00000000-0004-0000-0000-00008B0E0000}"/>
    <hyperlink ref="A1865" r:id="rId3725" display="https://www.facebook.com/holaissa.jaboneta" xr:uid="{00000000-0004-0000-0000-00008C0E0000}"/>
    <hyperlink ref="I1865" r:id="rId3726" display="https://www.facebook.com/rapplerdotcom/photos/a.317154781638645/5595162900504447/" xr:uid="{00000000-0004-0000-0000-00008D0E0000}"/>
    <hyperlink ref="A1866" r:id="rId3727" display="https://www.facebook.com/JayArziiGee" xr:uid="{00000000-0004-0000-0000-00008E0E0000}"/>
    <hyperlink ref="I1866" r:id="rId3728" display="https://www.facebook.com/rapplerdotcom/photos/a.317154781638645/5595162900504447/" xr:uid="{00000000-0004-0000-0000-00008F0E0000}"/>
    <hyperlink ref="A1867" r:id="rId3729" display="https://www.facebook.com/profile.php?id=100075210031359" xr:uid="{00000000-0004-0000-0000-0000900E0000}"/>
    <hyperlink ref="I1867" r:id="rId3730" display="https://www.facebook.com/rapplerdotcom/photos/a.317154781638645/5595162900504447/" xr:uid="{00000000-0004-0000-0000-0000910E0000}"/>
    <hyperlink ref="A1868" r:id="rId3731" display="https://www.facebook.com/jimmy.ballesteros" xr:uid="{00000000-0004-0000-0000-0000920E0000}"/>
    <hyperlink ref="I1868" r:id="rId3732" display="https://www.facebook.com/rapplerdotcom/photos/a.317154781638645/5595162900504447/" xr:uid="{00000000-0004-0000-0000-0000930E0000}"/>
    <hyperlink ref="A1869" r:id="rId3733" display="https://www.facebook.com/jimmy.ballesteros" xr:uid="{00000000-0004-0000-0000-0000940E0000}"/>
    <hyperlink ref="I1869" r:id="rId3734" display="https://www.facebook.com/rapplerdotcom/photos/a.317154781638645/5595162900504447/" xr:uid="{00000000-0004-0000-0000-0000950E0000}"/>
    <hyperlink ref="A1870" r:id="rId3735" display="https://www.facebook.com/profile.php?id=100011366202531" xr:uid="{00000000-0004-0000-0000-0000960E0000}"/>
    <hyperlink ref="I1870" r:id="rId3736" display="https://www.facebook.com/rapplerdotcom/photos/a.317154781638645/5595162900504447/" xr:uid="{00000000-0004-0000-0000-0000970E0000}"/>
    <hyperlink ref="A1871" r:id="rId3737" display="https://www.facebook.com/ferdy.romualdez" xr:uid="{00000000-0004-0000-0000-0000980E0000}"/>
    <hyperlink ref="I1871" r:id="rId3738" display="https://www.facebook.com/rapplerdotcom/photos/a.317154781638645/5595162900504447/" xr:uid="{00000000-0004-0000-0000-0000990E0000}"/>
    <hyperlink ref="A1872" r:id="rId3739" display="https://www.facebook.com/profile.php?id=100009351123949" xr:uid="{00000000-0004-0000-0000-00009A0E0000}"/>
    <hyperlink ref="I1872" r:id="rId3740" display="https://www.facebook.com/rapplerdotcom/photos/a.317154781638645/5595162900504447/" xr:uid="{00000000-0004-0000-0000-00009B0E0000}"/>
    <hyperlink ref="A1873" r:id="rId3741" display="https://www.facebook.com/jose.tagpi" xr:uid="{00000000-0004-0000-0000-00009C0E0000}"/>
    <hyperlink ref="I1873" r:id="rId3742" display="https://www.facebook.com/rapplerdotcom/photos/a.317154781638645/5595162900504447/" xr:uid="{00000000-0004-0000-0000-00009D0E0000}"/>
    <hyperlink ref="A1874" r:id="rId3743" display="https://www.facebook.com/cidernald" xr:uid="{00000000-0004-0000-0000-00009E0E0000}"/>
    <hyperlink ref="I1874" r:id="rId3744" display="https://www.facebook.com/rapplerdotcom/photos/a.317154781638645/5595162900504447/" xr:uid="{00000000-0004-0000-0000-00009F0E0000}"/>
    <hyperlink ref="A1875" r:id="rId3745" display="https://www.facebook.com/benjo.albano" xr:uid="{00000000-0004-0000-0000-0000A00E0000}"/>
    <hyperlink ref="I1875" r:id="rId3746" display="https://www.facebook.com/rapplerdotcom/posts/pfbid0dyWpzxim3h4Z2SYriGakwQw85p7BCAgct7KU5EiMX1bmmgNHDD8nmES8rjrADsrPl" xr:uid="{00000000-0004-0000-0000-0000A10E0000}"/>
    <hyperlink ref="A1876" r:id="rId3747" display="https://www.facebook.com/mabel.c.arboleda" xr:uid="{00000000-0004-0000-0000-0000A20E0000}"/>
    <hyperlink ref="I1876" r:id="rId3748" display="https://www.facebook.com/rapplerdotcom/posts/pfbid0dyWpzxim3h4Z2SYriGakwQw85p7BCAgct7KU5EiMX1bmmgNHDD8nmES8rjrADsrPl" xr:uid="{00000000-0004-0000-0000-0000A30E0000}"/>
    <hyperlink ref="A1877" r:id="rId3749" display="https://www.facebook.com/reymar.falcunaya" xr:uid="{00000000-0004-0000-0000-0000A40E0000}"/>
    <hyperlink ref="I1877" r:id="rId3750" display="https://www.facebook.com/rapplerdotcom/posts/pfbid0dyWpzxim3h4Z2SYriGakwQw85p7BCAgct7KU5EiMX1bmmgNHDD8nmES8rjrADsrPl" xr:uid="{00000000-0004-0000-0000-0000A50E0000}"/>
    <hyperlink ref="A1878" r:id="rId3751" display="https://www.facebook.com/cecile.agobian" xr:uid="{00000000-0004-0000-0000-0000A60E0000}"/>
    <hyperlink ref="I1878" r:id="rId3752" display="https://www.facebook.com/rapplerdotcom/posts/pfbid0dyWpzxim3h4Z2SYriGakwQw85p7BCAgct7KU5EiMX1bmmgNHDD8nmES8rjrADsrPl" xr:uid="{00000000-0004-0000-0000-0000A70E0000}"/>
    <hyperlink ref="A1879" r:id="rId3753" display="https://www.facebook.com/poli.lidi" xr:uid="{00000000-0004-0000-0000-0000A80E0000}"/>
    <hyperlink ref="I1879" r:id="rId3754" display="https://www.facebook.com/rapplerdotcom/posts/pfbid0dyWpzxim3h4Z2SYriGakwQw85p7BCAgct7KU5EiMX1bmmgNHDD8nmES8rjrADsrPl" xr:uid="{00000000-0004-0000-0000-0000A90E0000}"/>
    <hyperlink ref="A1880" r:id="rId3755" display="https://www.facebook.com/cehfabre" xr:uid="{00000000-0004-0000-0000-0000AA0E0000}"/>
    <hyperlink ref="I1880" r:id="rId3756" display="https://www.facebook.com/rapplerdotcom/posts/pfbid0dyWpzxim3h4Z2SYriGakwQw85p7BCAgct7KU5EiMX1bmmgNHDD8nmES8rjrADsrPl" xr:uid="{00000000-0004-0000-0000-0000AB0E0000}"/>
    <hyperlink ref="A1881" r:id="rId3757" display="https://www.facebook.com/edna.bautista.37" xr:uid="{00000000-0004-0000-0000-0000AC0E0000}"/>
    <hyperlink ref="I1881" r:id="rId3758" display="https://www.facebook.com/rapplerdotcom/posts/pfbid0dyWpzxim3h4Z2SYriGakwQw85p7BCAgct7KU5EiMX1bmmgNHDD8nmES8rjrADsrPl" xr:uid="{00000000-0004-0000-0000-0000AD0E0000}"/>
    <hyperlink ref="A1882" r:id="rId3759" display="https://www.facebook.com/imeldatorres.perocho" xr:uid="{00000000-0004-0000-0000-0000AE0E0000}"/>
    <hyperlink ref="I1882" r:id="rId3760" display="https://www.facebook.com/rapplerdotcom/posts/pfbid0dyWpzxim3h4Z2SYriGakwQw85p7BCAgct7KU5EiMX1bmmgNHDD8nmES8rjrADsrPl" xr:uid="{00000000-0004-0000-0000-0000AF0E0000}"/>
    <hyperlink ref="A1883" r:id="rId3761" display="https://www.facebook.com/xyrinageneve.tulbe" xr:uid="{00000000-0004-0000-0000-0000B00E0000}"/>
    <hyperlink ref="I1883" r:id="rId3762" display="https://www.facebook.com/rapplerdotcom/posts/pfbid0dyWpzxim3h4Z2SYriGakwQw85p7BCAgct7KU5EiMX1bmmgNHDD8nmES8rjrADsrPl" xr:uid="{00000000-0004-0000-0000-0000B10E0000}"/>
    <hyperlink ref="A1884" r:id="rId3763" display="https://www.facebook.com/xyrinageneve.tulbe" xr:uid="{00000000-0004-0000-0000-0000B20E0000}"/>
    <hyperlink ref="I1884" r:id="rId3764" display="https://www.facebook.com/rapplerdotcom/posts/pfbid0dyWpzxim3h4Z2SYriGakwQw85p7BCAgct7KU5EiMX1bmmgNHDD8nmES8rjrADsrPl" xr:uid="{00000000-0004-0000-0000-0000B30E0000}"/>
    <hyperlink ref="A1885" r:id="rId3765" display="https://www.facebook.com/edna.bautista.37" xr:uid="{00000000-0004-0000-0000-0000B40E0000}"/>
    <hyperlink ref="I1885" r:id="rId3766" display="https://www.facebook.com/rapplerdotcom/posts/pfbid0dyWpzxim3h4Z2SYriGakwQw85p7BCAgct7KU5EiMX1bmmgNHDD8nmES8rjrADsrPl" xr:uid="{00000000-0004-0000-0000-0000B50E0000}"/>
    <hyperlink ref="A1886" r:id="rId3767" display="https://www.facebook.com/profile.php?id=100005010463773" xr:uid="{00000000-0004-0000-0000-0000B60E0000}"/>
    <hyperlink ref="I1886" r:id="rId3768" display="https://www.facebook.com/rapplerdotcom/posts/pfbid0dyWpzxim3h4Z2SYriGakwQw85p7BCAgct7KU5EiMX1bmmgNHDD8nmES8rjrADsrPl" xr:uid="{00000000-0004-0000-0000-0000B70E0000}"/>
    <hyperlink ref="A1887" r:id="rId3769" display="https://www.facebook.com/imeldatorres.perocho" xr:uid="{00000000-0004-0000-0000-0000B80E0000}"/>
    <hyperlink ref="I1887" r:id="rId3770" display="https://www.facebook.com/rapplerdotcom/posts/pfbid0dyWpzxim3h4Z2SYriGakwQw85p7BCAgct7KU5EiMX1bmmgNHDD8nmES8rjrADsrPl" xr:uid="{00000000-0004-0000-0000-0000B90E0000}"/>
    <hyperlink ref="A1888" r:id="rId3771" display="https://www.facebook.com/armando.guevarra.90" xr:uid="{00000000-0004-0000-0000-0000BA0E0000}"/>
    <hyperlink ref="I1888" r:id="rId3772" display="https://www.facebook.com/rapplerdotcom/posts/pfbid0dyWpzxim3h4Z2SYriGakwQw85p7BCAgct7KU5EiMX1bmmgNHDD8nmES8rjrADsrPl" xr:uid="{00000000-0004-0000-0000-0000BB0E0000}"/>
    <hyperlink ref="A1889" r:id="rId3773" display="https://www.facebook.com/cheryl.belleza" xr:uid="{00000000-0004-0000-0000-0000BC0E0000}"/>
    <hyperlink ref="I1889" r:id="rId3774" display="https://www.facebook.com/rapplerdotcom/posts/pfbid0dyWpzxim3h4Z2SYriGakwQw85p7BCAgct7KU5EiMX1bmmgNHDD8nmES8rjrADsrPl" xr:uid="{00000000-0004-0000-0000-0000BD0E0000}"/>
    <hyperlink ref="A1890" r:id="rId3775" display="https://www.facebook.com/velvet.marj" xr:uid="{00000000-0004-0000-0000-0000BE0E0000}"/>
    <hyperlink ref="I1890" r:id="rId3776" display="https://www.facebook.com/rapplerdotcom/posts/pfbid0dyWpzxim3h4Z2SYriGakwQw85p7BCAgct7KU5EiMX1bmmgNHDD8nmES8rjrADsrPl" xr:uid="{00000000-0004-0000-0000-0000BF0E0000}"/>
    <hyperlink ref="A1891" r:id="rId3777" display="https://www.facebook.com/nilo.seda" xr:uid="{00000000-0004-0000-0000-0000C00E0000}"/>
    <hyperlink ref="I1891" r:id="rId3778" display="https://www.facebook.com/rapplerdotcom/posts/pfbid0dyWpzxim3h4Z2SYriGakwQw85p7BCAgct7KU5EiMX1bmmgNHDD8nmES8rjrADsrPl" xr:uid="{00000000-0004-0000-0000-0000C10E0000}"/>
    <hyperlink ref="A1892" r:id="rId3779" display="https://www.facebook.com/jamostiago" xr:uid="{00000000-0004-0000-0000-0000C20E0000}"/>
    <hyperlink ref="I1892" r:id="rId3780" display="https://www.facebook.com/rapplerdotcom/posts/pfbid0dyWpzxim3h4Z2SYriGakwQw85p7BCAgct7KU5EiMX1bmmgNHDD8nmES8rjrADsrPl" xr:uid="{00000000-0004-0000-0000-0000C30E0000}"/>
    <hyperlink ref="A1893" r:id="rId3781" display="https://www.facebook.com/stevenchoocy" xr:uid="{00000000-0004-0000-0000-0000C40E0000}"/>
    <hyperlink ref="I1893" r:id="rId3782" display="https://www.facebook.com/rapplerdotcom/posts/pfbid0dyWpzxim3h4Z2SYriGakwQw85p7BCAgct7KU5EiMX1bmmgNHDD8nmES8rjrADsrPl" xr:uid="{00000000-0004-0000-0000-0000C50E0000}"/>
    <hyperlink ref="A1894" r:id="rId3783" display="https://www.facebook.com/nolie.mantaring" xr:uid="{00000000-0004-0000-0000-0000C60E0000}"/>
    <hyperlink ref="I1894" r:id="rId3784" display="https://www.facebook.com/rapplerdotcom/posts/pfbid0dyWpzxim3h4Z2SYriGakwQw85p7BCAgct7KU5EiMX1bmmgNHDD8nmES8rjrADsrPl" xr:uid="{00000000-0004-0000-0000-0000C70E0000}"/>
    <hyperlink ref="A1895" r:id="rId3785" display="https://www.facebook.com/profile.php?id=100013497646924" xr:uid="{00000000-0004-0000-0000-0000C80E0000}"/>
    <hyperlink ref="I1895" r:id="rId3786" display="https://www.facebook.com/rapplerdotcom/posts/pfbid0dyWpzxim3h4Z2SYriGakwQw85p7BCAgct7KU5EiMX1bmmgNHDD8nmES8rjrADsrPl" xr:uid="{00000000-0004-0000-0000-0000C90E0000}"/>
    <hyperlink ref="A1896" r:id="rId3787" display="https://www.facebook.com/cecile.agobian" xr:uid="{00000000-0004-0000-0000-0000CA0E0000}"/>
    <hyperlink ref="I1896" r:id="rId3788" display="https://www.facebook.com/rapplerdotcom/posts/pfbid0dyWpzxim3h4Z2SYriGakwQw85p7BCAgct7KU5EiMX1bmmgNHDD8nmES8rjrADsrPl" xr:uid="{00000000-0004-0000-0000-0000CB0E0000}"/>
    <hyperlink ref="A1897" r:id="rId3789" display="https://www.facebook.com/emil.paragas" xr:uid="{00000000-0004-0000-0000-0000CC0E0000}"/>
    <hyperlink ref="I1897" r:id="rId3790" display="https://www.facebook.com/rapplerdotcom/posts/pfbid0dyWpzxim3h4Z2SYriGakwQw85p7BCAgct7KU5EiMX1bmmgNHDD8nmES8rjrADsrPl" xr:uid="{00000000-0004-0000-0000-0000CD0E0000}"/>
    <hyperlink ref="A1898" r:id="rId3791" display="https://www.facebook.com/nilo.asas" xr:uid="{00000000-0004-0000-0000-0000CE0E0000}"/>
    <hyperlink ref="I1898" r:id="rId3792" display="https://www.facebook.com/rapplerdotcom/posts/pfbid0dyWpzxim3h4Z2SYriGakwQw85p7BCAgct7KU5EiMX1bmmgNHDD8nmES8rjrADsrPl" xr:uid="{00000000-0004-0000-0000-0000CF0E0000}"/>
    <hyperlink ref="A1899" r:id="rId3793" display="https://www.facebook.com/ronan.alejandro" xr:uid="{00000000-0004-0000-0000-0000D00E0000}"/>
    <hyperlink ref="I1899" r:id="rId3794" display="https://www.facebook.com/rapplerdotcom/posts/pfbid0dyWpzxim3h4Z2SYriGakwQw85p7BCAgct7KU5EiMX1bmmgNHDD8nmES8rjrADsrPl" xr:uid="{00000000-0004-0000-0000-0000D10E0000}"/>
    <hyperlink ref="A1900" r:id="rId3795" display="https://www.facebook.com/babie.canete" xr:uid="{00000000-0004-0000-0000-0000D20E0000}"/>
    <hyperlink ref="I1900" r:id="rId3796" display="https://www.facebook.com/rapplerdotcom/posts/pfbid0dyWpzxim3h4Z2SYriGakwQw85p7BCAgct7KU5EiMX1bmmgNHDD8nmES8rjrADsrPl" xr:uid="{00000000-0004-0000-0000-0000D30E0000}"/>
    <hyperlink ref="A1901" r:id="rId3797" display="https://www.facebook.com/emil.paragas" xr:uid="{00000000-0004-0000-0000-0000D40E0000}"/>
    <hyperlink ref="I1901" r:id="rId3798" display="https://www.facebook.com/rapplerdotcom/posts/pfbid0dyWpzxim3h4Z2SYriGakwQw85p7BCAgct7KU5EiMX1bmmgNHDD8nmES8rjrADsrPl" xr:uid="{00000000-0004-0000-0000-0000D50E0000}"/>
    <hyperlink ref="A1902" r:id="rId3799" display="https://www.facebook.com/emil.paragas" xr:uid="{00000000-0004-0000-0000-0000D60E0000}"/>
    <hyperlink ref="I1902" r:id="rId3800" display="https://www.facebook.com/rapplerdotcom/posts/pfbid0dyWpzxim3h4Z2SYriGakwQw85p7BCAgct7KU5EiMX1bmmgNHDD8nmES8rjrADsrPl" xr:uid="{00000000-0004-0000-0000-0000D70E0000}"/>
    <hyperlink ref="A1903" r:id="rId3801" display="https://www.facebook.com/ronan.alejandro" xr:uid="{00000000-0004-0000-0000-0000D80E0000}"/>
    <hyperlink ref="I1903" r:id="rId3802" display="https://www.facebook.com/rapplerdotcom/posts/pfbid0dyWpzxim3h4Z2SYriGakwQw85p7BCAgct7KU5EiMX1bmmgNHDD8nmES8rjrADsrPl" xr:uid="{00000000-0004-0000-0000-0000D90E0000}"/>
    <hyperlink ref="A1904" r:id="rId3803" display="https://www.facebook.com/emil.paragas" xr:uid="{00000000-0004-0000-0000-0000DA0E0000}"/>
    <hyperlink ref="I1904" r:id="rId3804" display="https://www.facebook.com/rapplerdotcom/posts/pfbid0dyWpzxim3h4Z2SYriGakwQw85p7BCAgct7KU5EiMX1bmmgNHDD8nmES8rjrADsrPl" xr:uid="{00000000-0004-0000-0000-0000DB0E0000}"/>
    <hyperlink ref="A1905" r:id="rId3805" display="https://www.facebook.com/nilo.asas" xr:uid="{00000000-0004-0000-0000-0000DC0E0000}"/>
    <hyperlink ref="I1905" r:id="rId3806" display="https://www.facebook.com/rapplerdotcom/posts/pfbid0dyWpzxim3h4Z2SYriGakwQw85p7BCAgct7KU5EiMX1bmmgNHDD8nmES8rjrADsrPl" xr:uid="{00000000-0004-0000-0000-0000DD0E0000}"/>
    <hyperlink ref="A1906" r:id="rId3807" display="https://www.facebook.com/nilo.asas" xr:uid="{00000000-0004-0000-0000-0000DE0E0000}"/>
    <hyperlink ref="I1906" r:id="rId3808" display="https://www.facebook.com/rapplerdotcom/posts/pfbid0dyWpzxim3h4Z2SYriGakwQw85p7BCAgct7KU5EiMX1bmmgNHDD8nmES8rjrADsrPl" xr:uid="{00000000-0004-0000-0000-0000DF0E0000}"/>
    <hyperlink ref="A1907" r:id="rId3809" display="https://www.facebook.com/emil.paragas" xr:uid="{00000000-0004-0000-0000-0000E00E0000}"/>
    <hyperlink ref="I1907" r:id="rId3810" display="https://www.facebook.com/rapplerdotcom/posts/pfbid0dyWpzxim3h4Z2SYriGakwQw85p7BCAgct7KU5EiMX1bmmgNHDD8nmES8rjrADsrPl" xr:uid="{00000000-0004-0000-0000-0000E10E0000}"/>
    <hyperlink ref="A1908" r:id="rId3811" display="https://www.facebook.com/edna.aspe" xr:uid="{00000000-0004-0000-0000-0000E20E0000}"/>
    <hyperlink ref="I1908" r:id="rId3812" display="https://www.facebook.com/rapplerdotcom/posts/pfbid0dyWpzxim3h4Z2SYriGakwQw85p7BCAgct7KU5EiMX1bmmgNHDD8nmES8rjrADsrPl" xr:uid="{00000000-0004-0000-0000-0000E30E0000}"/>
    <hyperlink ref="A1909" r:id="rId3813" display="https://www.facebook.com/michelle.leslie.92102" xr:uid="{00000000-0004-0000-0000-0000E40E0000}"/>
    <hyperlink ref="I1909" r:id="rId3814" display="https://www.facebook.com/rapplerdotcom/posts/pfbid0dyWpzxim3h4Z2SYriGakwQw85p7BCAgct7KU5EiMX1bmmgNHDD8nmES8rjrADsrPl" xr:uid="{00000000-0004-0000-0000-0000E50E0000}"/>
    <hyperlink ref="A1910" r:id="rId3815" display="https://www.facebook.com/profile.php?id=100010288385661" xr:uid="{00000000-0004-0000-0000-0000E60E0000}"/>
    <hyperlink ref="I1910" r:id="rId3816" display="https://www.facebook.com/rapplerdotcom/posts/pfbid0dyWpzxim3h4Z2SYriGakwQw85p7BCAgct7KU5EiMX1bmmgNHDD8nmES8rjrADsrPl" xr:uid="{00000000-0004-0000-0000-0000E70E0000}"/>
    <hyperlink ref="A1911" r:id="rId3817" display="https://www.facebook.com/malating.tao" xr:uid="{00000000-0004-0000-0000-0000E80E0000}"/>
    <hyperlink ref="I1911" r:id="rId3818" display="https://www.facebook.com/rapplerdotcom/posts/pfbid0dyWpzxim3h4Z2SYriGakwQw85p7BCAgct7KU5EiMX1bmmgNHDD8nmES8rjrADsrPl" xr:uid="{00000000-0004-0000-0000-0000E90E0000}"/>
    <hyperlink ref="A1912" r:id="rId3819" display="https://www.facebook.com/maya.barsaga" xr:uid="{00000000-0004-0000-0000-0000EA0E0000}"/>
    <hyperlink ref="I1912" r:id="rId3820" display="https://www.facebook.com/rapplerdotcom/posts/pfbid0dyWpzxim3h4Z2SYriGakwQw85p7BCAgct7KU5EiMX1bmmgNHDD8nmES8rjrADsrPl" xr:uid="{00000000-0004-0000-0000-0000EB0E0000}"/>
    <hyperlink ref="A1913" r:id="rId3821" display="https://www.facebook.com/rodel.parambita" xr:uid="{00000000-0004-0000-0000-0000EC0E0000}"/>
    <hyperlink ref="I1913" r:id="rId3822" display="https://www.facebook.com/rapplerdotcom/posts/pfbid0dyWpzxim3h4Z2SYriGakwQw85p7BCAgct7KU5EiMX1bmmgNHDD8nmES8rjrADsrPl" xr:uid="{00000000-0004-0000-0000-0000ED0E0000}"/>
    <hyperlink ref="A1914" r:id="rId3823" display="https://www.facebook.com/cory.penaroyo" xr:uid="{00000000-0004-0000-0000-0000EE0E0000}"/>
    <hyperlink ref="I1914" r:id="rId3824" display="https://www.facebook.com/rapplerdotcom/posts/pfbid0dyWpzxim3h4Z2SYriGakwQw85p7BCAgct7KU5EiMX1bmmgNHDD8nmES8rjrADsrPl" xr:uid="{00000000-0004-0000-0000-0000EF0E0000}"/>
    <hyperlink ref="A1915" r:id="rId3825" display="https://www.facebook.com/zanlie.ebarita" xr:uid="{00000000-0004-0000-0000-0000F00E0000}"/>
    <hyperlink ref="I1915" r:id="rId3826" display="https://www.facebook.com/rapplerdotcom/posts/pfbid0dyWpzxim3h4Z2SYriGakwQw85p7BCAgct7KU5EiMX1bmmgNHDD8nmES8rjrADsrPl" xr:uid="{00000000-0004-0000-0000-0000F10E0000}"/>
    <hyperlink ref="A1916" r:id="rId3827" display="https://www.facebook.com/vchua1" xr:uid="{00000000-0004-0000-0000-0000F20E0000}"/>
    <hyperlink ref="I1916" r:id="rId3828" display="https://www.facebook.com/rapplerdotcom/posts/pfbid0dyWpzxim3h4Z2SYriGakwQw85p7BCAgct7KU5EiMX1bmmgNHDD8nmES8rjrADsrPl" xr:uid="{00000000-0004-0000-0000-0000F30E0000}"/>
    <hyperlink ref="A1917" r:id="rId3829" display="https://www.facebook.com/zanlie.ebarita" xr:uid="{00000000-0004-0000-0000-0000F40E0000}"/>
    <hyperlink ref="I1917" r:id="rId3830" display="https://www.facebook.com/rapplerdotcom/posts/pfbid0dyWpzxim3h4Z2SYriGakwQw85p7BCAgct7KU5EiMX1bmmgNHDD8nmES8rjrADsrPl" xr:uid="{00000000-0004-0000-0000-0000F50E0000}"/>
    <hyperlink ref="A1918" r:id="rId3831" display="https://www.facebook.com/be.aranza" xr:uid="{00000000-0004-0000-0000-0000F60E0000}"/>
    <hyperlink ref="I1918" r:id="rId3832" display="https://www.facebook.com/rapplerdotcom/posts/pfbid0dyWpzxim3h4Z2SYriGakwQw85p7BCAgct7KU5EiMX1bmmgNHDD8nmES8rjrADsrPl" xr:uid="{00000000-0004-0000-0000-0000F70E0000}"/>
    <hyperlink ref="A1919" r:id="rId3833" display="https://www.facebook.com/rosalie.lozada.1" xr:uid="{00000000-0004-0000-0000-0000F80E0000}"/>
    <hyperlink ref="I1919" r:id="rId3834" display="https://www.facebook.com/rapplerdotcom/posts/pfbid0dyWpzxim3h4Z2SYriGakwQw85p7BCAgct7KU5EiMX1bmmgNHDD8nmES8rjrADsrPl" xr:uid="{00000000-0004-0000-0000-0000F90E0000}"/>
    <hyperlink ref="A1920" r:id="rId3835" display="https://www.facebook.com/vhen.ayupan" xr:uid="{00000000-0004-0000-0000-0000FA0E0000}"/>
    <hyperlink ref="I1920" r:id="rId3836" display="https://www.facebook.com/rapplerdotcom/posts/pfbid0dyWpzxim3h4Z2SYriGakwQw85p7BCAgct7KU5EiMX1bmmgNHDD8nmES8rjrADsrPl" xr:uid="{00000000-0004-0000-0000-0000FB0E0000}"/>
    <hyperlink ref="A1921" r:id="rId3837" display="https://www.facebook.com/IZELMBG" xr:uid="{00000000-0004-0000-0000-0000FC0E0000}"/>
    <hyperlink ref="I1921" r:id="rId3838" display="https://www.facebook.com/rapplerdotcom/posts/pfbid0dyWpzxim3h4Z2SYriGakwQw85p7BCAgct7KU5EiMX1bmmgNHDD8nmES8rjrADsrPl" xr:uid="{00000000-0004-0000-0000-0000FD0E0000}"/>
    <hyperlink ref="A1922" r:id="rId3839" display="https://www.facebook.com/cynthia.tumanut" xr:uid="{00000000-0004-0000-0000-0000FE0E0000}"/>
    <hyperlink ref="I1922" r:id="rId3840" display="https://www.facebook.com/rapplerdotcom/posts/pfbid0dyWpzxim3h4Z2SYriGakwQw85p7BCAgct7KU5EiMX1bmmgNHDD8nmES8rjrADsrPl" xr:uid="{00000000-0004-0000-0000-0000FF0E0000}"/>
    <hyperlink ref="A1923" r:id="rId3841" display="https://www.facebook.com/angatbuhayplantlovers/" xr:uid="{00000000-0004-0000-0000-0000000F0000}"/>
    <hyperlink ref="I1923" r:id="rId3842" display="https://www.facebook.com/rapplerdotcom/posts/pfbid0dyWpzxim3h4Z2SYriGakwQw85p7BCAgct7KU5EiMX1bmmgNHDD8nmES8rjrADsrPl" xr:uid="{00000000-0004-0000-0000-0000010F0000}"/>
    <hyperlink ref="A1924" r:id="rId3843" display="https://www.facebook.com/edimar.maneser" xr:uid="{00000000-0004-0000-0000-0000020F0000}"/>
    <hyperlink ref="I1924" r:id="rId3844" display="https://www.facebook.com/rapplerdotcom/posts/pfbid0dyWpzxim3h4Z2SYriGakwQw85p7BCAgct7KU5EiMX1bmmgNHDD8nmES8rjrADsrPl" xr:uid="{00000000-0004-0000-0000-0000030F0000}"/>
    <hyperlink ref="A1925" r:id="rId3845" display="https://www.facebook.com/gemma.agcaoili.9028" xr:uid="{00000000-0004-0000-0000-0000040F0000}"/>
    <hyperlink ref="I1925" r:id="rId3846" display="https://www.facebook.com/rapplerdotcom/posts/pfbid0dyWpzxim3h4Z2SYriGakwQw85p7BCAgct7KU5EiMX1bmmgNHDD8nmES8rjrADsrPl" xr:uid="{00000000-0004-0000-0000-0000050F0000}"/>
    <hyperlink ref="A1926" r:id="rId3847" display="https://www.facebook.com/TEJAYYYY.ihsakat" xr:uid="{00000000-0004-0000-0000-0000060F0000}"/>
    <hyperlink ref="I1926" r:id="rId3848" display="https://www.facebook.com/rapplerdotcom/posts/pfbid0dyWpzxim3h4Z2SYriGakwQw85p7BCAgct7KU5EiMX1bmmgNHDD8nmES8rjrADsrPl" xr:uid="{00000000-0004-0000-0000-0000070F0000}"/>
    <hyperlink ref="A1927" r:id="rId3849" display="https://www.facebook.com/PeachCause" xr:uid="{00000000-0004-0000-0000-0000080F0000}"/>
    <hyperlink ref="I1927" r:id="rId3850" display="https://www.facebook.com/rapplerdotcom/posts/pfbid0dyWpzxim3h4Z2SYriGakwQw85p7BCAgct7KU5EiMX1bmmgNHDD8nmES8rjrADsrPl" xr:uid="{00000000-0004-0000-0000-0000090F0000}"/>
    <hyperlink ref="A1928" r:id="rId3851" display="https://www.facebook.com/rodrigo.lapidario16" xr:uid="{00000000-0004-0000-0000-00000A0F0000}"/>
    <hyperlink ref="I1928" r:id="rId3852" display="https://www.facebook.com/rapplerdotcom/posts/pfbid0dyWpzxim3h4Z2SYriGakwQw85p7BCAgct7KU5EiMX1bmmgNHDD8nmES8rjrADsrPl" xr:uid="{00000000-0004-0000-0000-00000B0F0000}"/>
    <hyperlink ref="A1929" r:id="rId3853" display="https://www.facebook.com/pedro.postrado.9" xr:uid="{00000000-0004-0000-0000-00000C0F0000}"/>
    <hyperlink ref="I1929" r:id="rId3854" display="https://www.facebook.com/rapplerdotcom/posts/pfbid0dyWpzxim3h4Z2SYriGakwQw85p7BCAgct7KU5EiMX1bmmgNHDD8nmES8rjrADsrPl" xr:uid="{00000000-0004-0000-0000-00000D0F0000}"/>
    <hyperlink ref="A1930" r:id="rId3855" display="https://www.facebook.com/alonzonoel.miclat.5" xr:uid="{00000000-0004-0000-0000-00000E0F0000}"/>
    <hyperlink ref="I1930" r:id="rId3856" display="https://www.facebook.com/rapplerdotcom/posts/pfbid0dyWpzxim3h4Z2SYriGakwQw85p7BCAgct7KU5EiMX1bmmgNHDD8nmES8rjrADsrPl" xr:uid="{00000000-0004-0000-0000-00000F0F0000}"/>
    <hyperlink ref="A1931" r:id="rId3857" display="https://www.facebook.com/alonzonoel.miclat.5" xr:uid="{00000000-0004-0000-0000-0000100F0000}"/>
    <hyperlink ref="I1931" r:id="rId3858" display="https://www.facebook.com/rapplerdotcom/posts/pfbid0dyWpzxim3h4Z2SYriGakwQw85p7BCAgct7KU5EiMX1bmmgNHDD8nmES8rjrADsrPl" xr:uid="{00000000-0004-0000-0000-0000110F0000}"/>
    <hyperlink ref="A1932" r:id="rId3859" display="https://www.facebook.com/rnl.mojica" xr:uid="{00000000-0004-0000-0000-0000120F0000}"/>
    <hyperlink ref="I1932" r:id="rId3860" display="https://www.facebook.com/rapplerdotcom/posts/pfbid0dyWpzxim3h4Z2SYriGakwQw85p7BCAgct7KU5EiMX1bmmgNHDD8nmES8rjrADsrPl" xr:uid="{00000000-0004-0000-0000-0000130F0000}"/>
    <hyperlink ref="A1933" r:id="rId3861" display="https://www.facebook.com/nandy.lucero" xr:uid="{00000000-0004-0000-0000-0000140F0000}"/>
    <hyperlink ref="I1933" r:id="rId3862" display="https://www.facebook.com/rapplerdotcom/posts/pfbid0dyWpzxim3h4Z2SYriGakwQw85p7BCAgct7KU5EiMX1bmmgNHDD8nmES8rjrADsrPl" xr:uid="{00000000-0004-0000-0000-0000150F0000}"/>
    <hyperlink ref="A1934" r:id="rId3863" display="https://www.facebook.com/niwafrancis" xr:uid="{00000000-0004-0000-0000-0000160F0000}"/>
    <hyperlink ref="I1934" r:id="rId3864" display="https://www.facebook.com/rapplerdotcom/posts/pfbid0dyWpzxim3h4Z2SYriGakwQw85p7BCAgct7KU5EiMX1bmmgNHDD8nmES8rjrADsrPl" xr:uid="{00000000-0004-0000-0000-0000170F0000}"/>
    <hyperlink ref="A1935" r:id="rId3865" display="https://www.facebook.com/alonzonoel.miclat.5" xr:uid="{00000000-0004-0000-0000-0000180F0000}"/>
    <hyperlink ref="I1935" r:id="rId3866" display="https://www.facebook.com/rapplerdotcom/posts/pfbid0dyWpzxim3h4Z2SYriGakwQw85p7BCAgct7KU5EiMX1bmmgNHDD8nmES8rjrADsrPl" xr:uid="{00000000-0004-0000-0000-0000190F0000}"/>
    <hyperlink ref="A1936" r:id="rId3867" display="https://www.facebook.com/nandy.lucero" xr:uid="{00000000-0004-0000-0000-00001A0F0000}"/>
    <hyperlink ref="I1936" r:id="rId3868" display="https://www.facebook.com/rapplerdotcom/posts/pfbid0dyWpzxim3h4Z2SYriGakwQw85p7BCAgct7KU5EiMX1bmmgNHDD8nmES8rjrADsrPl" xr:uid="{00000000-0004-0000-0000-00001B0F0000}"/>
    <hyperlink ref="A1937" r:id="rId3869" display="https://www.facebook.com/chye.phe" xr:uid="{00000000-0004-0000-0000-00001C0F0000}"/>
    <hyperlink ref="I1937" r:id="rId3870" display="https://www.facebook.com/rapplerdotcom/posts/pfbid0dyWpzxim3h4Z2SYriGakwQw85p7BCAgct7KU5EiMX1bmmgNHDD8nmES8rjrADsrPl" xr:uid="{00000000-0004-0000-0000-00001D0F0000}"/>
    <hyperlink ref="A1938" r:id="rId3871" display="https://www.facebook.com/pogingmabagsik" xr:uid="{00000000-0004-0000-0000-00001E0F0000}"/>
    <hyperlink ref="I1938" r:id="rId3872" display="https://www.facebook.com/rapplerdotcom/posts/pfbid0dyWpzxim3h4Z2SYriGakwQw85p7BCAgct7KU5EiMX1bmmgNHDD8nmES8rjrADsrPl" xr:uid="{00000000-0004-0000-0000-00001F0F0000}"/>
    <hyperlink ref="A1939" r:id="rId3873" display="https://www.facebook.com/olan.sulbiano" xr:uid="{00000000-0004-0000-0000-0000200F0000}"/>
    <hyperlink ref="I1939" r:id="rId3874" display="https://www.facebook.com/rapplerdotcom/posts/pfbid0dyWpzxim3h4Z2SYriGakwQw85p7BCAgct7KU5EiMX1bmmgNHDD8nmES8rjrADsrPl" xr:uid="{00000000-0004-0000-0000-0000210F0000}"/>
    <hyperlink ref="A1940" r:id="rId3875" display="https://www.facebook.com/ofel.chico" xr:uid="{00000000-0004-0000-0000-0000220F0000}"/>
    <hyperlink ref="I1940" r:id="rId3876" display="https://www.facebook.com/rapplerdotcom/posts/pfbid0dyWpzxim3h4Z2SYriGakwQw85p7BCAgct7KU5EiMX1bmmgNHDD8nmES8rjrADsrPl" xr:uid="{00000000-0004-0000-0000-0000230F0000}"/>
    <hyperlink ref="A1941" r:id="rId3877" display="https://www.facebook.com/melanie.marquez.39395" xr:uid="{00000000-0004-0000-0000-0000240F0000}"/>
    <hyperlink ref="I1941" r:id="rId3878" display="https://www.facebook.com/rapplerdotcom/posts/pfbid0dyWpzxim3h4Z2SYriGakwQw85p7BCAgct7KU5EiMX1bmmgNHDD8nmES8rjrADsrPl" xr:uid="{00000000-0004-0000-0000-0000250F0000}"/>
    <hyperlink ref="A1942" r:id="rId3879" display="https://www.facebook.com/kaesi.katakamu" xr:uid="{00000000-0004-0000-0000-0000260F0000}"/>
    <hyperlink ref="I1942" r:id="rId3880" display="https://www.facebook.com/rapplerdotcom/posts/pfbid0dyWpzxim3h4Z2SYriGakwQw85p7BCAgct7KU5EiMX1bmmgNHDD8nmES8rjrADsrPl" xr:uid="{00000000-0004-0000-0000-0000270F0000}"/>
    <hyperlink ref="A1943" r:id="rId3881" display="https://www.facebook.com/simonette.dacara" xr:uid="{00000000-0004-0000-0000-0000280F0000}"/>
    <hyperlink ref="I1943" r:id="rId3882" display="https://www.facebook.com/rapplerdotcom/posts/pfbid0dyWpzxim3h4Z2SYriGakwQw85p7BCAgct7KU5EiMX1bmmgNHDD8nmES8rjrADsrPl" xr:uid="{00000000-0004-0000-0000-0000290F0000}"/>
    <hyperlink ref="A1944" r:id="rId3883" display="https://www.facebook.com/paz.ete.7" xr:uid="{00000000-0004-0000-0000-00002A0F0000}"/>
    <hyperlink ref="I1944" r:id="rId3884" display="https://www.facebook.com/rapplerdotcom/posts/pfbid0dyWpzxim3h4Z2SYriGakwQw85p7BCAgct7KU5EiMX1bmmgNHDD8nmES8rjrADsrPl" xr:uid="{00000000-0004-0000-0000-00002B0F0000}"/>
    <hyperlink ref="A1945" r:id="rId3885" display="https://www.facebook.com/anabelma.abrera" xr:uid="{00000000-0004-0000-0000-00002C0F0000}"/>
    <hyperlink ref="I1945" r:id="rId3886" display="https://www.facebook.com/rapplerdotcom/posts/pfbid0dyWpzxim3h4Z2SYriGakwQw85p7BCAgct7KU5EiMX1bmmgNHDD8nmES8rjrADsrPl" xr:uid="{00000000-0004-0000-0000-00002D0F0000}"/>
    <hyperlink ref="A1946" r:id="rId3887" display="https://www.facebook.com/roman.rapido.5076" xr:uid="{00000000-0004-0000-0000-00002E0F0000}"/>
    <hyperlink ref="I1946" r:id="rId3888" display="https://www.facebook.com/rapplerdotcom/posts/pfbid0dyWpzxim3h4Z2SYriGakwQw85p7BCAgct7KU5EiMX1bmmgNHDD8nmES8rjrADsrPl" xr:uid="{00000000-0004-0000-0000-00002F0F0000}"/>
    <hyperlink ref="A1947" r:id="rId3889" display="https://www.facebook.com/jennifer.alison" xr:uid="{00000000-0004-0000-0000-0000300F0000}"/>
    <hyperlink ref="I1947" r:id="rId3890" display="https://www.facebook.com/rapplerdotcom/posts/pfbid0dyWpzxim3h4Z2SYriGakwQw85p7BCAgct7KU5EiMX1bmmgNHDD8nmES8rjrADsrPl" xr:uid="{00000000-0004-0000-0000-0000310F0000}"/>
    <hyperlink ref="A1948" r:id="rId3891" display="https://www.facebook.com/akosimark" xr:uid="{00000000-0004-0000-0000-0000320F0000}"/>
    <hyperlink ref="I1948" r:id="rId3892" display="https://www.facebook.com/rapplerdotcom/posts/pfbid0dyWpzxim3h4Z2SYriGakwQw85p7BCAgct7KU5EiMX1bmmgNHDD8nmES8rjrADsrPl" xr:uid="{00000000-0004-0000-0000-0000330F0000}"/>
    <hyperlink ref="A1949" r:id="rId3893" display="https://www.facebook.com/monroyfrancescaong" xr:uid="{00000000-0004-0000-0000-0000340F0000}"/>
    <hyperlink ref="I1949" r:id="rId3894" display="https://www.facebook.com/rapplerdotcom/posts/pfbid0dyWpzxim3h4Z2SYriGakwQw85p7BCAgct7KU5EiMX1bmmgNHDD8nmES8rjrADsrPl" xr:uid="{00000000-0004-0000-0000-0000350F0000}"/>
    <hyperlink ref="A1950" r:id="rId3895" display="https://www.facebook.com/novalyn.cawilantangdol" xr:uid="{00000000-0004-0000-0000-0000360F0000}"/>
    <hyperlink ref="I1950" r:id="rId3896" display="https://www.facebook.com/rapplerdotcom/posts/pfbid0dyWpzxim3h4Z2SYriGakwQw85p7BCAgct7KU5EiMX1bmmgNHDD8nmES8rjrADsrPl" xr:uid="{00000000-0004-0000-0000-0000370F0000}"/>
    <hyperlink ref="A1951" r:id="rId3897" display="https://www.facebook.com/marvin.rafols.7" xr:uid="{00000000-0004-0000-0000-0000380F0000}"/>
    <hyperlink ref="I1951" r:id="rId3898" display="https://www.facebook.com/rapplerdotcom/posts/pfbid0dyWpzxim3h4Z2SYriGakwQw85p7BCAgct7KU5EiMX1bmmgNHDD8nmES8rjrADsrPl" xr:uid="{00000000-0004-0000-0000-0000390F0000}"/>
    <hyperlink ref="A1952" r:id="rId3899" display="https://www.facebook.com/profile.php?id=100074540717680" xr:uid="{00000000-0004-0000-0000-00003A0F0000}"/>
    <hyperlink ref="I1952" r:id="rId3900" display="https://www.facebook.com/rapplerdotcom/posts/pfbid0dyWpzxim3h4Z2SYriGakwQw85p7BCAgct7KU5EiMX1bmmgNHDD8nmES8rjrADsrPl" xr:uid="{00000000-0004-0000-0000-00003B0F0000}"/>
    <hyperlink ref="A1953" r:id="rId3901" display="https://www.facebook.com/celine.avila.50" xr:uid="{00000000-0004-0000-0000-00003C0F0000}"/>
    <hyperlink ref="I1953" r:id="rId3902" display="https://www.facebook.com/rapplerdotcom/posts/pfbid0dyWpzxim3h4Z2SYriGakwQw85p7BCAgct7KU5EiMX1bmmgNHDD8nmES8rjrADsrPl" xr:uid="{00000000-0004-0000-0000-00003D0F0000}"/>
    <hyperlink ref="A1954" r:id="rId3903" display="https://www.facebook.com/LigayaNiOwen" xr:uid="{00000000-0004-0000-0000-00003E0F0000}"/>
    <hyperlink ref="I1954" r:id="rId3904" display="https://www.facebook.com/rapplerdotcom/posts/pfbid0dyWpzxim3h4Z2SYriGakwQw85p7BCAgct7KU5EiMX1bmmgNHDD8nmES8rjrADsrPl" xr:uid="{00000000-0004-0000-0000-00003F0F0000}"/>
    <hyperlink ref="A1955" r:id="rId3905" display="https://www.facebook.com/julycabaleslablab" xr:uid="{00000000-0004-0000-0000-0000400F0000}"/>
    <hyperlink ref="I1955" r:id="rId3906" display="https://www.facebook.com/rapplerdotcom/posts/pfbid0dyWpzxim3h4Z2SYriGakwQw85p7BCAgct7KU5EiMX1bmmgNHDD8nmES8rjrADsrPl" xr:uid="{00000000-0004-0000-0000-0000410F0000}"/>
    <hyperlink ref="A1956" r:id="rId3907" display="https://www.facebook.com/BangChristopherChan97" xr:uid="{00000000-0004-0000-0000-0000420F0000}"/>
    <hyperlink ref="I1956" r:id="rId3908" display="https://www.facebook.com/rapplerdotcom/posts/pfbid0dyWpzxim3h4Z2SYriGakwQw85p7BCAgct7KU5EiMX1bmmgNHDD8nmES8rjrADsrPl" xr:uid="{00000000-0004-0000-0000-0000430F0000}"/>
    <hyperlink ref="A1957" r:id="rId3909" display="https://www.facebook.com/mbaliat" xr:uid="{00000000-0004-0000-0000-0000440F0000}"/>
    <hyperlink ref="I1957" r:id="rId3910" display="https://www.facebook.com/rapplerdotcom/posts/pfbid0dyWpzxim3h4Z2SYriGakwQw85p7BCAgct7KU5EiMX1bmmgNHDD8nmES8rjrADsrPl" xr:uid="{00000000-0004-0000-0000-0000450F0000}"/>
    <hyperlink ref="A1958" r:id="rId3911" display="https://www.facebook.com/danixdejesus" xr:uid="{00000000-0004-0000-0000-0000460F0000}"/>
    <hyperlink ref="I1958" r:id="rId3912" display="https://www.facebook.com/rapplerdotcom/posts/pfbid0dyWpzxim3h4Z2SYriGakwQw85p7BCAgct7KU5EiMX1bmmgNHDD8nmES8rjrADsrPl" xr:uid="{00000000-0004-0000-0000-0000470F0000}"/>
    <hyperlink ref="A1959" r:id="rId3913" display="https://www.facebook.com/kristinejane.ramos.10" xr:uid="{00000000-0004-0000-0000-0000480F0000}"/>
    <hyperlink ref="I1959" r:id="rId3914" display="https://www.facebook.com/rapplerdotcom/posts/pfbid0dyWpzxim3h4Z2SYriGakwQw85p7BCAgct7KU5EiMX1bmmgNHDD8nmES8rjrADsrPl" xr:uid="{00000000-0004-0000-0000-0000490F0000}"/>
    <hyperlink ref="A1960" r:id="rId3915" display="https://www.facebook.com/profile.php?id=1669143901" xr:uid="{00000000-0004-0000-0000-00004A0F0000}"/>
    <hyperlink ref="I1960" r:id="rId3916" display="https://www.facebook.com/rapplerdotcom/posts/pfbid0dyWpzxim3h4Z2SYriGakwQw85p7BCAgct7KU5EiMX1bmmgNHDD8nmES8rjrADsrPl" xr:uid="{00000000-0004-0000-0000-00004B0F0000}"/>
    <hyperlink ref="A1961" r:id="rId3917" display="https://www.facebook.com/noel.buhia" xr:uid="{00000000-0004-0000-0000-00004C0F0000}"/>
    <hyperlink ref="I1961" r:id="rId3918" display="https://www.facebook.com/rapplerdotcom/posts/pfbid0dyWpzxim3h4Z2SYriGakwQw85p7BCAgct7KU5EiMX1bmmgNHDD8nmES8rjrADsrPl" xr:uid="{00000000-0004-0000-0000-00004D0F0000}"/>
    <hyperlink ref="A1962" r:id="rId3919" display="https://www.facebook.com/iyos.bautistapilar" xr:uid="{00000000-0004-0000-0000-00004E0F0000}"/>
    <hyperlink ref="I1962" r:id="rId3920" display="https://www.facebook.com/rapplerdotcom/posts/pfbid0dyWpzxim3h4Z2SYriGakwQw85p7BCAgct7KU5EiMX1bmmgNHDD8nmES8rjrADsrPl" xr:uid="{00000000-0004-0000-0000-00004F0F0000}"/>
    <hyperlink ref="A1963" r:id="rId3921" display="https://www.facebook.com/dinnis.bastatas" xr:uid="{00000000-0004-0000-0000-0000500F0000}"/>
    <hyperlink ref="I1963" r:id="rId3922" display="https://www.facebook.com/rapplerdotcom/posts/pfbid0dyWpzxim3h4Z2SYriGakwQw85p7BCAgct7KU5EiMX1bmmgNHDD8nmES8rjrADsrPl" xr:uid="{00000000-0004-0000-0000-0000510F0000}"/>
    <hyperlink ref="A1964" r:id="rId3923" display="https://www.facebook.com/ellessir.setnallude" xr:uid="{00000000-0004-0000-0000-0000520F0000}"/>
    <hyperlink ref="I1964" r:id="rId3924" display="https://www.facebook.com/rapplerdotcom/posts/pfbid0dyWpzxim3h4Z2SYriGakwQw85p7BCAgct7KU5EiMX1bmmgNHDD8nmES8rjrADsrPl" xr:uid="{00000000-0004-0000-0000-0000530F0000}"/>
    <hyperlink ref="A1965" r:id="rId3925" display="https://www.facebook.com/samuel.peralta310" xr:uid="{00000000-0004-0000-0000-0000540F0000}"/>
    <hyperlink ref="I1965" r:id="rId3926" display="https://www.facebook.com/rapplerdotcom/posts/pfbid0dyWpzxim3h4Z2SYriGakwQw85p7BCAgct7KU5EiMX1bmmgNHDD8nmES8rjrADsrPl" xr:uid="{00000000-0004-0000-0000-0000550F0000}"/>
    <hyperlink ref="A1966" r:id="rId3927" display="https://www.facebook.com/juliza.gulandrina.56" xr:uid="{00000000-0004-0000-0000-0000560F0000}"/>
    <hyperlink ref="I1966" r:id="rId3928" display="https://www.facebook.com/rapplerdotcom/posts/pfbid0dyWpzxim3h4Z2SYriGakwQw85p7BCAgct7KU5EiMX1bmmgNHDD8nmES8rjrADsrPl" xr:uid="{00000000-0004-0000-0000-0000570F0000}"/>
    <hyperlink ref="A1967" r:id="rId3929" display="https://www.facebook.com/donna.dee.37017" xr:uid="{00000000-0004-0000-0000-0000580F0000}"/>
    <hyperlink ref="I1967" r:id="rId3930" display="https://www.facebook.com/rapplerdotcom/posts/pfbid0dyWpzxim3h4Z2SYriGakwQw85p7BCAgct7KU5EiMX1bmmgNHDD8nmES8rjrADsrPl" xr:uid="{00000000-0004-0000-0000-0000590F0000}"/>
    <hyperlink ref="A1968" r:id="rId3931" display="https://www.facebook.com/Valladoresjude1988" xr:uid="{00000000-0004-0000-0000-00005A0F0000}"/>
    <hyperlink ref="I1968" r:id="rId3932" display="https://www.facebook.com/rapplerdotcom/posts/pfbid0dyWpzxim3h4Z2SYriGakwQw85p7BCAgct7KU5EiMX1bmmgNHDD8nmES8rjrADsrPl" xr:uid="{00000000-0004-0000-0000-00005B0F0000}"/>
    <hyperlink ref="A1969" r:id="rId3933" display="https://www.facebook.com/henardino" xr:uid="{00000000-0004-0000-0000-00005C0F0000}"/>
    <hyperlink ref="I1969" r:id="rId3934" display="https://www.facebook.com/rapplerdotcom/posts/pfbid0dyWpzxim3h4Z2SYriGakwQw85p7BCAgct7KU5EiMX1bmmgNHDD8nmES8rjrADsrPl" xr:uid="{00000000-0004-0000-0000-00005D0F0000}"/>
    <hyperlink ref="A1970" r:id="rId3935" display="https://www.facebook.com/Valladoresjude1988" xr:uid="{00000000-0004-0000-0000-00005E0F0000}"/>
    <hyperlink ref="I1970" r:id="rId3936" display="https://www.facebook.com/rapplerdotcom/posts/pfbid0dyWpzxim3h4Z2SYriGakwQw85p7BCAgct7KU5EiMX1bmmgNHDD8nmES8rjrADsrPl" xr:uid="{00000000-0004-0000-0000-00005F0F0000}"/>
    <hyperlink ref="A1971" r:id="rId3937" display="https://www.facebook.com/henardino" xr:uid="{00000000-0004-0000-0000-0000600F0000}"/>
    <hyperlink ref="I1971" r:id="rId3938" display="https://www.facebook.com/rapplerdotcom/posts/pfbid0dyWpzxim3h4Z2SYriGakwQw85p7BCAgct7KU5EiMX1bmmgNHDD8nmES8rjrADsrPl" xr:uid="{00000000-0004-0000-0000-0000610F0000}"/>
    <hyperlink ref="A1972" r:id="rId3939" display="https://www.facebook.com/Valladoresjude1988" xr:uid="{00000000-0004-0000-0000-0000620F0000}"/>
    <hyperlink ref="I1972" r:id="rId3940" display="https://www.facebook.com/rapplerdotcom/posts/pfbid0dyWpzxim3h4Z2SYriGakwQw85p7BCAgct7KU5EiMX1bmmgNHDD8nmES8rjrADsrPl" xr:uid="{00000000-0004-0000-0000-0000630F0000}"/>
    <hyperlink ref="A1973" r:id="rId3941" display="https://www.facebook.com/henardino" xr:uid="{00000000-0004-0000-0000-0000640F0000}"/>
    <hyperlink ref="I1973" r:id="rId3942" display="https://www.facebook.com/rapplerdotcom/posts/pfbid0dyWpzxim3h4Z2SYriGakwQw85p7BCAgct7KU5EiMX1bmmgNHDD8nmES8rjrADsrPl" xr:uid="{00000000-0004-0000-0000-0000650F0000}"/>
    <hyperlink ref="A1974" r:id="rId3943" display="https://www.facebook.com/Valladoresjude1988" xr:uid="{00000000-0004-0000-0000-0000660F0000}"/>
    <hyperlink ref="I1974" r:id="rId3944" display="https://www.facebook.com/rapplerdotcom/posts/pfbid0dyWpzxim3h4Z2SYriGakwQw85p7BCAgct7KU5EiMX1bmmgNHDD8nmES8rjrADsrPl" xr:uid="{00000000-0004-0000-0000-0000670F0000}"/>
    <hyperlink ref="A1975" r:id="rId3945" display="https://www.facebook.com/henardino" xr:uid="{00000000-0004-0000-0000-0000680F0000}"/>
    <hyperlink ref="I1975" r:id="rId3946" display="https://www.facebook.com/rapplerdotcom/posts/pfbid0dyWpzxim3h4Z2SYriGakwQw85p7BCAgct7KU5EiMX1bmmgNHDD8nmES8rjrADsrPl" xr:uid="{00000000-0004-0000-0000-0000690F0000}"/>
    <hyperlink ref="A1976" r:id="rId3947" display="https://www.facebook.com/Valladoresjude1988" xr:uid="{00000000-0004-0000-0000-00006A0F0000}"/>
    <hyperlink ref="I1976" r:id="rId3948" display="https://www.facebook.com/rapplerdotcom/posts/pfbid0dyWpzxim3h4Z2SYriGakwQw85p7BCAgct7KU5EiMX1bmmgNHDD8nmES8rjrADsrPl" xr:uid="{00000000-0004-0000-0000-00006B0F0000}"/>
    <hyperlink ref="A1977" r:id="rId3949" display="https://www.facebook.com/henardino" xr:uid="{00000000-0004-0000-0000-00006C0F0000}"/>
    <hyperlink ref="I1977" r:id="rId3950" display="https://www.facebook.com/rapplerdotcom/posts/pfbid0dyWpzxim3h4Z2SYriGakwQw85p7BCAgct7KU5EiMX1bmmgNHDD8nmES8rjrADsrPl" xr:uid="{00000000-0004-0000-0000-00006D0F0000}"/>
    <hyperlink ref="A1978" r:id="rId3951" display="https://www.facebook.com/Valladoresjude1988" xr:uid="{00000000-0004-0000-0000-00006E0F0000}"/>
    <hyperlink ref="I1978" r:id="rId3952" display="https://www.facebook.com/rapplerdotcom/posts/pfbid0dyWpzxim3h4Z2SYriGakwQw85p7BCAgct7KU5EiMX1bmmgNHDD8nmES8rjrADsrPl" xr:uid="{00000000-0004-0000-0000-00006F0F0000}"/>
    <hyperlink ref="A1979" r:id="rId3953" display="https://www.facebook.com/Valladoresjude1988" xr:uid="{00000000-0004-0000-0000-0000700F0000}"/>
    <hyperlink ref="I1979" r:id="rId3954" display="https://www.facebook.com/rapplerdotcom/posts/pfbid0dyWpzxim3h4Z2SYriGakwQw85p7BCAgct7KU5EiMX1bmmgNHDD8nmES8rjrADsrPl" xr:uid="{00000000-0004-0000-0000-0000710F0000}"/>
    <hyperlink ref="A1980" r:id="rId3955" display="https://www.facebook.com/rey.cuizon.90" xr:uid="{00000000-0004-0000-0000-0000720F0000}"/>
    <hyperlink ref="I1980" r:id="rId3956" display="https://www.facebook.com/rapplerdotcom/posts/pfbid0dyWpzxim3h4Z2SYriGakwQw85p7BCAgct7KU5EiMX1bmmgNHDD8nmES8rjrADsrPl" xr:uid="{00000000-0004-0000-0000-0000730F0000}"/>
    <hyperlink ref="A1981" r:id="rId3957" display="https://www.facebook.com/dhoy.mamarinta" xr:uid="{00000000-0004-0000-0000-0000740F0000}"/>
    <hyperlink ref="I1981" r:id="rId3958" display="https://www.facebook.com/rapplerdotcom/posts/pfbid0dyWpzxim3h4Z2SYriGakwQw85p7BCAgct7KU5EiMX1bmmgNHDD8nmES8rjrADsrPl" xr:uid="{00000000-0004-0000-0000-0000750F0000}"/>
    <hyperlink ref="A1982" r:id="rId3959" display="https://www.facebook.com/jayjay.paras.10" xr:uid="{00000000-0004-0000-0000-0000760F0000}"/>
    <hyperlink ref="I1982" r:id="rId3960" display="https://www.facebook.com/rapplerdotcom/posts/pfbid0dyWpzxim3h4Z2SYriGakwQw85p7BCAgct7KU5EiMX1bmmgNHDD8nmES8rjrADsrPl" xr:uid="{00000000-0004-0000-0000-0000770F0000}"/>
    <hyperlink ref="A1983" r:id="rId3961" display="https://www.facebook.com/nuisance9999" xr:uid="{00000000-0004-0000-0000-0000780F0000}"/>
    <hyperlink ref="I1983" r:id="rId3962" display="https://www.facebook.com/rapplerdotcom/posts/pfbid0dyWpzxim3h4Z2SYriGakwQw85p7BCAgct7KU5EiMX1bmmgNHDD8nmES8rjrADsrPl" xr:uid="{00000000-0004-0000-0000-0000790F0000}"/>
    <hyperlink ref="A1984" r:id="rId3963" display="https://www.facebook.com/profile.php?id=100072014363480" xr:uid="{00000000-0004-0000-0000-00007A0F0000}"/>
    <hyperlink ref="I1984" r:id="rId3964" display="https://www.facebook.com/rapplerdotcom/posts/pfbid0dyWpzxim3h4Z2SYriGakwQw85p7BCAgct7KU5EiMX1bmmgNHDD8nmES8rjrADsrPl" xr:uid="{00000000-0004-0000-0000-00007B0F0000}"/>
    <hyperlink ref="A1985" r:id="rId3965" display="https://www.facebook.com/OFCSuperFranztendo6469" xr:uid="{00000000-0004-0000-0000-00007C0F0000}"/>
    <hyperlink ref="I1985" r:id="rId3966" display="https://www.facebook.com/rapplerdotcom/posts/pfbid0dyWpzxim3h4Z2SYriGakwQw85p7BCAgct7KU5EiMX1bmmgNHDD8nmES8rjrADsrPl" xr:uid="{00000000-0004-0000-0000-00007D0F0000}"/>
    <hyperlink ref="A1986" r:id="rId3967" display="https://www.facebook.com/lemrah91" xr:uid="{00000000-0004-0000-0000-00007E0F0000}"/>
    <hyperlink ref="I1986" r:id="rId3968" display="https://www.facebook.com/rapplerdotcom/posts/pfbid0dyWpzxim3h4Z2SYriGakwQw85p7BCAgct7KU5EiMX1bmmgNHDD8nmES8rjrADsrPl" xr:uid="{00000000-0004-0000-0000-00007F0F0000}"/>
    <hyperlink ref="A1987" r:id="rId3969" display="https://www.facebook.com/profile.php?id=100074399225331" xr:uid="{00000000-0004-0000-0000-0000800F0000}"/>
    <hyperlink ref="I1987" r:id="rId3970" display="https://www.facebook.com/rapplerdotcom/posts/pfbid0dyWpzxim3h4Z2SYriGakwQw85p7BCAgct7KU5EiMX1bmmgNHDD8nmES8rjrADsrPl" xr:uid="{00000000-0004-0000-0000-0000810F0000}"/>
    <hyperlink ref="A1988" r:id="rId3971" display="https://www.facebook.com/ron.koleen" xr:uid="{00000000-0004-0000-0000-0000820F0000}"/>
    <hyperlink ref="I1988" r:id="rId3972" display="https://www.facebook.com/rapplerdotcom/posts/pfbid0dyWpzxim3h4Z2SYriGakwQw85p7BCAgct7KU5EiMX1bmmgNHDD8nmES8rjrADsrPl" xr:uid="{00000000-0004-0000-0000-0000830F0000}"/>
    <hyperlink ref="A1989" r:id="rId3973" display="https://www.facebook.com/manny.crisostomo" xr:uid="{00000000-0004-0000-0000-0000840F0000}"/>
    <hyperlink ref="I1989" r:id="rId3974" display="https://www.facebook.com/rapplerdotcom/posts/pfbid0dyWpzxim3h4Z2SYriGakwQw85p7BCAgct7KU5EiMX1bmmgNHDD8nmES8rjrADsrPl" xr:uid="{00000000-0004-0000-0000-0000850F0000}"/>
    <hyperlink ref="A1990" r:id="rId3975" display="https://www.facebook.com/profile.php?id=100007917738516" xr:uid="{00000000-0004-0000-0000-0000860F0000}"/>
    <hyperlink ref="I1990" r:id="rId3976" display="https://www.facebook.com/rapplerdotcom/posts/pfbid0dyWpzxim3h4Z2SYriGakwQw85p7BCAgct7KU5EiMX1bmmgNHDD8nmES8rjrADsrPl" xr:uid="{00000000-0004-0000-0000-0000870F0000}"/>
    <hyperlink ref="A1991" r:id="rId3977" display="https://www.facebook.com/profile.php?id=100046010886575" xr:uid="{00000000-0004-0000-0000-0000880F0000}"/>
    <hyperlink ref="I1991" r:id="rId3978" display="https://www.facebook.com/rapplerdotcom/posts/pfbid0dyWpzxim3h4Z2SYriGakwQw85p7BCAgct7KU5EiMX1bmmgNHDD8nmES8rjrADsrPl" xr:uid="{00000000-0004-0000-0000-0000890F0000}"/>
    <hyperlink ref="A1992" r:id="rId3979" display="https://www.facebook.com/joshua.candelario.712" xr:uid="{00000000-0004-0000-0000-00008A0F0000}"/>
    <hyperlink ref="I1992" r:id="rId3980" display="https://www.facebook.com/rapplerdotcom/posts/pfbid0dyWpzxim3h4Z2SYriGakwQw85p7BCAgct7KU5EiMX1bmmgNHDD8nmES8rjrADsrPl" xr:uid="{00000000-0004-0000-0000-00008B0F0000}"/>
    <hyperlink ref="A1993" r:id="rId3981" display="https://www.facebook.com/heng.shield" xr:uid="{00000000-0004-0000-0000-00008C0F0000}"/>
    <hyperlink ref="I1993" r:id="rId3982" display="https://www.facebook.com/rapplerdotcom/posts/pfbid0dyWpzxim3h4Z2SYriGakwQw85p7BCAgct7KU5EiMX1bmmgNHDD8nmES8rjrADsrPl" xr:uid="{00000000-0004-0000-0000-00008D0F0000}"/>
    <hyperlink ref="A1994" r:id="rId3983" display="https://www.facebook.com/nathan.deguzman.520900" xr:uid="{00000000-0004-0000-0000-00008E0F0000}"/>
    <hyperlink ref="I1994" r:id="rId3984" display="https://www.facebook.com/rapplerdotcom/posts/pfbid0dyWpzxim3h4Z2SYriGakwQw85p7BCAgct7KU5EiMX1bmmgNHDD8nmES8rjrADsrPl" xr:uid="{00000000-0004-0000-0000-00008F0F0000}"/>
    <hyperlink ref="A1995" r:id="rId3985" display="https://www.facebook.com/aries.raphael" xr:uid="{00000000-0004-0000-0000-0000900F0000}"/>
    <hyperlink ref="I1995" r:id="rId3986" display="https://www.facebook.com/rapplerdotcom/posts/pfbid0dyWpzxim3h4Z2SYriGakwQw85p7BCAgct7KU5EiMX1bmmgNHDD8nmES8rjrADsrPl" xr:uid="{00000000-0004-0000-0000-0000910F0000}"/>
    <hyperlink ref="A1996" r:id="rId3987" display="https://www.facebook.com/jobic.aquino" xr:uid="{00000000-0004-0000-0000-0000920F0000}"/>
    <hyperlink ref="I1996" r:id="rId3988" display="https://www.facebook.com/rapplerdotcom/posts/pfbid0dyWpzxim3h4Z2SYriGakwQw85p7BCAgct7KU5EiMX1bmmgNHDD8nmES8rjrADsrPl" xr:uid="{00000000-0004-0000-0000-0000930F0000}"/>
    <hyperlink ref="A1997" r:id="rId3989" display="https://www.facebook.com/athaliecruzedez" xr:uid="{00000000-0004-0000-0000-0000940F0000}"/>
    <hyperlink ref="I1997" r:id="rId3990" display="https://www.facebook.com/rapplerdotcom/posts/pfbid0dyWpzxim3h4Z2SYriGakwQw85p7BCAgct7KU5EiMX1bmmgNHDD8nmES8rjrADsrPl" xr:uid="{00000000-0004-0000-0000-0000950F0000}"/>
    <hyperlink ref="A1998" r:id="rId3991" display="https://www.facebook.com/profile.php?id=100076726444381" xr:uid="{00000000-0004-0000-0000-0000960F0000}"/>
    <hyperlink ref="I1998" r:id="rId3992" display="https://www.facebook.com/rapplerdotcom/posts/pfbid0dyWpzxim3h4Z2SYriGakwQw85p7BCAgct7KU5EiMX1bmmgNHDD8nmES8rjrADsrPl" xr:uid="{00000000-0004-0000-0000-0000970F0000}"/>
    <hyperlink ref="A1999" r:id="rId3993" display="https://www.facebook.com/noel.isorena.7" xr:uid="{00000000-0004-0000-0000-0000980F0000}"/>
    <hyperlink ref="I1999" r:id="rId3994" display="https://www.facebook.com/rapplerdotcom/posts/pfbid0dyWpzxim3h4Z2SYriGakwQw85p7BCAgct7KU5EiMX1bmmgNHDD8nmES8rjrADsrPl" xr:uid="{00000000-0004-0000-0000-0000990F0000}"/>
    <hyperlink ref="A2000" r:id="rId3995" display="https://www.facebook.com/noel.isorena.7" xr:uid="{00000000-0004-0000-0000-00009A0F0000}"/>
    <hyperlink ref="I2000" r:id="rId3996" display="https://www.facebook.com/rapplerdotcom/posts/pfbid0dyWpzxim3h4Z2SYriGakwQw85p7BCAgct7KU5EiMX1bmmgNHDD8nmES8rjrADsrPl" xr:uid="{00000000-0004-0000-0000-00009B0F0000}"/>
    <hyperlink ref="A2001" r:id="rId3997" display="https://www.facebook.com/noel.isorena.7" xr:uid="{00000000-0004-0000-0000-00009C0F0000}"/>
    <hyperlink ref="I2001" r:id="rId3998" display="https://www.facebook.com/rapplerdotcom/posts/pfbid0dyWpzxim3h4Z2SYriGakwQw85p7BCAgct7KU5EiMX1bmmgNHDD8nmES8rjrADsrPl" xr:uid="{00000000-0004-0000-0000-00009D0F0000}"/>
    <hyperlink ref="A2002" r:id="rId3999" display="https://www.facebook.com/noel.isorena.7" xr:uid="{00000000-0004-0000-0000-00009E0F0000}"/>
    <hyperlink ref="I2002" r:id="rId4000" display="https://www.facebook.com/rapplerdotcom/posts/pfbid0dyWpzxim3h4Z2SYriGakwQw85p7BCAgct7KU5EiMX1bmmgNHDD8nmES8rjrADsrPl" xr:uid="{00000000-0004-0000-0000-00009F0F0000}"/>
    <hyperlink ref="A2003" r:id="rId4001" display="https://www.facebook.com/noel.isorena.7" xr:uid="{00000000-0004-0000-0000-0000A00F0000}"/>
    <hyperlink ref="I2003" r:id="rId4002" display="https://www.facebook.com/rapplerdotcom/posts/pfbid0dyWpzxim3h4Z2SYriGakwQw85p7BCAgct7KU5EiMX1bmmgNHDD8nmES8rjrADsrPl" xr:uid="{00000000-0004-0000-0000-0000A10F0000}"/>
    <hyperlink ref="A2004" r:id="rId4003" display="https://www.facebook.com/noel.isorena.7" xr:uid="{00000000-0004-0000-0000-0000A20F0000}"/>
    <hyperlink ref="I2004" r:id="rId4004" display="https://www.facebook.com/rapplerdotcom/posts/pfbid0dyWpzxim3h4Z2SYriGakwQw85p7BCAgct7KU5EiMX1bmmgNHDD8nmES8rjrADsrPl" xr:uid="{00000000-0004-0000-0000-0000A30F0000}"/>
    <hyperlink ref="A2005" r:id="rId4005" display="https://www.facebook.com/noel.isorena.7" xr:uid="{00000000-0004-0000-0000-0000A40F0000}"/>
    <hyperlink ref="I2005" r:id="rId4006" display="https://www.facebook.com/rapplerdotcom/posts/pfbid0dyWpzxim3h4Z2SYriGakwQw85p7BCAgct7KU5EiMX1bmmgNHDD8nmES8rjrADsrPl" xr:uid="{00000000-0004-0000-0000-0000A50F0000}"/>
    <hyperlink ref="A2006" r:id="rId4007" display="https://www.facebook.com/noel.isorena.7" xr:uid="{00000000-0004-0000-0000-0000A60F0000}"/>
    <hyperlink ref="I2006" r:id="rId4008" display="https://www.facebook.com/rapplerdotcom/posts/pfbid0dyWpzxim3h4Z2SYriGakwQw85p7BCAgct7KU5EiMX1bmmgNHDD8nmES8rjrADsrPl" xr:uid="{00000000-0004-0000-0000-0000A70F0000}"/>
    <hyperlink ref="A2007" r:id="rId4009" display="https://www.facebook.com/christopher.m.perey" xr:uid="{00000000-0004-0000-0000-0000A80F0000}"/>
    <hyperlink ref="I2007" r:id="rId4010" display="https://www.facebook.com/rapplerdotcom/posts/pfbid02kmyrDmvYtHxz51VdR228sTCyvbHYDrwL4TgeoVAenoprSKkWhUFLyRmAuKBuGtXXl" xr:uid="{00000000-0004-0000-0000-0000A90F0000}"/>
    <hyperlink ref="A2008" r:id="rId4011" display="https://www.facebook.com/jubs.bravo" xr:uid="{00000000-0004-0000-0000-0000AA0F0000}"/>
    <hyperlink ref="I2008" r:id="rId4012" display="https://www.facebook.com/rapplerdotcom/posts/pfbid02kmyrDmvYtHxz51VdR228sTCyvbHYDrwL4TgeoVAenoprSKkWhUFLyRmAuKBuGtXXl" xr:uid="{00000000-0004-0000-0000-0000AB0F0000}"/>
    <hyperlink ref="A2009" r:id="rId4013" display="https://www.facebook.com/christopher.m.perey" xr:uid="{00000000-0004-0000-0000-0000AC0F0000}"/>
    <hyperlink ref="I2009" r:id="rId4014" display="https://www.facebook.com/rapplerdotcom/posts/pfbid02kmyrDmvYtHxz51VdR228sTCyvbHYDrwL4TgeoVAenoprSKkWhUFLyRmAuKBuGtXXl" xr:uid="{00000000-0004-0000-0000-0000AD0F0000}"/>
    <hyperlink ref="A2010" r:id="rId4015" display="https://www.facebook.com/jubs.bravo" xr:uid="{00000000-0004-0000-0000-0000AE0F0000}"/>
    <hyperlink ref="I2010" r:id="rId4016" display="https://www.facebook.com/rapplerdotcom/posts/pfbid02kmyrDmvYtHxz51VdR228sTCyvbHYDrwL4TgeoVAenoprSKkWhUFLyRmAuKBuGtXXl" xr:uid="{00000000-0004-0000-0000-0000AF0F0000}"/>
    <hyperlink ref="A2011" r:id="rId4017" display="https://www.facebook.com/christopher.m.perey" xr:uid="{00000000-0004-0000-0000-0000B00F0000}"/>
    <hyperlink ref="I2011" r:id="rId4018" display="https://www.facebook.com/rapplerdotcom/posts/pfbid02kmyrDmvYtHxz51VdR228sTCyvbHYDrwL4TgeoVAenoprSKkWhUFLyRmAuKBuGtXXl" xr:uid="{00000000-0004-0000-0000-0000B10F0000}"/>
    <hyperlink ref="A2012" r:id="rId4019" display="https://www.facebook.com/jubs.bravo" xr:uid="{00000000-0004-0000-0000-0000B20F0000}"/>
    <hyperlink ref="I2012" r:id="rId4020" display="https://www.facebook.com/rapplerdotcom/posts/pfbid02kmyrDmvYtHxz51VdR228sTCyvbHYDrwL4TgeoVAenoprSKkWhUFLyRmAuKBuGtXXl" xr:uid="{00000000-0004-0000-0000-0000B30F0000}"/>
    <hyperlink ref="A2013" r:id="rId4021" display="https://www.facebook.com/christopher.m.perey" xr:uid="{00000000-0004-0000-0000-0000B40F0000}"/>
    <hyperlink ref="I2013" r:id="rId4022" display="https://www.facebook.com/rapplerdotcom/posts/pfbid02kmyrDmvYtHxz51VdR228sTCyvbHYDrwL4TgeoVAenoprSKkWhUFLyRmAuKBuGtXXl" xr:uid="{00000000-0004-0000-0000-0000B50F0000}"/>
    <hyperlink ref="A2014" r:id="rId4023" display="https://www.facebook.com/jubs.bravo" xr:uid="{00000000-0004-0000-0000-0000B60F0000}"/>
    <hyperlink ref="I2014" r:id="rId4024" display="https://www.facebook.com/rapplerdotcom/posts/pfbid02kmyrDmvYtHxz51VdR228sTCyvbHYDrwL4TgeoVAenoprSKkWhUFLyRmAuKBuGtXXl" xr:uid="{00000000-0004-0000-0000-0000B70F0000}"/>
    <hyperlink ref="A2015" r:id="rId4025" display="https://www.facebook.com/jubs.bravo" xr:uid="{00000000-0004-0000-0000-0000B80F0000}"/>
    <hyperlink ref="I2015" r:id="rId4026" display="https://www.facebook.com/rapplerdotcom/posts/pfbid02kmyrDmvYtHxz51VdR228sTCyvbHYDrwL4TgeoVAenoprSKkWhUFLyRmAuKBuGtXXl" xr:uid="{00000000-0004-0000-0000-0000B90F0000}"/>
    <hyperlink ref="A2016" r:id="rId4027" display="https://www.facebook.com/mark.pahate" xr:uid="{00000000-0004-0000-0000-0000BA0F0000}"/>
    <hyperlink ref="I2016" r:id="rId4028" display="https://www.facebook.com/rapplerdotcom/posts/pfbid02kmyrDmvYtHxz51VdR228sTCyvbHYDrwL4TgeoVAenoprSKkWhUFLyRmAuKBuGtXXl" xr:uid="{00000000-0004-0000-0000-0000BB0F0000}"/>
    <hyperlink ref="A2017" r:id="rId4029" display="https://www.facebook.com/caridad.ancero" xr:uid="{00000000-0004-0000-0000-0000BC0F0000}"/>
    <hyperlink ref="I2017" r:id="rId4030" display="https://www.facebook.com/rapplerdotcom/posts/pfbid02kmyrDmvYtHxz51VdR228sTCyvbHYDrwL4TgeoVAenoprSKkWhUFLyRmAuKBuGtXXl" xr:uid="{00000000-0004-0000-0000-0000BD0F0000}"/>
    <hyperlink ref="A2018" r:id="rId4031" display="https://www.facebook.com/man.arellano.12" xr:uid="{00000000-0004-0000-0000-0000BE0F0000}"/>
    <hyperlink ref="I2018" r:id="rId4032" display="https://www.facebook.com/rapplerdotcom/posts/pfbid02kmyrDmvYtHxz51VdR228sTCyvbHYDrwL4TgeoVAenoprSKkWhUFLyRmAuKBuGtXXl" xr:uid="{00000000-0004-0000-0000-0000BF0F0000}"/>
    <hyperlink ref="A2019" r:id="rId4033" display="https://www.facebook.com/mariacristina.umanito" xr:uid="{00000000-0004-0000-0000-0000C00F0000}"/>
    <hyperlink ref="I2019" r:id="rId4034" display="https://www.facebook.com/rapplerdotcom/posts/pfbid02kmyrDmvYtHxz51VdR228sTCyvbHYDrwL4TgeoVAenoprSKkWhUFLyRmAuKBuGtXXl" xr:uid="{00000000-0004-0000-0000-0000C10F0000}"/>
    <hyperlink ref="A2020" r:id="rId4035" display="https://www.facebook.com/cidernald" xr:uid="{00000000-0004-0000-0000-0000C20F0000}"/>
    <hyperlink ref="I2020" r:id="rId4036" display="https://www.facebook.com/rapplerdotcom/posts/pfbid02kmyrDmvYtHxz51VdR228sTCyvbHYDrwL4TgeoVAenoprSKkWhUFLyRmAuKBuGtXXl" xr:uid="{00000000-0004-0000-0000-0000C30F0000}"/>
    <hyperlink ref="A2021" r:id="rId4037" display="https://www.facebook.com/man.arellano.12" xr:uid="{00000000-0004-0000-0000-0000C40F0000}"/>
    <hyperlink ref="I2021" r:id="rId4038" display="https://www.facebook.com/rapplerdotcom/posts/pfbid02kmyrDmvYtHxz51VdR228sTCyvbHYDrwL4TgeoVAenoprSKkWhUFLyRmAuKBuGtXXl" xr:uid="{00000000-0004-0000-0000-0000C50F0000}"/>
    <hyperlink ref="A2022" r:id="rId4039" display="https://www.facebook.com/editha.silvestre" xr:uid="{00000000-0004-0000-0000-0000C60F0000}"/>
    <hyperlink ref="I2022" r:id="rId4040" display="https://www.facebook.com/rapplerdotcom/posts/pfbid02kmyrDmvYtHxz51VdR228sTCyvbHYDrwL4TgeoVAenoprSKkWhUFLyRmAuKBuGtXXl" xr:uid="{00000000-0004-0000-0000-0000C70F0000}"/>
    <hyperlink ref="A2023" r:id="rId4041" display="https://www.facebook.com/she.real.9883" xr:uid="{00000000-0004-0000-0000-0000C80F0000}"/>
    <hyperlink ref="I2023" r:id="rId4042" display="https://www.facebook.com/rapplerdotcom/posts/pfbid02kmyrDmvYtHxz51VdR228sTCyvbHYDrwL4TgeoVAenoprSKkWhUFLyRmAuKBuGtXXl" xr:uid="{00000000-0004-0000-0000-0000C90F0000}"/>
    <hyperlink ref="A2024" r:id="rId4043" display="https://www.facebook.com/annejhov" xr:uid="{00000000-0004-0000-0000-0000CA0F0000}"/>
    <hyperlink ref="I2024" r:id="rId4044" display="https://www.facebook.com/rapplerdotcom/posts/pfbid02kmyrDmvYtHxz51VdR228sTCyvbHYDrwL4TgeoVAenoprSKkWhUFLyRmAuKBuGtXXl" xr:uid="{00000000-0004-0000-0000-0000CB0F0000}"/>
    <hyperlink ref="A2025" r:id="rId4045" display="https://www.facebook.com/frucy.manayonflores.1" xr:uid="{00000000-0004-0000-0000-0000CC0F0000}"/>
    <hyperlink ref="I2025" r:id="rId4046" display="https://www.facebook.com/rapplerdotcom/posts/pfbid02kmyrDmvYtHxz51VdR228sTCyvbHYDrwL4TgeoVAenoprSKkWhUFLyRmAuKBuGtXXl" xr:uid="{00000000-0004-0000-0000-0000CD0F0000}"/>
    <hyperlink ref="A2026" r:id="rId4047" display="https://www.facebook.com/edgar.puertullano" xr:uid="{00000000-0004-0000-0000-0000CE0F0000}"/>
    <hyperlink ref="I2026" r:id="rId4048" display="https://www.facebook.com/rapplerdotcom/posts/pfbid02kmyrDmvYtHxz51VdR228sTCyvbHYDrwL4TgeoVAenoprSKkWhUFLyRmAuKBuGtXXl" xr:uid="{00000000-0004-0000-0000-0000CF0F0000}"/>
    <hyperlink ref="A2027" r:id="rId4049" display="https://www.facebook.com/analiza.baluyot.7" xr:uid="{00000000-0004-0000-0000-0000D00F0000}"/>
    <hyperlink ref="I2027" r:id="rId4050" display="https://www.facebook.com/rapplerdotcom/posts/pfbid02kmyrDmvYtHxz51VdR228sTCyvbHYDrwL4TgeoVAenoprSKkWhUFLyRmAuKBuGtXXl" xr:uid="{00000000-0004-0000-0000-0000D10F0000}"/>
    <hyperlink ref="A2028" r:id="rId4051" display="https://www.facebook.com/demboy2000" xr:uid="{00000000-0004-0000-0000-0000D20F0000}"/>
    <hyperlink ref="I2028" r:id="rId4052" display="https://www.facebook.com/rapplerdotcom/posts/pfbid02kmyrDmvYtHxz51VdR228sTCyvbHYDrwL4TgeoVAenoprSKkWhUFLyRmAuKBuGtXXl" xr:uid="{00000000-0004-0000-0000-0000D30F0000}"/>
    <hyperlink ref="A2029" r:id="rId4053" display="https://www.facebook.com/jeza.esarza.1" xr:uid="{00000000-0004-0000-0000-0000D40F0000}"/>
    <hyperlink ref="I2029" r:id="rId4054" display="https://www.facebook.com/rapplerdotcom/posts/pfbid02kmyrDmvYtHxz51VdR228sTCyvbHYDrwL4TgeoVAenoprSKkWhUFLyRmAuKBuGtXXl" xr:uid="{00000000-0004-0000-0000-0000D50F0000}"/>
    <hyperlink ref="A2030" r:id="rId4055" display="https://www.facebook.com/rosemarie.saturno" xr:uid="{00000000-0004-0000-0000-0000D60F0000}"/>
    <hyperlink ref="I2030" r:id="rId4056" display="https://www.facebook.com/rapplerdotcom/posts/pfbid02kmyrDmvYtHxz51VdR228sTCyvbHYDrwL4TgeoVAenoprSKkWhUFLyRmAuKBuGtXXl" xr:uid="{00000000-0004-0000-0000-0000D70F0000}"/>
    <hyperlink ref="A2031" r:id="rId4057" display="https://www.facebook.com/sumadsad.loyalty" xr:uid="{00000000-0004-0000-0000-0000D80F0000}"/>
    <hyperlink ref="I2031" r:id="rId4058" display="https://www.facebook.com/rapplerdotcom/posts/pfbid02kmyrDmvYtHxz51VdR228sTCyvbHYDrwL4TgeoVAenoprSKkWhUFLyRmAuKBuGtXXl" xr:uid="{00000000-0004-0000-0000-0000D90F0000}"/>
    <hyperlink ref="A2032" r:id="rId4059" display="https://www.facebook.com/annejhov" xr:uid="{00000000-0004-0000-0000-0000DA0F0000}"/>
    <hyperlink ref="I2032" r:id="rId4060" display="https://www.facebook.com/rapplerdotcom/posts/pfbid02e13StaPScJpokGyF13qCs6EvExmqrY1RRtBKf3tVEwKeP7fhsKEK5TgBCKEBBrE1l" xr:uid="{00000000-0004-0000-0000-0000DB0F0000}"/>
    <hyperlink ref="A2033" r:id="rId4061" display="https://www.facebook.com/profile.php?id=100011366202531" xr:uid="{00000000-0004-0000-0000-0000DC0F0000}"/>
    <hyperlink ref="I2033" r:id="rId4062" display="https://www.facebook.com/rapplerdotcom/posts/pfbid0231hbcbuKeQLDkPH8oZAdZbuU8MPPgRANx152V3xWpbjZ6EvfpohwQMvxHYAgrGPul" xr:uid="{00000000-0004-0000-0000-0000DD0F0000}"/>
    <hyperlink ref="A2034" r:id="rId4063" display="https://www.facebook.com/vhersapitula" xr:uid="{00000000-0004-0000-0000-0000DE0F0000}"/>
    <hyperlink ref="I2034" r:id="rId4064" display="https://www.facebook.com/rapplerdotcom/posts/pfbid0231hbcbuKeQLDkPH8oZAdZbuU8MPPgRANx152V3xWpbjZ6EvfpohwQMvxHYAgrGPul" xr:uid="{00000000-0004-0000-0000-0000DF0F0000}"/>
    <hyperlink ref="A2035" r:id="rId4065" display="https://www.facebook.com/IamRoselleBaltazar" xr:uid="{00000000-0004-0000-0000-0000E00F0000}"/>
    <hyperlink ref="I2035" r:id="rId4066" display="https://www.facebook.com/rapplerdotcom/posts/pfbid0231hbcbuKeQLDkPH8oZAdZbuU8MPPgRANx152V3xWpbjZ6EvfpohwQMvxHYAgrGPul" xr:uid="{00000000-0004-0000-0000-0000E10F0000}"/>
    <hyperlink ref="A2036" r:id="rId4067" display="https://www.facebook.com/profile.php?id=100004103093312" xr:uid="{00000000-0004-0000-0000-0000E20F0000}"/>
    <hyperlink ref="I2036" r:id="rId4068" display="https://www.facebook.com/rapplerdotcom/posts/pfbid0231hbcbuKeQLDkPH8oZAdZbuU8MPPgRANx152V3xWpbjZ6EvfpohwQMvxHYAgrGPul" xr:uid="{00000000-0004-0000-0000-0000E30F0000}"/>
    <hyperlink ref="A2037" r:id="rId4069" display="https://www.facebook.com/laura.coloma.7" xr:uid="{00000000-0004-0000-0000-0000E40F0000}"/>
    <hyperlink ref="I2037" r:id="rId4070" display="https://www.facebook.com/rapplerdotcom/posts/pfbid0231hbcbuKeQLDkPH8oZAdZbuU8MPPgRANx152V3xWpbjZ6EvfpohwQMvxHYAgrGPul" xr:uid="{00000000-0004-0000-0000-0000E50F0000}"/>
    <hyperlink ref="A2038" r:id="rId4071" display="https://www.facebook.com/jingbong.suan" xr:uid="{00000000-0004-0000-0000-0000E60F0000}"/>
    <hyperlink ref="I2038" r:id="rId4072" display="https://www.facebook.com/rapplerdotcom/posts/pfbid0231hbcbuKeQLDkPH8oZAdZbuU8MPPgRANx152V3xWpbjZ6EvfpohwQMvxHYAgrGPul" xr:uid="{00000000-0004-0000-0000-0000E70F0000}"/>
    <hyperlink ref="A2039" r:id="rId4073" display="https://www.facebook.com/esting.cabrerazaAaAaA" xr:uid="{00000000-0004-0000-0000-0000E80F0000}"/>
    <hyperlink ref="I2039" r:id="rId4074" display="https://www.facebook.com/rapplerdotcom/posts/pfbid0231hbcbuKeQLDkPH8oZAdZbuU8MPPgRANx152V3xWpbjZ6EvfpohwQMvxHYAgrGPul" xr:uid="{00000000-0004-0000-0000-0000E90F0000}"/>
    <hyperlink ref="A2040" r:id="rId4075" display="https://www.facebook.com/alma.bautista.148" xr:uid="{00000000-0004-0000-0000-0000EA0F0000}"/>
    <hyperlink ref="I2040" r:id="rId4076" display="https://www.facebook.com/rapplerdotcom/posts/pfbid0231hbcbuKeQLDkPH8oZAdZbuU8MPPgRANx152V3xWpbjZ6EvfpohwQMvxHYAgrGPul" xr:uid="{00000000-0004-0000-0000-0000EB0F0000}"/>
    <hyperlink ref="A2041" r:id="rId4077" display="https://www.facebook.com/jrockersgsm" xr:uid="{00000000-0004-0000-0000-0000EC0F0000}"/>
    <hyperlink ref="I2041" r:id="rId4078" display="https://www.facebook.com/rapplerdotcom/posts/pfbid0231hbcbuKeQLDkPH8oZAdZbuU8MPPgRANx152V3xWpbjZ6EvfpohwQMvxHYAgrGPul" xr:uid="{00000000-0004-0000-0000-0000ED0F0000}"/>
    <hyperlink ref="A2042" r:id="rId4079" display="https://www.facebook.com/marichu.espinosa.5" xr:uid="{00000000-0004-0000-0000-0000EE0F0000}"/>
    <hyperlink ref="I2042" r:id="rId4080" display="https://www.facebook.com/rapplerdotcom/posts/pfbid0231hbcbuKeQLDkPH8oZAdZbuU8MPPgRANx152V3xWpbjZ6EvfpohwQMvxHYAgrGPul" xr:uid="{00000000-0004-0000-0000-0000EF0F0000}"/>
    <hyperlink ref="A2043" r:id="rId4081" display="https://www.facebook.com/arnel.bernardino.9" xr:uid="{00000000-0004-0000-0000-0000F00F0000}"/>
    <hyperlink ref="I2043" r:id="rId4082" display="https://www.facebook.com/rapplerdotcom/posts/pfbid0231hbcbuKeQLDkPH8oZAdZbuU8MPPgRANx152V3xWpbjZ6EvfpohwQMvxHYAgrGPul" xr:uid="{00000000-0004-0000-0000-0000F10F0000}"/>
    <hyperlink ref="A2044" r:id="rId4083" display="https://www.facebook.com/rgrino1" xr:uid="{00000000-0004-0000-0000-0000F20F0000}"/>
    <hyperlink ref="I2044" r:id="rId4084" display="https://www.facebook.com/rapplerdotcom/posts/pfbid0231hbcbuKeQLDkPH8oZAdZbuU8MPPgRANx152V3xWpbjZ6EvfpohwQMvxHYAgrGPul" xr:uid="{00000000-0004-0000-0000-0000F30F0000}"/>
    <hyperlink ref="A2045" r:id="rId4085" display="https://www.facebook.com/kawboy02" xr:uid="{00000000-0004-0000-0000-0000F40F0000}"/>
    <hyperlink ref="I2045" r:id="rId4086" display="https://www.facebook.com/rapplerdotcom/posts/pfbid0231hbcbuKeQLDkPH8oZAdZbuU8MPPgRANx152V3xWpbjZ6EvfpohwQMvxHYAgrGPul" xr:uid="{00000000-0004-0000-0000-0000F50F0000}"/>
    <hyperlink ref="A2046" r:id="rId4087" display="https://www.facebook.com/vanessa.cabelto" xr:uid="{00000000-0004-0000-0000-0000F60F0000}"/>
    <hyperlink ref="I2046" r:id="rId4088" display="https://www.facebook.com/rapplerdotcom/posts/pfbid0231hbcbuKeQLDkPH8oZAdZbuU8MPPgRANx152V3xWpbjZ6EvfpohwQMvxHYAgrGPul" xr:uid="{00000000-0004-0000-0000-0000F70F0000}"/>
    <hyperlink ref="A2047" r:id="rId4089" display="https://www.facebook.com/ronel.padrqiue" xr:uid="{00000000-0004-0000-0000-0000F80F0000}"/>
    <hyperlink ref="I2047" r:id="rId4090" display="https://www.facebook.com/rapplerdotcom/posts/pfbid0231hbcbuKeQLDkPH8oZAdZbuU8MPPgRANx152V3xWpbjZ6EvfpohwQMvxHYAgrGPul" xr:uid="{00000000-0004-0000-0000-0000F90F0000}"/>
    <hyperlink ref="A2048" r:id="rId4091" display="https://www.facebook.com/carmen.tabarnilla" xr:uid="{00000000-0004-0000-0000-0000FA0F0000}"/>
    <hyperlink ref="I2048" r:id="rId4092" display="https://www.facebook.com/rapplerdotcom/posts/pfbid0231hbcbuKeQLDkPH8oZAdZbuU8MPPgRANx152V3xWpbjZ6EvfpohwQMvxHYAgrGPul" xr:uid="{00000000-0004-0000-0000-0000FB0F0000}"/>
    <hyperlink ref="A2049" r:id="rId4093" display="https://www.facebook.com/liv.viloria18" xr:uid="{00000000-0004-0000-0000-0000FC0F0000}"/>
    <hyperlink ref="I2049" r:id="rId4094" display="https://www.facebook.com/rapplerdotcom/posts/pfbid0231hbcbuKeQLDkPH8oZAdZbuU8MPPgRANx152V3xWpbjZ6EvfpohwQMvxHYAgrGPul" xr:uid="{00000000-0004-0000-0000-0000FD0F0000}"/>
    <hyperlink ref="A2050" r:id="rId4095" display="https://www.facebook.com/jkeallano" xr:uid="{00000000-0004-0000-0000-0000FE0F0000}"/>
    <hyperlink ref="I2050" r:id="rId4096" display="https://www.facebook.com/rapplerdotcom/posts/pfbid0231hbcbuKeQLDkPH8oZAdZbuU8MPPgRANx152V3xWpbjZ6EvfpohwQMvxHYAgrGPul" xr:uid="{00000000-0004-0000-0000-0000FF0F0000}"/>
    <hyperlink ref="A2051" r:id="rId4097" display="https://www.facebook.com/gregorio.deo" xr:uid="{00000000-0004-0000-0000-000000100000}"/>
    <hyperlink ref="I2051" r:id="rId4098" display="https://www.facebook.com/rapplerdotcom/posts/pfbid0231hbcbuKeQLDkPH8oZAdZbuU8MPPgRANx152V3xWpbjZ6EvfpohwQMvxHYAgrGPul" xr:uid="{00000000-0004-0000-0000-000001100000}"/>
    <hyperlink ref="A2052" r:id="rId4099" display="https://www.facebook.com/kristine.r.nueva" xr:uid="{00000000-0004-0000-0000-000002100000}"/>
    <hyperlink ref="I2052" r:id="rId4100" display="https://www.facebook.com/rapplerdotcom/posts/pfbid0231hbcbuKeQLDkPH8oZAdZbuU8MPPgRANx152V3xWpbjZ6EvfpohwQMvxHYAgrGPul" xr:uid="{00000000-0004-0000-0000-000003100000}"/>
    <hyperlink ref="A2053" r:id="rId4101" display="https://www.facebook.com/norieann.ramos" xr:uid="{00000000-0004-0000-0000-000004100000}"/>
    <hyperlink ref="I2053" r:id="rId4102" display="https://www.facebook.com/rapplerdotcom/posts/pfbid0231hbcbuKeQLDkPH8oZAdZbuU8MPPgRANx152V3xWpbjZ6EvfpohwQMvxHYAgrGPul" xr:uid="{00000000-0004-0000-0000-000005100000}"/>
    <hyperlink ref="A2054" r:id="rId4103" display="https://www.facebook.com/jheys.lupet" xr:uid="{00000000-0004-0000-0000-000006100000}"/>
    <hyperlink ref="I2054" r:id="rId4104" display="https://www.facebook.com/rapplerdotcom/posts/pfbid0231hbcbuKeQLDkPH8oZAdZbuU8MPPgRANx152V3xWpbjZ6EvfpohwQMvxHYAgrGPul" xr:uid="{00000000-0004-0000-0000-000007100000}"/>
    <hyperlink ref="A2055" r:id="rId4105" display="https://www.facebook.com/kram.nia.5" xr:uid="{00000000-0004-0000-0000-000008100000}"/>
    <hyperlink ref="I2055" r:id="rId4106" display="https://www.facebook.com/rapplerdotcom/posts/pfbid0231hbcbuKeQLDkPH8oZAdZbuU8MPPgRANx152V3xWpbjZ6EvfpohwQMvxHYAgrGPul" xr:uid="{00000000-0004-0000-0000-000009100000}"/>
    <hyperlink ref="A2056" r:id="rId4107" display="https://www.facebook.com/depazngt" xr:uid="{00000000-0004-0000-0000-00000A100000}"/>
    <hyperlink ref="I2056" r:id="rId4108" display="https://www.facebook.com/rapplerdotcom/photos/a.317154781638645/5594954703858600/" xr:uid="{00000000-0004-0000-0000-00000B100000}"/>
    <hyperlink ref="A2057" r:id="rId4109" display="https://www.facebook.com/profile.php?id=100079181871183" xr:uid="{00000000-0004-0000-0000-00000C100000}"/>
    <hyperlink ref="I2057" r:id="rId4110" display="https://www.facebook.com/rapplerdotcom/photos/a.317154781638645/5594954703858600/" xr:uid="{00000000-0004-0000-0000-00000D100000}"/>
    <hyperlink ref="A2058" r:id="rId4111" display="https://www.facebook.com/aldo.lavingu" xr:uid="{00000000-0004-0000-0000-00000E100000}"/>
    <hyperlink ref="I2058" r:id="rId4112" display="https://www.facebook.com/rapplerdotcom/photos/a.317154781638645/5594954703858600/" xr:uid="{00000000-0004-0000-0000-00000F100000}"/>
    <hyperlink ref="A2059" r:id="rId4113" display="https://www.facebook.com/profile.php?id=100077976516349" xr:uid="{00000000-0004-0000-0000-000010100000}"/>
    <hyperlink ref="I2059" r:id="rId4114" display="https://www.facebook.com/rapplerdotcom/photos/a.317154781638645/5594954703858600/" xr:uid="{00000000-0004-0000-0000-000011100000}"/>
    <hyperlink ref="A2060" r:id="rId4115" display="https://www.facebook.com/aldo.lavingu" xr:uid="{00000000-0004-0000-0000-000012100000}"/>
    <hyperlink ref="I2060" r:id="rId4116" display="https://www.facebook.com/rapplerdotcom/photos/a.317154781638645/5594954703858600/" xr:uid="{00000000-0004-0000-0000-000013100000}"/>
    <hyperlink ref="A2061" r:id="rId4117" display="https://www.facebook.com/aldo.lavingu" xr:uid="{00000000-0004-0000-0000-000014100000}"/>
    <hyperlink ref="I2061" r:id="rId4118" display="https://www.facebook.com/rapplerdotcom/photos/a.317154781638645/5594954703858600/" xr:uid="{00000000-0004-0000-0000-000015100000}"/>
    <hyperlink ref="A2062" r:id="rId4119" display="https://www.facebook.com/sethestoy.montero" xr:uid="{00000000-0004-0000-0000-000016100000}"/>
    <hyperlink ref="I2062" r:id="rId4120" display="https://www.facebook.com/rapplerdotcom/photos/a.317154781638645/5594954703858600/" xr:uid="{00000000-0004-0000-0000-000017100000}"/>
    <hyperlink ref="A2063" r:id="rId4121" display="https://www.facebook.com/andrew.marfori.75" xr:uid="{00000000-0004-0000-0000-000018100000}"/>
    <hyperlink ref="I2063" r:id="rId4122" display="https://www.facebook.com/rapplerdotcom/photos/a.317154781638645/5594954703858600/" xr:uid="{00000000-0004-0000-0000-000019100000}"/>
    <hyperlink ref="A2064" r:id="rId4123" display="https://www.facebook.com/mariaana.fontamillas" xr:uid="{00000000-0004-0000-0000-00001A100000}"/>
    <hyperlink ref="I2064" r:id="rId4124" display="https://www.facebook.com/rapplerdotcom/photos/a.317154781638645/5594954703858600/" xr:uid="{00000000-0004-0000-0000-00001B100000}"/>
    <hyperlink ref="A2065" r:id="rId4125" display="https://www.facebook.com/BraveHearT.Marzan" xr:uid="{00000000-0004-0000-0000-00001C100000}"/>
    <hyperlink ref="I2065" r:id="rId4126" display="https://www.facebook.com/rapplerdotcom/photos/a.317154781638645/5594954703858600/" xr:uid="{00000000-0004-0000-0000-00001D100000}"/>
    <hyperlink ref="A2066" r:id="rId4127" display="https://www.facebook.com/BraveHearT.Marzan" xr:uid="{00000000-0004-0000-0000-00001E100000}"/>
    <hyperlink ref="I2066" r:id="rId4128" display="https://www.facebook.com/rapplerdotcom/photos/a.317154781638645/5594954703858600/" xr:uid="{00000000-0004-0000-0000-00001F100000}"/>
    <hyperlink ref="A2067" r:id="rId4129" display="https://www.facebook.com/danilo.lansani.5" xr:uid="{00000000-0004-0000-0000-000020100000}"/>
    <hyperlink ref="I2067" r:id="rId4130" display="https://www.facebook.com/rapplerdotcom/photos/a.317154781638645/5594954703858600/" xr:uid="{00000000-0004-0000-0000-000021100000}"/>
    <hyperlink ref="A2068" r:id="rId4131" display="https://www.facebook.com/profile.php?id=100011150311111" xr:uid="{00000000-0004-0000-0000-000022100000}"/>
    <hyperlink ref="I2068" r:id="rId4132" display="https://www.facebook.com/rapplerdotcom/photos/a.317154781638645/5594954703858600/" xr:uid="{00000000-0004-0000-0000-000023100000}"/>
    <hyperlink ref="A2069" r:id="rId4133" display="https://www.facebook.com/genesis.gardiano" xr:uid="{00000000-0004-0000-0000-000024100000}"/>
    <hyperlink ref="I2069" r:id="rId4134" display="https://www.facebook.com/rapplerdotcom/photos/a.317154781638645/5594954703858600/" xr:uid="{00000000-0004-0000-0000-000025100000}"/>
    <hyperlink ref="A2070" r:id="rId4135" display="https://www.facebook.com/aldo.lavingu" xr:uid="{00000000-0004-0000-0000-000026100000}"/>
    <hyperlink ref="I2070" r:id="rId4136" display="https://www.facebook.com/rapplerdotcom/photos/a.317154781638645/5594954703858600/" xr:uid="{00000000-0004-0000-0000-000027100000}"/>
    <hyperlink ref="A2071" r:id="rId4137" display="https://www.facebook.com/aldo.lavingu" xr:uid="{00000000-0004-0000-0000-000028100000}"/>
    <hyperlink ref="I2071" r:id="rId4138" display="https://www.facebook.com/rapplerdotcom/photos/a.317154781638645/5594954703858600/" xr:uid="{00000000-0004-0000-0000-000029100000}"/>
    <hyperlink ref="A2072" r:id="rId4139" display="https://www.facebook.com/aldo.lavingu" xr:uid="{00000000-0004-0000-0000-00002A100000}"/>
    <hyperlink ref="I2072" r:id="rId4140" display="https://www.facebook.com/rapplerdotcom/photos/a.317154781638645/5594954703858600/" xr:uid="{00000000-0004-0000-0000-00002B100000}"/>
    <hyperlink ref="A2073" r:id="rId4141" display="https://www.facebook.com/pureza.q.dy" xr:uid="{00000000-0004-0000-0000-00002C100000}"/>
    <hyperlink ref="I2073" r:id="rId4142" display="https://www.facebook.com/rapplerdotcom/photos/a.317154781638645/5594954703858600/" xr:uid="{00000000-0004-0000-0000-00002D100000}"/>
    <hyperlink ref="A2074" r:id="rId4143" display="https://www.facebook.com/frank.chavez.161" xr:uid="{00000000-0004-0000-0000-00002E100000}"/>
    <hyperlink ref="I2074" r:id="rId4144" display="https://www.facebook.com/rapplerdotcom/photos/a.317154781638645/5594954703858600/" xr:uid="{00000000-0004-0000-0000-00002F100000}"/>
    <hyperlink ref="A2075" r:id="rId4145" display="https://www.facebook.com/sethestoy.montero" xr:uid="{00000000-0004-0000-0000-000030100000}"/>
    <hyperlink ref="I2075" r:id="rId4146" display="https://www.facebook.com/rapplerdotcom/photos/a.317154781638645/5594954703858600/" xr:uid="{00000000-0004-0000-0000-000031100000}"/>
    <hyperlink ref="A2076" r:id="rId4147" display="https://www.facebook.com/lon.makinano.94" xr:uid="{00000000-0004-0000-0000-000032100000}"/>
    <hyperlink ref="I2076" r:id="rId4148" display="https://www.facebook.com/rapplerdotcom/photos/a.317154781638645/5594954703858600/" xr:uid="{00000000-0004-0000-0000-000033100000}"/>
    <hyperlink ref="A2077" r:id="rId4149" display="https://www.facebook.com/augustus.diaz.77" xr:uid="{00000000-0004-0000-0000-000034100000}"/>
    <hyperlink ref="I2077" r:id="rId4150" display="https://www.facebook.com/rapplerdotcom/photos/a.317154781638645/5594954703858600/" xr:uid="{00000000-0004-0000-0000-000035100000}"/>
    <hyperlink ref="A2078" r:id="rId4151" display="https://www.facebook.com/augustus.diaz.77" xr:uid="{00000000-0004-0000-0000-000036100000}"/>
    <hyperlink ref="I2078" r:id="rId4152" display="https://www.facebook.com/rapplerdotcom/photos/a.317154781638645/5594954703858600/" xr:uid="{00000000-0004-0000-0000-000037100000}"/>
    <hyperlink ref="A2079" r:id="rId4153" display="https://www.facebook.com/awin.calderon" xr:uid="{00000000-0004-0000-0000-000038100000}"/>
    <hyperlink ref="I2079" r:id="rId4154" display="https://www.facebook.com/rapplerdotcom/photos/a.317154781638645/5594954703858600/" xr:uid="{00000000-0004-0000-0000-000039100000}"/>
    <hyperlink ref="A2080" r:id="rId4155" display="https://www.facebook.com/merlaflores.bendicion" xr:uid="{00000000-0004-0000-0000-00003A100000}"/>
    <hyperlink ref="I2080" r:id="rId4156" display="https://www.facebook.com/rapplerdotcom/photos/a.317154781638645/5594954703858600/" xr:uid="{00000000-0004-0000-0000-00003B100000}"/>
    <hyperlink ref="A2081" r:id="rId4157" display="https://www.facebook.com/ronald.andallo.52" xr:uid="{00000000-0004-0000-0000-00003C100000}"/>
    <hyperlink ref="I2081" r:id="rId4158" display="https://www.facebook.com/rapplerdotcom/photos/a.317154781638645/5594954703858600/" xr:uid="{00000000-0004-0000-0000-00003D100000}"/>
    <hyperlink ref="A2082" r:id="rId4159" display="https://www.facebook.com/pau.gaitan.33" xr:uid="{00000000-0004-0000-0000-00003E100000}"/>
    <hyperlink ref="I2082" r:id="rId4160" display="https://www.facebook.com/rapplerdotcom/photos/a.317154781638645/5594954703858600/" xr:uid="{00000000-0004-0000-0000-00003F100000}"/>
    <hyperlink ref="A2083" r:id="rId4161" display="https://www.facebook.com/johnny.collantes.37" xr:uid="{00000000-0004-0000-0000-000040100000}"/>
    <hyperlink ref="I2083" r:id="rId4162" display="https://www.facebook.com/rapplerdotcom/photos/a.317154781638645/5594954703858600/" xr:uid="{00000000-0004-0000-0000-000041100000}"/>
    <hyperlink ref="A2084" r:id="rId4163" display="https://www.facebook.com/jude.romero.14" xr:uid="{00000000-0004-0000-0000-000042100000}"/>
    <hyperlink ref="I2084" r:id="rId4164" display="https://www.facebook.com/rapplerdotcom/photos/a.317154781638645/5594954703858600/" xr:uid="{00000000-0004-0000-0000-000043100000}"/>
    <hyperlink ref="A2085" r:id="rId4165" display="https://www.facebook.com/amaya.sabado" xr:uid="{00000000-0004-0000-0000-000044100000}"/>
    <hyperlink ref="I2085" r:id="rId4166" display="https://www.facebook.com/rapplerdotcom/photos/a.317154781638645/5594954703858600/" xr:uid="{00000000-0004-0000-0000-000045100000}"/>
    <hyperlink ref="A2086" r:id="rId4167" display="https://www.facebook.com/aldo.lavingu" xr:uid="{00000000-0004-0000-0000-000046100000}"/>
    <hyperlink ref="I2086" r:id="rId4168" display="https://www.facebook.com/rapplerdotcom/photos/a.317154781638645/5594954703858600/" xr:uid="{00000000-0004-0000-0000-000047100000}"/>
    <hyperlink ref="A2087" r:id="rId4169" display="https://www.facebook.com/mcclain.lumiares" xr:uid="{00000000-0004-0000-0000-000048100000}"/>
    <hyperlink ref="I2087" r:id="rId4170" display="https://www.facebook.com/rapplerdotcom/photos/a.317154781638645/5594954703858600/" xr:uid="{00000000-0004-0000-0000-000049100000}"/>
    <hyperlink ref="A2088" r:id="rId4171" display="https://www.facebook.com/ronald.andallo.52" xr:uid="{00000000-0004-0000-0000-00004A100000}"/>
    <hyperlink ref="I2088" r:id="rId4172" display="https://www.facebook.com/rapplerdotcom/photos/a.317154781638645/5594954703858600/" xr:uid="{00000000-0004-0000-0000-00004B100000}"/>
    <hyperlink ref="A2089" r:id="rId4173" display="https://www.facebook.com/jane.quibilan" xr:uid="{00000000-0004-0000-0000-00004C100000}"/>
    <hyperlink ref="I2089" r:id="rId4174" display="https://www.facebook.com/rapplerdotcom/photos/a.317154781638645/5594954703858600/" xr:uid="{00000000-0004-0000-0000-00004D100000}"/>
    <hyperlink ref="A2090" r:id="rId4175" display="https://www.facebook.com/mariacleofe.lim" xr:uid="{00000000-0004-0000-0000-00004E100000}"/>
    <hyperlink ref="I2090" r:id="rId4176" display="https://www.facebook.com/rapplerdotcom/photos/a.317154781638645/5594954703858600/" xr:uid="{00000000-0004-0000-0000-00004F100000}"/>
    <hyperlink ref="A2091" r:id="rId4177" display="https://www.facebook.com/kuyah.tan" xr:uid="{00000000-0004-0000-0000-000050100000}"/>
    <hyperlink ref="I2091" r:id="rId4178" display="https://www.facebook.com/rapplerdotcom/photos/a.317154781638645/5594954703858600/" xr:uid="{00000000-0004-0000-0000-000051100000}"/>
    <hyperlink ref="A2092" r:id="rId4179" display="https://www.facebook.com/joey.abella.507" xr:uid="{00000000-0004-0000-0000-000052100000}"/>
    <hyperlink ref="I2092" r:id="rId4180" display="https://www.facebook.com/rapplerdotcom/photos/a.317154781638645/5594954703858600/" xr:uid="{00000000-0004-0000-0000-000053100000}"/>
    <hyperlink ref="A2093" r:id="rId4181" display="https://www.facebook.com/mario.guevarra.56" xr:uid="{00000000-0004-0000-0000-000054100000}"/>
    <hyperlink ref="I2093" r:id="rId4182" display="https://www.facebook.com/rapplerdotcom/photos/a.317154781638645/5594954703858600/" xr:uid="{00000000-0004-0000-0000-000055100000}"/>
    <hyperlink ref="A2094" r:id="rId4183" display="https://www.facebook.com/kuyah.tan" xr:uid="{00000000-0004-0000-0000-000056100000}"/>
    <hyperlink ref="I2094" r:id="rId4184" display="https://www.facebook.com/rapplerdotcom/photos/a.317154781638645/5594954703858600/" xr:uid="{00000000-0004-0000-0000-000057100000}"/>
    <hyperlink ref="A2095" r:id="rId4185" display="https://www.facebook.com/janet.estal" xr:uid="{00000000-0004-0000-0000-000058100000}"/>
    <hyperlink ref="I2095" r:id="rId4186" display="https://www.facebook.com/rapplerdotcom/photos/a.317154781638645/5594954703858600/" xr:uid="{00000000-0004-0000-0000-000059100000}"/>
    <hyperlink ref="A2096" r:id="rId4187" display="https://www.facebook.com/loreta.ardaban.3" xr:uid="{00000000-0004-0000-0000-00005A100000}"/>
    <hyperlink ref="I2096" r:id="rId4188" display="https://www.facebook.com/rapplerdotcom/photos/a.317154781638645/5594954703858600/" xr:uid="{00000000-0004-0000-0000-00005B100000}"/>
    <hyperlink ref="A2097" r:id="rId4189" display="https://www.facebook.com/imma.bee.161" xr:uid="{00000000-0004-0000-0000-00005C100000}"/>
    <hyperlink ref="I2097" r:id="rId4190" display="https://www.facebook.com/rapplerdotcom/photos/a.317154781638645/5594954703858600/" xr:uid="{00000000-0004-0000-0000-00005D100000}"/>
    <hyperlink ref="A2098" r:id="rId4191" display="https://www.facebook.com/janice.arroyo.98837" xr:uid="{00000000-0004-0000-0000-00005E100000}"/>
    <hyperlink ref="I2098" r:id="rId4192" display="https://www.facebook.com/rapplerdotcom/photos/a.317154781638645/5594954703858600/" xr:uid="{00000000-0004-0000-0000-00005F100000}"/>
    <hyperlink ref="A2099" r:id="rId4193" display="https://www.facebook.com/joey.abella.507" xr:uid="{00000000-0004-0000-0000-000060100000}"/>
    <hyperlink ref="I2099" r:id="rId4194" display="https://www.facebook.com/rapplerdotcom/photos/a.317154781638645/5594954703858600/" xr:uid="{00000000-0004-0000-0000-000061100000}"/>
    <hyperlink ref="A2100" r:id="rId4195" display="https://www.facebook.com/amaya.sabado" xr:uid="{00000000-0004-0000-0000-000062100000}"/>
    <hyperlink ref="I2100" r:id="rId4196" display="https://www.facebook.com/rapplerdotcom/photos/a.317154781638645/5594954703858600/" xr:uid="{00000000-0004-0000-0000-000063100000}"/>
    <hyperlink ref="A2101" r:id="rId4197" display="https://www.facebook.com/kimberly.elardo.737" xr:uid="{00000000-0004-0000-0000-000064100000}"/>
    <hyperlink ref="I2101" r:id="rId4198" display="https://www.facebook.com/rapplerdotcom/photos/a.317154781638645/5594954703858600/" xr:uid="{00000000-0004-0000-0000-000065100000}"/>
    <hyperlink ref="A2102" r:id="rId4199" display="https://www.facebook.com/profile.php?id=100013497646924" xr:uid="{00000000-0004-0000-0000-000066100000}"/>
    <hyperlink ref="I2102" r:id="rId4200" display="https://www.facebook.com/rapplerdotcom/photos/a.317154781638645/5594954703858600/" xr:uid="{00000000-0004-0000-0000-000067100000}"/>
    <hyperlink ref="A2103" r:id="rId4201" display="https://www.facebook.com/profile.php?id=100009202957672" xr:uid="{00000000-0004-0000-0000-000068100000}"/>
    <hyperlink ref="I2103" r:id="rId4202" display="https://www.facebook.com/rapplerdotcom/photos/a.317154781638645/5594954703858600/" xr:uid="{00000000-0004-0000-0000-000069100000}"/>
    <hyperlink ref="A2104" r:id="rId4203" display="https://www.facebook.com/epal.aco.56" xr:uid="{00000000-0004-0000-0000-00006A100000}"/>
    <hyperlink ref="I2104" r:id="rId4204" display="https://www.facebook.com/rapplerdotcom/photos/a.317154781638645/5594954703858600/" xr:uid="{00000000-0004-0000-0000-00006B100000}"/>
    <hyperlink ref="A2105" r:id="rId4205" display="https://www.facebook.com/antonio.monteverdeiii" xr:uid="{00000000-0004-0000-0000-00006C100000}"/>
    <hyperlink ref="I2105" r:id="rId4206" display="https://www.facebook.com/rapplerdotcom/photos/a.317154781638645/5594954703858600/" xr:uid="{00000000-0004-0000-0000-00006D100000}"/>
    <hyperlink ref="A2106" r:id="rId4207" display="https://www.facebook.com/NGCD18" xr:uid="{00000000-0004-0000-0000-00006E100000}"/>
    <hyperlink ref="I2106" r:id="rId4208" display="https://www.facebook.com/rapplerdotcom/photos/a.317154781638645/5594954703858600/" xr:uid="{00000000-0004-0000-0000-00006F100000}"/>
    <hyperlink ref="A2107" r:id="rId4209" display="https://www.facebook.com/nayrb.zemog.5" xr:uid="{00000000-0004-0000-0000-000070100000}"/>
    <hyperlink ref="I2107" r:id="rId4210" display="https://www.facebook.com/rapplerdotcom/photos/a.317154781638645/5594954703858600/" xr:uid="{00000000-0004-0000-0000-000071100000}"/>
    <hyperlink ref="A2108" r:id="rId4211" display="https://www.facebook.com/recheejhon.carlos.58" xr:uid="{00000000-0004-0000-0000-000072100000}"/>
    <hyperlink ref="I2108" r:id="rId4212" display="https://www.facebook.com/rapplerdotcom/photos/a.317154781638645/5594954703858600/" xr:uid="{00000000-0004-0000-0000-000073100000}"/>
    <hyperlink ref="A2109" r:id="rId4213" display="https://www.facebook.com/NGCD18" xr:uid="{00000000-0004-0000-0000-000074100000}"/>
    <hyperlink ref="I2109" r:id="rId4214" display="https://www.facebook.com/rapplerdotcom/photos/a.317154781638645/5594954703858600/" xr:uid="{00000000-0004-0000-0000-000075100000}"/>
    <hyperlink ref="A2110" r:id="rId4215" display="https://www.facebook.com/recheejhon.carlos.58" xr:uid="{00000000-0004-0000-0000-000076100000}"/>
    <hyperlink ref="I2110" r:id="rId4216" display="https://www.facebook.com/rapplerdotcom/photos/a.317154781638645/5594954703858600/" xr:uid="{00000000-0004-0000-0000-000077100000}"/>
    <hyperlink ref="A2111" r:id="rId4217" display="https://www.facebook.com/NGCD18" xr:uid="{00000000-0004-0000-0000-000078100000}"/>
    <hyperlink ref="I2111" r:id="rId4218" display="https://www.facebook.com/rapplerdotcom/photos/a.317154781638645/5594954703858600/" xr:uid="{00000000-0004-0000-0000-000079100000}"/>
    <hyperlink ref="A2112" r:id="rId4219" display="https://www.facebook.com/recheejhon.carlos.58" xr:uid="{00000000-0004-0000-0000-00007A100000}"/>
    <hyperlink ref="I2112" r:id="rId4220" display="https://www.facebook.com/rapplerdotcom/photos/a.317154781638645/5594954703858600/" xr:uid="{00000000-0004-0000-0000-00007B100000}"/>
    <hyperlink ref="A2113" r:id="rId4221" display="https://www.facebook.com/janice.arroyo.98837" xr:uid="{00000000-0004-0000-0000-00007C100000}"/>
    <hyperlink ref="I2113" r:id="rId4222" display="https://www.facebook.com/rapplerdotcom/photos/a.317154781638645/5594954703858600/" xr:uid="{00000000-0004-0000-0000-00007D100000}"/>
    <hyperlink ref="A2114" r:id="rId4223" display="https://www.facebook.com/joey.abella.507" xr:uid="{00000000-0004-0000-0000-00007E100000}"/>
    <hyperlink ref="I2114" r:id="rId4224" display="https://www.facebook.com/rapplerdotcom/photos/a.317154781638645/5594954703858600/" xr:uid="{00000000-0004-0000-0000-00007F100000}"/>
    <hyperlink ref="A2115" r:id="rId4225" display="https://www.facebook.com/leahllane.llena.9" xr:uid="{00000000-0004-0000-0000-000080100000}"/>
    <hyperlink ref="I2115" r:id="rId4226" display="https://www.facebook.com/rapplerdotcom/photos/a.317154781638645/5594954703858600/" xr:uid="{00000000-0004-0000-0000-000081100000}"/>
    <hyperlink ref="A2116" r:id="rId4227" display="https://www.facebook.com/vidsdpeche" xr:uid="{00000000-0004-0000-0000-000082100000}"/>
    <hyperlink ref="I2116" r:id="rId4228" display="https://www.facebook.com/rapplerdotcom/photos/a.317154781638645/5594954703858600/" xr:uid="{00000000-0004-0000-0000-000083100000}"/>
    <hyperlink ref="A2117" r:id="rId4229" display="https://www.facebook.com/amaya.sabado" xr:uid="{00000000-0004-0000-0000-000084100000}"/>
    <hyperlink ref="I2117" r:id="rId4230" display="https://www.facebook.com/rapplerdotcom/photos/a.317154781638645/5594954703858600/" xr:uid="{00000000-0004-0000-0000-000085100000}"/>
    <hyperlink ref="A2118" r:id="rId4231" display="https://www.facebook.com/yenflorida" xr:uid="{00000000-0004-0000-0000-000086100000}"/>
    <hyperlink ref="E2118" r:id="rId4232" display="https://dilg.gov.ph/news/DILG-P3455-B-or-85-percent-Yolanda-funds-liquidated/NC-2019-1169" xr:uid="{00000000-0004-0000-0000-000087100000}"/>
    <hyperlink ref="I2118" r:id="rId4233" display="https://www.facebook.com/rapplerdotcom/photos/a.317154781638645/5594954703858600/" xr:uid="{00000000-0004-0000-0000-000088100000}"/>
    <hyperlink ref="A2119" r:id="rId4234" display="https://www.facebook.com/marianne.bautista.543" xr:uid="{00000000-0004-0000-0000-000089100000}"/>
    <hyperlink ref="I2119" r:id="rId4235" display="https://www.facebook.com/rapplerdotcom/photos/a.317154781638645/5594954703858600/" xr:uid="{00000000-0004-0000-0000-00008A100000}"/>
    <hyperlink ref="A2120" r:id="rId4236" display="https://www.facebook.com/honivmonts" xr:uid="{00000000-0004-0000-0000-00008B100000}"/>
    <hyperlink ref="I2120" r:id="rId4237" display="https://www.facebook.com/rapplerdotcom/photos/a.317154781638645/5594954703858600/" xr:uid="{00000000-0004-0000-0000-00008C100000}"/>
    <hyperlink ref="A2121" r:id="rId4238" display="https://www.facebook.com/CornerPrinter.ph" xr:uid="{00000000-0004-0000-0000-00008D100000}"/>
    <hyperlink ref="I2121" r:id="rId4239" display="https://www.facebook.com/rapplerdotcom/photos/a.317154781638645/5594954703858600/" xr:uid="{00000000-0004-0000-0000-00008E100000}"/>
    <hyperlink ref="A2122" r:id="rId4240" display="https://www.facebook.com/epal.aco.56" xr:uid="{00000000-0004-0000-0000-00008F100000}"/>
    <hyperlink ref="I2122" r:id="rId4241" display="https://www.facebook.com/rapplerdotcom/photos/a.317154781638645/5594954703858600/" xr:uid="{00000000-0004-0000-0000-000090100000}"/>
    <hyperlink ref="A2123" r:id="rId4242" display="https://www.facebook.com/epal.aco.56" xr:uid="{00000000-0004-0000-0000-000091100000}"/>
    <hyperlink ref="I2123" r:id="rId4243" display="https://www.facebook.com/rapplerdotcom/photos/a.317154781638645/5594954703858600/" xr:uid="{00000000-0004-0000-0000-000092100000}"/>
    <hyperlink ref="A2124" r:id="rId4244" display="https://www.facebook.com/loreta.ardaban.3" xr:uid="{00000000-0004-0000-0000-000093100000}"/>
    <hyperlink ref="I2124" r:id="rId4245" display="https://www.facebook.com/rapplerdotcom/photos/a.317154781638645/5594954703858600/" xr:uid="{00000000-0004-0000-0000-000094100000}"/>
    <hyperlink ref="A2125" r:id="rId4246" display="https://www.facebook.com/loreta.ardaban.3" xr:uid="{00000000-0004-0000-0000-000095100000}"/>
    <hyperlink ref="I2125" r:id="rId4247" display="https://www.facebook.com/rapplerdotcom/photos/a.317154781638645/5594954703858600/" xr:uid="{00000000-0004-0000-0000-000096100000}"/>
    <hyperlink ref="A2126" r:id="rId4248" display="https://www.facebook.com/divina.chicano" xr:uid="{00000000-0004-0000-0000-000097100000}"/>
    <hyperlink ref="I2126" r:id="rId4249" display="https://www.facebook.com/rapplerdotcom/photos/a.317154781638645/5594954703858600/" xr:uid="{00000000-0004-0000-0000-000098100000}"/>
    <hyperlink ref="A2127" r:id="rId4250" display="https://www.facebook.com/danilo.lansani.5" xr:uid="{00000000-0004-0000-0000-000099100000}"/>
    <hyperlink ref="I2127" r:id="rId4251" display="https://www.facebook.com/rapplerdotcom/photos/a.317154781638645/5594954703858600/" xr:uid="{00000000-0004-0000-0000-00009A100000}"/>
    <hyperlink ref="A2128" r:id="rId4252" display="https://www.facebook.com/drixsaydie" xr:uid="{00000000-0004-0000-0000-00009B100000}"/>
    <hyperlink ref="I2128" r:id="rId4253" display="https://www.facebook.com/rapplerdotcom/photos/a.317154781638645/5594954703858600/" xr:uid="{00000000-0004-0000-0000-00009C100000}"/>
    <hyperlink ref="A2129" r:id="rId4254" display="https://www.facebook.com/danilo.lansani.5" xr:uid="{00000000-0004-0000-0000-00009D100000}"/>
    <hyperlink ref="I2129" r:id="rId4255" display="https://www.facebook.com/rapplerdotcom/photos/a.317154781638645/5594954703858600/" xr:uid="{00000000-0004-0000-0000-00009E100000}"/>
    <hyperlink ref="A2130" r:id="rId4256" display="https://www.facebook.com/divina.chicano" xr:uid="{00000000-0004-0000-0000-00009F100000}"/>
    <hyperlink ref="I2130" r:id="rId4257" display="https://www.facebook.com/rapplerdotcom/photos/a.317154781638645/5594954703858600/" xr:uid="{00000000-0004-0000-0000-0000A0100000}"/>
    <hyperlink ref="A2131" r:id="rId4258" display="https://www.facebook.com/drixsaydie" xr:uid="{00000000-0004-0000-0000-0000A1100000}"/>
    <hyperlink ref="I2131" r:id="rId4259" display="https://www.facebook.com/rapplerdotcom/photos/a.317154781638645/5594954703858600/" xr:uid="{00000000-0004-0000-0000-0000A2100000}"/>
    <hyperlink ref="A2132" r:id="rId4260" display="https://www.facebook.com/divina.chicano" xr:uid="{00000000-0004-0000-0000-0000A3100000}"/>
    <hyperlink ref="I2132" r:id="rId4261" display="https://www.facebook.com/rapplerdotcom/photos/a.317154781638645/5594954703858600/" xr:uid="{00000000-0004-0000-0000-0000A4100000}"/>
    <hyperlink ref="A2133" r:id="rId4262" display="https://www.facebook.com/ping.deluna.50" xr:uid="{00000000-0004-0000-0000-0000A5100000}"/>
    <hyperlink ref="I2133" r:id="rId4263" display="https://www.facebook.com/rapplerdotcom/photos/a.317154781638645/5594954703858600/" xr:uid="{00000000-0004-0000-0000-0000A6100000}"/>
    <hyperlink ref="A2134" r:id="rId4264" display="https://www.facebook.com/CornerPrinter.ph" xr:uid="{00000000-0004-0000-0000-0000A7100000}"/>
    <hyperlink ref="I2134" r:id="rId4265" display="https://www.facebook.com/rapplerdotcom/photos/a.317154781638645/5594954703858600/" xr:uid="{00000000-0004-0000-0000-0000A8100000}"/>
    <hyperlink ref="A2135" r:id="rId4266" display="https://www.facebook.com/cayetano.cabello.3" xr:uid="{00000000-0004-0000-0000-0000A9100000}"/>
    <hyperlink ref="I2135" r:id="rId4267" display="https://www.facebook.com/rapplerdotcom/photos/a.317154781638645/5594954703858600/" xr:uid="{00000000-0004-0000-0000-0000AA100000}"/>
    <hyperlink ref="A2136" r:id="rId4268" display="https://www.facebook.com/razelett.sape" xr:uid="{00000000-0004-0000-0000-0000AB100000}"/>
    <hyperlink ref="I2136" r:id="rId4269" display="https://www.facebook.com/rapplerdotcom/photos/a.317154781638645/5594954703858600/" xr:uid="{00000000-0004-0000-0000-0000AC100000}"/>
    <hyperlink ref="A2137" r:id="rId4270" display="https://www.facebook.com/epal.aco.56" xr:uid="{00000000-0004-0000-0000-0000AD100000}"/>
    <hyperlink ref="I2137" r:id="rId4271" display="https://www.facebook.com/rapplerdotcom/photos/a.317154781638645/5594954703858600/" xr:uid="{00000000-0004-0000-0000-0000AE100000}"/>
    <hyperlink ref="A2138" r:id="rId4272" display="https://www.facebook.com/rome18erlano" xr:uid="{00000000-0004-0000-0000-0000AF100000}"/>
    <hyperlink ref="I2138" r:id="rId4273" display="https://www.facebook.com/rapplerdotcom/photos/a.317154781638645/5594954703858600/" xr:uid="{00000000-0004-0000-0000-0000B0100000}"/>
    <hyperlink ref="A2139" r:id="rId4274" display="https://www.facebook.com/frechy.ebas" xr:uid="{00000000-0004-0000-0000-0000B1100000}"/>
    <hyperlink ref="I2139" r:id="rId4275" display="https://www.facebook.com/rapplerdotcom/photos/a.317154781638645/5594954703858600/" xr:uid="{00000000-0004-0000-0000-0000B2100000}"/>
    <hyperlink ref="A2140" r:id="rId4276" display="https://www.facebook.com/nongbi" xr:uid="{00000000-0004-0000-0000-0000B3100000}"/>
    <hyperlink ref="I2140" r:id="rId4277" display="https://www.facebook.com/rapplerdotcom/photos/a.317154781638645/5594954703858600/" xr:uid="{00000000-0004-0000-0000-0000B4100000}"/>
    <hyperlink ref="A2141" r:id="rId4278" display="https://www.facebook.com/cayetano.cabello.3" xr:uid="{00000000-0004-0000-0000-0000B5100000}"/>
    <hyperlink ref="I2141" r:id="rId4279" display="https://www.facebook.com/rapplerdotcom/photos/a.317154781638645/5594954703858600/" xr:uid="{00000000-0004-0000-0000-0000B6100000}"/>
    <hyperlink ref="A2142" r:id="rId4280" display="https://www.facebook.com/ronald.lojares" xr:uid="{00000000-0004-0000-0000-0000B7100000}"/>
    <hyperlink ref="I2142" r:id="rId4281" display="https://www.facebook.com/rapplerdotcom/photos/a.317154781638645/5594954703858600/" xr:uid="{00000000-0004-0000-0000-0000B8100000}"/>
    <hyperlink ref="A2143" r:id="rId4282" display="https://www.facebook.com/ronald.lojares" xr:uid="{00000000-0004-0000-0000-0000B9100000}"/>
    <hyperlink ref="I2143" r:id="rId4283" display="https://www.facebook.com/rapplerdotcom/photos/a.317154781638645/5594954703858600/" xr:uid="{00000000-0004-0000-0000-0000BA100000}"/>
    <hyperlink ref="A2144" r:id="rId4284" display="https://www.facebook.com/terry.galanza" xr:uid="{00000000-0004-0000-0000-0000BB100000}"/>
    <hyperlink ref="I2144" r:id="rId4285" display="https://www.facebook.com/rapplerdotcom/photos/a.317154781638645/5594954703858600/" xr:uid="{00000000-0004-0000-0000-0000BC100000}"/>
    <hyperlink ref="A2145" r:id="rId4286" display="https://www.facebook.com/drixsaydie" xr:uid="{00000000-0004-0000-0000-0000BD100000}"/>
    <hyperlink ref="I2145" r:id="rId4287" display="https://www.facebook.com/rapplerdotcom/photos/a.317154781638645/5594954703858600/" xr:uid="{00000000-0004-0000-0000-0000BE100000}"/>
    <hyperlink ref="A2146" r:id="rId4288" display="https://www.facebook.com/armin.manalastas" xr:uid="{00000000-0004-0000-0000-0000BF100000}"/>
    <hyperlink ref="I2146" r:id="rId4289" display="https://www.facebook.com/rapplerdotcom/photos/a.317154781638645/5594954703858600/" xr:uid="{00000000-0004-0000-0000-0000C0100000}"/>
    <hyperlink ref="A2147" r:id="rId4290" display="https://www.facebook.com/joey.abella.507" xr:uid="{00000000-0004-0000-0000-0000C1100000}"/>
    <hyperlink ref="I2147" r:id="rId4291" display="https://www.facebook.com/rapplerdotcom/photos/a.317154781638645/5594954703858600/" xr:uid="{00000000-0004-0000-0000-0000C2100000}"/>
    <hyperlink ref="A2148" r:id="rId4292" display="https://www.facebook.com/drixsaydie" xr:uid="{00000000-0004-0000-0000-0000C3100000}"/>
    <hyperlink ref="I2148" r:id="rId4293" display="https://www.facebook.com/rapplerdotcom/photos/a.317154781638645/5594954703858600/" xr:uid="{00000000-0004-0000-0000-0000C4100000}"/>
    <hyperlink ref="A2149" r:id="rId4294" display="https://www.facebook.com/profile.php?id=100005805521954" xr:uid="{00000000-0004-0000-0000-0000C5100000}"/>
    <hyperlink ref="I2149" r:id="rId4295" display="https://www.facebook.com/rapplerdotcom/photos/a.317154781638645/5594954703858600/" xr:uid="{00000000-0004-0000-0000-0000C6100000}"/>
    <hyperlink ref="A2150" r:id="rId4296" display="https://www.facebook.com/bownie.abagatan" xr:uid="{00000000-0004-0000-0000-0000C7100000}"/>
    <hyperlink ref="I2150" r:id="rId4297" display="https://www.facebook.com/rapplerdotcom/photos/a.317154781638645/5594954703858600/" xr:uid="{00000000-0004-0000-0000-0000C8100000}"/>
    <hyperlink ref="A2151" r:id="rId4298" display="https://www.facebook.com/marvin.noche.1" xr:uid="{00000000-0004-0000-0000-0000C9100000}"/>
    <hyperlink ref="I2151" r:id="rId4299" display="https://www.facebook.com/rapplerdotcom/photos/a.317154781638645/5594954703858600/" xr:uid="{00000000-0004-0000-0000-0000CA100000}"/>
    <hyperlink ref="A2152" r:id="rId4300" display="https://www.facebook.com/rose.cadavicio" xr:uid="{00000000-0004-0000-0000-0000CB100000}"/>
    <hyperlink ref="I2152" r:id="rId4301" display="https://www.facebook.com/rapplerdotcom/photos/a.317154781638645/5594954703858600/" xr:uid="{00000000-0004-0000-0000-0000CC100000}"/>
    <hyperlink ref="A2153" r:id="rId4302" display="https://www.facebook.com/epal.aco.56" xr:uid="{00000000-0004-0000-0000-0000CD100000}"/>
    <hyperlink ref="I2153" r:id="rId4303" display="https://www.facebook.com/rapplerdotcom/photos/a.317154781638645/5594954703858600/" xr:uid="{00000000-0004-0000-0000-0000CE100000}"/>
    <hyperlink ref="A2154" r:id="rId4304" display="https://www.facebook.com/gener.satsatin" xr:uid="{00000000-0004-0000-0000-0000CF100000}"/>
    <hyperlink ref="I2154" r:id="rId4305" display="https://www.facebook.com/rapplerdotcom/photos/a.317154781638645/5594954703858600/" xr:uid="{00000000-0004-0000-0000-0000D0100000}"/>
    <hyperlink ref="A2155" r:id="rId4306" display="https://www.facebook.com/yolanda.villegas.92167" xr:uid="{00000000-0004-0000-0000-0000D1100000}"/>
    <hyperlink ref="I2155" r:id="rId4307" display="https://www.facebook.com/rapplerdotcom/photos/a.317154781638645/5594954703858600/" xr:uid="{00000000-0004-0000-0000-0000D2100000}"/>
    <hyperlink ref="A2156" r:id="rId4308" display="https://www.facebook.com/alex.lanestosa.7" xr:uid="{00000000-0004-0000-0000-0000D3100000}"/>
    <hyperlink ref="I2156" r:id="rId4309" display="https://www.facebook.com/rapplerdotcom/photos/a.317154781638645/5594954703858600/" xr:uid="{00000000-0004-0000-0000-0000D4100000}"/>
    <hyperlink ref="A2157" r:id="rId4310" display="https://www.facebook.com/noscire.padilla" xr:uid="{00000000-0004-0000-0000-0000D5100000}"/>
    <hyperlink ref="I2157" r:id="rId4311" display="https://www.facebook.com/rapplerdotcom/photos/a.317154781638645/5594954703858600/" xr:uid="{00000000-0004-0000-0000-0000D6100000}"/>
    <hyperlink ref="A2158" r:id="rId4312" display="https://www.facebook.com/nrgatdula" xr:uid="{00000000-0004-0000-0000-0000D7100000}"/>
    <hyperlink ref="I2158" r:id="rId4313" display="https://www.facebook.com/rapplerdotcom/photos/a.317154781638645/5594954703858600/" xr:uid="{00000000-0004-0000-0000-0000D8100000}"/>
    <hyperlink ref="A2159" r:id="rId4314" display="https://www.facebook.com/ulyssesleodegario.lim" xr:uid="{00000000-0004-0000-0000-0000D9100000}"/>
    <hyperlink ref="I2159" r:id="rId4315" display="https://www.facebook.com/rapplerdotcom/photos/a.317154781638645/5594954703858600/" xr:uid="{00000000-0004-0000-0000-0000DA100000}"/>
    <hyperlink ref="A2160" r:id="rId4316" display="https://www.facebook.com/karyata.gwapako" xr:uid="{00000000-0004-0000-0000-0000DB100000}"/>
    <hyperlink ref="I2160" r:id="rId4317" display="https://www.facebook.com/rapplerdotcom/photos/a.317154781638645/5594954703858600/" xr:uid="{00000000-0004-0000-0000-0000DC100000}"/>
    <hyperlink ref="A2161" r:id="rId4318" display="https://www.facebook.com/phoebe.fernandez.12576" xr:uid="{00000000-0004-0000-0000-0000DD100000}"/>
    <hyperlink ref="I2161" r:id="rId4319" display="https://www.facebook.com/rapplerdotcom/photos/a.317154781638645/5594954703858600/" xr:uid="{00000000-0004-0000-0000-0000DE100000}"/>
    <hyperlink ref="A2162" r:id="rId4320" display="https://www.facebook.com/CornerPrinter.ph" xr:uid="{00000000-0004-0000-0000-0000DF100000}"/>
    <hyperlink ref="I2162" r:id="rId4321" display="https://www.facebook.com/rapplerdotcom/photos/a.317154781638645/5594954703858600/" xr:uid="{00000000-0004-0000-0000-0000E0100000}"/>
    <hyperlink ref="A2163" r:id="rId4322" display="https://www.facebook.com/juliusryan.tuquero" xr:uid="{00000000-0004-0000-0000-0000E1100000}"/>
    <hyperlink ref="I2163" r:id="rId4323" display="https://www.facebook.com/rapplerdotcom/photos/a.317154781638645/5594954703858600/" xr:uid="{00000000-0004-0000-0000-0000E2100000}"/>
    <hyperlink ref="A2164" r:id="rId4324" display="https://www.facebook.com/galit.jerol" xr:uid="{00000000-0004-0000-0000-0000E3100000}"/>
    <hyperlink ref="I2164" r:id="rId4325" display="https://www.facebook.com/rapplerdotcom/photos/a.317154781638645/5594954703858600/" xr:uid="{00000000-0004-0000-0000-0000E4100000}"/>
    <hyperlink ref="A2165" r:id="rId4326" display="https://www.facebook.com/stan.galang.3" xr:uid="{00000000-0004-0000-0000-0000E5100000}"/>
    <hyperlink ref="I2165" r:id="rId4327" display="https://www.facebook.com/rapplerdotcom/photos/a.317154781638645/5594954703858600/" xr:uid="{00000000-0004-0000-0000-0000E6100000}"/>
    <hyperlink ref="A2166" r:id="rId4328" display="https://www.facebook.com/profile.php?id=100011150311111" xr:uid="{00000000-0004-0000-0000-0000E7100000}"/>
    <hyperlink ref="I2166" r:id="rId4329" display="https://www.facebook.com/rapplerdotcom/photos/a.317154781638645/5594954703858600/" xr:uid="{00000000-0004-0000-0000-0000E8100000}"/>
    <hyperlink ref="A2167" r:id="rId4330" display="https://www.facebook.com/edgar.basibas.1" xr:uid="{00000000-0004-0000-0000-0000E9100000}"/>
    <hyperlink ref="I2167" r:id="rId4331" display="https://www.facebook.com/rapplerdotcom/photos/a.317154781638645/5594954703858600/" xr:uid="{00000000-0004-0000-0000-0000EA100000}"/>
    <hyperlink ref="A2168" r:id="rId4332" display="https://www.facebook.com/sayunara.lisura" xr:uid="{00000000-0004-0000-0000-0000EB100000}"/>
    <hyperlink ref="I2168" r:id="rId4333" display="https://www.facebook.com/rapplerdotcom/photos/a.317154781638645/5594954703858600/" xr:uid="{00000000-0004-0000-0000-0000EC100000}"/>
    <hyperlink ref="A2169" r:id="rId4334" display="https://www.facebook.com/kenneth.cauntay" xr:uid="{00000000-0004-0000-0000-0000ED100000}"/>
    <hyperlink ref="I2169" r:id="rId4335" display="https://www.facebook.com/rapplerdotcom/photos/a.317154781638645/5594954703858600/" xr:uid="{00000000-0004-0000-0000-0000EE100000}"/>
    <hyperlink ref="A2170" r:id="rId4336" display="https://www.facebook.com/rachillecagwin" xr:uid="{00000000-0004-0000-0000-0000EF100000}"/>
    <hyperlink ref="I2170" r:id="rId4337" display="https://www.facebook.com/rapplerdotcom/photos/a.317154781638645/5594954703858600/" xr:uid="{00000000-0004-0000-0000-0000F0100000}"/>
    <hyperlink ref="A2171" r:id="rId4338" display="https://www.facebook.com/smooch.dash.3" xr:uid="{00000000-0004-0000-0000-0000F1100000}"/>
    <hyperlink ref="I2171" r:id="rId4339" display="https://www.facebook.com/rapplerdotcom/photos/a.317154781638645/5594954703858600/" xr:uid="{00000000-0004-0000-0000-0000F2100000}"/>
    <hyperlink ref="A2172" r:id="rId4340" display="https://www.facebook.com/areumdawoyo" xr:uid="{00000000-0004-0000-0000-0000F3100000}"/>
    <hyperlink ref="I2172" r:id="rId4341" display="https://www.facebook.com/rapplerdotcom/photos/a.317154781638645/5594954703858600/" xr:uid="{00000000-0004-0000-0000-0000F4100000}"/>
    <hyperlink ref="A2173" r:id="rId4342" display="https://www.facebook.com/jefferson.parrocha.3" xr:uid="{00000000-0004-0000-0000-0000F5100000}"/>
    <hyperlink ref="I2173" r:id="rId4343" display="https://www.facebook.com/rapplerdotcom/photos/a.317154781638645/5594954703858600/" xr:uid="{00000000-0004-0000-0000-0000F6100000}"/>
    <hyperlink ref="A2174" r:id="rId4344" display="https://www.facebook.com/rick.capunihan" xr:uid="{00000000-0004-0000-0000-0000F7100000}"/>
    <hyperlink ref="I2174" r:id="rId4345" display="https://www.facebook.com/rapplerdotcom/photos/a.317154781638645/5594954703858600/" xr:uid="{00000000-0004-0000-0000-0000F8100000}"/>
    <hyperlink ref="A2175" r:id="rId4346" display="https://www.facebook.com/nora.montejo.925" xr:uid="{00000000-0004-0000-0000-0000F9100000}"/>
    <hyperlink ref="I2175" r:id="rId4347" display="https://www.facebook.com/rapplerdotcom/photos/a.317154781638645/5594954703858600/" xr:uid="{00000000-0004-0000-0000-0000FA100000}"/>
    <hyperlink ref="A2176" r:id="rId4348" display="https://www.facebook.com/rick.capunihan" xr:uid="{00000000-0004-0000-0000-0000FB100000}"/>
    <hyperlink ref="I2176" r:id="rId4349" display="https://www.facebook.com/rapplerdotcom/photos/a.317154781638645/5594954703858600/" xr:uid="{00000000-0004-0000-0000-0000FC100000}"/>
    <hyperlink ref="A2177" r:id="rId4350" display="https://www.facebook.com/tolits.briones" xr:uid="{00000000-0004-0000-0000-0000FD100000}"/>
    <hyperlink ref="I2177" r:id="rId4351" display="https://www.facebook.com/rapplerdotcom/photos/a.317154781638645/5594954703858600/" xr:uid="{00000000-0004-0000-0000-0000FE100000}"/>
    <hyperlink ref="A2178" r:id="rId4352" display="https://www.facebook.com/euji.666" xr:uid="{00000000-0004-0000-0000-0000FF100000}"/>
    <hyperlink ref="I2178" r:id="rId4353" display="https://www.facebook.com/rapplerdotcom/photos/a.317154781638645/5594954703858600/" xr:uid="{00000000-0004-0000-0000-000000110000}"/>
    <hyperlink ref="A2179" r:id="rId4354" display="https://www.facebook.com/athena.margarette.71" xr:uid="{00000000-0004-0000-0000-000001110000}"/>
    <hyperlink ref="I2179" r:id="rId4355" display="https://www.facebook.com/rapplerdotcom/photos/a.317154781638645/5594954703858600/" xr:uid="{00000000-0004-0000-0000-000002110000}"/>
    <hyperlink ref="A2180" r:id="rId4356" display="https://www.facebook.com/josie.salas.731" xr:uid="{00000000-0004-0000-0000-000003110000}"/>
    <hyperlink ref="I2180" r:id="rId4357" display="https://www.facebook.com/rapplerdotcom/photos/a.317154781638645/5594954703858600/" xr:uid="{00000000-0004-0000-0000-000004110000}"/>
    <hyperlink ref="A2181" r:id="rId4358" display="https://www.facebook.com/janice.arroyo.98837" xr:uid="{00000000-0004-0000-0000-000005110000}"/>
    <hyperlink ref="I2181" r:id="rId4359" display="https://www.facebook.com/rapplerdotcom/photos/a.317154781638645/5594954703858600/" xr:uid="{00000000-0004-0000-0000-000006110000}"/>
    <hyperlink ref="A2182" r:id="rId4360" display="https://www.facebook.com/joey.abella.507" xr:uid="{00000000-0004-0000-0000-000007110000}"/>
    <hyperlink ref="I2182" r:id="rId4361" display="https://www.facebook.com/rapplerdotcom/photos/a.317154781638645/5594954703858600/" xr:uid="{00000000-0004-0000-0000-000008110000}"/>
    <hyperlink ref="A2183" r:id="rId4362" display="https://www.facebook.com/rick.capunihan" xr:uid="{00000000-0004-0000-0000-000009110000}"/>
    <hyperlink ref="I2183" r:id="rId4363" display="https://www.facebook.com/rapplerdotcom/photos/a.317154781638645/5594954703858600/" xr:uid="{00000000-0004-0000-0000-00000A110000}"/>
    <hyperlink ref="A2184" r:id="rId4364" display="https://www.facebook.com/rick.capunihan" xr:uid="{00000000-0004-0000-0000-00000B110000}"/>
    <hyperlink ref="I2184" r:id="rId4365" display="https://www.facebook.com/rapplerdotcom/photos/a.317154781638645/5594954703858600/" xr:uid="{00000000-0004-0000-0000-00000C110000}"/>
    <hyperlink ref="A2185" r:id="rId4366" display="https://www.facebook.com/rick.capunihan" xr:uid="{00000000-0004-0000-0000-00000D110000}"/>
    <hyperlink ref="I2185" r:id="rId4367" display="https://www.facebook.com/rapplerdotcom/photos/a.317154781638645/5594954703858600/" xr:uid="{00000000-0004-0000-0000-00000E110000}"/>
    <hyperlink ref="A2186" r:id="rId4368" display="https://www.facebook.com/josie.salas.731" xr:uid="{00000000-0004-0000-0000-00000F110000}"/>
    <hyperlink ref="I2186" r:id="rId4369" display="https://www.facebook.com/rapplerdotcom/photos/a.317154781638645/5594954703858600/" xr:uid="{00000000-0004-0000-0000-000010110000}"/>
    <hyperlink ref="A2187" r:id="rId4370" display="https://www.facebook.com/onie.abon.98" xr:uid="{00000000-0004-0000-0000-000011110000}"/>
    <hyperlink ref="I2187" r:id="rId4371" display="https://www.facebook.com/rapplerdotcom/photos/a.317154781638645/5594954703858600/" xr:uid="{00000000-0004-0000-0000-000012110000}"/>
    <hyperlink ref="A2188" r:id="rId4372" display="https://www.facebook.com/labicanefloraalday" xr:uid="{00000000-0004-0000-0000-000013110000}"/>
    <hyperlink ref="I2188" r:id="rId4373" display="https://www.facebook.com/rapplerdotcom/photos/a.317154781638645/5594954703858600/" xr:uid="{00000000-0004-0000-0000-000014110000}"/>
    <hyperlink ref="A2189" r:id="rId4374" display="https://www.facebook.com/dianjane.sy" xr:uid="{00000000-0004-0000-0000-000015110000}"/>
    <hyperlink ref="I2189" r:id="rId4375" display="https://www.facebook.com/rapplerdotcom/photos/a.317154781638645/5594954703858600/" xr:uid="{00000000-0004-0000-0000-000016110000}"/>
    <hyperlink ref="A2190" r:id="rId4376" display="https://www.facebook.com/noel.ramirez.35110" xr:uid="{00000000-0004-0000-0000-000017110000}"/>
    <hyperlink ref="I2190" r:id="rId4377" display="https://www.facebook.com/rapplerdotcom/photos/a.317154781638645/5594954703858600/" xr:uid="{00000000-0004-0000-0000-000018110000}"/>
    <hyperlink ref="A2191" r:id="rId4378" display="https://www.facebook.com/profile.php?id=100009754082201" xr:uid="{00000000-0004-0000-0000-000019110000}"/>
    <hyperlink ref="I2191" r:id="rId4379" display="https://www.facebook.com/rapplerdotcom/photos/a.317154781638645/5594954703858600/" xr:uid="{00000000-0004-0000-0000-00001A110000}"/>
    <hyperlink ref="A2192" r:id="rId4380" display="https://www.facebook.com/johnny.collantes.37" xr:uid="{00000000-0004-0000-0000-00001B110000}"/>
    <hyperlink ref="I2192" r:id="rId4381" display="https://www.facebook.com/rapplerdotcom/photos/a.317154781638645/5594954703858600/" xr:uid="{00000000-0004-0000-0000-00001C110000}"/>
    <hyperlink ref="A2193" r:id="rId4382" display="https://www.facebook.com/erick.balbin" xr:uid="{00000000-0004-0000-0000-00001D110000}"/>
    <hyperlink ref="I2193" r:id="rId4383" display="https://www.facebook.com/rapplerdotcom/photos/a.317154781638645/5594954703858600/" xr:uid="{00000000-0004-0000-0000-00001E110000}"/>
    <hyperlink ref="A2194" r:id="rId4384" display="https://www.facebook.com/joeven.alvarez" xr:uid="{00000000-0004-0000-0000-00001F110000}"/>
    <hyperlink ref="I2194" r:id="rId4385" display="https://www.facebook.com/rapplerdotcom/photos/a.317154781638645/5594954703858600/" xr:uid="{00000000-0004-0000-0000-000020110000}"/>
    <hyperlink ref="A2195" r:id="rId4386" display="https://www.facebook.com/rogen.divinagracia.1" xr:uid="{00000000-0004-0000-0000-000021110000}"/>
    <hyperlink ref="I2195" r:id="rId4387" display="https://www.facebook.com/rapplerdotcom/photos/a.317154781638645/5594954703858600/" xr:uid="{00000000-0004-0000-0000-000022110000}"/>
    <hyperlink ref="A2196" r:id="rId4388" display="https://www.facebook.com/janice.arroyo.98837" xr:uid="{00000000-0004-0000-0000-000023110000}"/>
    <hyperlink ref="I2196" r:id="rId4389" display="https://www.facebook.com/rapplerdotcom/photos/a.317154781638645/5594954703858600/" xr:uid="{00000000-0004-0000-0000-000024110000}"/>
    <hyperlink ref="A2197" r:id="rId4390" display="https://www.facebook.com/ester.barcelon" xr:uid="{00000000-0004-0000-0000-000025110000}"/>
    <hyperlink ref="I2197" r:id="rId4391" display="https://www.facebook.com/rapplerdotcom/photos/a.317154781638645/5594954703858600/" xr:uid="{00000000-0004-0000-0000-000026110000}"/>
    <hyperlink ref="A2198" r:id="rId4392" display="https://www.facebook.com/divina.chicano" xr:uid="{00000000-0004-0000-0000-000027110000}"/>
    <hyperlink ref="I2198" r:id="rId4393" display="https://www.facebook.com/rapplerdotcom/photos/a.317154781638645/5594954703858600/" xr:uid="{00000000-0004-0000-0000-000028110000}"/>
    <hyperlink ref="A2199" r:id="rId4394" display="https://www.facebook.com/eduardo.bonndadjr" xr:uid="{00000000-0004-0000-0000-000029110000}"/>
    <hyperlink ref="I2199" r:id="rId4395" display="https://www.facebook.com/rapplerdotcom/photos/a.317154781638645/5594954703858600/" xr:uid="{00000000-0004-0000-0000-00002A110000}"/>
    <hyperlink ref="A2200" r:id="rId4396" display="https://www.facebook.com/marcial.acbang" xr:uid="{00000000-0004-0000-0000-00002B110000}"/>
    <hyperlink ref="I2200" r:id="rId4397" display="https://www.facebook.com/rapplerdotcom/photos/a.317154781638645/5594954703858600/" xr:uid="{00000000-0004-0000-0000-00002C110000}"/>
    <hyperlink ref="A2201" r:id="rId4398" display="https://www.facebook.com/amaya.sabado" xr:uid="{00000000-0004-0000-0000-00002D110000}"/>
    <hyperlink ref="I2201" r:id="rId4399" display="https://www.facebook.com/rapplerdotcom/photos/a.317154781638645/5594954703858600/" xr:uid="{00000000-0004-0000-0000-00002E110000}"/>
    <hyperlink ref="A2202" r:id="rId4400" display="https://www.facebook.com/josefina.deri.5" xr:uid="{00000000-0004-0000-0000-00002F110000}"/>
    <hyperlink ref="I2202" r:id="rId4401" display="https://www.facebook.com/rapplerdotcom/photos/a.317154781638645/5594954703858600/" xr:uid="{00000000-0004-0000-0000-000030110000}"/>
    <hyperlink ref="A2203" r:id="rId4402" display="https://www.facebook.com/solito.barana.86" xr:uid="{00000000-0004-0000-0000-000031110000}"/>
    <hyperlink ref="I2203" r:id="rId4403" display="https://www.facebook.com/rapplerdotcom/photos/a.317154781638645/5594954703858600/" xr:uid="{00000000-0004-0000-0000-000032110000}"/>
    <hyperlink ref="A2204" r:id="rId4404" display="https://www.facebook.com/arnold.austria.1" xr:uid="{00000000-0004-0000-0000-000033110000}"/>
    <hyperlink ref="I2204" r:id="rId4405" display="https://www.facebook.com/rapplerdotcom/photos/a.317154781638645/5594954703858600/" xr:uid="{00000000-0004-0000-0000-000034110000}"/>
    <hyperlink ref="A2205" r:id="rId4406" display="https://www.facebook.com/priscila.serenoreyes" xr:uid="{00000000-0004-0000-0000-000035110000}"/>
    <hyperlink ref="I2205" r:id="rId4407" display="https://www.facebook.com/rapplerdotcom/photos/a.317154781638645/5594954703858600/" xr:uid="{00000000-0004-0000-0000-000036110000}"/>
    <hyperlink ref="A2206" r:id="rId4408" display="https://www.facebook.com/myrna.gipulan" xr:uid="{00000000-0004-0000-0000-000037110000}"/>
    <hyperlink ref="I2206" r:id="rId4409" display="https://www.facebook.com/rapplerdotcom/photos/a.317154781638645/5594954703858600/" xr:uid="{00000000-0004-0000-0000-000038110000}"/>
    <hyperlink ref="A2207" r:id="rId4410" display="https://www.facebook.com/profile.php?id=100007155289018" xr:uid="{00000000-0004-0000-0000-000039110000}"/>
    <hyperlink ref="I2207" r:id="rId4411" display="https://www.facebook.com/rapplerdotcom/photos/a.317154781638645/5594954703858600/" xr:uid="{00000000-0004-0000-0000-00003A110000}"/>
    <hyperlink ref="A2208" r:id="rId4412" display="https://www.facebook.com/josie.roncal.3" xr:uid="{00000000-0004-0000-0000-00003B110000}"/>
    <hyperlink ref="I2208" r:id="rId4413" display="https://www.facebook.com/rapplerdotcom/photos/a.317154781638645/5594954703858600/" xr:uid="{00000000-0004-0000-0000-00003C110000}"/>
    <hyperlink ref="A2209" r:id="rId4414" display="https://www.facebook.com/CornerPrinter.ph" xr:uid="{00000000-0004-0000-0000-00003D110000}"/>
    <hyperlink ref="I2209" r:id="rId4415" display="https://www.facebook.com/rapplerdotcom/photos/a.317154781638645/5594954703858600/" xr:uid="{00000000-0004-0000-0000-00003E110000}"/>
    <hyperlink ref="A2210" r:id="rId4416" display="https://www.facebook.com/shelongrace.fernando.96" xr:uid="{00000000-0004-0000-0000-00003F110000}"/>
    <hyperlink ref="I2210" r:id="rId4417" display="https://www.facebook.com/rapplerdotcom/photos/a.317154781638645/5594954703858600/" xr:uid="{00000000-0004-0000-0000-000040110000}"/>
    <hyperlink ref="A2211" r:id="rId4418" display="https://www.facebook.com/myrna.gipulan" xr:uid="{00000000-0004-0000-0000-000041110000}"/>
    <hyperlink ref="I2211" r:id="rId4419" display="https://www.facebook.com/rapplerdotcom/photos/a.317154781638645/5594954703858600/" xr:uid="{00000000-0004-0000-0000-000042110000}"/>
    <hyperlink ref="A2212" r:id="rId4420" display="https://www.facebook.com/profile.php?id=100007155289018" xr:uid="{00000000-0004-0000-0000-000043110000}"/>
    <hyperlink ref="I2212" r:id="rId4421" display="https://www.facebook.com/rapplerdotcom/photos/a.317154781638645/5594954703858600/" xr:uid="{00000000-0004-0000-0000-000044110000}"/>
    <hyperlink ref="A2213" r:id="rId4422" display="https://www.facebook.com/profile.php?id=100007155289018" xr:uid="{00000000-0004-0000-0000-000045110000}"/>
    <hyperlink ref="I2213" r:id="rId4423" display="https://www.facebook.com/rapplerdotcom/photos/a.317154781638645/5594954703858600/" xr:uid="{00000000-0004-0000-0000-000046110000}"/>
    <hyperlink ref="A2214" r:id="rId4424" display="https://www.facebook.com/solito.barana.86" xr:uid="{00000000-0004-0000-0000-000047110000}"/>
    <hyperlink ref="I2214" r:id="rId4425" display="https://www.facebook.com/rapplerdotcom/photos/a.317154781638645/5594954703858600/" xr:uid="{00000000-0004-0000-0000-000048110000}"/>
    <hyperlink ref="A2215" r:id="rId4426" display="https://www.facebook.com/lon.makinano.94" xr:uid="{00000000-0004-0000-0000-000049110000}"/>
    <hyperlink ref="I2215" r:id="rId4427" display="https://www.facebook.com/rapplerdotcom/photos/a.317154781638645/5594954703858600/" xr:uid="{00000000-0004-0000-0000-00004A110000}"/>
    <hyperlink ref="A2216" r:id="rId4428" display="https://www.facebook.com/awin.calderon" xr:uid="{00000000-0004-0000-0000-00004B110000}"/>
    <hyperlink ref="I2216" r:id="rId4429" display="https://www.facebook.com/rapplerdotcom/photos/a.317154781638645/5594954703858600/" xr:uid="{00000000-0004-0000-0000-00004C110000}"/>
    <hyperlink ref="A2217" r:id="rId4430" display="https://www.facebook.com/ester.barcelon" xr:uid="{00000000-0004-0000-0000-00004D110000}"/>
    <hyperlink ref="I2217" r:id="rId4431" display="https://www.facebook.com/rapplerdotcom/photos/a.317154781638645/5594954703858600/" xr:uid="{00000000-0004-0000-0000-00004E110000}"/>
    <hyperlink ref="A2218" r:id="rId4432" display="https://www.facebook.com/madz.gomez.73" xr:uid="{00000000-0004-0000-0000-00004F110000}"/>
    <hyperlink ref="I2218" r:id="rId4433" display="https://www.facebook.com/rapplerdotcom/photos/a.317154781638645/5594954703858600/" xr:uid="{00000000-0004-0000-0000-000050110000}"/>
    <hyperlink ref="A2219" r:id="rId4434" display="https://www.facebook.com/emmaibarra.manabat" xr:uid="{00000000-0004-0000-0000-000051110000}"/>
    <hyperlink ref="I2219" r:id="rId4435" display="https://www.facebook.com/rapplerdotcom/photos/a.317154781638645/5594954703858600/" xr:uid="{00000000-0004-0000-0000-000052110000}"/>
    <hyperlink ref="A2220" r:id="rId4436" display="https://www.facebook.com/madz.gomez.73" xr:uid="{00000000-0004-0000-0000-000053110000}"/>
    <hyperlink ref="I2220" r:id="rId4437" display="https://www.facebook.com/rapplerdotcom/photos/a.317154781638645/5594954703858600/" xr:uid="{00000000-0004-0000-0000-000054110000}"/>
    <hyperlink ref="A2221" r:id="rId4438" display="https://www.facebook.com/CornerPrinter.ph" xr:uid="{00000000-0004-0000-0000-000055110000}"/>
    <hyperlink ref="I2221" r:id="rId4439" display="https://www.facebook.com/rapplerdotcom/photos/a.317154781638645/5594954703858600/" xr:uid="{00000000-0004-0000-0000-000056110000}"/>
    <hyperlink ref="A2222" r:id="rId4440" display="https://www.facebook.com/jayloudave.basog" xr:uid="{00000000-0004-0000-0000-000057110000}"/>
    <hyperlink ref="I2222" r:id="rId4441" display="https://www.facebook.com/rapplerdotcom/photos/a.317154781638645/5594954703858600/" xr:uid="{00000000-0004-0000-0000-000058110000}"/>
    <hyperlink ref="A2223" r:id="rId4442" display="https://www.facebook.com/amaya.sabado" xr:uid="{00000000-0004-0000-0000-000059110000}"/>
    <hyperlink ref="I2223" r:id="rId4443" display="https://www.facebook.com/rapplerdotcom/photos/a.317154781638645/5594954703858600/" xr:uid="{00000000-0004-0000-0000-00005A110000}"/>
    <hyperlink ref="A2224" r:id="rId4444" display="https://www.facebook.com/rosemarie.saturno" xr:uid="{00000000-0004-0000-0000-00005B110000}"/>
    <hyperlink ref="I2224" r:id="rId4445" display="https://www.facebook.com/rapplerdotcom/photos/a.317154781638645/5594954703858600/" xr:uid="{00000000-0004-0000-0000-00005C110000}"/>
    <hyperlink ref="A2225" r:id="rId4446" display="https://www.facebook.com/rapkarl04" xr:uid="{00000000-0004-0000-0000-00005D110000}"/>
    <hyperlink ref="I2225" r:id="rId4447" display="https://www.facebook.com/rapplerdotcom/photos/a.317154781638645/5594954703858600/" xr:uid="{00000000-0004-0000-0000-00005E110000}"/>
    <hyperlink ref="A2226" r:id="rId4448" display="https://www.facebook.com/hayl06" xr:uid="{00000000-0004-0000-0000-00005F110000}"/>
    <hyperlink ref="I2226" r:id="rId4449" display="https://www.facebook.com/rapplerdotcom/photos/a.317154781638645/5594954703858600/" xr:uid="{00000000-0004-0000-0000-000060110000}"/>
    <hyperlink ref="A2227" r:id="rId4450" display="https://www.facebook.com/frank.chavez.161" xr:uid="{00000000-0004-0000-0000-000061110000}"/>
    <hyperlink ref="I2227" r:id="rId4451" display="https://www.facebook.com/rapplerdotcom/photos/a.317154781638645/5594954703858600/" xr:uid="{00000000-0004-0000-0000-000062110000}"/>
    <hyperlink ref="A2228" r:id="rId4452" display="https://www.facebook.com/profile.php?id=100004913538639" xr:uid="{00000000-0004-0000-0000-000063110000}"/>
    <hyperlink ref="I2228" r:id="rId4453" display="https://www.facebook.com/rapplerdotcom/photos/a.317154781638645/5594954703858600/" xr:uid="{00000000-0004-0000-0000-000064110000}"/>
    <hyperlink ref="A2229" r:id="rId4454" display="https://www.facebook.com/profile.php?id=100070347279389" xr:uid="{00000000-0004-0000-0000-000065110000}"/>
    <hyperlink ref="I2229" r:id="rId4455" display="https://www.facebook.com/rapplerdotcom/photos/a.317154781638645/5594954703858600/" xr:uid="{00000000-0004-0000-0000-000066110000}"/>
    <hyperlink ref="A2230" r:id="rId4456" display="https://www.facebook.com/ricoisaac.acido" xr:uid="{00000000-0004-0000-0000-000067110000}"/>
    <hyperlink ref="I2230" r:id="rId4457" display="https://www.facebook.com/rapplerdotcom/photos/a.317154781638645/5594954703858600/" xr:uid="{00000000-0004-0000-0000-000068110000}"/>
    <hyperlink ref="A2231" r:id="rId4458" display="https://www.facebook.com/Overhauled12" xr:uid="{00000000-0004-0000-0000-000069110000}"/>
    <hyperlink ref="I2231" r:id="rId4459" display="https://www.facebook.com/rapplerdotcom/photos/a.317154781638645/5594954703858600/" xr:uid="{00000000-0004-0000-0000-00006A110000}"/>
    <hyperlink ref="A2232" r:id="rId4460" display="https://www.facebook.com/gina.besinga" xr:uid="{00000000-0004-0000-0000-00006B110000}"/>
    <hyperlink ref="I2232" r:id="rId4461" display="https://www.facebook.com/rapplerdotcom/photos/a.317154781638645/5594954703858600/" xr:uid="{00000000-0004-0000-0000-00006C110000}"/>
    <hyperlink ref="A2233" r:id="rId4462" display="https://www.facebook.com/amaya.sabado" xr:uid="{00000000-0004-0000-0000-00006D110000}"/>
    <hyperlink ref="I2233" r:id="rId4463" display="https://www.facebook.com/rapplerdotcom/photos/a.317154781638645/5594954703858600/" xr:uid="{00000000-0004-0000-0000-00006E110000}"/>
    <hyperlink ref="A2234" r:id="rId4464" display="https://www.facebook.com/gov.landayto" xr:uid="{00000000-0004-0000-0000-00006F110000}"/>
    <hyperlink ref="I2234" r:id="rId4465" display="https://www.facebook.com/rapplerdotcom/photos/a.317154781638645/5594954703858600/" xr:uid="{00000000-0004-0000-0000-000070110000}"/>
    <hyperlink ref="A2235" r:id="rId4466" display="https://www.facebook.com/raks.vppablo" xr:uid="{00000000-0004-0000-0000-000071110000}"/>
    <hyperlink ref="I2235" r:id="rId4467" display="https://www.facebook.com/rapplerdotcom/photos/a.317154781638645/5594954703858600/" xr:uid="{00000000-0004-0000-0000-000072110000}"/>
    <hyperlink ref="A2236" r:id="rId4468" display="https://www.facebook.com/profile.php?id=100076601927157" xr:uid="{00000000-0004-0000-0000-000073110000}"/>
    <hyperlink ref="I2236" r:id="rId4469" display="https://www.facebook.com/rapplerdotcom/photos/a.317154781638645/5594954703858600/" xr:uid="{00000000-0004-0000-0000-000074110000}"/>
    <hyperlink ref="A2237" r:id="rId4470" display="https://www.facebook.com/profile.php?id=100003301642045" xr:uid="{00000000-0004-0000-0000-000075110000}"/>
    <hyperlink ref="I2237" r:id="rId4471" display="https://www.facebook.com/rapplerdotcom/photos/a.317154781638645/5594954703858600/" xr:uid="{00000000-0004-0000-0000-000076110000}"/>
    <hyperlink ref="A2238" r:id="rId4472" display="https://www.facebook.com/tony.delacruz.948011" xr:uid="{00000000-0004-0000-0000-000077110000}"/>
    <hyperlink ref="I2238" r:id="rId4473" display="https://www.facebook.com/rapplerdotcom/photos/a.317154781638645/5594954703858600/" xr:uid="{00000000-0004-0000-0000-000078110000}"/>
    <hyperlink ref="A2239" r:id="rId4474" display="https://www.facebook.com/marvin.andasan.5" xr:uid="{00000000-0004-0000-0000-000079110000}"/>
    <hyperlink ref="I2239" r:id="rId4475" display="https://www.facebook.com/rapplerdotcom/photos/a.317154781638645/5594954703858600/" xr:uid="{00000000-0004-0000-0000-00007A110000}"/>
    <hyperlink ref="A2240" r:id="rId4476" display="https://www.facebook.com/milajf" xr:uid="{00000000-0004-0000-0000-00007B110000}"/>
    <hyperlink ref="I2240" r:id="rId4477" display="https://www.facebook.com/rapplerdotcom/photos/a.317154781638645/5594954703858600/" xr:uid="{00000000-0004-0000-0000-00007C110000}"/>
    <hyperlink ref="A2241" r:id="rId4478" display="https://www.facebook.com/mariateresa.camaddo" xr:uid="{00000000-0004-0000-0000-00007D110000}"/>
    <hyperlink ref="I2241" r:id="rId4479" display="https://www.facebook.com/rapplerdotcom/photos/a.317154781638645/5594954703858600/" xr:uid="{00000000-0004-0000-0000-00007E110000}"/>
    <hyperlink ref="A2242" r:id="rId4480" display="https://www.facebook.com/genevieve.uy.9" xr:uid="{00000000-0004-0000-0000-00007F110000}"/>
    <hyperlink ref="I2242" r:id="rId4481" display="https://www.facebook.com/rapplerdotcom/photos/a.317154781638645/5594954703858600/" xr:uid="{00000000-0004-0000-0000-000080110000}"/>
    <hyperlink ref="A2243" r:id="rId4482" display="https://www.facebook.com/profile.php?id=100069483934379" xr:uid="{00000000-0004-0000-0000-000081110000}"/>
    <hyperlink ref="I2243" r:id="rId4483" display="https://www.facebook.com/rapplerdotcom/photos/a.317154781638645/5594954703858600/" xr:uid="{00000000-0004-0000-0000-000082110000}"/>
    <hyperlink ref="A2244" r:id="rId4484" display="https://www.facebook.com/ditoy.macatangay" xr:uid="{00000000-0004-0000-0000-000083110000}"/>
    <hyperlink ref="I2244" r:id="rId4485" display="https://www.facebook.com/rapplerdotcom/photos/a.317154781638645/5594954703858600/" xr:uid="{00000000-0004-0000-0000-000084110000}"/>
    <hyperlink ref="A2245" r:id="rId4486" display="https://www.facebook.com/may.atr.5623" xr:uid="{00000000-0004-0000-0000-000085110000}"/>
    <hyperlink ref="I2245" r:id="rId4487" display="https://www.facebook.com/rapplerdotcom/photos/a.317154781638645/5594954703858600/" xr:uid="{00000000-0004-0000-0000-000086110000}"/>
    <hyperlink ref="A2246" r:id="rId4488" display="https://www.facebook.com/alfred.paradero.9" xr:uid="{00000000-0004-0000-0000-000087110000}"/>
    <hyperlink ref="I2246" r:id="rId4489" display="https://www.facebook.com/rapplerdotcom/photos/a.317154781638645/5594954703858600/" xr:uid="{00000000-0004-0000-0000-000088110000}"/>
    <hyperlink ref="A2247" r:id="rId4490" display="https://www.facebook.com/pau.gaitan.33" xr:uid="{00000000-0004-0000-0000-000089110000}"/>
    <hyperlink ref="I2247" r:id="rId4491" display="https://www.facebook.com/rapplerdotcom/photos/a.317154781638645/5594954703858600/" xr:uid="{00000000-0004-0000-0000-00008A110000}"/>
    <hyperlink ref="A2248" r:id="rId4492" display="https://www.facebook.com/alfred.paradero.9" xr:uid="{00000000-0004-0000-0000-00008B110000}"/>
    <hyperlink ref="I2248" r:id="rId4493" display="https://www.facebook.com/rapplerdotcom/photos/a.317154781638645/5594954703858600/" xr:uid="{00000000-0004-0000-0000-00008C110000}"/>
    <hyperlink ref="A2249" r:id="rId4494" display="https://www.facebook.com/tata.abet.3" xr:uid="{00000000-0004-0000-0000-00008D110000}"/>
    <hyperlink ref="I2249" r:id="rId4495" display="https://www.facebook.com/rapplerdotcom/photos/a.317154781638645/5594954703858600/" xr:uid="{00000000-0004-0000-0000-00008E110000}"/>
    <hyperlink ref="A2250" r:id="rId4496" display="https://www.facebook.com/profile.php?id=100013497646924" xr:uid="{00000000-0004-0000-0000-00008F110000}"/>
    <hyperlink ref="I2250" r:id="rId4497" display="https://www.facebook.com/rapplerdotcom/photos/a.317154781638645/5594954703858600/" xr:uid="{00000000-0004-0000-0000-000090110000}"/>
    <hyperlink ref="A2251" r:id="rId4498" display="https://www.facebook.com/jetskipogi019" xr:uid="{00000000-0004-0000-0000-000091110000}"/>
    <hyperlink ref="I2251" r:id="rId4499" display="https://www.facebook.com/rapplerdotcom/photos/a.317154781638645/5594954703858600/" xr:uid="{00000000-0004-0000-0000-000092110000}"/>
    <hyperlink ref="A2252" r:id="rId4500" display="https://www.facebook.com/profile.php?id=100074949353472" xr:uid="{00000000-0004-0000-0000-000093110000}"/>
    <hyperlink ref="I2252" r:id="rId4501" display="https://www.facebook.com/rapplerdotcom/photos/a.317154781638645/5594954703858600/" xr:uid="{00000000-0004-0000-0000-000094110000}"/>
    <hyperlink ref="A2253" r:id="rId4502" display="https://www.facebook.com/profile.php?id=100075965177809" xr:uid="{00000000-0004-0000-0000-000095110000}"/>
    <hyperlink ref="I2253" r:id="rId4503" display="https://www.facebook.com/rapplerdotcom/photos/a.317154781638645/5594954703858600/" xr:uid="{00000000-0004-0000-0000-000096110000}"/>
    <hyperlink ref="A2254" r:id="rId4504" display="https://www.facebook.com/letecia.gonzales.31" xr:uid="{00000000-0004-0000-0000-000097110000}"/>
    <hyperlink ref="I2254" r:id="rId4505" display="https://www.facebook.com/rapplerdotcom/photos/a.317154781638645/5594954703858600/" xr:uid="{00000000-0004-0000-0000-000098110000}"/>
    <hyperlink ref="A2255" r:id="rId4506" display="https://www.facebook.com/rhenz.jauod" xr:uid="{00000000-0004-0000-0000-000099110000}"/>
    <hyperlink ref="I2255" r:id="rId4507" display="https://www.facebook.com/rapplerdotcom/photos/a.317154781638645/5594954703858600/" xr:uid="{00000000-0004-0000-0000-00009A110000}"/>
    <hyperlink ref="A2256" r:id="rId4508" display="https://www.facebook.com/rhonda.couris.7" xr:uid="{00000000-0004-0000-0000-00009B110000}"/>
    <hyperlink ref="I2256" r:id="rId4509" display="https://www.facebook.com/rapplerdotcom/photos/a.317154781638645/5594954703858600/" xr:uid="{00000000-0004-0000-0000-00009C110000}"/>
    <hyperlink ref="A2257" r:id="rId4510" display="https://www.facebook.com/epal.aco.56" xr:uid="{00000000-0004-0000-0000-00009D110000}"/>
    <hyperlink ref="I2257" r:id="rId4511" display="https://www.facebook.com/rapplerdotcom/photos/a.317154781638645/5594954703858600/" xr:uid="{00000000-0004-0000-0000-00009E110000}"/>
    <hyperlink ref="A2258" r:id="rId4512" display="https://www.facebook.com/buenaventura.romy" xr:uid="{00000000-0004-0000-0000-00009F110000}"/>
    <hyperlink ref="I2258" r:id="rId4513" display="https://www.facebook.com/rapplerdotcom/photos/a.317154781638645/5594954703858600/" xr:uid="{00000000-0004-0000-0000-0000A0110000}"/>
    <hyperlink ref="A2259" r:id="rId4514" display="https://www.facebook.com/profile.php?id=100067648721233" xr:uid="{00000000-0004-0000-0000-0000A1110000}"/>
    <hyperlink ref="I2259" r:id="rId4515" display="https://www.facebook.com/rapplerdotcom/photos/a.317154781638645/5594954703858600/" xr:uid="{00000000-0004-0000-0000-0000A2110000}"/>
    <hyperlink ref="A2260" r:id="rId4516" display="https://www.facebook.com/cidj.jalandoni" xr:uid="{00000000-0004-0000-0000-0000A3110000}"/>
    <hyperlink ref="I2260" r:id="rId4517" display="https://www.facebook.com/rapplerdotcom/photos/a.317154781638645/5594954703858600/" xr:uid="{00000000-0004-0000-0000-0000A4110000}"/>
    <hyperlink ref="A2261" r:id="rId4518" display="https://www.facebook.com/arlyn.roxas.94" xr:uid="{00000000-0004-0000-0000-0000A5110000}"/>
    <hyperlink ref="I2261" r:id="rId4519" display="https://www.facebook.com/rapplerdotcom/photos/a.317154781638645/5594954703858600/" xr:uid="{00000000-0004-0000-0000-0000A6110000}"/>
    <hyperlink ref="A2262" r:id="rId4520" display="https://www.facebook.com/jb.chua28" xr:uid="{00000000-0004-0000-0000-0000A7110000}"/>
    <hyperlink ref="I2262" r:id="rId4521" display="https://www.facebook.com/rapplerdotcom/photos/a.317154781638645/5594954703858600/" xr:uid="{00000000-0004-0000-0000-0000A8110000}"/>
    <hyperlink ref="A2263" r:id="rId4522" display="https://www.facebook.com/allen.aguilar.58" xr:uid="{00000000-0004-0000-0000-0000A9110000}"/>
    <hyperlink ref="I2263" r:id="rId4523" display="https://www.facebook.com/rapplerdotcom/photos/a.317154781638645/5594954703858600/" xr:uid="{00000000-0004-0000-0000-0000AA110000}"/>
    <hyperlink ref="A2264" r:id="rId4524" display="https://www.facebook.com/carlito.almonte.779" xr:uid="{00000000-0004-0000-0000-0000AB110000}"/>
    <hyperlink ref="I2264" r:id="rId4525" display="https://www.facebook.com/rapplerdotcom/photos/a.317154781638645/5594954703858600/" xr:uid="{00000000-0004-0000-0000-0000AC110000}"/>
    <hyperlink ref="A2265" r:id="rId4526" display="https://www.facebook.com/junplaz" xr:uid="{00000000-0004-0000-0000-0000AD110000}"/>
    <hyperlink ref="I2265" r:id="rId4527" display="https://www.facebook.com/rapplerdotcom/photos/a.317154781638645/5594954703858600/" xr:uid="{00000000-0004-0000-0000-0000AE110000}"/>
    <hyperlink ref="A2266" r:id="rId4528" display="https://www.facebook.com/profile.php?id=100079181871183" xr:uid="{00000000-0004-0000-0000-0000AF110000}"/>
    <hyperlink ref="I2266" r:id="rId4529" display="https://www.facebook.com/rapplerdotcom/photos/a.317154781638645/5594954703858600/" xr:uid="{00000000-0004-0000-0000-0000B0110000}"/>
    <hyperlink ref="A2267" r:id="rId4530" display="https://www.facebook.com/profile.php?id=100077494915560" xr:uid="{00000000-0004-0000-0000-0000B1110000}"/>
    <hyperlink ref="I2267" r:id="rId4531" display="https://www.facebook.com/rapplerdotcom/photos/a.317154781638645/5594954703858600/" xr:uid="{00000000-0004-0000-0000-0000B2110000}"/>
    <hyperlink ref="A2268" r:id="rId4532" display="https://www.facebook.com/AMSIQTPI" xr:uid="{00000000-0004-0000-0000-0000B3110000}"/>
    <hyperlink ref="I2268" r:id="rId4533" display="https://www.facebook.com/rapplerdotcom/photos/a.317154781638645/5594954703858600/" xr:uid="{00000000-0004-0000-0000-0000B4110000}"/>
    <hyperlink ref="A2269" r:id="rId4534" display="https://www.facebook.com/kyric.sirving01" xr:uid="{00000000-0004-0000-0000-0000B5110000}"/>
    <hyperlink ref="I2269" r:id="rId4535" display="https://www.facebook.com/rapplerdotcom/photos/a.317154781638645/5594954703858600/" xr:uid="{00000000-0004-0000-0000-0000B6110000}"/>
    <hyperlink ref="A2270" r:id="rId4536" display="https://www.facebook.com/profile.php?id=100070149226427" xr:uid="{00000000-0004-0000-0000-0000B7110000}"/>
    <hyperlink ref="I2270" r:id="rId4537" display="https://www.facebook.com/rapplerdotcom/photos/a.317154781638645/5594954703858600/" xr:uid="{00000000-0004-0000-0000-0000B8110000}"/>
    <hyperlink ref="A2271" r:id="rId4538" display="https://www.facebook.com/denise.v.gatuslao" xr:uid="{00000000-0004-0000-0000-0000B9110000}"/>
    <hyperlink ref="I2271" r:id="rId4539" display="https://www.facebook.com/rapplerdotcom/photos/a.317154781638645/5594954703858600/" xr:uid="{00000000-0004-0000-0000-0000BA110000}"/>
    <hyperlink ref="A2272" r:id="rId4540" display="https://www.facebook.com/joshybanez" xr:uid="{00000000-0004-0000-0000-0000BB110000}"/>
    <hyperlink ref="I2272" r:id="rId4541" display="https://www.facebook.com/rapplerdotcom/photos/a.317154781638645/5594954703858600/" xr:uid="{00000000-0004-0000-0000-0000BC110000}"/>
    <hyperlink ref="A2273" r:id="rId4542" display="https://www.facebook.com/dr.julius.uy" xr:uid="{00000000-0004-0000-0000-0000BD110000}"/>
    <hyperlink ref="I2273" r:id="rId4543" display="https://www.facebook.com/rapplerdotcom/photos/a.317154781638645/5594954703858600/" xr:uid="{00000000-0004-0000-0000-0000BE110000}"/>
    <hyperlink ref="A2274" r:id="rId4544" display="https://www.facebook.com/pepe.ledesma.7140" xr:uid="{00000000-0004-0000-0000-0000BF110000}"/>
    <hyperlink ref="I2274" r:id="rId4545" display="https://www.facebook.com/rapplerdotcom/photos/a.317154781638645/5594954703858600/" xr:uid="{00000000-0004-0000-0000-0000C0110000}"/>
    <hyperlink ref="A2275" r:id="rId4546" display="https://www.facebook.com/acsaudi" xr:uid="{00000000-0004-0000-0000-0000C1110000}"/>
    <hyperlink ref="I2275" r:id="rId4547" display="https://www.facebook.com/rapplerdotcom/photos/a.317154781638645/5594954703858600/" xr:uid="{00000000-0004-0000-0000-0000C2110000}"/>
    <hyperlink ref="A2276" r:id="rId4548" display="https://www.facebook.com/camilabayenyap" xr:uid="{00000000-0004-0000-0000-0000C3110000}"/>
    <hyperlink ref="I2276" r:id="rId4549" display="https://www.facebook.com/rapplerdotcom/photos/a.317154781638645/5594954703858600/" xr:uid="{00000000-0004-0000-0000-0000C4110000}"/>
    <hyperlink ref="A2277" r:id="rId4550" display="https://www.facebook.com/johndiazcortez" xr:uid="{00000000-0004-0000-0000-0000C5110000}"/>
    <hyperlink ref="I2277" r:id="rId4551" display="https://www.facebook.com/rapplerdotcom/photos/a.317154781638645/5594954703858600/" xr:uid="{00000000-0004-0000-0000-0000C6110000}"/>
    <hyperlink ref="A2278" r:id="rId4552" display="https://www.facebook.com/emmanuel.villarba" xr:uid="{00000000-0004-0000-0000-0000C7110000}"/>
    <hyperlink ref="I2278" r:id="rId4553" display="https://www.facebook.com/watch/live/?ref=watch_permalink&amp;v=923735834984653" xr:uid="{00000000-0004-0000-0000-0000C8110000}"/>
    <hyperlink ref="A2279" r:id="rId4554" display="https://www.facebook.com/nosgnoilaluap" xr:uid="{00000000-0004-0000-0000-0000C9110000}"/>
    <hyperlink ref="I2279" r:id="rId4555" display="https://www.facebook.com/watch/live/?ref=watch_permalink&amp;v=923735834984653" xr:uid="{00000000-0004-0000-0000-0000CA110000}"/>
    <hyperlink ref="A2280" r:id="rId4556" display="https://www.facebook.com/olive63" xr:uid="{00000000-0004-0000-0000-0000CB110000}"/>
    <hyperlink ref="I2280" r:id="rId4557" display="https://www.facebook.com/watch/live/?ref=watch_permalink&amp;v=923735834984653" xr:uid="{00000000-0004-0000-0000-0000CC110000}"/>
    <hyperlink ref="A2281" r:id="rId4558" display="https://www.facebook.com/julia.evangelista.18488" xr:uid="{00000000-0004-0000-0000-0000CD110000}"/>
    <hyperlink ref="I2281" r:id="rId4559" display="https://www.facebook.com/watch/live/?ref=watch_permalink&amp;v=923735834984653" xr:uid="{00000000-0004-0000-0000-0000CE110000}"/>
    <hyperlink ref="A2282" r:id="rId4560" display="https://www.facebook.com/wahpakels.baguinang" xr:uid="{00000000-0004-0000-0000-0000CF110000}"/>
    <hyperlink ref="I2282" r:id="rId4561" display="https://www.facebook.com/watch/live/?ref=watch_permalink&amp;v=923735834984653" xr:uid="{00000000-0004-0000-0000-0000D0110000}"/>
    <hyperlink ref="A2283" r:id="rId4562" display="https://www.facebook.com/nabinagnap.seyer" xr:uid="{00000000-0004-0000-0000-0000D1110000}"/>
    <hyperlink ref="I2283" r:id="rId4563" display="https://www.facebook.com/watch/live/?ref=watch_permalink&amp;v=923735834984653" xr:uid="{00000000-0004-0000-0000-0000D2110000}"/>
    <hyperlink ref="A2284" r:id="rId4564" display="https://www.facebook.com/daphne.baula" xr:uid="{00000000-0004-0000-0000-0000D3110000}"/>
    <hyperlink ref="I2284" r:id="rId4565" display="https://www.facebook.com/watch/live/?ref=watch_permalink&amp;v=923735834984653" xr:uid="{00000000-0004-0000-0000-0000D4110000}"/>
    <hyperlink ref="A2285" r:id="rId4566" display="https://www.facebook.com/tess.reyes.58958" xr:uid="{00000000-0004-0000-0000-0000D5110000}"/>
    <hyperlink ref="I2285" r:id="rId4567" display="https://www.facebook.com/watch/live/?ref=watch_permalink&amp;v=923735834984653" xr:uid="{00000000-0004-0000-0000-0000D6110000}"/>
    <hyperlink ref="A2286" r:id="rId4568" display="https://www.facebook.com/menchie.delrosario" xr:uid="{00000000-0004-0000-0000-0000D7110000}"/>
    <hyperlink ref="I2286" r:id="rId4569" display="https://www.facebook.com/watch/live/?ref=watch_permalink&amp;v=923735834984653" xr:uid="{00000000-0004-0000-0000-0000D8110000}"/>
    <hyperlink ref="A2287" r:id="rId4570" display="https://www.facebook.com/menchie.delrosario" xr:uid="{00000000-0004-0000-0000-0000D9110000}"/>
    <hyperlink ref="I2287" r:id="rId4571" display="https://www.facebook.com/watch/live/?ref=watch_permalink&amp;v=923735834984653" xr:uid="{00000000-0004-0000-0000-0000DA110000}"/>
    <hyperlink ref="A2288" r:id="rId4572" display="https://www.facebook.com/menchie.delrosario" xr:uid="{00000000-0004-0000-0000-0000DB110000}"/>
    <hyperlink ref="I2288" r:id="rId4573" display="https://www.facebook.com/watch/live/?ref=watch_permalink&amp;v=923735834984653" xr:uid="{00000000-0004-0000-0000-0000DC110000}"/>
    <hyperlink ref="A2289" r:id="rId4574" display="https://www.facebook.com/marie.diot1" xr:uid="{00000000-0004-0000-0000-0000DD110000}"/>
    <hyperlink ref="I2289" r:id="rId4575" display="https://www.facebook.com/watch/live/?ref=watch_permalink&amp;v=923735834984653" xr:uid="{00000000-0004-0000-0000-0000DE110000}"/>
    <hyperlink ref="A2290" r:id="rId4576" display="https://www.facebook.com/profile.php?id=100015856993797" xr:uid="{00000000-0004-0000-0000-0000DF110000}"/>
    <hyperlink ref="I2290" r:id="rId4577" display="https://www.facebook.com/watch/live/?ref=watch_permalink&amp;v=923735834984653" xr:uid="{00000000-0004-0000-0000-0000E0110000}"/>
    <hyperlink ref="A2291" r:id="rId4578" display="https://www.facebook.com/tisay.quevedo" xr:uid="{00000000-0004-0000-0000-0000E1110000}"/>
    <hyperlink ref="I2291" r:id="rId4579" display="https://www.facebook.com/watch/live/?ref=watch_permalink&amp;v=923735834984653" xr:uid="{00000000-0004-0000-0000-0000E2110000}"/>
    <hyperlink ref="A2292" r:id="rId4580" display="https://www.facebook.com/gloria.adams.948" xr:uid="{00000000-0004-0000-0000-0000E3110000}"/>
    <hyperlink ref="I2292" r:id="rId4581" display="https://www.facebook.com/watch/live/?ref=watch_permalink&amp;v=923735834984653" xr:uid="{00000000-0004-0000-0000-0000E4110000}"/>
    <hyperlink ref="A2293" r:id="rId4582" display="https://www.facebook.com/ariane.alejado.5" xr:uid="{00000000-0004-0000-0000-0000E5110000}"/>
    <hyperlink ref="I2293" r:id="rId4583" display="https://www.facebook.com/watch/live/?ref=watch_permalink&amp;v=923735834984653" xr:uid="{00000000-0004-0000-0000-0000E6110000}"/>
    <hyperlink ref="A2294" r:id="rId4584" display="https://www.facebook.com/crispina.pin.35" xr:uid="{00000000-0004-0000-0000-0000E7110000}"/>
    <hyperlink ref="I2294" r:id="rId4585" display="https://www.facebook.com/watch/live/?ref=watch_permalink&amp;v=923735834984653" xr:uid="{00000000-0004-0000-0000-0000E8110000}"/>
    <hyperlink ref="A2295" r:id="rId4586" display="https://www.facebook.com/crispina.pin.35" xr:uid="{00000000-0004-0000-0000-0000E9110000}"/>
    <hyperlink ref="I2295" r:id="rId4587" display="https://www.facebook.com/watch/live/?ref=watch_permalink&amp;v=923735834984653" xr:uid="{00000000-0004-0000-0000-0000EA110000}"/>
    <hyperlink ref="A2296" r:id="rId4588" display="https://www.facebook.com/ram.bagsic" xr:uid="{00000000-0004-0000-0000-0000EB110000}"/>
    <hyperlink ref="I2296" r:id="rId4589" display="https://www.facebook.com/watch/live/?ref=watch_permalink&amp;v=923735834984653" xr:uid="{00000000-0004-0000-0000-0000EC110000}"/>
    <hyperlink ref="A2297" r:id="rId4590" display="https://www.facebook.com/megzkristofer.roblo" xr:uid="{00000000-0004-0000-0000-0000ED110000}"/>
    <hyperlink ref="I2297" r:id="rId4591" display="https://www.facebook.com/watch/live/?ref=watch_permalink&amp;v=923735834984653" xr:uid="{00000000-0004-0000-0000-0000EE110000}"/>
    <hyperlink ref="A2298" r:id="rId4592" display="https://www.facebook.com/lariza.francisco" xr:uid="{00000000-0004-0000-0000-0000EF110000}"/>
    <hyperlink ref="I2298" r:id="rId4593" display="https://www.facebook.com/watch/live/?ref=watch_permalink&amp;v=923735834984653" xr:uid="{00000000-0004-0000-0000-0000F0110000}"/>
    <hyperlink ref="A2299" r:id="rId4594" display="https://www.facebook.com/lariza.francisco" xr:uid="{00000000-0004-0000-0000-0000F1110000}"/>
    <hyperlink ref="I2299" r:id="rId4595" display="https://www.facebook.com/watch/live/?ref=watch_permalink&amp;v=923735834984653" xr:uid="{00000000-0004-0000-0000-0000F2110000}"/>
    <hyperlink ref="A2300" r:id="rId4596" display="https://www.facebook.com/julia.evangelista.18488" xr:uid="{00000000-0004-0000-0000-0000F3110000}"/>
    <hyperlink ref="I2300" r:id="rId4597" display="https://www.facebook.com/watch/live/?ref=watch_permalink&amp;v=923735834984653" xr:uid="{00000000-0004-0000-0000-0000F4110000}"/>
    <hyperlink ref="A2301" r:id="rId4598" display="https://www.facebook.com/sharelle.mamerto.5" xr:uid="{00000000-0004-0000-0000-0000F5110000}"/>
    <hyperlink ref="I2301" r:id="rId4599" display="https://www.facebook.com/watch/live/?ref=watch_permalink&amp;v=923735834984653" xr:uid="{00000000-0004-0000-0000-0000F6110000}"/>
    <hyperlink ref="A2302" r:id="rId4600" display="https://www.facebook.com/rsvillarama" xr:uid="{00000000-0004-0000-0000-0000F7110000}"/>
    <hyperlink ref="I2302" r:id="rId4601" display="https://www.facebook.com/watch/live/?ref=watch_permalink&amp;v=923735834984653" xr:uid="{00000000-0004-0000-0000-0000F8110000}"/>
    <hyperlink ref="A2303" r:id="rId4602" display="https://www.facebook.com/totie.balce" xr:uid="{00000000-0004-0000-0000-0000F9110000}"/>
    <hyperlink ref="I2303" r:id="rId4603" display="https://www.facebook.com/watch/live/?ref=watch_permalink&amp;v=923735834984653" xr:uid="{00000000-0004-0000-0000-0000FA110000}"/>
    <hyperlink ref="A2304" r:id="rId4604" display="https://www.facebook.com/reesecolmenares" xr:uid="{00000000-0004-0000-0000-0000FB110000}"/>
    <hyperlink ref="I2304" r:id="rId4605" display="https://www.facebook.com/watch/live/?ref=watch_permalink&amp;v=923735834984653" xr:uid="{00000000-0004-0000-0000-0000FC110000}"/>
    <hyperlink ref="A2305" r:id="rId4606" display="https://www.facebook.com/profile.php?id=100068675928336" xr:uid="{00000000-0004-0000-0000-0000FD110000}"/>
    <hyperlink ref="I2305" r:id="rId4607" display="https://www.facebook.com/watch/live/?ref=watch_permalink&amp;v=923735834984653" xr:uid="{00000000-0004-0000-0000-0000FE110000}"/>
    <hyperlink ref="A2306" r:id="rId4608" display="https://www.facebook.com/carlos.lavidez" xr:uid="{00000000-0004-0000-0000-0000FF110000}"/>
    <hyperlink ref="I2306" r:id="rId4609" display="https://www.facebook.com/watch/live/?ref=watch_permalink&amp;v=923735834984653" xr:uid="{00000000-0004-0000-0000-000000120000}"/>
    <hyperlink ref="A2307" r:id="rId4610" display="https://www.facebook.com/nosgnoilaluap" xr:uid="{00000000-0004-0000-0000-000001120000}"/>
    <hyperlink ref="I2307" r:id="rId4611" display="https://www.facebook.com/watch/live/?ref=watch_permalink&amp;v=923735834984653" xr:uid="{00000000-0004-0000-0000-000002120000}"/>
    <hyperlink ref="A2308" r:id="rId4612" display="https://www.facebook.com/materesa.balean" xr:uid="{00000000-0004-0000-0000-000003120000}"/>
    <hyperlink ref="I2308" r:id="rId4613" display="https://www.facebook.com/watch/live/?ref=watch_permalink&amp;v=923735834984653" xr:uid="{00000000-0004-0000-0000-000004120000}"/>
    <hyperlink ref="A2309" r:id="rId4614" display="https://www.facebook.com/daphne.baula" xr:uid="{00000000-0004-0000-0000-000005120000}"/>
    <hyperlink ref="I2309" r:id="rId4615" display="https://www.facebook.com/watch/live/?ref=watch_permalink&amp;v=923735834984653" xr:uid="{00000000-0004-0000-0000-000006120000}"/>
    <hyperlink ref="A2310" r:id="rId4616" display="https://www.facebook.com/menchie.delrosario" xr:uid="{00000000-0004-0000-0000-000007120000}"/>
    <hyperlink ref="I2310" r:id="rId4617" display="https://www.facebook.com/watch/live/?ref=watch_permalink&amp;v=923735834984653" xr:uid="{00000000-0004-0000-0000-000008120000}"/>
    <hyperlink ref="A2311" r:id="rId4618" display="https://www.facebook.com/profile.php?id=100070655991563" xr:uid="{00000000-0004-0000-0000-000009120000}"/>
    <hyperlink ref="I2311" r:id="rId4619" display="https://www.facebook.com/watch/live/?ref=watch_permalink&amp;v=923735834984653" xr:uid="{00000000-0004-0000-0000-00000A120000}"/>
    <hyperlink ref="A2312" r:id="rId4620" display="https://www.facebook.com/profile.php?id=100074038491420" xr:uid="{00000000-0004-0000-0000-00000B120000}"/>
    <hyperlink ref="I2312" r:id="rId4621" display="https://www.facebook.com/watch/live/?ref=watch_permalink&amp;v=923735834984653" xr:uid="{00000000-0004-0000-0000-00000C120000}"/>
    <hyperlink ref="A2313" r:id="rId4622" display="https://www.facebook.com/francisca.bundalian.3" xr:uid="{00000000-0004-0000-0000-00000D120000}"/>
    <hyperlink ref="I2313" r:id="rId4623" display="https://www.facebook.com/watch/live/?ref=watch_permalink&amp;v=923735834984653" xr:uid="{00000000-0004-0000-0000-00000E120000}"/>
    <hyperlink ref="A2314" r:id="rId4624" display="https://www.facebook.com/profile.php?id=100078330409843" xr:uid="{00000000-0004-0000-0000-00000F120000}"/>
    <hyperlink ref="I2314" r:id="rId4625" display="https://www.facebook.com/watch/live/?ref=watch_permalink&amp;v=923735834984653" xr:uid="{00000000-0004-0000-0000-000010120000}"/>
    <hyperlink ref="A2315" r:id="rId4626" display="https://www.facebook.com/javier.inanoria" xr:uid="{00000000-0004-0000-0000-000011120000}"/>
    <hyperlink ref="I2315" r:id="rId4627" display="https://www.facebook.com/watch/live/?ref=watch_permalink&amp;v=923735834984653" xr:uid="{00000000-0004-0000-0000-000012120000}"/>
    <hyperlink ref="A2316" r:id="rId4628" display="https://www.facebook.com/millet.a.uy" xr:uid="{00000000-0004-0000-0000-000013120000}"/>
    <hyperlink ref="I2316" r:id="rId4629" display="https://www.facebook.com/watch/live/?ref=watch_permalink&amp;v=923735834984653" xr:uid="{00000000-0004-0000-0000-000014120000}"/>
    <hyperlink ref="A2317" r:id="rId4630" display="https://www.facebook.com/ester.rodrigo.75" xr:uid="{00000000-0004-0000-0000-000015120000}"/>
    <hyperlink ref="I2317" r:id="rId4631" display="https://www.facebook.com/watch/live/?ref=watch_permalink&amp;v=923735834984653" xr:uid="{00000000-0004-0000-0000-000016120000}"/>
    <hyperlink ref="A2318" r:id="rId4632" display="https://www.facebook.com/marcelyn.arcellano" xr:uid="{00000000-0004-0000-0000-000017120000}"/>
    <hyperlink ref="I2318" r:id="rId4633" display="https://www.facebook.com/watch/live/?ref=watch_permalink&amp;v=923735834984653" xr:uid="{00000000-0004-0000-0000-000018120000}"/>
    <hyperlink ref="A2319" r:id="rId4634" display="https://www.facebook.com/profile.php?id=100012611887000" xr:uid="{00000000-0004-0000-0000-000019120000}"/>
    <hyperlink ref="I2319" r:id="rId4635" display="https://www.facebook.com/watch/live/?ref=watch_permalink&amp;v=923735834984653" xr:uid="{00000000-0004-0000-0000-00001A120000}"/>
    <hyperlink ref="A2320" r:id="rId4636" display="https://www.facebook.com/ricardo.cadiang" xr:uid="{00000000-0004-0000-0000-00001B120000}"/>
    <hyperlink ref="I2320" r:id="rId4637" display="https://www.facebook.com/watch/live/?ref=watch_permalink&amp;v=923735834984653" xr:uid="{00000000-0004-0000-0000-00001C120000}"/>
    <hyperlink ref="A2321" r:id="rId4638" display="https://www.facebook.com/briggite.pineda.9" xr:uid="{00000000-0004-0000-0000-00001D120000}"/>
    <hyperlink ref="I2321" r:id="rId4639" display="https://www.facebook.com/watch/live/?ref=watch_permalink&amp;v=923735834984653" xr:uid="{00000000-0004-0000-0000-00001E120000}"/>
    <hyperlink ref="A2322" r:id="rId4640" display="https://www.facebook.com/menchie.delrosario" xr:uid="{00000000-0004-0000-0000-00001F120000}"/>
    <hyperlink ref="I2322" r:id="rId4641" display="https://www.facebook.com/watch/live/?ref=watch_permalink&amp;v=923735834984653" xr:uid="{00000000-0004-0000-0000-000020120000}"/>
    <hyperlink ref="A2323" r:id="rId4642" display="https://www.facebook.com/menchie.delrosario" xr:uid="{00000000-0004-0000-0000-000021120000}"/>
    <hyperlink ref="I2323" r:id="rId4643" display="https://www.facebook.com/watch/live/?ref=watch_permalink&amp;v=923735834984653" xr:uid="{00000000-0004-0000-0000-000022120000}"/>
    <hyperlink ref="A2324" r:id="rId4644" display="https://www.facebook.com/michaeljhon.dulay.5" xr:uid="{00000000-0004-0000-0000-000023120000}"/>
    <hyperlink ref="I2324" r:id="rId4645" display="https://www.facebook.com/watch/live/?ref=watch_permalink&amp;v=923735834984653" xr:uid="{00000000-0004-0000-0000-000024120000}"/>
    <hyperlink ref="A2325" r:id="rId4646" display="https://www.facebook.com/alhen.zafe" xr:uid="{00000000-0004-0000-0000-000025120000}"/>
    <hyperlink ref="I2325" r:id="rId4647" display="https://www.facebook.com/watch/live/?ref=watch_permalink&amp;v=923735834984653" xr:uid="{00000000-0004-0000-0000-000026120000}"/>
    <hyperlink ref="A2326" r:id="rId4648" display="https://www.facebook.com/ricardo.cadiang" xr:uid="{00000000-0004-0000-0000-000027120000}"/>
    <hyperlink ref="I2326" r:id="rId4649" display="https://www.facebook.com/watch/live/?ref=watch_permalink&amp;v=923735834984653" xr:uid="{00000000-0004-0000-0000-000028120000}"/>
    <hyperlink ref="A2327" r:id="rId4650" display="https://www.facebook.com/purita.johnsen.14" xr:uid="{00000000-0004-0000-0000-000029120000}"/>
    <hyperlink ref="I2327" r:id="rId4651" display="https://www.facebook.com/watch/live/?ref=watch_permalink&amp;v=923735834984653" xr:uid="{00000000-0004-0000-0000-00002A120000}"/>
    <hyperlink ref="A2328" r:id="rId4652" display="https://www.facebook.com/maryjean.solison.5" xr:uid="{00000000-0004-0000-0000-00002B120000}"/>
    <hyperlink ref="I2328" r:id="rId4653" display="https://www.facebook.com/watch/live/?ref=watch_permalink&amp;v=923735834984653" xr:uid="{00000000-0004-0000-0000-00002C120000}"/>
    <hyperlink ref="A2329" r:id="rId4654" display="https://www.facebook.com/oreng.lam.92" xr:uid="{00000000-0004-0000-0000-00002D120000}"/>
    <hyperlink ref="I2329" r:id="rId4655" display="https://www.facebook.com/watch/live/?ref=watch_permalink&amp;v=923735834984653" xr:uid="{00000000-0004-0000-0000-00002E120000}"/>
    <hyperlink ref="A2330" r:id="rId4656" display="https://www.facebook.com/profile.php?id=100055630160451" xr:uid="{00000000-0004-0000-0000-00002F120000}"/>
    <hyperlink ref="I2330" r:id="rId4657" display="https://www.facebook.com/watch/live/?ref=watch_permalink&amp;v=923735834984653" xr:uid="{00000000-0004-0000-0000-000030120000}"/>
    <hyperlink ref="A2331" r:id="rId4658" display="https://www.facebook.com/profile.php?id=100008821067610" xr:uid="{00000000-0004-0000-0000-000031120000}"/>
    <hyperlink ref="I2331" r:id="rId4659" display="https://www.facebook.com/watch/live/?ref=watch_permalink&amp;v=923735834984653" xr:uid="{00000000-0004-0000-0000-000032120000}"/>
    <hyperlink ref="A2332" r:id="rId4660" display="https://www.facebook.com/bhoyeth.domag.3" xr:uid="{00000000-0004-0000-0000-000033120000}"/>
    <hyperlink ref="I2332" r:id="rId4661" display="https://www.facebook.com/watch/live/?ref=watch_permalink&amp;v=923735834984653" xr:uid="{00000000-0004-0000-0000-000034120000}"/>
    <hyperlink ref="A2333" r:id="rId4662" display="https://www.facebook.com/jeric.irangan" xr:uid="{00000000-0004-0000-0000-000035120000}"/>
    <hyperlink ref="I2333" r:id="rId4663" display="https://www.facebook.com/watch/live/?ref=watch_permalink&amp;v=923735834984653" xr:uid="{00000000-0004-0000-0000-000036120000}"/>
    <hyperlink ref="A2334" r:id="rId4664" display="https://www.facebook.com/panny.valles" xr:uid="{00000000-0004-0000-0000-000037120000}"/>
    <hyperlink ref="I2334" r:id="rId4665" display="https://www.facebook.com/watch/live/?ref=watch_permalink&amp;v=923735834984653" xr:uid="{00000000-0004-0000-0000-000038120000}"/>
    <hyperlink ref="A2335" r:id="rId4666" display="https://www.facebook.com/sally.ladatenalaunan" xr:uid="{00000000-0004-0000-0000-000039120000}"/>
    <hyperlink ref="I2335" r:id="rId4667" display="https://www.facebook.com/watch/live/?ref=watch_permalink&amp;v=923735834984653" xr:uid="{00000000-0004-0000-0000-00003A120000}"/>
    <hyperlink ref="A2336" r:id="rId4668" display="https://www.facebook.com/josephine.delavin.16" xr:uid="{00000000-0004-0000-0000-00003B120000}"/>
    <hyperlink ref="I2336" r:id="rId4669" display="https://www.facebook.com/watch/live/?ref=watch_permalink&amp;v=923735834984653" xr:uid="{00000000-0004-0000-0000-00003C120000}"/>
    <hyperlink ref="A2337" r:id="rId4670" display="https://www.facebook.com/grcvldmr" xr:uid="{00000000-0004-0000-0000-00003D120000}"/>
    <hyperlink ref="I2337" r:id="rId4671" display="https://www.facebook.com/watch/live/?ref=watch_permalink&amp;v=923735834984653" xr:uid="{00000000-0004-0000-0000-00003E120000}"/>
    <hyperlink ref="A2338" r:id="rId4672" display="https://www.facebook.com/ferrer.eva" xr:uid="{00000000-0004-0000-0000-00003F120000}"/>
    <hyperlink ref="I2338" r:id="rId4673" display="https://www.facebook.com/watch/live/?ref=watch_permalink&amp;v=923735834984653" xr:uid="{00000000-0004-0000-0000-000040120000}"/>
    <hyperlink ref="A2339" r:id="rId4674" display="https://www.facebook.com/profile.php?id=100055630160451" xr:uid="{00000000-0004-0000-0000-000041120000}"/>
    <hyperlink ref="I2339" r:id="rId4675" display="https://www.facebook.com/watch/live/?ref=watch_permalink&amp;v=923735834984653" xr:uid="{00000000-0004-0000-0000-000042120000}"/>
    <hyperlink ref="A2340" r:id="rId4676" display="https://www.facebook.com/lodi.malupet.79" xr:uid="{00000000-0004-0000-0000-000043120000}"/>
    <hyperlink ref="I2340" r:id="rId4677" display="https://www.facebook.com/watch/live/?ref=watch_permalink&amp;v=923735834984653" xr:uid="{00000000-0004-0000-0000-000044120000}"/>
    <hyperlink ref="A2341" r:id="rId4678" display="https://www.facebook.com/choba.dunato" xr:uid="{00000000-0004-0000-0000-000045120000}"/>
    <hyperlink ref="I2341" r:id="rId4679" display="https://www.facebook.com/watch/live/?ref=watch_permalink&amp;v=923735834984653" xr:uid="{00000000-0004-0000-0000-000046120000}"/>
    <hyperlink ref="A2342" r:id="rId4680" display="https://www.facebook.com/bambina.cruz.5" xr:uid="{00000000-0004-0000-0000-000047120000}"/>
    <hyperlink ref="I2342" r:id="rId4681" display="https://www.facebook.com/watch/live/?ref=watch_permalink&amp;v=923735834984653" xr:uid="{00000000-0004-0000-0000-000048120000}"/>
    <hyperlink ref="A2343" r:id="rId4682" display="https://www.facebook.com/ding.lunar.9" xr:uid="{00000000-0004-0000-0000-000049120000}"/>
    <hyperlink ref="I2343" r:id="rId4683" display="https://www.facebook.com/watch/live/?ref=watch_permalink&amp;v=923735834984653" xr:uid="{00000000-0004-0000-0000-00004A120000}"/>
    <hyperlink ref="A2344" r:id="rId4684" display="https://www.facebook.com/ding.lunar.9" xr:uid="{00000000-0004-0000-0000-00004B120000}"/>
    <hyperlink ref="I2344" r:id="rId4685" display="https://www.facebook.com/watch/live/?ref=watch_permalink&amp;v=923735834984653" xr:uid="{00000000-0004-0000-0000-00004C120000}"/>
    <hyperlink ref="A2345" r:id="rId4686" display="https://www.facebook.com/diego.bakulaw" xr:uid="{00000000-0004-0000-0000-00004D120000}"/>
    <hyperlink ref="I2345" r:id="rId4687" display="https://www.facebook.com/watch/live/?ref=watch_permalink&amp;v=923735834984653" xr:uid="{00000000-0004-0000-0000-00004E120000}"/>
    <hyperlink ref="A2346" r:id="rId4688" display="https://www.facebook.com/choba.dunato" xr:uid="{00000000-0004-0000-0000-00004F120000}"/>
    <hyperlink ref="I2346" r:id="rId4689" display="https://www.facebook.com/watch/live/?ref=watch_permalink&amp;v=923735834984653" xr:uid="{00000000-0004-0000-0000-000050120000}"/>
    <hyperlink ref="A2347" r:id="rId4690" display="https://www.facebook.com/barry.ciloy.1" xr:uid="{00000000-0004-0000-0000-000051120000}"/>
    <hyperlink ref="I2347" r:id="rId4691" display="https://www.facebook.com/watch/live/?ref=watch_permalink&amp;v=923735834984653" xr:uid="{00000000-0004-0000-0000-000052120000}"/>
    <hyperlink ref="A2348" r:id="rId4692" display="https://www.facebook.com/salvie.maris.5" xr:uid="{00000000-0004-0000-0000-000053120000}"/>
    <hyperlink ref="I2348" r:id="rId4693" display="https://www.facebook.com/watch/live/?ref=watch_permalink&amp;v=923735834984653" xr:uid="{00000000-0004-0000-0000-000054120000}"/>
    <hyperlink ref="A2349" r:id="rId4694" display="https://www.facebook.com/ben.balois.1" xr:uid="{00000000-0004-0000-0000-000055120000}"/>
    <hyperlink ref="I2349" r:id="rId4695" display="https://www.facebook.com/watch/live/?ref=watch_permalink&amp;v=923735834984653" xr:uid="{00000000-0004-0000-0000-000056120000}"/>
    <hyperlink ref="A2350" r:id="rId4696" display="https://www.facebook.com/annabelle.ventus" xr:uid="{00000000-0004-0000-0000-000057120000}"/>
    <hyperlink ref="I2350" r:id="rId4697" display="https://www.facebook.com/watch/live/?ref=watch_permalink&amp;v=923735834984653" xr:uid="{00000000-0004-0000-0000-000058120000}"/>
    <hyperlink ref="A2351" r:id="rId4698" display="https://www.facebook.com/lhord.symphatico" xr:uid="{00000000-0004-0000-0000-000059120000}"/>
    <hyperlink ref="I2351" r:id="rId4699" display="https://www.facebook.com/watch/live/?ref=watch_permalink&amp;v=923735834984653" xr:uid="{00000000-0004-0000-0000-00005A120000}"/>
    <hyperlink ref="A2352" r:id="rId4700" display="https://www.facebook.com/soliviocheryl" xr:uid="{00000000-0004-0000-0000-00005B120000}"/>
    <hyperlink ref="I2352" r:id="rId4701" display="https://www.facebook.com/watch/live/?ref=watch_permalink&amp;v=923735834984653" xr:uid="{00000000-0004-0000-0000-00005C120000}"/>
    <hyperlink ref="A2353" r:id="rId4702" display="https://www.facebook.com/ceruma.rich" xr:uid="{00000000-0004-0000-0000-00005D120000}"/>
    <hyperlink ref="I2353" r:id="rId4703" display="https://www.facebook.com/watch/live/?ref=watch_permalink&amp;v=923735834984653" xr:uid="{00000000-0004-0000-0000-00005E120000}"/>
    <hyperlink ref="A2354" r:id="rId4704" display="https://www.facebook.com/lhord.symphatico" xr:uid="{00000000-0004-0000-0000-00005F120000}"/>
    <hyperlink ref="I2354" r:id="rId4705" display="https://www.facebook.com/watch/live/?ref=watch_permalink&amp;v=923735834984653" xr:uid="{00000000-0004-0000-0000-000060120000}"/>
    <hyperlink ref="A2355" r:id="rId4706" display="https://www.facebook.com/raymund.pasman.754" xr:uid="{00000000-0004-0000-0000-000061120000}"/>
    <hyperlink ref="I2355" r:id="rId4707" display="https://www.facebook.com/watch/live/?ref=watch_permalink&amp;v=923735834984653" xr:uid="{00000000-0004-0000-0000-000062120000}"/>
    <hyperlink ref="A2356" r:id="rId4708" display="https://www.facebook.com/lhord.symphatico" xr:uid="{00000000-0004-0000-0000-000063120000}"/>
    <hyperlink ref="I2356" r:id="rId4709" display="https://www.facebook.com/watch/live/?ref=watch_permalink&amp;v=923735834984653" xr:uid="{00000000-0004-0000-0000-000064120000}"/>
    <hyperlink ref="A2357" r:id="rId4710" display="https://www.facebook.com/maryjean.solison.5" xr:uid="{00000000-0004-0000-0000-000065120000}"/>
    <hyperlink ref="I2357" r:id="rId4711" display="https://www.facebook.com/watch/live/?ref=watch_permalink&amp;v=923735834984653" xr:uid="{00000000-0004-0000-0000-000066120000}"/>
    <hyperlink ref="A2358" r:id="rId4712" display="https://www.facebook.com/marie.diot1" xr:uid="{00000000-0004-0000-0000-000067120000}"/>
    <hyperlink ref="I2358" r:id="rId4713" display="https://www.facebook.com/watch/live/?ref=watch_permalink&amp;v=923735834984653" xr:uid="{00000000-0004-0000-0000-000068120000}"/>
    <hyperlink ref="A2359" r:id="rId4714" display="https://www.facebook.com/vergie.bustamante.7" xr:uid="{00000000-0004-0000-0000-000069120000}"/>
    <hyperlink ref="I2359" r:id="rId4715" display="https://www.facebook.com/watch/live/?ref=watch_permalink&amp;v=923735834984653" xr:uid="{00000000-0004-0000-0000-00006A120000}"/>
    <hyperlink ref="A2360" r:id="rId4716" display="https://www.facebook.com/profile.php?id=100068675928336" xr:uid="{00000000-0004-0000-0000-00006B120000}"/>
    <hyperlink ref="I2360" r:id="rId4717" display="https://www.facebook.com/watch/live/?ref=watch_permalink&amp;v=923735834984653" xr:uid="{00000000-0004-0000-0000-00006C120000}"/>
    <hyperlink ref="A2361" r:id="rId4718" display="https://www.facebook.com/julia.evangelista.18488" xr:uid="{00000000-0004-0000-0000-00006D120000}"/>
    <hyperlink ref="I2361" r:id="rId4719" display="https://www.facebook.com/watch/live/?ref=watch_permalink&amp;v=923735834984653" xr:uid="{00000000-0004-0000-0000-00006E120000}"/>
    <hyperlink ref="A2362" r:id="rId4720" display="https://www.facebook.com/ester.lualhati19" xr:uid="{00000000-0004-0000-0000-00006F120000}"/>
    <hyperlink ref="I2362" r:id="rId4721" display="https://www.facebook.com/watch/live/?ref=watch_permalink&amp;v=923735834984653" xr:uid="{00000000-0004-0000-0000-000070120000}"/>
    <hyperlink ref="A2363" r:id="rId4722" display="https://www.facebook.com/jaime.gacusan.12" xr:uid="{00000000-0004-0000-0000-000071120000}"/>
    <hyperlink ref="I2363" r:id="rId4723" display="https://www.facebook.com/watch/live/?ref=watch_permalink&amp;v=923735834984653" xr:uid="{00000000-0004-0000-0000-000072120000}"/>
    <hyperlink ref="A2364" r:id="rId4724" display="https://www.facebook.com/zenaida.pineda.75054" xr:uid="{00000000-0004-0000-0000-000073120000}"/>
    <hyperlink ref="I2364" r:id="rId4725" display="https://www.facebook.com/watch/live/?ref=watch_permalink&amp;v=923735834984653" xr:uid="{00000000-0004-0000-0000-000074120000}"/>
    <hyperlink ref="A2365" r:id="rId4726" display="https://www.facebook.com/jaime.gacusan.12" xr:uid="{00000000-0004-0000-0000-000075120000}"/>
    <hyperlink ref="I2365" r:id="rId4727" display="https://www.facebook.com/watch/live/?ref=watch_permalink&amp;v=923735834984653" xr:uid="{00000000-0004-0000-0000-000076120000}"/>
    <hyperlink ref="A2366" r:id="rId4728" display="https://www.facebook.com/noemi.macabasco" xr:uid="{00000000-0004-0000-0000-000077120000}"/>
    <hyperlink ref="I2366" r:id="rId4729" display="https://www.facebook.com/watch/live/?ref=watch_permalink&amp;v=923735834984653" xr:uid="{00000000-0004-0000-0000-000078120000}"/>
    <hyperlink ref="A2367" r:id="rId4730" display="https://www.facebook.com/profile.php?id=100074773967745" xr:uid="{00000000-0004-0000-0000-000079120000}"/>
    <hyperlink ref="I2367" r:id="rId4731" display="https://www.facebook.com/watch/live/?ref=watch_permalink&amp;v=923735834984653" xr:uid="{00000000-0004-0000-0000-00007A120000}"/>
    <hyperlink ref="A2368" r:id="rId4732" display="https://www.facebook.com/lucita.apellido" xr:uid="{00000000-0004-0000-0000-00007B120000}"/>
    <hyperlink ref="I2368" r:id="rId4733" display="https://www.facebook.com/watch/live/?ref=watch_permalink&amp;v=923735834984653" xr:uid="{00000000-0004-0000-0000-00007C120000}"/>
    <hyperlink ref="A2369" r:id="rId4734" display="https://www.facebook.com/victoria.pimentel.507027" xr:uid="{00000000-0004-0000-0000-00007D120000}"/>
    <hyperlink ref="I2369" r:id="rId4735" display="https://www.facebook.com/watch/live/?ref=watch_permalink&amp;v=923735834984653" xr:uid="{00000000-0004-0000-0000-00007E120000}"/>
    <hyperlink ref="A2370" r:id="rId4736" display="https://www.facebook.com/janarvy.parr" xr:uid="{00000000-0004-0000-0000-00007F120000}"/>
    <hyperlink ref="I2370" r:id="rId4737" display="https://www.facebook.com/watch/live/?ref=watch_permalink&amp;v=923735834984653" xr:uid="{00000000-0004-0000-0000-000080120000}"/>
    <hyperlink ref="A2371" r:id="rId4738" display="https://www.facebook.com/normita.beato" xr:uid="{00000000-0004-0000-0000-000081120000}"/>
    <hyperlink ref="I2371" r:id="rId4739" display="https://www.facebook.com/watch/live/?ref=watch_permalink&amp;v=923735834984653" xr:uid="{00000000-0004-0000-0000-000082120000}"/>
    <hyperlink ref="A2372" r:id="rId4740" display="https://www.facebook.com/sally.ladatenalaunan" xr:uid="{00000000-0004-0000-0000-000083120000}"/>
    <hyperlink ref="I2372" r:id="rId4741" display="https://www.facebook.com/watch/live/?ref=watch_permalink&amp;v=923735834984653" xr:uid="{00000000-0004-0000-0000-000084120000}"/>
    <hyperlink ref="A2373" r:id="rId4742" display="https://www.facebook.com/profile.php?id=100009431943421" xr:uid="{00000000-0004-0000-0000-000085120000}"/>
    <hyperlink ref="I2373" r:id="rId4743" display="https://www.facebook.com/watch/live/?ref=watch_permalink&amp;v=923735834984653" xr:uid="{00000000-0004-0000-0000-000086120000}"/>
    <hyperlink ref="A2374" r:id="rId4744" display="https://www.facebook.com/panny.valles" xr:uid="{00000000-0004-0000-0000-000087120000}"/>
    <hyperlink ref="I2374" r:id="rId4745" display="https://www.facebook.com/watch/live/?ref=watch_permalink&amp;v=923735834984653" xr:uid="{00000000-0004-0000-0000-000088120000}"/>
    <hyperlink ref="A2375" r:id="rId4746" display="https://www.facebook.com/profile.php?id=100077999847593" xr:uid="{00000000-0004-0000-0000-000089120000}"/>
    <hyperlink ref="I2375" r:id="rId4747" display="https://www.facebook.com/watch/live/?ref=watch_permalink&amp;v=923735834984653" xr:uid="{00000000-0004-0000-0000-00008A120000}"/>
    <hyperlink ref="A2376" r:id="rId4748" display="https://www.facebook.com/arnel.benitez.370" xr:uid="{00000000-0004-0000-0000-00008B120000}"/>
    <hyperlink ref="I2376" r:id="rId4749" display="https://www.facebook.com/watch/live/?ref=watch_permalink&amp;v=923735834984653" xr:uid="{00000000-0004-0000-0000-00008C120000}"/>
    <hyperlink ref="A2377" r:id="rId4750" display="https://www.facebook.com/ester.lualhati19" xr:uid="{00000000-0004-0000-0000-00008D120000}"/>
    <hyperlink ref="I2377" r:id="rId4751" display="https://www.facebook.com/watch/live/?ref=watch_permalink&amp;v=923735834984653" xr:uid="{00000000-0004-0000-0000-00008E120000}"/>
    <hyperlink ref="A2378" r:id="rId4752" display="https://www.facebook.com/kyline.reyes.7" xr:uid="{00000000-0004-0000-0000-00008F120000}"/>
    <hyperlink ref="I2378" r:id="rId4753" display="https://www.facebook.com/watch/live/?ref=watch_permalink&amp;v=923735834984653" xr:uid="{00000000-0004-0000-0000-000090120000}"/>
    <hyperlink ref="A2379" r:id="rId4754" display="https://www.facebook.com/profile.php?id=100008170805196" xr:uid="{00000000-0004-0000-0000-000091120000}"/>
    <hyperlink ref="I2379" r:id="rId4755" display="https://www.facebook.com/watch/live/?ref=watch_permalink&amp;v=923735834984653" xr:uid="{00000000-0004-0000-0000-000092120000}"/>
    <hyperlink ref="A2380" r:id="rId4756" display="https://www.facebook.com/josefina.rubi" xr:uid="{00000000-0004-0000-0000-000093120000}"/>
    <hyperlink ref="I2380" r:id="rId4757" display="https://www.facebook.com/watch/live/?ref=watch_permalink&amp;v=923735834984653" xr:uid="{00000000-0004-0000-0000-000094120000}"/>
    <hyperlink ref="A2381" r:id="rId4758" display="https://www.facebook.com/shirley.n.patriarca" xr:uid="{00000000-0004-0000-0000-000095120000}"/>
    <hyperlink ref="I2381" r:id="rId4759" display="https://www.facebook.com/watch/live/?ref=watch_permalink&amp;v=923735834984653" xr:uid="{00000000-0004-0000-0000-000096120000}"/>
    <hyperlink ref="A2382" r:id="rId4760" display="https://www.facebook.com/bimbo.quiambao" xr:uid="{00000000-0004-0000-0000-000097120000}"/>
    <hyperlink ref="I2382" r:id="rId4761" display="https://www.facebook.com/watch/live/?ref=watch_permalink&amp;v=923735834984653" xr:uid="{00000000-0004-0000-0000-000098120000}"/>
    <hyperlink ref="A2383" r:id="rId4762" display="https://www.facebook.com/profile.php?id=100014953603014" xr:uid="{00000000-0004-0000-0000-000099120000}"/>
    <hyperlink ref="I2383" r:id="rId4763" display="https://www.facebook.com/watch/live/?ref=watch_permalink&amp;v=923735834984653" xr:uid="{00000000-0004-0000-0000-00009A120000}"/>
    <hyperlink ref="A2384" r:id="rId4764" display="https://www.facebook.com/profile.php?id=100070807127692" xr:uid="{00000000-0004-0000-0000-00009B120000}"/>
    <hyperlink ref="I2384" r:id="rId4765" display="https://www.facebook.com/watch/live/?ref=watch_permalink&amp;v=923735834984653" xr:uid="{00000000-0004-0000-0000-00009C120000}"/>
    <hyperlink ref="A2385" r:id="rId4766" display="https://www.facebook.com/bert.naynes" xr:uid="{00000000-0004-0000-0000-00009D120000}"/>
    <hyperlink ref="I2385" r:id="rId4767" display="https://www.facebook.com/watch/live/?ref=watch_permalink&amp;v=923735834984653" xr:uid="{00000000-0004-0000-0000-00009E120000}"/>
    <hyperlink ref="A2386" r:id="rId4768" display="https://www.facebook.com/glenda.calvario.129" xr:uid="{00000000-0004-0000-0000-00009F120000}"/>
    <hyperlink ref="I2386" r:id="rId4769" display="https://www.facebook.com/watch/live/?ref=watch_permalink&amp;v=923735834984653" xr:uid="{00000000-0004-0000-0000-0000A0120000}"/>
    <hyperlink ref="A2387" r:id="rId4770" display="https://www.facebook.com/alfredojun.castro" xr:uid="{00000000-0004-0000-0000-0000A1120000}"/>
    <hyperlink ref="I2387" r:id="rId4771" display="https://www.facebook.com/watch/live/?ref=watch_permalink&amp;v=923735834984653" xr:uid="{00000000-0004-0000-0000-0000A2120000}"/>
    <hyperlink ref="A2388" r:id="rId4772" display="https://www.facebook.com/micoleizon" xr:uid="{00000000-0004-0000-0000-0000A3120000}"/>
    <hyperlink ref="I2388" r:id="rId4773" display="https://www.facebook.com/watch/live/?ref=watch_permalink&amp;v=923735834984653" xr:uid="{00000000-0004-0000-0000-0000A4120000}"/>
    <hyperlink ref="A2389" r:id="rId4774" display="https://www.facebook.com/gen.eslao" xr:uid="{00000000-0004-0000-0000-0000A5120000}"/>
    <hyperlink ref="I2389" r:id="rId4775" display="https://www.facebook.com/watch/live/?ref=watch_permalink&amp;v=923735834984653" xr:uid="{00000000-0004-0000-0000-0000A6120000}"/>
    <hyperlink ref="A2390" r:id="rId4776" display="https://www.facebook.com/micoleizon" xr:uid="{00000000-0004-0000-0000-0000A7120000}"/>
    <hyperlink ref="I2390" r:id="rId4777" display="https://www.facebook.com/watch/live/?ref=watch_permalink&amp;v=923735834984653" xr:uid="{00000000-0004-0000-0000-0000A8120000}"/>
    <hyperlink ref="A2391" r:id="rId4778" display="https://www.facebook.com/german.balderama.311" xr:uid="{00000000-0004-0000-0000-0000A9120000}"/>
    <hyperlink ref="I2391" r:id="rId4779" display="https://www.facebook.com/watch/live/?ref=watch_permalink&amp;v=923735834984653" xr:uid="{00000000-0004-0000-0000-0000AA120000}"/>
    <hyperlink ref="A2392" r:id="rId4780" display="https://www.facebook.com/alectv07" xr:uid="{00000000-0004-0000-0000-0000AB120000}"/>
    <hyperlink ref="I2392" r:id="rId4781" display="https://www.facebook.com/watch/live/?ref=watch_permalink&amp;v=923735834984653" xr:uid="{00000000-0004-0000-0000-0000AC120000}"/>
    <hyperlink ref="A2393" r:id="rId4782" display="https://www.facebook.com/emelisa.bautista" xr:uid="{00000000-0004-0000-0000-0000AD120000}"/>
    <hyperlink ref="I2393" r:id="rId4783" display="https://www.facebook.com/watch/live/?ref=watch_permalink&amp;v=923735834984653" xr:uid="{00000000-0004-0000-0000-0000AE120000}"/>
    <hyperlink ref="A2394" r:id="rId4784" display="https://www.facebook.com/emelisa.bautista" xr:uid="{00000000-0004-0000-0000-0000AF120000}"/>
    <hyperlink ref="I2394" r:id="rId4785" display="https://www.facebook.com/watch/live/?ref=watch_permalink&amp;v=923735834984653" xr:uid="{00000000-0004-0000-0000-0000B0120000}"/>
    <hyperlink ref="A2395" r:id="rId4786" display="https://www.facebook.com/alectv07" xr:uid="{00000000-0004-0000-0000-0000B1120000}"/>
    <hyperlink ref="I2395" r:id="rId4787" display="https://www.facebook.com/watch/live/?ref=watch_permalink&amp;v=923735834984653" xr:uid="{00000000-0004-0000-0000-0000B2120000}"/>
    <hyperlink ref="A2396" r:id="rId4788" display="https://www.facebook.com/alectv07" xr:uid="{00000000-0004-0000-0000-0000B3120000}"/>
    <hyperlink ref="I2396" r:id="rId4789" display="https://www.facebook.com/watch/live/?ref=watch_permalink&amp;v=923735834984653" xr:uid="{00000000-0004-0000-0000-0000B4120000}"/>
    <hyperlink ref="A2397" r:id="rId4790" display="https://www.facebook.com/alectv07" xr:uid="{00000000-0004-0000-0000-0000B5120000}"/>
    <hyperlink ref="I2397" r:id="rId4791" display="https://www.facebook.com/watch/live/?ref=watch_permalink&amp;v=923735834984653" xr:uid="{00000000-0004-0000-0000-0000B6120000}"/>
    <hyperlink ref="A2398" r:id="rId4792" display="https://www.facebook.com/alectv07" xr:uid="{00000000-0004-0000-0000-0000B7120000}"/>
    <hyperlink ref="I2398" r:id="rId4793" display="https://www.facebook.com/watch/live/?ref=watch_permalink&amp;v=923735834984653" xr:uid="{00000000-0004-0000-0000-0000B8120000}"/>
    <hyperlink ref="A2399" r:id="rId4794" display="https://www.facebook.com/alectv07" xr:uid="{00000000-0004-0000-0000-0000B9120000}"/>
    <hyperlink ref="I2399" r:id="rId4795" display="https://www.facebook.com/watch/live/?ref=watch_permalink&amp;v=923735834984653" xr:uid="{00000000-0004-0000-0000-0000BA120000}"/>
    <hyperlink ref="A2400" r:id="rId4796" display="https://www.facebook.com/alectv07" xr:uid="{00000000-0004-0000-0000-0000BB120000}"/>
    <hyperlink ref="I2400" r:id="rId4797" display="https://www.facebook.com/watch/live/?ref=watch_permalink&amp;v=923735834984653" xr:uid="{00000000-0004-0000-0000-0000BC120000}"/>
    <hyperlink ref="A2401" r:id="rId4798" display="https://www.facebook.com/jolly.p.miranda" xr:uid="{00000000-0004-0000-0000-0000BD120000}"/>
    <hyperlink ref="I2401" r:id="rId4799" display="https://www.facebook.com/watch/live/?ref=watch_permalink&amp;v=923735834984653" xr:uid="{00000000-0004-0000-0000-0000BE120000}"/>
    <hyperlink ref="A2402" r:id="rId4800" display="https://www.facebook.com/renzky.zerep" xr:uid="{00000000-0004-0000-0000-0000BF120000}"/>
    <hyperlink ref="I2402" r:id="rId4801" display="https://www.facebook.com/watch/live/?ref=watch_permalink&amp;v=923735834984653" xr:uid="{00000000-0004-0000-0000-0000C0120000}"/>
    <hyperlink ref="A2403" r:id="rId4802" display="https://www.facebook.com/vic.montero.9" xr:uid="{00000000-0004-0000-0000-0000C1120000}"/>
    <hyperlink ref="I2403" r:id="rId4803" display="https://www.facebook.com/watch/live/?ref=watch_permalink&amp;v=923735834984653" xr:uid="{00000000-0004-0000-0000-0000C2120000}"/>
    <hyperlink ref="A2404" r:id="rId4804" display="https://www.facebook.com/cherry.sarte.14" xr:uid="{00000000-0004-0000-0000-0000C3120000}"/>
    <hyperlink ref="I2404" r:id="rId4805" display="https://www.facebook.com/watch/live/?ref=watch_permalink&amp;v=923735834984653" xr:uid="{00000000-0004-0000-0000-0000C4120000}"/>
    <hyperlink ref="A2405" r:id="rId4806" display="https://www.facebook.com/nelia.forteza.1" xr:uid="{00000000-0004-0000-0000-0000C5120000}"/>
    <hyperlink ref="I2405" r:id="rId4807" display="https://www.facebook.com/watch/live/?ref=watch_permalink&amp;v=923735834984653" xr:uid="{00000000-0004-0000-0000-0000C6120000}"/>
    <hyperlink ref="A2406" r:id="rId4808" display="https://www.facebook.com/profile.php?id=100009525769322" xr:uid="{00000000-0004-0000-0000-0000C7120000}"/>
    <hyperlink ref="I2406" r:id="rId4809" display="https://www.facebook.com/watch/live/?ref=watch_permalink&amp;v=923735834984653" xr:uid="{00000000-0004-0000-0000-0000C8120000}"/>
    <hyperlink ref="A2407" r:id="rId4810" display="https://www.facebook.com/nelia.forteza.1" xr:uid="{00000000-0004-0000-0000-0000C9120000}"/>
    <hyperlink ref="I2407" r:id="rId4811" display="https://www.facebook.com/watch/live/?ref=watch_permalink&amp;v=923735834984653" xr:uid="{00000000-0004-0000-0000-0000CA120000}"/>
    <hyperlink ref="A2408" r:id="rId4812" display="https://www.facebook.com/profile.php?id=100074054030710" xr:uid="{00000000-0004-0000-0000-0000CB120000}"/>
    <hyperlink ref="I2408" r:id="rId4813" display="https://www.facebook.com/watch/live/?ref=watch_permalink&amp;v=923735834984653" xr:uid="{00000000-0004-0000-0000-0000CC120000}"/>
    <hyperlink ref="A2409" r:id="rId4814" display="https://www.facebook.com/profile.php?id=100078514241454" xr:uid="{00000000-0004-0000-0000-0000CD120000}"/>
    <hyperlink ref="I2409" r:id="rId4815" display="https://www.facebook.com/watch/live/?ref=watch_permalink&amp;v=923735834984653" xr:uid="{00000000-0004-0000-0000-0000CE120000}"/>
    <hyperlink ref="A2410" r:id="rId4816" display="https://www.facebook.com/rhaisa.saban" xr:uid="{00000000-0004-0000-0000-0000CF120000}"/>
    <hyperlink ref="I2410" r:id="rId4817" display="https://www.facebook.com/watch/live/?ref=watch_permalink&amp;v=923735834984653" xr:uid="{00000000-0004-0000-0000-0000D0120000}"/>
    <hyperlink ref="A2411" r:id="rId4818" display="https://www.facebook.com/mayeth.suller" xr:uid="{00000000-0004-0000-0000-0000D1120000}"/>
    <hyperlink ref="I2411" r:id="rId4819" display="https://www.facebook.com/watch/live/?ref=watch_permalink&amp;v=923735834984653" xr:uid="{00000000-0004-0000-0000-0000D2120000}"/>
    <hyperlink ref="A2412" r:id="rId4820" display="https://www.facebook.com/MarjunRPh" xr:uid="{00000000-0004-0000-0000-0000D3120000}"/>
    <hyperlink ref="I2412" r:id="rId4821" display="https://www.facebook.com/watch/live/?ref=watch_permalink&amp;v=923735834984653" xr:uid="{00000000-0004-0000-0000-0000D4120000}"/>
    <hyperlink ref="A2413" r:id="rId4822" display="https://www.facebook.com/emerald.pieris" xr:uid="{00000000-0004-0000-0000-0000D5120000}"/>
    <hyperlink ref="I2413" r:id="rId4823" display="https://www.facebook.com/watch/live/?ref=watch_permalink&amp;v=923735834984653" xr:uid="{00000000-0004-0000-0000-0000D6120000}"/>
    <hyperlink ref="A2414" r:id="rId4824" display="https://www.facebook.com/mayde.torillo" xr:uid="{00000000-0004-0000-0000-0000D7120000}"/>
    <hyperlink ref="I2414" r:id="rId4825" display="https://www.facebook.com/watch/live/?ref=watch_permalink&amp;v=923735834984653" xr:uid="{00000000-0004-0000-0000-0000D8120000}"/>
    <hyperlink ref="A2415" r:id="rId4826" display="https://www.facebook.com/profile.php?id=100011572841614" xr:uid="{00000000-0004-0000-0000-0000D9120000}"/>
    <hyperlink ref="I2415" r:id="rId4827" display="https://www.facebook.com/watch/live/?ref=watch_permalink&amp;v=923735834984653" xr:uid="{00000000-0004-0000-0000-0000DA120000}"/>
    <hyperlink ref="A2416" r:id="rId4828" display="https://www.facebook.com/randy.b.auxtero" xr:uid="{00000000-0004-0000-0000-0000DB120000}"/>
    <hyperlink ref="I2416" r:id="rId4829" display="https://www.facebook.com/watch/live/?ref=watch_permalink&amp;v=923735834984653" xr:uid="{00000000-0004-0000-0000-0000DC120000}"/>
    <hyperlink ref="A2417" r:id="rId4830" display="https://www.facebook.com/danica.ucillos.90" xr:uid="{00000000-0004-0000-0000-0000DD120000}"/>
    <hyperlink ref="I2417" r:id="rId4831" display="https://www.facebook.com/watch/live/?ref=watch_permalink&amp;v=923735834984653" xr:uid="{00000000-0004-0000-0000-0000DE120000}"/>
    <hyperlink ref="A2418" r:id="rId4832" display="https://www.facebook.com/gilbey.huisken" xr:uid="{00000000-0004-0000-0000-0000DF120000}"/>
    <hyperlink ref="I2418" r:id="rId4833" display="https://www.facebook.com/watch/live/?ref=watch_permalink&amp;v=923735834984653" xr:uid="{00000000-0004-0000-0000-0000E0120000}"/>
    <hyperlink ref="A2419" r:id="rId4834" display="https://www.facebook.com/profile.php?id=100074054030710" xr:uid="{00000000-0004-0000-0000-0000E1120000}"/>
    <hyperlink ref="I2419" r:id="rId4835" display="https://www.facebook.com/watch/live/?ref=watch_permalink&amp;v=923735834984653" xr:uid="{00000000-0004-0000-0000-0000E2120000}"/>
    <hyperlink ref="A2420" r:id="rId4836" display="https://www.facebook.com/ryan.vandolf" xr:uid="{00000000-0004-0000-0000-0000E3120000}"/>
    <hyperlink ref="I2420" r:id="rId4837" display="https://www.facebook.com/watch/live/?ref=watch_permalink&amp;v=923735834984653" xr:uid="{00000000-0004-0000-0000-0000E4120000}"/>
    <hyperlink ref="A2421" r:id="rId4838" display="https://www.facebook.com/irene.bolano.56" xr:uid="{00000000-0004-0000-0000-0000E5120000}"/>
    <hyperlink ref="I2421" r:id="rId4839" display="https://www.facebook.com/watch/live/?ref=watch_permalink&amp;v=923735834984653" xr:uid="{00000000-0004-0000-0000-0000E6120000}"/>
    <hyperlink ref="A2422" r:id="rId4840" display="https://www.facebook.com/danisley.casalme.7" xr:uid="{00000000-0004-0000-0000-0000E7120000}"/>
    <hyperlink ref="I2422" r:id="rId4841" display="https://www.facebook.com/watch/live/?ref=watch_permalink&amp;v=923735834984653" xr:uid="{00000000-0004-0000-0000-0000E8120000}"/>
    <hyperlink ref="A2423" r:id="rId4842" display="https://www.facebook.com/leony.dumantay" xr:uid="{00000000-0004-0000-0000-0000E9120000}"/>
    <hyperlink ref="I2423" r:id="rId4843" display="https://www.facebook.com/watch/live/?ref=watch_permalink&amp;v=923735834984653" xr:uid="{00000000-0004-0000-0000-0000EA120000}"/>
    <hyperlink ref="A2424" r:id="rId4844" display="https://www.facebook.com/profile.php?id=100075363020565" xr:uid="{00000000-0004-0000-0000-0000EB120000}"/>
    <hyperlink ref="I2424" r:id="rId4845" display="https://www.facebook.com/watch/live/?ref=watch_permalink&amp;v=923735834984653" xr:uid="{00000000-0004-0000-0000-0000EC120000}"/>
    <hyperlink ref="A2425" r:id="rId4846" display="https://www.facebook.com/profile.php?id=100078777143189" xr:uid="{00000000-0004-0000-0000-0000ED120000}"/>
    <hyperlink ref="I2425" r:id="rId4847" display="https://www.facebook.com/watch/live/?ref=watch_permalink&amp;v=923735834984653" xr:uid="{00000000-0004-0000-0000-0000EE120000}"/>
    <hyperlink ref="A2426" r:id="rId4848" display="https://www.facebook.com/profile.php?id=100078786653080" xr:uid="{00000000-0004-0000-0000-0000EF120000}"/>
    <hyperlink ref="I2426" r:id="rId4849" display="https://www.facebook.com/watch/live/?ref=watch_permalink&amp;v=923735834984653" xr:uid="{00000000-0004-0000-0000-0000F0120000}"/>
    <hyperlink ref="A2427" r:id="rId4850" display="https://www.facebook.com/profile.php?id=100009525769322" xr:uid="{00000000-0004-0000-0000-0000F1120000}"/>
    <hyperlink ref="I2427" r:id="rId4851" display="https://www.facebook.com/watch/live/?ref=watch_permalink&amp;v=923735834984653" xr:uid="{00000000-0004-0000-0000-0000F2120000}"/>
    <hyperlink ref="A2428" r:id="rId4852" display="https://www.facebook.com/luzviminda.tanedo.3" xr:uid="{00000000-0004-0000-0000-0000F3120000}"/>
    <hyperlink ref="I2428" r:id="rId4853" display="https://www.facebook.com/watch/live/?ref=watch_permalink&amp;v=923735834984653" xr:uid="{00000000-0004-0000-0000-0000F4120000}"/>
    <hyperlink ref="A2429" r:id="rId4854" display="https://www.facebook.com/canlas.adonis" xr:uid="{00000000-0004-0000-0000-0000F5120000}"/>
    <hyperlink ref="I2429" r:id="rId4855" display="https://www.facebook.com/watch/live/?ref=watch_permalink&amp;v=923735834984653" xr:uid="{00000000-0004-0000-0000-0000F6120000}"/>
    <hyperlink ref="A2430" r:id="rId4856" display="https://www.facebook.com/rick.galang.58" xr:uid="{00000000-0004-0000-0000-0000F7120000}"/>
    <hyperlink ref="I2430" r:id="rId4857" display="https://www.facebook.com/watch/live/?ref=watch_permalink&amp;v=923735834984653" xr:uid="{00000000-0004-0000-0000-0000F8120000}"/>
    <hyperlink ref="A2431" r:id="rId4858" display="https://www.facebook.com/profile.php?id=100078777143189" xr:uid="{00000000-0004-0000-0000-0000F9120000}"/>
    <hyperlink ref="I2431" r:id="rId4859" display="https://www.facebook.com/watch/live/?ref=watch_permalink&amp;v=923735834984653" xr:uid="{00000000-0004-0000-0000-0000FA120000}"/>
    <hyperlink ref="A2432" r:id="rId4860" display="https://www.facebook.com/robert.reforsado.98" xr:uid="{00000000-0004-0000-0000-0000FB120000}"/>
    <hyperlink ref="I2432" r:id="rId4861" display="https://www.facebook.com/watch/live/?ref=watch_permalink&amp;v=923735834984653" xr:uid="{00000000-0004-0000-0000-0000FC120000}"/>
    <hyperlink ref="A2433" r:id="rId4862" display="https://www.facebook.com/mae.caampued.9" xr:uid="{00000000-0004-0000-0000-0000FD120000}"/>
    <hyperlink ref="I2433" r:id="rId4863" display="https://www.facebook.com/watch/live/?ref=watch_permalink&amp;v=923735834984653" xr:uid="{00000000-0004-0000-0000-0000FE120000}"/>
    <hyperlink ref="A2434" r:id="rId4864" display="https://www.facebook.com/oliverioalicabo.orland.9" xr:uid="{00000000-0004-0000-0000-0000FF120000}"/>
    <hyperlink ref="I2434" r:id="rId4865" display="https://www.facebook.com/watch/live/?ref=watch_permalink&amp;v=923735834984653" xr:uid="{00000000-0004-0000-0000-000000130000}"/>
    <hyperlink ref="A2435" r:id="rId4866" display="https://www.facebook.com/helen.koike" xr:uid="{00000000-0004-0000-0000-000001130000}"/>
    <hyperlink ref="I2435" r:id="rId4867" display="https://www.facebook.com/watch/live/?ref=watch_permalink&amp;v=923735834984653" xr:uid="{00000000-0004-0000-0000-000002130000}"/>
    <hyperlink ref="A2436" r:id="rId4868" display="https://www.facebook.com/nelia.forteza.1" xr:uid="{00000000-0004-0000-0000-000003130000}"/>
    <hyperlink ref="I2436" r:id="rId4869" display="https://www.facebook.com/watch/live/?ref=watch_permalink&amp;v=923735834984653" xr:uid="{00000000-0004-0000-0000-000004130000}"/>
    <hyperlink ref="A2437" r:id="rId4870" display="https://www.facebook.com/nelia.forteza.1" xr:uid="{00000000-0004-0000-0000-000005130000}"/>
    <hyperlink ref="I2437" r:id="rId4871" display="https://www.facebook.com/watch/live/?ref=watch_permalink&amp;v=923735834984653" xr:uid="{00000000-0004-0000-0000-000006130000}"/>
    <hyperlink ref="A2438" r:id="rId4872" display="https://www.facebook.com/nelia.forteza.1" xr:uid="{00000000-0004-0000-0000-000007130000}"/>
    <hyperlink ref="I2438" r:id="rId4873" display="https://www.facebook.com/watch/live/?ref=watch_permalink&amp;v=923735834984653" xr:uid="{00000000-0004-0000-0000-000008130000}"/>
    <hyperlink ref="A2439" r:id="rId4874" display="https://www.facebook.com/aida.tytco" xr:uid="{00000000-0004-0000-0000-000009130000}"/>
    <hyperlink ref="I2439" r:id="rId4875" display="https://www.facebook.com/watch/live/?ref=watch_permalink&amp;v=923735834984653" xr:uid="{00000000-0004-0000-0000-00000A130000}"/>
    <hyperlink ref="A2440" r:id="rId4876" display="https://www.facebook.com/randy.aniano" xr:uid="{00000000-0004-0000-0000-00000B130000}"/>
    <hyperlink ref="I2440" r:id="rId4877" display="https://www.facebook.com/watch/live/?ref=watch_permalink&amp;v=923735834984653" xr:uid="{00000000-0004-0000-0000-00000C130000}"/>
    <hyperlink ref="A2441" r:id="rId4878" display="https://www.facebook.com/vhengvheng.manlapaz" xr:uid="{00000000-0004-0000-0000-00000D130000}"/>
    <hyperlink ref="I2441" r:id="rId4879" display="https://www.facebook.com/watch/live/?ref=watch_permalink&amp;v=923735834984653" xr:uid="{00000000-0004-0000-0000-00000E130000}"/>
    <hyperlink ref="A2442" r:id="rId4880" display="https://www.facebook.com/ricardo.malonzo" xr:uid="{00000000-0004-0000-0000-00000F130000}"/>
    <hyperlink ref="I2442" r:id="rId4881" display="https://www.facebook.com/watch/live/?ref=watch_permalink&amp;v=923735834984653" xr:uid="{00000000-0004-0000-0000-000010130000}"/>
    <hyperlink ref="A2443" r:id="rId4882" display="https://www.facebook.com/belen.simbul.58" xr:uid="{00000000-0004-0000-0000-000011130000}"/>
    <hyperlink ref="I2443" r:id="rId4883" display="https://www.facebook.com/watch/live/?ref=watch_permalink&amp;v=923735834984653" xr:uid="{00000000-0004-0000-0000-000012130000}"/>
    <hyperlink ref="A2444" r:id="rId4884" display="https://www.facebook.com/profile.php?id=100069812281148" xr:uid="{00000000-0004-0000-0000-000013130000}"/>
    <hyperlink ref="I2444" r:id="rId4885" display="https://www.facebook.com/watch/live/?ref=watch_permalink&amp;v=923735834984653" xr:uid="{00000000-0004-0000-0000-000014130000}"/>
    <hyperlink ref="A2445" r:id="rId4886" display="https://www.facebook.com/neilson.beltran.75" xr:uid="{00000000-0004-0000-0000-000015130000}"/>
    <hyperlink ref="I2445" r:id="rId4887" display="https://www.facebook.com/watch/live/?ref=watch_permalink&amp;v=923735834984653" xr:uid="{00000000-0004-0000-0000-000016130000}"/>
    <hyperlink ref="A2446" r:id="rId4888" display="https://www.facebook.com/dionisiapiano.rebese" xr:uid="{00000000-0004-0000-0000-000017130000}"/>
    <hyperlink ref="I2446" r:id="rId4889" display="https://www.facebook.com/watch/live/?ref=watch_permalink&amp;v=923735834984653" xr:uid="{00000000-0004-0000-0000-000018130000}"/>
    <hyperlink ref="A2447" r:id="rId4890" display="https://www.facebook.com/profile.php?id=100005160163120" xr:uid="{00000000-0004-0000-0000-000019130000}"/>
    <hyperlink ref="I2447" r:id="rId4891" display="https://www.facebook.com/watch/live/?ref=watch_permalink&amp;v=923735834984653" xr:uid="{00000000-0004-0000-0000-00001A130000}"/>
    <hyperlink ref="A2448" r:id="rId4892" display="https://www.facebook.com/profile.php?id=100005160163120" xr:uid="{00000000-0004-0000-0000-00001B130000}"/>
    <hyperlink ref="I2448" r:id="rId4893" display="https://www.facebook.com/watch/live/?ref=watch_permalink&amp;v=923735834984653" xr:uid="{00000000-0004-0000-0000-00001C130000}"/>
    <hyperlink ref="A2449" r:id="rId4894" display="https://www.facebook.com/profile.php?id=100005160163120" xr:uid="{00000000-0004-0000-0000-00001D130000}"/>
    <hyperlink ref="I2449" r:id="rId4895" display="https://www.facebook.com/watch/live/?ref=watch_permalink&amp;v=923735834984653" xr:uid="{00000000-0004-0000-0000-00001E130000}"/>
    <hyperlink ref="A2450" r:id="rId4896" display="https://www.facebook.com/profile.php?id=100005160163120" xr:uid="{00000000-0004-0000-0000-00001F130000}"/>
    <hyperlink ref="I2450" r:id="rId4897" display="https://www.facebook.com/watch/live/?ref=watch_permalink&amp;v=923735834984653" xr:uid="{00000000-0004-0000-0000-000020130000}"/>
    <hyperlink ref="A2451" r:id="rId4898" display="https://www.facebook.com/profile.php?id=100005160163120" xr:uid="{00000000-0004-0000-0000-000021130000}"/>
    <hyperlink ref="I2451" r:id="rId4899" display="https://www.facebook.com/watch/live/?ref=watch_permalink&amp;v=923735834984653" xr:uid="{00000000-0004-0000-0000-000022130000}"/>
    <hyperlink ref="A2452" r:id="rId4900" display="https://www.facebook.com/profile.php?id=100005160163120" xr:uid="{00000000-0004-0000-0000-000023130000}"/>
    <hyperlink ref="I2452" r:id="rId4901" display="https://www.facebook.com/watch/live/?ref=watch_permalink&amp;v=923735834984653" xr:uid="{00000000-0004-0000-0000-000024130000}"/>
    <hyperlink ref="A2453" r:id="rId4902" display="https://www.facebook.com/profile.php?id=100005160163120" xr:uid="{00000000-0004-0000-0000-000025130000}"/>
    <hyperlink ref="I2453" r:id="rId4903" display="https://www.facebook.com/watch/live/?ref=watch_permalink&amp;v=923735834984653" xr:uid="{00000000-0004-0000-0000-000026130000}"/>
    <hyperlink ref="A2454" r:id="rId4904" display="https://www.facebook.com/ricky.marquez.58958" xr:uid="{00000000-0004-0000-0000-000027130000}"/>
    <hyperlink ref="I2454" r:id="rId4905" display="https://www.facebook.com/watch/live/?ref=watch_permalink&amp;v=923735834984653" xr:uid="{00000000-0004-0000-0000-000028130000}"/>
    <hyperlink ref="A2455" r:id="rId4906" display="https://www.facebook.com/kaie.decal" xr:uid="{00000000-0004-0000-0000-000029130000}"/>
    <hyperlink ref="I2455" r:id="rId4907" display="https://www.facebook.com/rapplerdotcom/posts/pfbid02BCyyacWVuuu1bwX5PwYK8PvqDGTANxekqEMy7qyV9vMmaGKTbC8sBf7i5j3Wbx9Ll" xr:uid="{00000000-0004-0000-0000-00002A130000}"/>
    <hyperlink ref="A2456" r:id="rId4908" display="https://www.facebook.com/gesponela" xr:uid="{00000000-0004-0000-0000-00002B130000}"/>
    <hyperlink ref="I2456" r:id="rId4909" display="https://www.facebook.com/rapplerdotcom/posts/pfbid02BCyyacWVuuu1bwX5PwYK8PvqDGTANxekqEMy7qyV9vMmaGKTbC8sBf7i5j3Wbx9Ll" xr:uid="{00000000-0004-0000-0000-00002C130000}"/>
    <hyperlink ref="A2457" r:id="rId4910" display="https://www.facebook.com/rose.ranario.58" xr:uid="{00000000-0004-0000-0000-00002D130000}"/>
    <hyperlink ref="I2457" r:id="rId4911" display="https://www.facebook.com/rapplerdotcom/posts/pfbid02BCyyacWVuuu1bwX5PwYK8PvqDGTANxekqEMy7qyV9vMmaGKTbC8sBf7i5j3Wbx9Ll" xr:uid="{00000000-0004-0000-0000-00002E130000}"/>
    <hyperlink ref="A2458" r:id="rId4912" display="https://www.facebook.com/profile.php?id=100071488868784" xr:uid="{00000000-0004-0000-0000-00002F130000}"/>
    <hyperlink ref="I2458" r:id="rId4913" display="https://www.facebook.com/rapplerdotcom/posts/pfbid02BCyyacWVuuu1bwX5PwYK8PvqDGTANxekqEMy7qyV9vMmaGKTbC8sBf7i5j3Wbx9Ll" xr:uid="{00000000-0004-0000-0000-000030130000}"/>
    <hyperlink ref="A2459" r:id="rId4914" display="https://www.facebook.com/rose.ranario.58" xr:uid="{00000000-0004-0000-0000-000031130000}"/>
    <hyperlink ref="I2459" r:id="rId4915" display="https://www.facebook.com/rapplerdotcom/posts/pfbid02BCyyacWVuuu1bwX5PwYK8PvqDGTANxekqEMy7qyV9vMmaGKTbC8sBf7i5j3Wbx9Ll" xr:uid="{00000000-0004-0000-0000-000032130000}"/>
    <hyperlink ref="A2460" r:id="rId4916" display="https://www.facebook.com/EyronClavsky" xr:uid="{00000000-0004-0000-0000-000033130000}"/>
    <hyperlink ref="I2460" r:id="rId4917" display="https://www.facebook.com/rapplerdotcom/posts/pfbid02BCyyacWVuuu1bwX5PwYK8PvqDGTANxekqEMy7qyV9vMmaGKTbC8sBf7i5j3Wbx9Ll" xr:uid="{00000000-0004-0000-0000-000034130000}"/>
    <hyperlink ref="A2461" r:id="rId4918" display="https://www.facebook.com/gerly.amante1" xr:uid="{00000000-0004-0000-0000-000035130000}"/>
    <hyperlink ref="I2461" r:id="rId4919" display="https://www.facebook.com/rapplerdotcom/posts/pfbid02BCyyacWVuuu1bwX5PwYK8PvqDGTANxekqEMy7qyV9vMmaGKTbC8sBf7i5j3Wbx9Ll" xr:uid="{00000000-0004-0000-0000-000036130000}"/>
    <hyperlink ref="A2462" r:id="rId4920" display="https://www.facebook.com/rose.ranario.58" xr:uid="{00000000-0004-0000-0000-000037130000}"/>
    <hyperlink ref="I2462" r:id="rId4921" display="https://www.facebook.com/rapplerdotcom/posts/pfbid02BCyyacWVuuu1bwX5PwYK8PvqDGTANxekqEMy7qyV9vMmaGKTbC8sBf7i5j3Wbx9Ll" xr:uid="{00000000-0004-0000-0000-000038130000}"/>
    <hyperlink ref="A2463" r:id="rId4922" display="https://www.facebook.com/profile.php?id=100075051973694" xr:uid="{00000000-0004-0000-0000-000039130000}"/>
    <hyperlink ref="I2463" r:id="rId4923" display="https://www.facebook.com/rapplerdotcom/posts/pfbid02BCyyacWVuuu1bwX5PwYK8PvqDGTANxekqEMy7qyV9vMmaGKTbC8sBf7i5j3Wbx9Ll" xr:uid="{00000000-0004-0000-0000-00003A130000}"/>
    <hyperlink ref="A2464" r:id="rId4924" display="https://www.facebook.com/gerly.amante1" xr:uid="{00000000-0004-0000-0000-00003B130000}"/>
    <hyperlink ref="I2464" r:id="rId4925" display="https://www.facebook.com/rapplerdotcom/posts/pfbid02BCyyacWVuuu1bwX5PwYK8PvqDGTANxekqEMy7qyV9vMmaGKTbC8sBf7i5j3Wbx9Ll" xr:uid="{00000000-0004-0000-0000-00003C130000}"/>
    <hyperlink ref="A2465" r:id="rId4926" display="https://www.facebook.com/barry.taganas.7" xr:uid="{00000000-0004-0000-0000-00003D130000}"/>
    <hyperlink ref="I2465" r:id="rId4927" display="https://www.facebook.com/rapplerdotcom/posts/pfbid02BCyyacWVuuu1bwX5PwYK8PvqDGTANxekqEMy7qyV9vMmaGKTbC8sBf7i5j3Wbx9Ll" xr:uid="{00000000-0004-0000-0000-00003E130000}"/>
    <hyperlink ref="A2466" r:id="rId4928" display="https://www.facebook.com/violet.panuringan" xr:uid="{00000000-0004-0000-0000-00003F130000}"/>
    <hyperlink ref="I2466" r:id="rId4929" display="https://www.facebook.com/rapplerdotcom/posts/pfbid02BCyyacWVuuu1bwX5PwYK8PvqDGTANxekqEMy7qyV9vMmaGKTbC8sBf7i5j3Wbx9Ll" xr:uid="{00000000-0004-0000-0000-000040130000}"/>
    <hyperlink ref="A2467" r:id="rId4930" display="https://www.facebook.com/rolen.danque" xr:uid="{00000000-0004-0000-0000-000041130000}"/>
    <hyperlink ref="I2467" r:id="rId4931" display="https://www.facebook.com/rapplerdotcom/posts/pfbid02BCyyacWVuuu1bwX5PwYK8PvqDGTANxekqEMy7qyV9vMmaGKTbC8sBf7i5j3Wbx9Ll" xr:uid="{00000000-0004-0000-0000-000042130000}"/>
    <hyperlink ref="A2468" r:id="rId4932" display="https://www.facebook.com/profile.php?id=100061205663342" xr:uid="{00000000-0004-0000-0000-000043130000}"/>
    <hyperlink ref="I2468" r:id="rId4933" display="https://www.facebook.com/rapplerdotcom/posts/pfbid02BCyyacWVuuu1bwX5PwYK8PvqDGTANxekqEMy7qyV9vMmaGKTbC8sBf7i5j3Wbx9Ll" xr:uid="{00000000-0004-0000-0000-000044130000}"/>
    <hyperlink ref="A2469" r:id="rId4934" display="https://www.facebook.com/ruben.musni" xr:uid="{00000000-0004-0000-0000-000045130000}"/>
    <hyperlink ref="I2469" r:id="rId4935" display="https://www.facebook.com/rapplerdotcom/posts/pfbid02BCyyacWVuuu1bwX5PwYK8PvqDGTANxekqEMy7qyV9vMmaGKTbC8sBf7i5j3Wbx9Ll" xr:uid="{00000000-0004-0000-0000-000046130000}"/>
    <hyperlink ref="A2470" r:id="rId4936" display="https://www.facebook.com/abetsuarez" xr:uid="{00000000-0004-0000-0000-000047130000}"/>
    <hyperlink ref="I2470" r:id="rId4937" display="https://www.facebook.com/rapplerdotcom/posts/pfbid02BCyyacWVuuu1bwX5PwYK8PvqDGTANxekqEMy7qyV9vMmaGKTbC8sBf7i5j3Wbx9Ll" xr:uid="{00000000-0004-0000-0000-000048130000}"/>
    <hyperlink ref="A2471" r:id="rId4938" display="https://www.facebook.com/carlos.ligan" xr:uid="{00000000-0004-0000-0000-000049130000}"/>
    <hyperlink ref="I2471" r:id="rId4939" display="https://www.facebook.com/rapplerdotcom/posts/pfbid02BCyyacWVuuu1bwX5PwYK8PvqDGTANxekqEMy7qyV9vMmaGKTbC8sBf7i5j3Wbx9Ll" xr:uid="{00000000-0004-0000-0000-00004A130000}"/>
    <hyperlink ref="A2472" r:id="rId4940" display="https://www.facebook.com/melinda.santelices" xr:uid="{00000000-0004-0000-0000-00004B130000}"/>
    <hyperlink ref="I2472" r:id="rId4941" display="https://www.facebook.com/rapplerdotcom/posts/pfbid02BCyyacWVuuu1bwX5PwYK8PvqDGTANxekqEMy7qyV9vMmaGKTbC8sBf7i5j3Wbx9Ll" xr:uid="{00000000-0004-0000-0000-00004C130000}"/>
    <hyperlink ref="A2473" r:id="rId4942" display="https://www.facebook.com/pinedaRuda" xr:uid="{00000000-0004-0000-0000-00004D130000}"/>
    <hyperlink ref="I2473" r:id="rId4943" display="https://www.facebook.com/rapplerdotcom/posts/pfbid02BCyyacWVuuu1bwX5PwYK8PvqDGTANxekqEMy7qyV9vMmaGKTbC8sBf7i5j3Wbx9Ll" xr:uid="{00000000-0004-0000-0000-00004E130000}"/>
    <hyperlink ref="A2474" r:id="rId4944" display="https://www.facebook.com/pangetkoh30" xr:uid="{00000000-0004-0000-0000-00004F130000}"/>
    <hyperlink ref="I2474" r:id="rId4945" display="https://www.facebook.com/rapplerdotcom/posts/pfbid02BCyyacWVuuu1bwX5PwYK8PvqDGTANxekqEMy7qyV9vMmaGKTbC8sBf7i5j3Wbx9Ll" xr:uid="{00000000-0004-0000-0000-000050130000}"/>
    <hyperlink ref="A2475" r:id="rId4946" display="https://www.facebook.com/dawatanpaulo" xr:uid="{00000000-0004-0000-0000-000051130000}"/>
    <hyperlink ref="I2475" r:id="rId4947" display="https://www.facebook.com/rapplerdotcom/posts/pfbid02BCyyacWVuuu1bwX5PwYK8PvqDGTANxekqEMy7qyV9vMmaGKTbC8sBf7i5j3Wbx9Ll" xr:uid="{00000000-0004-0000-0000-000052130000}"/>
    <hyperlink ref="A2476" r:id="rId4948" display="https://www.facebook.com/melinda.santelices" xr:uid="{00000000-0004-0000-0000-000053130000}"/>
    <hyperlink ref="I2476" r:id="rId4949" display="https://www.facebook.com/rapplerdotcom/posts/pfbid02BCyyacWVuuu1bwX5PwYK8PvqDGTANxekqEMy7qyV9vMmaGKTbC8sBf7i5j3Wbx9Ll" xr:uid="{00000000-0004-0000-0000-000054130000}"/>
    <hyperlink ref="A2477" r:id="rId4950" display="https://www.facebook.com/melinda.santelices" xr:uid="{00000000-0004-0000-0000-000055130000}"/>
    <hyperlink ref="I2477" r:id="rId4951" display="https://www.facebook.com/rapplerdotcom/posts/pfbid02BCyyacWVuuu1bwX5PwYK8PvqDGTANxekqEMy7qyV9vMmaGKTbC8sBf7i5j3Wbx9Ll" xr:uid="{00000000-0004-0000-0000-000056130000}"/>
    <hyperlink ref="A2478" r:id="rId4952" display="https://www.facebook.com/pangetkoh30" xr:uid="{00000000-0004-0000-0000-000057130000}"/>
    <hyperlink ref="I2478" r:id="rId4953" display="https://www.facebook.com/rapplerdotcom/posts/pfbid02BCyyacWVuuu1bwX5PwYK8PvqDGTANxekqEMy7qyV9vMmaGKTbC8sBf7i5j3Wbx9Ll" xr:uid="{00000000-0004-0000-0000-000058130000}"/>
    <hyperlink ref="A2479" r:id="rId4954" display="https://www.facebook.com/pangetkoh30" xr:uid="{00000000-0004-0000-0000-000059130000}"/>
    <hyperlink ref="I2479" r:id="rId4955" display="https://www.facebook.com/rapplerdotcom/posts/pfbid02BCyyacWVuuu1bwX5PwYK8PvqDGTANxekqEMy7qyV9vMmaGKTbC8sBf7i5j3Wbx9Ll" xr:uid="{00000000-0004-0000-0000-00005A130000}"/>
    <hyperlink ref="A2480" r:id="rId4956" display="https://www.facebook.com/melinda.santelices" xr:uid="{00000000-0004-0000-0000-00005B130000}"/>
    <hyperlink ref="I2480" r:id="rId4957" display="https://www.facebook.com/rapplerdotcom/posts/pfbid02BCyyacWVuuu1bwX5PwYK8PvqDGTANxekqEMy7qyV9vMmaGKTbC8sBf7i5j3Wbx9Ll" xr:uid="{00000000-0004-0000-0000-00005C130000}"/>
    <hyperlink ref="A2481" r:id="rId4958" display="https://www.facebook.com/rebecca.teodoro.79" xr:uid="{00000000-0004-0000-0000-00005D130000}"/>
    <hyperlink ref="I2481" r:id="rId4959" display="https://www.facebook.com/rapplerdotcom/posts/pfbid02BCyyacWVuuu1bwX5PwYK8PvqDGTANxekqEMy7qyV9vMmaGKTbC8sBf7i5j3Wbx9Ll" xr:uid="{00000000-0004-0000-0000-00005E130000}"/>
    <hyperlink ref="A2482" r:id="rId4960" display="https://www.facebook.com/melinda.santelices" xr:uid="{00000000-0004-0000-0000-00005F130000}"/>
    <hyperlink ref="I2482" r:id="rId4961" display="https://www.facebook.com/rapplerdotcom/posts/pfbid02BCyyacWVuuu1bwX5PwYK8PvqDGTANxekqEMy7qyV9vMmaGKTbC8sBf7i5j3Wbx9Ll" xr:uid="{00000000-0004-0000-0000-000060130000}"/>
    <hyperlink ref="A2483" r:id="rId4962" display="https://www.facebook.com/elena.cayandag.71" xr:uid="{00000000-0004-0000-0000-000061130000}"/>
    <hyperlink ref="I2483" r:id="rId4963" display="https://www.facebook.com/rapplerdotcom/posts/pfbid02BCyyacWVuuu1bwX5PwYK8PvqDGTANxekqEMy7qyV9vMmaGKTbC8sBf7i5j3Wbx9Ll" xr:uid="{00000000-0004-0000-0000-000062130000}"/>
    <hyperlink ref="A2484" r:id="rId4964" display="https://www.facebook.com/melinda.santelices" xr:uid="{00000000-0004-0000-0000-000063130000}"/>
    <hyperlink ref="I2484" r:id="rId4965" display="https://www.facebook.com/rapplerdotcom/posts/pfbid02BCyyacWVuuu1bwX5PwYK8PvqDGTANxekqEMy7qyV9vMmaGKTbC8sBf7i5j3Wbx9Ll" xr:uid="{00000000-0004-0000-0000-000064130000}"/>
    <hyperlink ref="A2485" r:id="rId4966" display="https://www.facebook.com/bot.kohtoh" xr:uid="{00000000-0004-0000-0000-000065130000}"/>
    <hyperlink ref="I2485" r:id="rId4967" display="https://www.facebook.com/rapplerdotcom/posts/pfbid02BCyyacWVuuu1bwX5PwYK8PvqDGTANxekqEMy7qyV9vMmaGKTbC8sBf7i5j3Wbx9Ll" xr:uid="{00000000-0004-0000-0000-000066130000}"/>
    <hyperlink ref="A2486" r:id="rId4968" display="https://www.facebook.com/josiephine.pajunar" xr:uid="{00000000-0004-0000-0000-000067130000}"/>
    <hyperlink ref="I2486" r:id="rId4969" display="https://www.facebook.com/rapplerdotcom/posts/pfbid02BCyyacWVuuu1bwX5PwYK8PvqDGTANxekqEMy7qyV9vMmaGKTbC8sBf7i5j3Wbx9Ll" xr:uid="{00000000-0004-0000-0000-000068130000}"/>
    <hyperlink ref="A2487" r:id="rId4970" display="https://www.facebook.com/melai.banirdag" xr:uid="{00000000-0004-0000-0000-000069130000}"/>
    <hyperlink ref="I2487" r:id="rId4971" display="https://www.facebook.com/rapplerdotcom/posts/pfbid02BCyyacWVuuu1bwX5PwYK8PvqDGTANxekqEMy7qyV9vMmaGKTbC8sBf7i5j3Wbx9Ll" xr:uid="{00000000-0004-0000-0000-00006A130000}"/>
    <hyperlink ref="A2488" r:id="rId4972" display="https://www.facebook.com/cel.servando" xr:uid="{00000000-0004-0000-0000-00006B130000}"/>
    <hyperlink ref="I2488" r:id="rId4973" display="https://www.facebook.com/rapplerdotcom/posts/pfbid02BCyyacWVuuu1bwX5PwYK8PvqDGTANxekqEMy7qyV9vMmaGKTbC8sBf7i5j3Wbx9Ll" xr:uid="{00000000-0004-0000-0000-00006C130000}"/>
    <hyperlink ref="A2489" r:id="rId4974" display="https://www.facebook.com/raullongkoy.palad" xr:uid="{00000000-0004-0000-0000-00006D130000}"/>
    <hyperlink ref="I2489" r:id="rId4975" display="https://www.facebook.com/rapplerdotcom/posts/pfbid02BCyyacWVuuu1bwX5PwYK8PvqDGTANxekqEMy7qyV9vMmaGKTbC8sBf7i5j3Wbx9Ll" xr:uid="{00000000-0004-0000-0000-00006E130000}"/>
    <hyperlink ref="A2490" r:id="rId4976" display="https://www.facebook.com/profile.php?id=100061205663342" xr:uid="{00000000-0004-0000-0000-00006F130000}"/>
    <hyperlink ref="I2490" r:id="rId4977" display="https://www.facebook.com/rapplerdotcom/posts/pfbid02BCyyacWVuuu1bwX5PwYK8PvqDGTANxekqEMy7qyV9vMmaGKTbC8sBf7i5j3Wbx9Ll" xr:uid="{00000000-0004-0000-0000-000070130000}"/>
    <hyperlink ref="A2491" r:id="rId4978" display="https://www.facebook.com/roldan.lago.75" xr:uid="{00000000-0004-0000-0000-000071130000}"/>
    <hyperlink ref="I2491" r:id="rId4979" display="https://www.facebook.com/rapplerdotcom/posts/pfbid02BCyyacWVuuu1bwX5PwYK8PvqDGTANxekqEMy7qyV9vMmaGKTbC8sBf7i5j3Wbx9Ll" xr:uid="{00000000-0004-0000-0000-000072130000}"/>
    <hyperlink ref="A2492" r:id="rId4980" display="https://www.facebook.com/eduardeddie.rocabo" xr:uid="{00000000-0004-0000-0000-000073130000}"/>
    <hyperlink ref="I2492" r:id="rId4981" display="https://www.facebook.com/rapplerdotcom/posts/pfbid02BCyyacWVuuu1bwX5PwYK8PvqDGTANxekqEMy7qyV9vMmaGKTbC8sBf7i5j3Wbx9Ll" xr:uid="{00000000-0004-0000-0000-000074130000}"/>
    <hyperlink ref="A2493" r:id="rId4982" display="https://www.facebook.com/tiu.ag" xr:uid="{00000000-0004-0000-0000-000075130000}"/>
    <hyperlink ref="I2493" r:id="rId4983" display="https://www.facebook.com/rapplerdotcom/posts/pfbid02BCyyacWVuuu1bwX5PwYK8PvqDGTANxekqEMy7qyV9vMmaGKTbC8sBf7i5j3Wbx9Ll" xr:uid="{00000000-0004-0000-0000-000076130000}"/>
    <hyperlink ref="A2494" r:id="rId4984" display="https://www.facebook.com/roldan.lago.75" xr:uid="{00000000-0004-0000-0000-000077130000}"/>
    <hyperlink ref="I2494" r:id="rId4985" display="https://www.facebook.com/rapplerdotcom/posts/pfbid02BCyyacWVuuu1bwX5PwYK8PvqDGTANxekqEMy7qyV9vMmaGKTbC8sBf7i5j3Wbx9Ll" xr:uid="{00000000-0004-0000-0000-000078130000}"/>
    <hyperlink ref="A2495" r:id="rId4986" display="https://www.facebook.com/roldan.lago.75" xr:uid="{00000000-0004-0000-0000-000079130000}"/>
    <hyperlink ref="I2495" r:id="rId4987" display="https://www.facebook.com/rapplerdotcom/posts/pfbid02BCyyacWVuuu1bwX5PwYK8PvqDGTANxekqEMy7qyV9vMmaGKTbC8sBf7i5j3Wbx9Ll" xr:uid="{00000000-0004-0000-0000-00007A130000}"/>
    <hyperlink ref="A2496" r:id="rId4988" display="https://www.facebook.com/roldan.lago.75" xr:uid="{00000000-0004-0000-0000-00007B130000}"/>
    <hyperlink ref="I2496" r:id="rId4989" display="https://www.facebook.com/rapplerdotcom/posts/pfbid02BCyyacWVuuu1bwX5PwYK8PvqDGTANxekqEMy7qyV9vMmaGKTbC8sBf7i5j3Wbx9Ll" xr:uid="{00000000-0004-0000-0000-00007C130000}"/>
    <hyperlink ref="A2497" r:id="rId4990" display="https://www.facebook.com/tiu.ag" xr:uid="{00000000-0004-0000-0000-00007D130000}"/>
    <hyperlink ref="I2497" r:id="rId4991" display="https://www.facebook.com/rapplerdotcom/posts/pfbid02BCyyacWVuuu1bwX5PwYK8PvqDGTANxekqEMy7qyV9vMmaGKTbC8sBf7i5j3Wbx9Ll" xr:uid="{00000000-0004-0000-0000-00007E130000}"/>
    <hyperlink ref="A2498" r:id="rId4992" display="https://www.facebook.com/Bosx.Mikel" xr:uid="{00000000-0004-0000-0000-00007F130000}"/>
    <hyperlink ref="I2498" r:id="rId4993" display="https://www.facebook.com/rapplerdotcom/posts/pfbid02BCyyacWVuuu1bwX5PwYK8PvqDGTANxekqEMy7qyV9vMmaGKTbC8sBf7i5j3Wbx9Ll" xr:uid="{00000000-0004-0000-0000-000080130000}"/>
    <hyperlink ref="A2499" r:id="rId4994" display="https://www.facebook.com/john.p.garsula" xr:uid="{00000000-0004-0000-0000-000081130000}"/>
    <hyperlink ref="I2499" r:id="rId4995" display="https://www.facebook.com/rapplerdotcom/posts/pfbid02BCyyacWVuuu1bwX5PwYK8PvqDGTANxekqEMy7qyV9vMmaGKTbC8sBf7i5j3Wbx9Ll" xr:uid="{00000000-0004-0000-0000-000082130000}"/>
    <hyperlink ref="A2500" r:id="rId4996" display="https://www.facebook.com/tiu.ag" xr:uid="{00000000-0004-0000-0000-000083130000}"/>
    <hyperlink ref="I2500" r:id="rId4997" display="https://www.facebook.com/rapplerdotcom/posts/pfbid02BCyyacWVuuu1bwX5PwYK8PvqDGTANxekqEMy7qyV9vMmaGKTbC8sBf7i5j3Wbx9Ll" xr:uid="{00000000-0004-0000-0000-000084130000}"/>
    <hyperlink ref="A2501" r:id="rId4998" display="https://www.facebook.com/profile.php?id=100012069823437" xr:uid="{00000000-0004-0000-0000-000085130000}"/>
    <hyperlink ref="I2501" r:id="rId4999" display="https://www.facebook.com/rapplerdotcom/posts/pfbid02BCyyacWVuuu1bwX5PwYK8PvqDGTANxekqEMy7qyV9vMmaGKTbC8sBf7i5j3Wbx9Ll" xr:uid="{00000000-0004-0000-0000-000086130000}"/>
    <hyperlink ref="A2502" r:id="rId5000" display="https://www.facebook.com/profile.php?id=100041903862229" xr:uid="{00000000-0004-0000-0000-000087130000}"/>
    <hyperlink ref="I2502" r:id="rId5001" display="https://www.facebook.com/rapplerdotcom/posts/pfbid02BCyyacWVuuu1bwX5PwYK8PvqDGTANxekqEMy7qyV9vMmaGKTbC8sBf7i5j3Wbx9Ll" xr:uid="{00000000-0004-0000-0000-000088130000}"/>
    <hyperlink ref="A2503" r:id="rId5002" display="https://www.facebook.com/fonzy.alfonso.79" xr:uid="{00000000-0004-0000-0000-000089130000}"/>
    <hyperlink ref="I2503" r:id="rId5003" display="https://www.facebook.com/rapplerdotcom/posts/pfbid02BCyyacWVuuu1bwX5PwYK8PvqDGTANxekqEMy7qyV9vMmaGKTbC8sBf7i5j3Wbx9Ll" xr:uid="{00000000-0004-0000-0000-00008A130000}"/>
    <hyperlink ref="A2504" r:id="rId5004" display="https://www.facebook.com/profile.php?id=100010177068680" xr:uid="{00000000-0004-0000-0000-00008B130000}"/>
    <hyperlink ref="I2504" r:id="rId5005" display="https://www.facebook.com/rapplerdotcom/posts/pfbid02BCyyacWVuuu1bwX5PwYK8PvqDGTANxekqEMy7qyV9vMmaGKTbC8sBf7i5j3Wbx9Ll" xr:uid="{00000000-0004-0000-0000-00008C130000}"/>
    <hyperlink ref="A2505" r:id="rId5006" display="https://www.facebook.com/rommel.carpio.315" xr:uid="{00000000-0004-0000-0000-00008D130000}"/>
    <hyperlink ref="I2505" r:id="rId5007" display="https://www.facebook.com/rapplerdotcom/posts/pfbid02BCyyacWVuuu1bwX5PwYK8PvqDGTANxekqEMy7qyV9vMmaGKTbC8sBf7i5j3Wbx9Ll" xr:uid="{00000000-0004-0000-0000-00008E130000}"/>
    <hyperlink ref="A2506" r:id="rId5008" display="https://www.facebook.com/profile.php?id=100072240556659" xr:uid="{00000000-0004-0000-0000-00008F130000}"/>
    <hyperlink ref="I2506" r:id="rId5009" display="https://www.facebook.com/rapplerdotcom/posts/pfbid02BCyyacWVuuu1bwX5PwYK8PvqDGTANxekqEMy7qyV9vMmaGKTbC8sBf7i5j3Wbx9Ll" xr:uid="{00000000-0004-0000-0000-000090130000}"/>
    <hyperlink ref="A2507" r:id="rId5010" display="https://www.facebook.com/desireecastroventura" xr:uid="{00000000-0004-0000-0000-000091130000}"/>
    <hyperlink ref="I2507" r:id="rId5011" display="https://www.facebook.com/rapplerdotcom/posts/pfbid02BCyyacWVuuu1bwX5PwYK8PvqDGTANxekqEMy7qyV9vMmaGKTbC8sBf7i5j3Wbx9Ll" xr:uid="{00000000-0004-0000-0000-000092130000}"/>
    <hyperlink ref="A2508" r:id="rId5012" display="https://www.facebook.com/robert.gacayan.3" xr:uid="{00000000-0004-0000-0000-000093130000}"/>
    <hyperlink ref="I2508" r:id="rId5013" display="https://www.facebook.com/rapplerdotcom/posts/pfbid02BCyyacWVuuu1bwX5PwYK8PvqDGTANxekqEMy7qyV9vMmaGKTbC8sBf7i5j3Wbx9Ll" xr:uid="{00000000-0004-0000-0000-000094130000}"/>
    <hyperlink ref="A2509" r:id="rId5014" display="https://www.facebook.com/pangetkoh30" xr:uid="{00000000-0004-0000-0000-000095130000}"/>
    <hyperlink ref="I2509" r:id="rId5015" display="https://www.facebook.com/rapplerdotcom/posts/pfbid02BCyyacWVuuu1bwX5PwYK8PvqDGTANxekqEMy7qyV9vMmaGKTbC8sBf7i5j3Wbx9Ll" xr:uid="{00000000-0004-0000-0000-000096130000}"/>
    <hyperlink ref="A2510" r:id="rId5016" display="https://www.facebook.com/rey.sumam" xr:uid="{00000000-0004-0000-0000-000097130000}"/>
    <hyperlink ref="I2510" r:id="rId5017" display="https://www.facebook.com/rapplerdotcom/posts/pfbid02BCyyacWVuuu1bwX5PwYK8PvqDGTANxekqEMy7qyV9vMmaGKTbC8sBf7i5j3Wbx9Ll" xr:uid="{00000000-0004-0000-0000-000098130000}"/>
    <hyperlink ref="A2511" r:id="rId5018" display="https://www.facebook.com/rey.sumam" xr:uid="{00000000-0004-0000-0000-000099130000}"/>
    <hyperlink ref="I2511" r:id="rId5019" display="https://www.facebook.com/rapplerdotcom/posts/pfbid02BCyyacWVuuu1bwX5PwYK8PvqDGTANxekqEMy7qyV9vMmaGKTbC8sBf7i5j3Wbx9Ll" xr:uid="{00000000-0004-0000-0000-00009A130000}"/>
    <hyperlink ref="A2512" r:id="rId5020" display="https://www.facebook.com/john.p.garsula" xr:uid="{00000000-0004-0000-0000-00009B130000}"/>
    <hyperlink ref="I2512" r:id="rId5021" display="https://www.facebook.com/rapplerdotcom/posts/pfbid02BCyyacWVuuu1bwX5PwYK8PvqDGTANxekqEMy7qyV9vMmaGKTbC8sBf7i5j3Wbx9Ll" xr:uid="{00000000-0004-0000-0000-00009C130000}"/>
    <hyperlink ref="A2513" r:id="rId5022" display="https://www.facebook.com/rommeltamonte7" xr:uid="{00000000-0004-0000-0000-00009D130000}"/>
    <hyperlink ref="I2513" r:id="rId5023" display="https://www.facebook.com/rapplerdotcom/posts/pfbid02BCyyacWVuuu1bwX5PwYK8PvqDGTANxekqEMy7qyV9vMmaGKTbC8sBf7i5j3Wbx9Ll" xr:uid="{00000000-0004-0000-0000-00009E130000}"/>
    <hyperlink ref="A2514" r:id="rId5024" display="https://www.facebook.com/profile.php?id=100009077087732" xr:uid="{00000000-0004-0000-0000-00009F130000}"/>
    <hyperlink ref="I2514" r:id="rId5025" display="https://www.facebook.com/rapplerdotcom/posts/pfbid02BCyyacWVuuu1bwX5PwYK8PvqDGTANxekqEMy7qyV9vMmaGKTbC8sBf7i5j3Wbx9Ll" xr:uid="{00000000-0004-0000-0000-0000A0130000}"/>
    <hyperlink ref="A2515" r:id="rId5026" display="https://www.facebook.com/juliet.romano.75" xr:uid="{00000000-0004-0000-0000-0000A1130000}"/>
    <hyperlink ref="I2515" r:id="rId5027" display="https://www.facebook.com/rapplerdotcom/posts/pfbid02BCyyacWVuuu1bwX5PwYK8PvqDGTANxekqEMy7qyV9vMmaGKTbC8sBf7i5j3Wbx9Ll" xr:uid="{00000000-0004-0000-0000-0000A2130000}"/>
    <hyperlink ref="A2516" r:id="rId5028" display="https://www.facebook.com/glark.yaranon" xr:uid="{00000000-0004-0000-0000-0000A3130000}"/>
    <hyperlink ref="I2516" r:id="rId5029" display="https://www.facebook.com/rapplerdotcom/posts/pfbid02BCyyacWVuuu1bwX5PwYK8PvqDGTANxekqEMy7qyV9vMmaGKTbC8sBf7i5j3Wbx9Ll" xr:uid="{00000000-0004-0000-0000-0000A4130000}"/>
    <hyperlink ref="A2517" r:id="rId5030" display="https://www.facebook.com/chazper21" xr:uid="{00000000-0004-0000-0000-0000A5130000}"/>
    <hyperlink ref="I2517" r:id="rId5031" display="https://www.facebook.com/rapplerdotcom/posts/pfbid02BCyyacWVuuu1bwX5PwYK8PvqDGTANxekqEMy7qyV9vMmaGKTbC8sBf7i5j3Wbx9Ll" xr:uid="{00000000-0004-0000-0000-0000A6130000}"/>
    <hyperlink ref="A2518" r:id="rId5032" display="https://www.facebook.com/rommeltamonte7" xr:uid="{00000000-0004-0000-0000-0000A7130000}"/>
    <hyperlink ref="I2518" r:id="rId5033" display="https://www.facebook.com/rapplerdotcom/posts/pfbid02BCyyacWVuuu1bwX5PwYK8PvqDGTANxekqEMy7qyV9vMmaGKTbC8sBf7i5j3Wbx9Ll" xr:uid="{00000000-0004-0000-0000-0000A8130000}"/>
    <hyperlink ref="A2519" r:id="rId5034" display="https://www.facebook.com/chazper21" xr:uid="{00000000-0004-0000-0000-0000A9130000}"/>
    <hyperlink ref="I2519" r:id="rId5035" display="https://www.facebook.com/rapplerdotcom/posts/pfbid02BCyyacWVuuu1bwX5PwYK8PvqDGTANxekqEMy7qyV9vMmaGKTbC8sBf7i5j3Wbx9Ll" xr:uid="{00000000-0004-0000-0000-0000AA130000}"/>
    <hyperlink ref="A2520" r:id="rId5036" display="https://www.facebook.com/chazper21" xr:uid="{00000000-0004-0000-0000-0000AB130000}"/>
    <hyperlink ref="I2520" r:id="rId5037" display="https://www.facebook.com/rapplerdotcom/posts/pfbid02BCyyacWVuuu1bwX5PwYK8PvqDGTANxekqEMy7qyV9vMmaGKTbC8sBf7i5j3Wbx9Ll" xr:uid="{00000000-0004-0000-0000-0000AC130000}"/>
    <hyperlink ref="A2521" r:id="rId5038" display="https://www.facebook.com/Overhauled12" xr:uid="{00000000-0004-0000-0000-0000AD130000}"/>
    <hyperlink ref="I2521" r:id="rId5039" display="https://www.facebook.com/rapplerdotcom/posts/pfbid02BCyyacWVuuu1bwX5PwYK8PvqDGTANxekqEMy7qyV9vMmaGKTbC8sBf7i5j3Wbx9Ll" xr:uid="{00000000-0004-0000-0000-0000AE130000}"/>
    <hyperlink ref="A2522" r:id="rId5040" display="https://www.facebook.com/carlos.javelosa" xr:uid="{00000000-0004-0000-0000-0000AF130000}"/>
    <hyperlink ref="I2522" r:id="rId5041" display="https://www.facebook.com/rapplerdotcom/posts/pfbid02BCyyacWVuuu1bwX5PwYK8PvqDGTANxekqEMy7qyV9vMmaGKTbC8sBf7i5j3Wbx9Ll" xr:uid="{00000000-0004-0000-0000-0000B0130000}"/>
    <hyperlink ref="A2523" r:id="rId5042" display="https://www.facebook.com/josefina.nalcot" xr:uid="{00000000-0004-0000-0000-0000B1130000}"/>
    <hyperlink ref="I2523" r:id="rId5043" display="https://www.facebook.com/rapplerdotcom/posts/pfbid02BCyyacWVuuu1bwX5PwYK8PvqDGTANxekqEMy7qyV9vMmaGKTbC8sBf7i5j3Wbx9Ll" xr:uid="{00000000-0004-0000-0000-0000B2130000}"/>
    <hyperlink ref="A2524" r:id="rId5044" display="https://www.facebook.com/profile.php?id=100072240556659" xr:uid="{00000000-0004-0000-0000-0000B3130000}"/>
    <hyperlink ref="I2524" r:id="rId5045" display="https://www.facebook.com/rapplerdotcom/posts/pfbid02BCyyacWVuuu1bwX5PwYK8PvqDGTANxekqEMy7qyV9vMmaGKTbC8sBf7i5j3Wbx9Ll" xr:uid="{00000000-0004-0000-0000-0000B4130000}"/>
    <hyperlink ref="A2525" r:id="rId5046" display="https://www.facebook.com/lorenza.ito.33" xr:uid="{00000000-0004-0000-0000-0000B5130000}"/>
    <hyperlink ref="I2525" r:id="rId5047" display="https://www.facebook.com/rapplerdotcom/posts/pfbid02BCyyacWVuuu1bwX5PwYK8PvqDGTANxekqEMy7qyV9vMmaGKTbC8sBf7i5j3Wbx9Ll" xr:uid="{00000000-0004-0000-0000-0000B6130000}"/>
    <hyperlink ref="A2526" r:id="rId5048" display="https://www.facebook.com/lceleste3" xr:uid="{00000000-0004-0000-0000-0000B7130000}"/>
    <hyperlink ref="I2526" r:id="rId5049" display="https://www.facebook.com/rapplerdotcom/posts/pfbid02BCyyacWVuuu1bwX5PwYK8PvqDGTANxekqEMy7qyV9vMmaGKTbC8sBf7i5j3Wbx9Ll" xr:uid="{00000000-0004-0000-0000-0000B8130000}"/>
    <hyperlink ref="A2527" r:id="rId5050" display="https://www.facebook.com/profile.php?id=100011366202531" xr:uid="{00000000-0004-0000-0000-0000B9130000}"/>
    <hyperlink ref="I2527" r:id="rId5051" display="https://www.facebook.com/rapplerdotcom/posts/pfbid0231hbcbuKeQLDkPH8oZAdZbuU8MPPgRANx152V3xWpbjZ6EvfpohwQMvxHYAgrGPul" xr:uid="{00000000-0004-0000-0000-0000BA130000}"/>
    <hyperlink ref="A2528" r:id="rId5052" display="https://www.facebook.com/vhersapitula" xr:uid="{00000000-0004-0000-0000-0000BB130000}"/>
    <hyperlink ref="I2528" r:id="rId5053" display="https://www.facebook.com/rapplerdotcom/posts/pfbid0231hbcbuKeQLDkPH8oZAdZbuU8MPPgRANx152V3xWpbjZ6EvfpohwQMvxHYAgrGPul" xr:uid="{00000000-0004-0000-0000-0000BC130000}"/>
    <hyperlink ref="A2529" r:id="rId5054" display="https://www.facebook.com/IamRoselleBaltazar" xr:uid="{00000000-0004-0000-0000-0000BD130000}"/>
    <hyperlink ref="I2529" r:id="rId5055" display="https://www.facebook.com/rapplerdotcom/posts/pfbid0231hbcbuKeQLDkPH8oZAdZbuU8MPPgRANx152V3xWpbjZ6EvfpohwQMvxHYAgrGPul" xr:uid="{00000000-0004-0000-0000-0000BE130000}"/>
    <hyperlink ref="A2530" r:id="rId5056" display="https://www.facebook.com/profile.php?id=100004103093312" xr:uid="{00000000-0004-0000-0000-0000BF130000}"/>
    <hyperlink ref="I2530" r:id="rId5057" display="https://www.facebook.com/rapplerdotcom/posts/pfbid0231hbcbuKeQLDkPH8oZAdZbuU8MPPgRANx152V3xWpbjZ6EvfpohwQMvxHYAgrGPul" xr:uid="{00000000-0004-0000-0000-0000C0130000}"/>
    <hyperlink ref="A2531" r:id="rId5058" display="https://www.facebook.com/laura.coloma.7" xr:uid="{00000000-0004-0000-0000-0000C1130000}"/>
    <hyperlink ref="I2531" r:id="rId5059" display="https://www.facebook.com/rapplerdotcom/posts/pfbid0231hbcbuKeQLDkPH8oZAdZbuU8MPPgRANx152V3xWpbjZ6EvfpohwQMvxHYAgrGPul" xr:uid="{00000000-0004-0000-0000-0000C2130000}"/>
    <hyperlink ref="A2532" r:id="rId5060" display="https://www.facebook.com/jingbong.suan" xr:uid="{00000000-0004-0000-0000-0000C3130000}"/>
    <hyperlink ref="I2532" r:id="rId5061" display="https://www.facebook.com/rapplerdotcom/posts/pfbid0231hbcbuKeQLDkPH8oZAdZbuU8MPPgRANx152V3xWpbjZ6EvfpohwQMvxHYAgrGPul" xr:uid="{00000000-0004-0000-0000-0000C4130000}"/>
    <hyperlink ref="A2533" r:id="rId5062" display="https://www.facebook.com/esting.cabrerazaAaAaA" xr:uid="{00000000-0004-0000-0000-0000C5130000}"/>
    <hyperlink ref="I2533" r:id="rId5063" display="https://www.facebook.com/rapplerdotcom/posts/pfbid0231hbcbuKeQLDkPH8oZAdZbuU8MPPgRANx152V3xWpbjZ6EvfpohwQMvxHYAgrGPul" xr:uid="{00000000-0004-0000-0000-0000C6130000}"/>
    <hyperlink ref="A2534" r:id="rId5064" display="https://www.facebook.com/alma.bautista.148" xr:uid="{00000000-0004-0000-0000-0000C7130000}"/>
    <hyperlink ref="I2534" r:id="rId5065" display="https://www.facebook.com/rapplerdotcom/posts/pfbid0231hbcbuKeQLDkPH8oZAdZbuU8MPPgRANx152V3xWpbjZ6EvfpohwQMvxHYAgrGPul" xr:uid="{00000000-0004-0000-0000-0000C8130000}"/>
    <hyperlink ref="A2535" r:id="rId5066" display="https://www.facebook.com/jrockersgsm" xr:uid="{00000000-0004-0000-0000-0000C9130000}"/>
    <hyperlink ref="I2535" r:id="rId5067" display="https://www.facebook.com/rapplerdotcom/posts/pfbid0231hbcbuKeQLDkPH8oZAdZbuU8MPPgRANx152V3xWpbjZ6EvfpohwQMvxHYAgrGPul" xr:uid="{00000000-0004-0000-0000-0000CA130000}"/>
    <hyperlink ref="A2536" r:id="rId5068" display="https://www.facebook.com/marichu.espinosa.5" xr:uid="{00000000-0004-0000-0000-0000CB130000}"/>
    <hyperlink ref="I2536" r:id="rId5069" display="https://www.facebook.com/rapplerdotcom/posts/pfbid0231hbcbuKeQLDkPH8oZAdZbuU8MPPgRANx152V3xWpbjZ6EvfpohwQMvxHYAgrGPul" xr:uid="{00000000-0004-0000-0000-0000CC130000}"/>
    <hyperlink ref="A2537" r:id="rId5070" display="https://www.facebook.com/arnel.bernardino.9" xr:uid="{00000000-0004-0000-0000-0000CD130000}"/>
    <hyperlink ref="I2537" r:id="rId5071" display="https://www.facebook.com/rapplerdotcom/posts/pfbid0231hbcbuKeQLDkPH8oZAdZbuU8MPPgRANx152V3xWpbjZ6EvfpohwQMvxHYAgrGPul" xr:uid="{00000000-0004-0000-0000-0000CE130000}"/>
    <hyperlink ref="A2538" r:id="rId5072" display="https://www.facebook.com/rgrino1" xr:uid="{00000000-0004-0000-0000-0000CF130000}"/>
    <hyperlink ref="I2538" r:id="rId5073" display="https://www.facebook.com/rapplerdotcom/posts/pfbid0231hbcbuKeQLDkPH8oZAdZbuU8MPPgRANx152V3xWpbjZ6EvfpohwQMvxHYAgrGPul" xr:uid="{00000000-0004-0000-0000-0000D0130000}"/>
    <hyperlink ref="A2539" r:id="rId5074" display="https://www.facebook.com/kawboy02" xr:uid="{00000000-0004-0000-0000-0000D1130000}"/>
    <hyperlink ref="I2539" r:id="rId5075" display="https://www.facebook.com/rapplerdotcom/posts/pfbid0231hbcbuKeQLDkPH8oZAdZbuU8MPPgRANx152V3xWpbjZ6EvfpohwQMvxHYAgrGPul" xr:uid="{00000000-0004-0000-0000-0000D2130000}"/>
    <hyperlink ref="A2540" r:id="rId5076" display="https://www.facebook.com/vanessa.cabelto" xr:uid="{00000000-0004-0000-0000-0000D3130000}"/>
    <hyperlink ref="I2540" r:id="rId5077" display="https://www.facebook.com/rapplerdotcom/posts/pfbid0231hbcbuKeQLDkPH8oZAdZbuU8MPPgRANx152V3xWpbjZ6EvfpohwQMvxHYAgrGPul" xr:uid="{00000000-0004-0000-0000-0000D4130000}"/>
    <hyperlink ref="A2541" r:id="rId5078" display="https://www.facebook.com/ronel.padrqiue" xr:uid="{00000000-0004-0000-0000-0000D5130000}"/>
    <hyperlink ref="I2541" r:id="rId5079" display="https://www.facebook.com/rapplerdotcom/posts/pfbid0231hbcbuKeQLDkPH8oZAdZbuU8MPPgRANx152V3xWpbjZ6EvfpohwQMvxHYAgrGPul" xr:uid="{00000000-0004-0000-0000-0000D6130000}"/>
    <hyperlink ref="A2542" r:id="rId5080" display="https://www.facebook.com/carmen.tabarnilla" xr:uid="{00000000-0004-0000-0000-0000D7130000}"/>
    <hyperlink ref="I2542" r:id="rId5081" display="https://www.facebook.com/rapplerdotcom/posts/pfbid0231hbcbuKeQLDkPH8oZAdZbuU8MPPgRANx152V3xWpbjZ6EvfpohwQMvxHYAgrGPul" xr:uid="{00000000-0004-0000-0000-0000D8130000}"/>
    <hyperlink ref="A2543" r:id="rId5082" display="https://www.facebook.com/liv.viloria18" xr:uid="{00000000-0004-0000-0000-0000D9130000}"/>
    <hyperlink ref="I2543" r:id="rId5083" display="https://www.facebook.com/rapplerdotcom/posts/pfbid0231hbcbuKeQLDkPH8oZAdZbuU8MPPgRANx152V3xWpbjZ6EvfpohwQMvxHYAgrGPul" xr:uid="{00000000-0004-0000-0000-0000DA130000}"/>
    <hyperlink ref="A2544" r:id="rId5084" display="https://www.facebook.com/jkeallano" xr:uid="{00000000-0004-0000-0000-0000DB130000}"/>
    <hyperlink ref="I2544" r:id="rId5085" display="https://www.facebook.com/rapplerdotcom/posts/pfbid0231hbcbuKeQLDkPH8oZAdZbuU8MPPgRANx152V3xWpbjZ6EvfpohwQMvxHYAgrGPul" xr:uid="{00000000-0004-0000-0000-0000DC130000}"/>
    <hyperlink ref="A2545" r:id="rId5086" display="https://www.facebook.com/gregorio.deo" xr:uid="{00000000-0004-0000-0000-0000DD130000}"/>
    <hyperlink ref="I2545" r:id="rId5087" display="https://www.facebook.com/rapplerdotcom/posts/pfbid0231hbcbuKeQLDkPH8oZAdZbuU8MPPgRANx152V3xWpbjZ6EvfpohwQMvxHYAgrGPul" xr:uid="{00000000-0004-0000-0000-0000DE130000}"/>
    <hyperlink ref="A2546" r:id="rId5088" display="https://www.facebook.com/kristine.r.nueva" xr:uid="{00000000-0004-0000-0000-0000DF130000}"/>
    <hyperlink ref="I2546" r:id="rId5089" display="https://www.facebook.com/rapplerdotcom/posts/pfbid0231hbcbuKeQLDkPH8oZAdZbuU8MPPgRANx152V3xWpbjZ6EvfpohwQMvxHYAgrGPul" xr:uid="{00000000-0004-0000-0000-0000E0130000}"/>
    <hyperlink ref="A2547" r:id="rId5090" display="https://www.facebook.com/norieann.ramos" xr:uid="{00000000-0004-0000-0000-0000E1130000}"/>
    <hyperlink ref="I2547" r:id="rId5091" display="https://www.facebook.com/rapplerdotcom/posts/pfbid0231hbcbuKeQLDkPH8oZAdZbuU8MPPgRANx152V3xWpbjZ6EvfpohwQMvxHYAgrGPul" xr:uid="{00000000-0004-0000-0000-0000E2130000}"/>
    <hyperlink ref="A2548" r:id="rId5092" display="https://www.facebook.com/jheys.lupet" xr:uid="{00000000-0004-0000-0000-0000E3130000}"/>
    <hyperlink ref="I2548" r:id="rId5093" display="https://www.facebook.com/rapplerdotcom/posts/pfbid0231hbcbuKeQLDkPH8oZAdZbuU8MPPgRANx152V3xWpbjZ6EvfpohwQMvxHYAgrGPul" xr:uid="{00000000-0004-0000-0000-0000E4130000}"/>
    <hyperlink ref="A2549" r:id="rId5094" display="https://www.facebook.com/kram.nia.5" xr:uid="{00000000-0004-0000-0000-0000E5130000}"/>
    <hyperlink ref="I2549" r:id="rId5095" display="https://www.facebook.com/rapplerdotcom/posts/pfbid0231hbcbuKeQLDkPH8oZAdZbuU8MPPgRANx152V3xWpbjZ6EvfpohwQMvxHYAgrGPul" xr:uid="{00000000-0004-0000-0000-0000E6130000}"/>
    <hyperlink ref="A2550" r:id="rId5096" display="https://www.facebook.com/ivee.villarinarnaiz" xr:uid="{00000000-0004-0000-0000-0000E7130000}"/>
    <hyperlink ref="I2550" r:id="rId5097" display="https://www.facebook.com/rapplerdotcom/photos/a.317154781638645/5594264657260938/" xr:uid="{00000000-0004-0000-0000-0000E8130000}"/>
    <hyperlink ref="A2551" r:id="rId5098" display="https://www.facebook.com/ness.lansang.1" xr:uid="{00000000-0004-0000-0000-0000E9130000}"/>
    <hyperlink ref="I2551" r:id="rId5099" display="https://www.facebook.com/rapplerdotcom/photos/a.317154781638645/5594264657260938/" xr:uid="{00000000-0004-0000-0000-0000EA130000}"/>
    <hyperlink ref="A2552" r:id="rId5100" display="https://www.facebook.com/zion.poliquit.54" xr:uid="{00000000-0004-0000-0000-0000EB130000}"/>
    <hyperlink ref="I2552" r:id="rId5101" display="https://www.facebook.com/rapplerdotcom/photos/a.317154781638645/5594264657260938/" xr:uid="{00000000-0004-0000-0000-0000EC130000}"/>
    <hyperlink ref="A2553" r:id="rId5102" display="https://www.facebook.com/gahimaeeeeee" xr:uid="{00000000-0004-0000-0000-0000ED130000}"/>
    <hyperlink ref="I2553" r:id="rId5103" display="https://www.facebook.com/rapplerdotcom/photos/a.317154781638645/5594264657260938/" xr:uid="{00000000-0004-0000-0000-0000EE130000}"/>
    <hyperlink ref="A2554" r:id="rId5104" display="https://www.facebook.com/shiela.hechanovasotero" xr:uid="{00000000-0004-0000-0000-0000EF130000}"/>
    <hyperlink ref="I2554" r:id="rId5105" display="https://www.facebook.com/rapplerdotcom/photos/a.317154781638645/5594264657260938/" xr:uid="{00000000-0004-0000-0000-0000F0130000}"/>
    <hyperlink ref="A2555" r:id="rId5106" display="https://www.facebook.com/zion.poliquit.54" xr:uid="{00000000-0004-0000-0000-0000F1130000}"/>
    <hyperlink ref="I2555" r:id="rId5107" display="https://www.facebook.com/rapplerdotcom/photos/a.317154781638645/5594264657260938/" xr:uid="{00000000-0004-0000-0000-0000F2130000}"/>
    <hyperlink ref="A2556" r:id="rId5108" display="https://www.facebook.com/zion.poliquit.54" xr:uid="{00000000-0004-0000-0000-0000F3130000}"/>
    <hyperlink ref="I2556" r:id="rId5109" display="https://www.facebook.com/rapplerdotcom/photos/a.317154781638645/5594264657260938/" xr:uid="{00000000-0004-0000-0000-0000F4130000}"/>
    <hyperlink ref="A2557" r:id="rId5110" display="https://www.facebook.com/zion.poliquit.54" xr:uid="{00000000-0004-0000-0000-0000F5130000}"/>
    <hyperlink ref="I2557" r:id="rId5111" display="https://www.facebook.com/rapplerdotcom/photos/a.317154781638645/5594264657260938/" xr:uid="{00000000-0004-0000-0000-0000F6130000}"/>
    <hyperlink ref="A2558" r:id="rId5112" display="https://www.facebook.com/gahimaeeeeee" xr:uid="{00000000-0004-0000-0000-0000F7130000}"/>
    <hyperlink ref="I2558" r:id="rId5113" display="https://www.facebook.com/rapplerdotcom/photos/a.317154781638645/5594264657260938/" xr:uid="{00000000-0004-0000-0000-0000F8130000}"/>
    <hyperlink ref="A2559" r:id="rId5114" display="https://www.facebook.com/alvin.loyola.754" xr:uid="{00000000-0004-0000-0000-0000F9130000}"/>
    <hyperlink ref="I2559" r:id="rId5115" display="https://www.facebook.com/rapplerdotcom/photos/a.317154781638645/5594264657260938/" xr:uid="{00000000-0004-0000-0000-0000FA130000}"/>
    <hyperlink ref="A2560" r:id="rId5116" display="https://www.facebook.com/cydrex.bernabe.7" xr:uid="{00000000-0004-0000-0000-0000FB130000}"/>
    <hyperlink ref="I2560" r:id="rId5117" display="https://www.facebook.com/rapplerdotcom/photos/a.317154781638645/5594264657260938/" xr:uid="{00000000-0004-0000-0000-0000FC130000}"/>
    <hyperlink ref="A2561" r:id="rId5118" display="https://www.facebook.com/armi.prieto" xr:uid="{00000000-0004-0000-0000-0000FD130000}"/>
    <hyperlink ref="I2561" r:id="rId5119" display="https://www.facebook.com/rapplerdotcom/photos/a.317154781638645/5594264657260938/" xr:uid="{00000000-0004-0000-0000-0000FE130000}"/>
    <hyperlink ref="A2562" r:id="rId5120" display="https://www.facebook.com/nivek.leiro2" xr:uid="{00000000-0004-0000-0000-0000FF130000}"/>
    <hyperlink ref="I2562" r:id="rId5121" display="https://www.facebook.com/rapplerdotcom/photos/a.317154781638645/5594264657260938/" xr:uid="{00000000-0004-0000-0000-000000140000}"/>
    <hyperlink ref="A2563" r:id="rId5122" display="https://www.facebook.com/anjadonis11" xr:uid="{00000000-0004-0000-0000-000001140000}"/>
    <hyperlink ref="I2563" r:id="rId5123" display="https://www.facebook.com/rapplerdotcom/photos/a.317154781638645/5594264657260938/" xr:uid="{00000000-0004-0000-0000-000002140000}"/>
    <hyperlink ref="A2564" r:id="rId5124" display="https://www.facebook.com/gemrose.rescobactol" xr:uid="{00000000-0004-0000-0000-000003140000}"/>
    <hyperlink ref="I2564" r:id="rId5125" display="https://www.facebook.com/rapplerdotcom/photos/a.317154781638645/5594264657260938/" xr:uid="{00000000-0004-0000-0000-000004140000}"/>
    <hyperlink ref="A2565" r:id="rId5126" display="https://www.facebook.com/ching8ramon" xr:uid="{00000000-0004-0000-0000-000005140000}"/>
    <hyperlink ref="I2565" r:id="rId5127" display="https://www.facebook.com/rapplerdotcom/photos/a.317154781638645/5594264657260938/" xr:uid="{00000000-0004-0000-0000-000006140000}"/>
    <hyperlink ref="A2566" r:id="rId5128" display="https://www.facebook.com/zion.poliquit.54" xr:uid="{00000000-0004-0000-0000-000007140000}"/>
    <hyperlink ref="I2566" r:id="rId5129" display="https://www.facebook.com/rapplerdotcom/photos/a.317154781638645/5594264657260938/" xr:uid="{00000000-0004-0000-0000-000008140000}"/>
    <hyperlink ref="A2567" r:id="rId5130" display="https://www.facebook.com/nora.montejo.925" xr:uid="{00000000-0004-0000-0000-000009140000}"/>
    <hyperlink ref="I2567" r:id="rId5131" display="https://www.facebook.com/rapplerdotcom/photos/a.317154781638645/5594264657260938/" xr:uid="{00000000-0004-0000-0000-00000A140000}"/>
    <hyperlink ref="A2568" r:id="rId5132" display="https://www.facebook.com/profile.php?id=100069339588430" xr:uid="{00000000-0004-0000-0000-00000B140000}"/>
    <hyperlink ref="I2568" r:id="rId5133" display="https://www.facebook.com/rapplerdotcom/photos/a.317154781638645/5594264657260938/" xr:uid="{00000000-0004-0000-0000-00000C140000}"/>
    <hyperlink ref="A2569" r:id="rId5134" display="https://www.facebook.com/profile.php?id=100018491727313" xr:uid="{00000000-0004-0000-0000-00000D140000}"/>
    <hyperlink ref="I2569" r:id="rId5135" display="https://www.facebook.com/rapplerdotcom/photos/a.317154781638645/5594264657260938/" xr:uid="{00000000-0004-0000-0000-00000E140000}"/>
    <hyperlink ref="A2570" r:id="rId5136" display="https://www.facebook.com/cydrex.bernabe.7" xr:uid="{00000000-0004-0000-0000-00000F140000}"/>
    <hyperlink ref="I2570" r:id="rId5137" display="https://www.facebook.com/rapplerdotcom/photos/a.317154781638645/5594264657260938/" xr:uid="{00000000-0004-0000-0000-000010140000}"/>
    <hyperlink ref="A2571" r:id="rId5138" display="https://www.facebook.com/JeffOliGarTV" xr:uid="{00000000-0004-0000-0000-000011140000}"/>
    <hyperlink ref="I2571" r:id="rId5139" display="https://www.facebook.com/rapplerdotcom/photos/a.317154781638645/5594264657260938/" xr:uid="{00000000-0004-0000-0000-000012140000}"/>
    <hyperlink ref="A2572" r:id="rId5140" display="https://www.facebook.com/sid.nazal.7" xr:uid="{00000000-0004-0000-0000-000013140000}"/>
    <hyperlink ref="I2572" r:id="rId5141" display="https://www.facebook.com/rapplerdotcom/photos/a.317154781638645/5594264657260938/" xr:uid="{00000000-0004-0000-0000-000014140000}"/>
    <hyperlink ref="A2573" r:id="rId5142" display="https://www.facebook.com/irma.gerardo" xr:uid="{00000000-0004-0000-0000-000015140000}"/>
    <hyperlink ref="I2573" r:id="rId5143" display="https://www.facebook.com/rapplerdotcom/photos/a.317154781638645/5594264657260938/" xr:uid="{00000000-0004-0000-0000-000016140000}"/>
    <hyperlink ref="A2574" r:id="rId5144" display="https://www.facebook.com/angela.delosreyes.543" xr:uid="{00000000-0004-0000-0000-000017140000}"/>
    <hyperlink ref="I2574" r:id="rId5145" display="https://www.facebook.com/rapplerdotcom/photos/a.317154781638645/5594264657260938/" xr:uid="{00000000-0004-0000-0000-000018140000}"/>
    <hyperlink ref="A2575" r:id="rId5146" display="https://www.facebook.com/ren.wah.1" xr:uid="{00000000-0004-0000-0000-000019140000}"/>
    <hyperlink ref="I2575" r:id="rId5147" display="https://www.facebook.com/rapplerdotcom/photos/a.317154781638645/5594264657260938/" xr:uid="{00000000-0004-0000-0000-00001A140000}"/>
    <hyperlink ref="A2576" r:id="rId5148" display="https://www.facebook.com/jacqueline.reynado" xr:uid="{00000000-0004-0000-0000-00001B140000}"/>
    <hyperlink ref="I2576" r:id="rId5149" display="https://www.facebook.com/rapplerdotcom/photos/a.317154781638645/5594264657260938/" xr:uid="{00000000-0004-0000-0000-00001C140000}"/>
    <hyperlink ref="A2577" r:id="rId5150" display="https://www.facebook.com/initials.jt" xr:uid="{00000000-0004-0000-0000-00001D140000}"/>
    <hyperlink ref="I2577" r:id="rId5151" display="https://www.facebook.com/rapplerdotcom/photos/a.317154781638645/5594264657260938/" xr:uid="{00000000-0004-0000-0000-00001E140000}"/>
    <hyperlink ref="A2578" r:id="rId5152" display="https://www.facebook.com/nilo.asas" xr:uid="{00000000-0004-0000-0000-00001F140000}"/>
    <hyperlink ref="I2578" r:id="rId5153" display="https://www.facebook.com/rapplerdotcom/photos/a.317154781638645/5594264657260938/" xr:uid="{00000000-0004-0000-0000-000020140000}"/>
    <hyperlink ref="A2579" r:id="rId5154" display="https://www.facebook.com/zion.poliquit.54" xr:uid="{00000000-0004-0000-0000-000021140000}"/>
    <hyperlink ref="I2579" r:id="rId5155" display="https://www.facebook.com/rapplerdotcom/photos/a.317154781638645/5594264657260938/" xr:uid="{00000000-0004-0000-0000-000022140000}"/>
    <hyperlink ref="A2580" r:id="rId5156" display="https://www.facebook.com/eugine.flores.5" xr:uid="{00000000-0004-0000-0000-000023140000}"/>
    <hyperlink ref="I2580" r:id="rId5157" display="https://www.facebook.com/rapplerdotcom/photos/a.317154781638645/5594264657260938/" xr:uid="{00000000-0004-0000-0000-000024140000}"/>
    <hyperlink ref="A2581" r:id="rId5158" display="https://www.facebook.com/jehe.kokos" xr:uid="{00000000-0004-0000-0000-000025140000}"/>
    <hyperlink ref="I2581" r:id="rId5159" display="https://www.facebook.com/rapplerdotcom/photos/a.317154781638645/5594264657260938/" xr:uid="{00000000-0004-0000-0000-000026140000}"/>
    <hyperlink ref="A2582" r:id="rId5160" display="https://www.facebook.com/reniel.carandang.56" xr:uid="{00000000-0004-0000-0000-000027140000}"/>
    <hyperlink ref="I2582" r:id="rId5161" display="https://www.facebook.com/rapplerdotcom/photos/a.317154781638645/5594264657260938/" xr:uid="{00000000-0004-0000-0000-000028140000}"/>
    <hyperlink ref="A2583" r:id="rId5162" display="https://www.facebook.com/gemrose.rescobactol" xr:uid="{00000000-0004-0000-0000-000029140000}"/>
    <hyperlink ref="I2583" r:id="rId5163" display="https://www.facebook.com/rapplerdotcom/photos/a.317154781638645/5594264657260938/" xr:uid="{00000000-0004-0000-0000-00002A140000}"/>
    <hyperlink ref="A2584" r:id="rId5164" display="https://www.facebook.com/jefferson.parrocha.3" xr:uid="{00000000-0004-0000-0000-00002B140000}"/>
    <hyperlink ref="I2584" r:id="rId5165" display="https://www.facebook.com/rapplerdotcom/photos/a.317154781638645/5594264657260938/" xr:uid="{00000000-0004-0000-0000-00002C140000}"/>
    <hyperlink ref="A2585" r:id="rId5166" display="https://www.facebook.com/nilo.asas" xr:uid="{00000000-0004-0000-0000-00002D140000}"/>
    <hyperlink ref="I2585" r:id="rId5167" display="https://www.facebook.com/rapplerdotcom/photos/a.317154781638645/5594264657260938/" xr:uid="{00000000-0004-0000-0000-00002E140000}"/>
    <hyperlink ref="A2586" r:id="rId5168" display="https://www.facebook.com/RheamaePineda.15" xr:uid="{00000000-0004-0000-0000-00002F140000}"/>
    <hyperlink ref="I2586" r:id="rId5169" display="https://www.facebook.com/rapplerdotcom/photos/a.317154781638645/5594264657260938/" xr:uid="{00000000-0004-0000-0000-000030140000}"/>
    <hyperlink ref="A2587" r:id="rId5170" display="https://www.facebook.com/profile.php?id=100051340422684" xr:uid="{00000000-0004-0000-0000-000031140000}"/>
    <hyperlink ref="I2587" r:id="rId5171" display="https://www.facebook.com/rapplerdotcom/photos/a.317154781638645/5594264657260938/" xr:uid="{00000000-0004-0000-0000-000032140000}"/>
    <hyperlink ref="A2588" r:id="rId5172" display="https://www.facebook.com/LanieJuson" xr:uid="{00000000-0004-0000-0000-000033140000}"/>
    <hyperlink ref="I2588" r:id="rId5173" display="https://www.facebook.com/rapplerdotcom/photos/a.317154781638645/5594264657260938/" xr:uid="{00000000-0004-0000-0000-000034140000}"/>
    <hyperlink ref="A2589" r:id="rId5174" display="https://www.facebook.com/venass.mercado.1" xr:uid="{00000000-0004-0000-0000-000035140000}"/>
    <hyperlink ref="I2589" r:id="rId5175" display="https://www.facebook.com/rapplerdotcom/photos/a.317154781638645/5594264657260938/" xr:uid="{00000000-0004-0000-0000-000036140000}"/>
    <hyperlink ref="A2590" r:id="rId5176" display="https://www.facebook.com/aj.dadivas.7" xr:uid="{00000000-0004-0000-0000-000037140000}"/>
    <hyperlink ref="I2590" r:id="rId5177" display="https://www.facebook.com/rapplerdotcom/photos/a.317154781638645/5594264657260938/" xr:uid="{00000000-0004-0000-0000-000038140000}"/>
    <hyperlink ref="A2591" r:id="rId5178" display="https://www.facebook.com/russel.hade" xr:uid="{00000000-0004-0000-0000-000039140000}"/>
    <hyperlink ref="I2591" r:id="rId5179" display="https://www.facebook.com/rapplerdotcom/photos/a.317154781638645/5594264657260938/" xr:uid="{00000000-0004-0000-0000-00003A140000}"/>
    <hyperlink ref="A2592" r:id="rId5180" display="https://www.facebook.com/fortunato.salas.9" xr:uid="{00000000-0004-0000-0000-00003B140000}"/>
    <hyperlink ref="I2592" r:id="rId5181" display="https://www.facebook.com/rapplerdotcom/photos/a.317154781638645/5594264657260938/" xr:uid="{00000000-0004-0000-0000-00003C140000}"/>
    <hyperlink ref="A2593" r:id="rId5182" display="https://www.facebook.com/anjadonis11" xr:uid="{00000000-0004-0000-0000-00003D140000}"/>
    <hyperlink ref="I2593" r:id="rId5183" display="https://www.facebook.com/rapplerdotcom/photos/a.317154781638645/5594264657260938/" xr:uid="{00000000-0004-0000-0000-00003E140000}"/>
    <hyperlink ref="A2594" r:id="rId5184" display="https://www.facebook.com/louie.m.quidlat" xr:uid="{00000000-0004-0000-0000-00003F140000}"/>
    <hyperlink ref="I2594" r:id="rId5185" display="https://www.facebook.com/rapplerdotcom/photos/a.317154781638645/5594264657260938/" xr:uid="{00000000-0004-0000-0000-000040140000}"/>
    <hyperlink ref="A2595" r:id="rId5186" display="https://www.facebook.com/lilian.sunglao" xr:uid="{00000000-0004-0000-0000-000041140000}"/>
    <hyperlink ref="I2595" r:id="rId5187" display="https://www.facebook.com/rapplerdotcom/photos/a.317154781638645/5594264657260938/" xr:uid="{00000000-0004-0000-0000-000042140000}"/>
    <hyperlink ref="A2596" r:id="rId5188" display="https://www.facebook.com/eugine.flores.5" xr:uid="{00000000-0004-0000-0000-000043140000}"/>
    <hyperlink ref="I2596" r:id="rId5189" display="https://www.facebook.com/rapplerdotcom/photos/a.317154781638645/5594264657260938/" xr:uid="{00000000-0004-0000-0000-000044140000}"/>
    <hyperlink ref="A2597" r:id="rId5190" display="https://www.facebook.com/reniel.carandang.56" xr:uid="{00000000-0004-0000-0000-000045140000}"/>
    <hyperlink ref="I2597" r:id="rId5191" display="https://www.facebook.com/rapplerdotcom/photos/a.317154781638645/5594264657260938/" xr:uid="{00000000-0004-0000-0000-000046140000}"/>
    <hyperlink ref="A2598" r:id="rId5192" display="https://www.facebook.com/gemrose.rescobactol" xr:uid="{00000000-0004-0000-0000-000047140000}"/>
    <hyperlink ref="I2598" r:id="rId5193" display="https://www.facebook.com/rapplerdotcom/photos/a.317154781638645/5594264657260938/" xr:uid="{00000000-0004-0000-0000-000048140000}"/>
    <hyperlink ref="A2599" r:id="rId5194" display="https://www.facebook.com/ebucayan" xr:uid="{00000000-0004-0000-0000-000049140000}"/>
    <hyperlink ref="I2599" r:id="rId5195" display="https://www.facebook.com/rapplerdotcom/photos/a.317154781638645/5594264657260938/" xr:uid="{00000000-0004-0000-0000-00004A140000}"/>
    <hyperlink ref="A2600" r:id="rId5196" display="https://www.facebook.com/liza.smmercado" xr:uid="{00000000-0004-0000-0000-00004B140000}"/>
    <hyperlink ref="I2600" r:id="rId5197" display="https://www.facebook.com/rapplerdotcom/photos/a.317154781638645/5594264657260938/" xr:uid="{00000000-0004-0000-0000-00004C140000}"/>
    <hyperlink ref="A2601" r:id="rId5198" display="https://www.facebook.com/profile.php?id=100075263366177" xr:uid="{00000000-0004-0000-0000-00004D140000}"/>
    <hyperlink ref="I2601" r:id="rId5199" display="https://www.facebook.com/rapplerdotcom/photos/a.317154781638645/5594264657260938/" xr:uid="{00000000-0004-0000-0000-00004E140000}"/>
    <hyperlink ref="A2602" r:id="rId5200" display="https://www.facebook.com/cydrex.bernabe.7" xr:uid="{00000000-0004-0000-0000-00004F140000}"/>
    <hyperlink ref="I2602" r:id="rId5201" display="https://www.facebook.com/rapplerdotcom/photos/a.317154781638645/5594264657260938/" xr:uid="{00000000-0004-0000-0000-000050140000}"/>
    <hyperlink ref="A2603" r:id="rId5202" display="https://www.facebook.com/dhailyn.serrano" xr:uid="{00000000-0004-0000-0000-000051140000}"/>
    <hyperlink ref="I2603" r:id="rId5203" display="https://www.facebook.com/rapplerdotcom/photos/a.317154781638645/5594264657260938/" xr:uid="{00000000-0004-0000-0000-000052140000}"/>
    <hyperlink ref="A2604" r:id="rId5204" display="https://www.facebook.com/profile.php?id=100057086594248" xr:uid="{00000000-0004-0000-0000-000053140000}"/>
    <hyperlink ref="I2604" r:id="rId5205" display="https://www.facebook.com/rapplerdotcom/photos/a.317154781638645/5594264657260938/" xr:uid="{00000000-0004-0000-0000-000054140000}"/>
    <hyperlink ref="A2605" r:id="rId5206" display="https://www.facebook.com/lorenza.ito.33" xr:uid="{00000000-0004-0000-0000-000055140000}"/>
    <hyperlink ref="I2605" r:id="rId5207" display="https://www.facebook.com/rapplerdotcom/photos/a.317154781638645/5594264657260938/" xr:uid="{00000000-0004-0000-0000-000056140000}"/>
    <hyperlink ref="A2606" r:id="rId5208" display="https://www.facebook.com/vivien.griego" xr:uid="{00000000-0004-0000-0000-000057140000}"/>
    <hyperlink ref="I2606" r:id="rId5209" display="https://www.facebook.com/rapplerdotcom/photos/a.317154781638645/5594264657260938/" xr:uid="{00000000-0004-0000-0000-000058140000}"/>
    <hyperlink ref="A2607" r:id="rId5210" display="https://www.facebook.com/nick.codico.5" xr:uid="{00000000-0004-0000-0000-000059140000}"/>
    <hyperlink ref="I2607" r:id="rId5211" display="https://www.facebook.com/rapplerdotcom/photos/a.317154781638645/5594264657260938/" xr:uid="{00000000-0004-0000-0000-00005A140000}"/>
    <hyperlink ref="A2608" r:id="rId5212" display="https://www.facebook.com/profile.php?id=100078311490623" xr:uid="{00000000-0004-0000-0000-00005B140000}"/>
    <hyperlink ref="I2608" r:id="rId5213" display="https://www.facebook.com/rapplerdotcom/photos/a.317154781638645/5594264657260938/" xr:uid="{00000000-0004-0000-0000-00005C140000}"/>
    <hyperlink ref="A2609" r:id="rId5214" display="https://www.facebook.com/jenessa.dano.1" xr:uid="{00000000-0004-0000-0000-00005D140000}"/>
    <hyperlink ref="I2609" r:id="rId5215" display="https://www.facebook.com/rapplerdotcom/photos/a.317154781638645/5594264657260938/" xr:uid="{00000000-0004-0000-0000-00005E140000}"/>
    <hyperlink ref="A2610" r:id="rId5216" display="https://www.facebook.com/leysillote" xr:uid="{00000000-0004-0000-0000-00005F140000}"/>
    <hyperlink ref="I2610" r:id="rId5217" display="https://www.facebook.com/rapplerdotcom/photos/a.317154781638645/5594264657260938/" xr:uid="{00000000-0004-0000-0000-000060140000}"/>
    <hyperlink ref="A2611" r:id="rId5218" display="https://www.facebook.com/ramondexter.tuason" xr:uid="{00000000-0004-0000-0000-000061140000}"/>
    <hyperlink ref="I2611" r:id="rId5219" display="https://www.facebook.com/rapplerdotcom/photos/a.317154781638645/5594264657260938/" xr:uid="{00000000-0004-0000-0000-000062140000}"/>
    <hyperlink ref="A2612" r:id="rId5220" display="https://www.facebook.com/emman.bantad" xr:uid="{00000000-0004-0000-0000-000063140000}"/>
    <hyperlink ref="I2612" r:id="rId5221" display="https://www.facebook.com/rapplerdotcom/photos/a.317154781638645/5594264657260938/" xr:uid="{00000000-0004-0000-0000-000064140000}"/>
    <hyperlink ref="A2613" r:id="rId5222" display="https://www.facebook.com/DBTunacao" xr:uid="{00000000-0004-0000-0000-000065140000}"/>
    <hyperlink ref="I2613" r:id="rId5223" display="https://www.facebook.com/rapplerdotcom/photos/a.317154781638645/5594264657260938/" xr:uid="{00000000-0004-0000-0000-000066140000}"/>
    <hyperlink ref="A2614" r:id="rId5224" display="https://www.facebook.com/estherlyn1" xr:uid="{00000000-0004-0000-0000-000067140000}"/>
    <hyperlink ref="I2614" r:id="rId5225" display="https://www.facebook.com/rapplerdotcom/photos/a.317154781638645/5594264657260938/" xr:uid="{00000000-0004-0000-0000-000068140000}"/>
    <hyperlink ref="A2615" r:id="rId5226" display="https://www.facebook.com/markela.kamama" xr:uid="{00000000-0004-0000-0000-000069140000}"/>
    <hyperlink ref="I2615" r:id="rId5227" display="https://www.facebook.com/rapplerdotcom/photos/a.317154781638645/5594264657260938/" xr:uid="{00000000-0004-0000-0000-00006A140000}"/>
    <hyperlink ref="A2616" r:id="rId5228" display="https://www.facebook.com/layf.lacatango.3" xr:uid="{00000000-0004-0000-0000-00006B140000}"/>
    <hyperlink ref="I2616" r:id="rId5229" display="https://www.facebook.com/rapplerdotcom/photos/a.317154781638645/5594264657260938/" xr:uid="{00000000-0004-0000-0000-00006C140000}"/>
    <hyperlink ref="A2617" r:id="rId5230" display="https://www.facebook.com/jon.eleria" xr:uid="{00000000-0004-0000-0000-00006D140000}"/>
    <hyperlink ref="I2617" r:id="rId5231" display="https://www.facebook.com/rapplerdotcom/photos/a.317154781638645/5594264657260938/" xr:uid="{00000000-0004-0000-0000-00006E140000}"/>
    <hyperlink ref="A2618" r:id="rId5232" display="https://www.facebook.com/toto.sanpedro" xr:uid="{00000000-0004-0000-0000-00006F140000}"/>
    <hyperlink ref="I2618" r:id="rId5233" display="https://www.facebook.com/rapplerdotcom/photos/a.317154781638645/5594264657260938/" xr:uid="{00000000-0004-0000-0000-000070140000}"/>
    <hyperlink ref="A2619" r:id="rId5234" display="https://www.facebook.com/penn.adbiz" xr:uid="{00000000-0004-0000-0000-000071140000}"/>
    <hyperlink ref="I2619" r:id="rId5235" display="https://www.facebook.com/rapplerdotcom/photos/a.317154781638645/5594264657260938/" xr:uid="{00000000-0004-0000-0000-000072140000}"/>
    <hyperlink ref="A2620" r:id="rId5236" display="https://www.facebook.com/gectojennieca" xr:uid="{00000000-0004-0000-0000-000073140000}"/>
    <hyperlink ref="I2620" r:id="rId5237" display="https://www.facebook.com/rapplerdotcom/photos/a.317154781638645/5594264657260938/" xr:uid="{00000000-0004-0000-0000-000074140000}"/>
    <hyperlink ref="A2621" r:id="rId5238" display="https://www.facebook.com/claryssebea.sana" xr:uid="{00000000-0004-0000-0000-000075140000}"/>
    <hyperlink ref="I2621" r:id="rId5239" display="https://www.facebook.com/rapplerdotcom/photos/a.317154781638645/5594264657260938/" xr:uid="{00000000-0004-0000-0000-000076140000}"/>
    <hyperlink ref="A2622" r:id="rId5240" display="https://www.facebook.com/gectojennieca" xr:uid="{00000000-0004-0000-0000-000077140000}"/>
    <hyperlink ref="I2622" r:id="rId5241" display="https://www.facebook.com/rapplerdotcom/photos/a.317154781638645/5594264657260938/" xr:uid="{00000000-0004-0000-0000-000078140000}"/>
    <hyperlink ref="A2623" r:id="rId5242" display="https://www.facebook.com/mrbentaph/" xr:uid="{00000000-0004-0000-0000-000079140000}"/>
    <hyperlink ref="I2623" r:id="rId5243" display="https://www.facebook.com/rapplerdotcom/photos/a.317154781638645/5594264657260938/" xr:uid="{00000000-0004-0000-0000-00007A140000}"/>
    <hyperlink ref="A2624" r:id="rId5244" display="https://www.facebook.com/nichi.egg" xr:uid="{00000000-0004-0000-0000-00007B140000}"/>
    <hyperlink ref="I2624" r:id="rId5245" display="https://www.facebook.com/rapplerdotcom/photos/a.317154781638645/5594264657260938/" xr:uid="{00000000-0004-0000-0000-00007C140000}"/>
    <hyperlink ref="A2625" r:id="rId5246" display="https://www.facebook.com/john.berango" xr:uid="{00000000-0004-0000-0000-00007D140000}"/>
    <hyperlink ref="I2625" r:id="rId5247" display="https://www.facebook.com/rapplerdotcom/photos/a.317154781638645/5594264657260938/" xr:uid="{00000000-0004-0000-0000-00007E140000}"/>
    <hyperlink ref="A2626" r:id="rId5248" display="https://www.facebook.com/maldita.santita" xr:uid="{00000000-0004-0000-0000-00007F140000}"/>
    <hyperlink ref="I2626" r:id="rId5249" display="https://www.facebook.com/rapplerdotcom/photos/a.317154781638645/5594264657260938/" xr:uid="{00000000-0004-0000-0000-000080140000}"/>
    <hyperlink ref="A2627" r:id="rId5250" display="https://www.facebook.com/topher.asp.3" xr:uid="{00000000-0004-0000-0000-000081140000}"/>
    <hyperlink ref="I2627" r:id="rId5251" display="https://www.facebook.com/rapplerdotcom/photos/a.317154781638645/5594264657260938/" xr:uid="{00000000-0004-0000-0000-000082140000}"/>
    <hyperlink ref="A2628" r:id="rId5252" display="https://www.facebook.com/fred.deleon.9" xr:uid="{00000000-0004-0000-0000-000083140000}"/>
    <hyperlink ref="I2628" r:id="rId5253" display="https://www.facebook.com/rapplerdotcom/photos/a.317154781638645/5594264657260938/" xr:uid="{00000000-0004-0000-0000-000084140000}"/>
    <hyperlink ref="A2629" r:id="rId5254" display="https://www.facebook.com/nivelyn.abella.1" xr:uid="{00000000-0004-0000-0000-000085140000}"/>
    <hyperlink ref="I2629" r:id="rId5255" display="https://www.facebook.com/rapplerdotcom/photos/a.317154781638645/5594264657260938/" xr:uid="{00000000-0004-0000-0000-000086140000}"/>
    <hyperlink ref="A2630" r:id="rId5256" display="https://www.facebook.com/cjal.valhol" xr:uid="{00000000-0004-0000-0000-000087140000}"/>
    <hyperlink ref="I2630" r:id="rId5257" display="https://www.facebook.com/rapplerdotcom/photos/a.317154781638645/5594264657260938/" xr:uid="{00000000-0004-0000-0000-000088140000}"/>
    <hyperlink ref="A2631" r:id="rId5258" display="https://www.facebook.com/ryanjay.gil" xr:uid="{00000000-0004-0000-0000-000089140000}"/>
    <hyperlink ref="I2631" r:id="rId5259" display="https://www.facebook.com/rapplerdotcom/photos/a.317154781638645/5594264657260938/" xr:uid="{00000000-0004-0000-0000-00008A140000}"/>
    <hyperlink ref="A2632" r:id="rId5260" display="https://www.facebook.com/rhodora.entera" xr:uid="{00000000-0004-0000-0000-00008B140000}"/>
    <hyperlink ref="I2632" r:id="rId5261" display="https://www.facebook.com/rapplerdotcom/photos/a.317154781638645/5594264657260938/" xr:uid="{00000000-0004-0000-0000-00008C140000}"/>
    <hyperlink ref="A2633" r:id="rId5262" display="https://www.facebook.com/profile.php?id=100076414760032" xr:uid="{00000000-0004-0000-0000-00008D140000}"/>
    <hyperlink ref="I2633" r:id="rId5263" display="https://www.facebook.com/rapplerdotcom/photos/a.317154781638645/5594264657260938/" xr:uid="{00000000-0004-0000-0000-00008E140000}"/>
    <hyperlink ref="A2634" r:id="rId5264" display="https://www.facebook.com/eavonnemurielle.baltazar" xr:uid="{00000000-0004-0000-0000-00008F140000}"/>
    <hyperlink ref="I2634" r:id="rId5265" display="https://www.facebook.com/rapplerdotcom/photos/a.317154781638645/5594264657260938/" xr:uid="{00000000-0004-0000-0000-000090140000}"/>
    <hyperlink ref="A2635" r:id="rId5266" display="https://www.facebook.com/melchor.serawom" xr:uid="{00000000-0004-0000-0000-000091140000}"/>
    <hyperlink ref="I2635" r:id="rId5267" display="https://www.facebook.com/rapplerdotcom/photos/a.317154781638645/5594264657260938/" xr:uid="{00000000-0004-0000-0000-000092140000}"/>
    <hyperlink ref="A2636" r:id="rId5268" display="https://www.facebook.com/ETHANAJMARK" xr:uid="{00000000-0004-0000-0000-000093140000}"/>
    <hyperlink ref="I2636" r:id="rId5269" display="https://www.facebook.com/rapplerdotcom/photos/a.317154781638645/5594264657260938/" xr:uid="{00000000-0004-0000-0000-000094140000}"/>
    <hyperlink ref="A2637" r:id="rId5270" display="https://www.facebook.com/chazper21" xr:uid="{00000000-0004-0000-0000-000095140000}"/>
    <hyperlink ref="I2637" r:id="rId5271" display="https://www.facebook.com/rapplerdotcom/photos/a.317154781638645/5594264657260938/" xr:uid="{00000000-0004-0000-0000-000096140000}"/>
    <hyperlink ref="A2638" r:id="rId5272" display="https://www.facebook.com/alectv07" xr:uid="{00000000-0004-0000-0000-000097140000}"/>
    <hyperlink ref="I2638" r:id="rId5273" display="https://www.facebook.com/rapplerdotcom/photos/a.317154781638645/5594264657260938/" xr:uid="{00000000-0004-0000-0000-000098140000}"/>
    <hyperlink ref="A2639" r:id="rId5274" display="https://www.facebook.com/alex.calague" xr:uid="{00000000-0004-0000-0000-000099140000}"/>
    <hyperlink ref="I2639" r:id="rId5275" display="https://www.facebook.com/rapplerdotcom/photos/a.317154781638645/5594264657260938/" xr:uid="{00000000-0004-0000-0000-00009A140000}"/>
    <hyperlink ref="A2640" r:id="rId5276" display="https://www.facebook.com/vcatamisanjr" xr:uid="{00000000-0004-0000-0000-00009B140000}"/>
    <hyperlink ref="I2640" r:id="rId5277" display="https://www.facebook.com/rapplerdotcom/photos/a.317154781638645/5594264657260938/" xr:uid="{00000000-0004-0000-0000-00009C140000}"/>
    <hyperlink ref="A2641" r:id="rId5278" display="https://www.facebook.com/profile.php?id=100065857924899" xr:uid="{00000000-0004-0000-0000-00009D140000}"/>
    <hyperlink ref="I2641" r:id="rId5279" display="https://www.facebook.com/rapplerdotcom/photos/a.317154781638645/5594264657260938/" xr:uid="{00000000-0004-0000-0000-00009E140000}"/>
    <hyperlink ref="A2642" r:id="rId5280" display="https://www.facebook.com/TANSHAOILING" xr:uid="{00000000-0004-0000-0000-00009F140000}"/>
    <hyperlink ref="I2642" r:id="rId5281" display="https://www.facebook.com/rapplerdotcom/photos/a.317154781638645/5594264657260938/" xr:uid="{00000000-0004-0000-0000-0000A0140000}"/>
    <hyperlink ref="A2643" r:id="rId5282" display="https://www.facebook.com/renato.visitacion" xr:uid="{00000000-0004-0000-0000-0000A1140000}"/>
    <hyperlink ref="I2643" r:id="rId5283" display="https://www.facebook.com/rapplerdotcom/photos/a.317154781638645/5594264657260938/" xr:uid="{00000000-0004-0000-0000-0000A2140000}"/>
    <hyperlink ref="A2644" r:id="rId5284" display="https://www.facebook.com/virgiliobeau.marvida" xr:uid="{00000000-0004-0000-0000-0000A3140000}"/>
    <hyperlink ref="I2644" r:id="rId5285" display="https://www.facebook.com/rapplerdotcom/photos/a.317154781638645/5594264657260938/" xr:uid="{00000000-0004-0000-0000-0000A4140000}"/>
    <hyperlink ref="A2645" r:id="rId5286" display="https://www.facebook.com/danilo.bergonio.9" xr:uid="{00000000-0004-0000-0000-0000A5140000}"/>
    <hyperlink ref="I2645" r:id="rId5287" display="https://www.facebook.com/rapplerdotcom/photos/a.317154781638645/5594264657260938/" xr:uid="{00000000-0004-0000-0000-0000A6140000}"/>
    <hyperlink ref="A2646" r:id="rId5288" display="https://www.facebook.com/drebpalomata" xr:uid="{00000000-0004-0000-0000-0000A7140000}"/>
    <hyperlink ref="I2646" r:id="rId5289" display="https://www.facebook.com/rapplerdotcom/photos/a.317154781638645/5594264657260938/" xr:uid="{00000000-0004-0000-0000-0000A8140000}"/>
    <hyperlink ref="A2647" r:id="rId5290" display="https://www.facebook.com/jhayahr.santia" xr:uid="{00000000-0004-0000-0000-0000A9140000}"/>
    <hyperlink ref="I2647" r:id="rId5291" display="https://www.facebook.com/rapplerdotcom/photos/a.317154781638645/5594264657260938/" xr:uid="{00000000-0004-0000-0000-0000AA140000}"/>
    <hyperlink ref="A2648" r:id="rId5292" display="https://www.facebook.com/rensoriframos" xr:uid="{00000000-0004-0000-0000-0000AB140000}"/>
    <hyperlink ref="I2648" r:id="rId5293" display="https://www.facebook.com/rapplerdotcom/photos/a.317154781638645/5594264657260938/" xr:uid="{00000000-0004-0000-0000-0000AC140000}"/>
    <hyperlink ref="A2649" r:id="rId5294" display="https://www.facebook.com/escudero28" xr:uid="{00000000-0004-0000-0000-0000AD140000}"/>
    <hyperlink ref="I2649" r:id="rId5295" display="https://www.facebook.com/rapplerdotcom/photos/a.317154781638645/5594264657260938/" xr:uid="{00000000-0004-0000-0000-0000AE140000}"/>
    <hyperlink ref="A2650" r:id="rId5296" display="https://www.facebook.com/tony.abulencia.1" xr:uid="{00000000-0004-0000-0000-0000AF140000}"/>
    <hyperlink ref="I2650" r:id="rId5297" display="https://www.facebook.com/rapplerdotcom/photos/a.317154781638645/5594264657260938/" xr:uid="{00000000-0004-0000-0000-0000B0140000}"/>
    <hyperlink ref="A2651" r:id="rId5298" display="https://www.facebook.com/ailen.oneva" xr:uid="{00000000-0004-0000-0000-0000B1140000}"/>
    <hyperlink ref="I2651" r:id="rId5299" display="https://www.facebook.com/rapplerdotcom/photos/a.317154781638645/5594264657260938/" xr:uid="{00000000-0004-0000-0000-0000B2140000}"/>
    <hyperlink ref="A2652" r:id="rId5300" display="https://www.facebook.com/fortunato.salas.9" xr:uid="{00000000-0004-0000-0000-0000B3140000}"/>
    <hyperlink ref="I2652" r:id="rId5301" display="https://www.facebook.com/rapplerdotcom/photos/a.317154781638645/5594264657260938/" xr:uid="{00000000-0004-0000-0000-0000B4140000}"/>
    <hyperlink ref="A2653" r:id="rId5302" display="https://www.facebook.com/gemrose.rescobactol" xr:uid="{00000000-0004-0000-0000-0000B5140000}"/>
    <hyperlink ref="I2653" r:id="rId5303" display="https://www.facebook.com/rapplerdotcom/photos/a.317154781638645/5594264657260938/" xr:uid="{00000000-0004-0000-0000-0000B6140000}"/>
    <hyperlink ref="A2654" r:id="rId5304" display="https://www.facebook.com/tochie.gray.5" xr:uid="{00000000-0004-0000-0000-0000B7140000}"/>
    <hyperlink ref="I2654" r:id="rId5305" display="https://www.facebook.com/rapplerdotcom/photos/a.317154781638645/5594264657260938/" xr:uid="{00000000-0004-0000-0000-0000B8140000}"/>
    <hyperlink ref="A2655" r:id="rId5306" display="https://www.facebook.com/ariel.alcantaraofficial.09" xr:uid="{00000000-0004-0000-0000-0000B9140000}"/>
    <hyperlink ref="I2655" r:id="rId5307" display="https://www.facebook.com/rapplerdotcom/photos/a.317154781638645/5594264657260938/" xr:uid="{00000000-0004-0000-0000-0000BA140000}"/>
    <hyperlink ref="A2656" r:id="rId5308" display="https://www.facebook.com/khrix.mirasol" xr:uid="{00000000-0004-0000-0000-0000BB140000}"/>
    <hyperlink ref="I2656" r:id="rId5309" display="https://www.facebook.com/rapplerdotcom/photos/a.317154781638645/5594264657260938/" xr:uid="{00000000-0004-0000-0000-0000BC140000}"/>
    <hyperlink ref="A2657" r:id="rId5310" display="https://www.facebook.com/anniedane.alfonso" xr:uid="{00000000-0004-0000-0000-0000BD140000}"/>
    <hyperlink ref="I2657" r:id="rId5311" display="https://www.facebook.com/rapplerdotcom/photos/a.317154781638645/5594264657260938/" xr:uid="{00000000-0004-0000-0000-0000BE140000}"/>
    <hyperlink ref="A2658" r:id="rId5312" display="https://www.facebook.com/profile.php?id=100077657222039" xr:uid="{00000000-0004-0000-0000-0000BF140000}"/>
    <hyperlink ref="I2658" r:id="rId5313" display="https://www.facebook.com/rapplerdotcom/photos/a.317154781638645/5594264657260938/" xr:uid="{00000000-0004-0000-0000-0000C0140000}"/>
    <hyperlink ref="A2659" r:id="rId5314" display="https://www.facebook.com/anniedane.alfonso" xr:uid="{00000000-0004-0000-0000-0000C1140000}"/>
    <hyperlink ref="I2659" r:id="rId5315" display="https://www.facebook.com/rapplerdotcom/photos/a.317154781638645/5594264657260938/" xr:uid="{00000000-0004-0000-0000-0000C2140000}"/>
    <hyperlink ref="A2660" r:id="rId5316" display="https://www.facebook.com/profile.php?id=100077657222039" xr:uid="{00000000-0004-0000-0000-0000C3140000}"/>
    <hyperlink ref="I2660" r:id="rId5317" display="https://www.facebook.com/rapplerdotcom/photos/a.317154781638645/5594264657260938/" xr:uid="{00000000-0004-0000-0000-0000C4140000}"/>
    <hyperlink ref="A2661" r:id="rId5318" display="https://www.facebook.com/rodrigoduterteismypwesident" xr:uid="{00000000-0004-0000-0000-0000C5140000}"/>
    <hyperlink ref="I2661" r:id="rId5319" display="https://www.facebook.com/rapplerdotcom/photos/a.317154781638645/5594264657260938/" xr:uid="{00000000-0004-0000-0000-0000C6140000}"/>
    <hyperlink ref="A2662" r:id="rId5320" display="https://www.facebook.com/drea.parcon" xr:uid="{00000000-0004-0000-0000-0000C7140000}"/>
    <hyperlink ref="I2662" r:id="rId5321" display="https://www.facebook.com/rapplerdotcom/photos/a.317154781638645/5594264657260938/" xr:uid="{00000000-0004-0000-0000-0000C8140000}"/>
    <hyperlink ref="A2663" r:id="rId5322" display="https://www.facebook.com/rene.panganiban.31" xr:uid="{00000000-0004-0000-0000-0000C9140000}"/>
    <hyperlink ref="I2663" r:id="rId5323" display="https://www.facebook.com/rapplerdotcom/photos/a.317154781638645/5594264657260938/" xr:uid="{00000000-0004-0000-0000-0000CA140000}"/>
    <hyperlink ref="A2664" r:id="rId5324" display="https://www.facebook.com/essieangcaya" xr:uid="{00000000-0004-0000-0000-0000CB140000}"/>
    <hyperlink ref="I2664" r:id="rId5325" display="https://www.facebook.com/rapplerdotcom/photos/a.317154781638645/5594264657260938/" xr:uid="{00000000-0004-0000-0000-0000CC140000}"/>
    <hyperlink ref="A2665" r:id="rId5326" display="https://www.facebook.com/rafaeljr.romano" xr:uid="{00000000-0004-0000-0000-0000CD140000}"/>
    <hyperlink ref="I2665" r:id="rId5327" display="https://www.facebook.com/rapplerdotcom/photos/a.317154781638645/5594264657260938/" xr:uid="{00000000-0004-0000-0000-0000CE140000}"/>
    <hyperlink ref="A2666" r:id="rId5328" display="https://www.facebook.com/herbert.timbre" xr:uid="{00000000-0004-0000-0000-0000CF140000}"/>
    <hyperlink ref="I2666" r:id="rId5329" display="https://www.facebook.com/rapplerdotcom/photos/a.317154781638645/5594264657260938/" xr:uid="{00000000-0004-0000-0000-0000D0140000}"/>
    <hyperlink ref="A2667" r:id="rId5330" display="https://www.facebook.com/profile.php?id=100070343109589" xr:uid="{00000000-0004-0000-0000-0000D1140000}"/>
    <hyperlink ref="I2667" r:id="rId5331" display="https://www.facebook.com/rapplerdotcom/photos/a.317154781638645/5594264657260938/" xr:uid="{00000000-0004-0000-0000-0000D2140000}"/>
    <hyperlink ref="A2668" r:id="rId5332" display="https://www.facebook.com/johncalamba.saguimpa" xr:uid="{00000000-0004-0000-0000-0000D3140000}"/>
    <hyperlink ref="I2668" r:id="rId5333" display="https://www.facebook.com/rapplerdotcom/photos/a.317154781638645/5594264657260938/" xr:uid="{00000000-0004-0000-0000-0000D4140000}"/>
    <hyperlink ref="A2669" r:id="rId5334" display="https://www.facebook.com/aqoucii.makmak" xr:uid="{00000000-0004-0000-0000-0000D5140000}"/>
    <hyperlink ref="I2669" r:id="rId5335" display="https://www.facebook.com/rapplerdotcom/photos/a.317154781638645/5594264657260938/" xr:uid="{00000000-0004-0000-0000-0000D6140000}"/>
    <hyperlink ref="A2670" r:id="rId5336" display="https://www.facebook.com/lucius.allan" xr:uid="{00000000-0004-0000-0000-0000D7140000}"/>
    <hyperlink ref="I2670" r:id="rId5337" display="https://www.facebook.com/rapplerdotcom/photos/a.317154781638645/5594264657260938/" xr:uid="{00000000-0004-0000-0000-0000D8140000}"/>
    <hyperlink ref="A2671" r:id="rId5338" display="https://www.facebook.com/initials.jt" xr:uid="{00000000-0004-0000-0000-0000D9140000}"/>
    <hyperlink ref="I2671" r:id="rId5339" display="https://www.facebook.com/rapplerdotcom/photos/a.317154781638645/5594264657260938/" xr:uid="{00000000-0004-0000-0000-0000DA140000}"/>
    <hyperlink ref="A2672" r:id="rId5340" display="https://www.facebook.com/zion.poliquit.54" xr:uid="{00000000-0004-0000-0000-0000DB140000}"/>
    <hyperlink ref="I2672" r:id="rId5341" display="https://www.facebook.com/rapplerdotcom/photos/a.317154781638645/5594264657260938/" xr:uid="{00000000-0004-0000-0000-0000DC140000}"/>
    <hyperlink ref="A2673" r:id="rId5342" display="https://www.facebook.com/jhanemomtenegro" xr:uid="{00000000-0004-0000-0000-0000DD140000}"/>
    <hyperlink ref="I2673" r:id="rId5343" display="https://www.facebook.com/rapplerdotcom/photos/a.317154781638645/5594264657260938/" xr:uid="{00000000-0004-0000-0000-0000DE140000}"/>
    <hyperlink ref="A2674" r:id="rId5344" display="https://www.facebook.com/jo.talisaysay" xr:uid="{00000000-0004-0000-0000-0000DF140000}"/>
    <hyperlink ref="I2674" r:id="rId5345" display="https://www.facebook.com/rapplerdotcom/photos/a.317154781638645/5594264657260938/" xr:uid="{00000000-0004-0000-0000-0000E0140000}"/>
    <hyperlink ref="A2675" r:id="rId5346" display="https://www.facebook.com/profile.php?id=100012422146329" xr:uid="{00000000-0004-0000-0000-0000E1140000}"/>
    <hyperlink ref="I2675" r:id="rId5347" display="https://www.facebook.com/rapplerdotcom/photos/a.317154781638645/5594264657260938/" xr:uid="{00000000-0004-0000-0000-0000E2140000}"/>
    <hyperlink ref="A2676" r:id="rId5348" display="https://www.facebook.com/kharen.salazar.37" xr:uid="{00000000-0004-0000-0000-0000E3140000}"/>
    <hyperlink ref="I2676" r:id="rId5349" display="https://www.facebook.com/rapplerdotcom/photos/a.317154781638645/5594264657260938/" xr:uid="{00000000-0004-0000-0000-0000E4140000}"/>
    <hyperlink ref="A2677" r:id="rId5350" display="https://www.facebook.com/ScarfaceNinja13" xr:uid="{00000000-0004-0000-0000-0000E5140000}"/>
    <hyperlink ref="I2677" r:id="rId5351" display="https://www.facebook.com/rapplerdotcom/photos/a.317154781638645/5594264657260938/" xr:uid="{00000000-0004-0000-0000-0000E6140000}"/>
    <hyperlink ref="A2678" r:id="rId5352" display="https://www.facebook.com/nonoigwen" xr:uid="{00000000-0004-0000-0000-0000E7140000}"/>
    <hyperlink ref="I2678" r:id="rId5353" display="https://www.facebook.com/rapplerdotcom/photos/a.317154781638645/5594264657260938/" xr:uid="{00000000-0004-0000-0000-0000E8140000}"/>
    <hyperlink ref="A2679" r:id="rId5354" display="https://www.facebook.com/lyn.cobajada" xr:uid="{00000000-0004-0000-0000-0000E9140000}"/>
    <hyperlink ref="I2679" r:id="rId5355" display="https://www.facebook.com/rapplerdotcom/photos/a.317154781638645/5594264657260938/" xr:uid="{00000000-0004-0000-0000-0000EA140000}"/>
    <hyperlink ref="A2680" r:id="rId5356" display="https://www.facebook.com/iamowenoliveros" xr:uid="{00000000-0004-0000-0000-0000EB140000}"/>
    <hyperlink ref="I2680" r:id="rId5357" display="https://www.facebook.com/rapplerdotcom/photos/a.317154781638645/5594264657260938/" xr:uid="{00000000-0004-0000-0000-0000EC140000}"/>
    <hyperlink ref="A2681" r:id="rId5358" display="https://www.facebook.com/holaissa.jaboneta" xr:uid="{00000000-0004-0000-0000-0000ED140000}"/>
    <hyperlink ref="I2681" r:id="rId5359" display="https://www.facebook.com/rapplerdotcom/photos/a.317154781638645/5594264657260938/" xr:uid="{00000000-0004-0000-0000-0000EE140000}"/>
    <hyperlink ref="A2682" r:id="rId5360" display="https://www.facebook.com/holaissa.jaboneta" xr:uid="{00000000-0004-0000-0000-0000EF140000}"/>
    <hyperlink ref="I2682" r:id="rId5361" display="https://www.facebook.com/rapplerdotcom/photos/a.317154781638645/5594264657260938/" xr:uid="{00000000-0004-0000-0000-0000F0140000}"/>
    <hyperlink ref="A2683" r:id="rId5362" display="https://www.facebook.com/yspuj" xr:uid="{00000000-0004-0000-0000-0000F1140000}"/>
    <hyperlink ref="I2683" r:id="rId5363" display="https://www.facebook.com/rapplerdotcom/photos/a.317154781638645/5594264657260938/" xr:uid="{00000000-0004-0000-0000-0000F2140000}"/>
    <hyperlink ref="A2684" r:id="rId5364" display="https://www.facebook.com/lorelie.b.bondoc" xr:uid="{00000000-0004-0000-0000-0000F3140000}"/>
    <hyperlink ref="I2684" r:id="rId5365" display="https://www.facebook.com/rapplerdotcom/photos/a.317154781638645/5594264657260938/" xr:uid="{00000000-0004-0000-0000-0000F4140000}"/>
    <hyperlink ref="A2685" r:id="rId5366" display="https://www.facebook.com/ecoroipac" xr:uid="{00000000-0004-0000-0000-0000F5140000}"/>
    <hyperlink ref="I2685" r:id="rId5367" display="https://www.facebook.com/rapplerdotcom/photos/a.317154781638645/5594264657260938/" xr:uid="{00000000-0004-0000-0000-0000F6140000}"/>
    <hyperlink ref="A2686" r:id="rId5368" display="https://www.facebook.com/gracepenetrante.udarbe" xr:uid="{00000000-0004-0000-0000-0000F7140000}"/>
    <hyperlink ref="I2686" r:id="rId5369" display="https://www.facebook.com/rapplerdotcom/photos/a.317154781638645/5594264657260938/" xr:uid="{00000000-0004-0000-0000-0000F8140000}"/>
    <hyperlink ref="A2687" r:id="rId5370" display="https://www.facebook.com/xX.djhoaNn.Xx" xr:uid="{00000000-0004-0000-0000-0000F9140000}"/>
    <hyperlink ref="I2687" r:id="rId5371" display="https://www.facebook.com/rapplerdotcom/photos/a.317154781638645/5594264657260938/" xr:uid="{00000000-0004-0000-0000-0000FA140000}"/>
    <hyperlink ref="A2688" r:id="rId5372" display="https://www.facebook.com/stiiiiiben" xr:uid="{00000000-0004-0000-0000-0000FB140000}"/>
    <hyperlink ref="I2688" r:id="rId5373" display="https://www.facebook.com/rapplerdotcom/photos/a.317154781638645/5594264657260938/" xr:uid="{00000000-0004-0000-0000-0000FC140000}"/>
    <hyperlink ref="A2689" r:id="rId5374" display="https://www.facebook.com/pehyni" xr:uid="{00000000-0004-0000-0000-0000FD140000}"/>
    <hyperlink ref="I2689" r:id="rId5375" display="https://www.facebook.com/rapplerdotcom/photos/a.317154781638645/5594264657260938/" xr:uid="{00000000-0004-0000-0000-0000FE140000}"/>
    <hyperlink ref="A2690" r:id="rId5376" display="https://www.facebook.com/marlone.esperanza.3" xr:uid="{00000000-0004-0000-0000-0000FF140000}"/>
    <hyperlink ref="I2690" r:id="rId5377" display="https://www.facebook.com/rapplerdotcom/photos/a.317154781638645/5594264657260938/" xr:uid="{00000000-0004-0000-0000-000000150000}"/>
    <hyperlink ref="A2691" r:id="rId5378" display="https://www.facebook.com/ramoncito.delapaz" xr:uid="{00000000-0004-0000-0000-000001150000}"/>
    <hyperlink ref="I2691" r:id="rId5379" display="https://www.facebook.com/rapplerdotcom/photos/a.317154781638645/5594264657260938/" xr:uid="{00000000-0004-0000-0000-000002150000}"/>
    <hyperlink ref="A2692" r:id="rId5380" display="https://www.facebook.com/Itz.me.leo.reyes" xr:uid="{00000000-0004-0000-0000-000003150000}"/>
    <hyperlink ref="I2692" r:id="rId5381" display="https://www.facebook.com/rapplerdotcom/photos/a.317154781638645/5594264657260938/" xr:uid="{00000000-0004-0000-0000-000004150000}"/>
    <hyperlink ref="A2693" r:id="rId5382" display="https://www.facebook.com/lawrence.macadangdang.10" xr:uid="{00000000-0004-0000-0000-000005150000}"/>
    <hyperlink ref="I2693" r:id="rId5383" display="https://www.facebook.com/rapplerdotcom/photos/a.317154781638645/5594264657260938/" xr:uid="{00000000-0004-0000-0000-000006150000}"/>
    <hyperlink ref="A2694" r:id="rId5384" display="https://www.facebook.com/joyce.jose.10" xr:uid="{00000000-0004-0000-0000-000007150000}"/>
    <hyperlink ref="I2694" r:id="rId5385" display="https://www.facebook.com/rapplerdotcom/photos/a.317154781638645/5594264657260938/" xr:uid="{00000000-0004-0000-0000-000008150000}"/>
    <hyperlink ref="A2695" r:id="rId5386" display="https://www.facebook.com/melinda.santelices" xr:uid="{00000000-0004-0000-0000-000009150000}"/>
    <hyperlink ref="I2695" r:id="rId5387" display="https://www.facebook.com/rapplerdotcom/photos/a.317154781638645/5594264657260938/" xr:uid="{00000000-0004-0000-0000-00000A150000}"/>
    <hyperlink ref="A2696" r:id="rId5388" display="https://www.facebook.com/tseeeeeeb.18" xr:uid="{00000000-0004-0000-0000-00000B150000}"/>
    <hyperlink ref="I2696" r:id="rId5389" display="https://www.facebook.com/rapplerdotcom/photos/a.317154781638645/5594264657260938/" xr:uid="{00000000-0004-0000-0000-00000C150000}"/>
    <hyperlink ref="A2697" r:id="rId5390" display="https://www.facebook.com/jerald.fradejas" xr:uid="{00000000-0004-0000-0000-00000D150000}"/>
    <hyperlink ref="I2697" r:id="rId5391" display="https://www.facebook.com/rapplerdotcom/photos/a.317154781638645/5594264657260938/" xr:uid="{00000000-0004-0000-0000-00000E150000}"/>
    <hyperlink ref="A2698" r:id="rId5392" display="https://www.facebook.com/danny.casalme" xr:uid="{00000000-0004-0000-0000-00000F150000}"/>
    <hyperlink ref="I2698" r:id="rId5393" display="https://www.facebook.com/watch/live/?ref=watch_permalink&amp;v=312865720941798" xr:uid="{00000000-0004-0000-0000-000010150000}"/>
    <hyperlink ref="A2699" r:id="rId5394" display="https://www.facebook.com/zuno.silang" xr:uid="{00000000-0004-0000-0000-000011150000}"/>
    <hyperlink ref="I2699" r:id="rId5395" display="https://www.facebook.com/watch/live/?ref=watch_permalink&amp;v=312865720941798" xr:uid="{00000000-0004-0000-0000-000012150000}"/>
    <hyperlink ref="A2700" r:id="rId5396" display="https://www.facebook.com/luzfcastillo" xr:uid="{00000000-0004-0000-0000-000013150000}"/>
    <hyperlink ref="I2700" r:id="rId5397" display="https://www.facebook.com/watch/live/?ref=watch_permalink&amp;v=312865720941798" xr:uid="{00000000-0004-0000-0000-000014150000}"/>
    <hyperlink ref="A2701" r:id="rId5398" display="https://www.facebook.com/nancy.grageda" xr:uid="{00000000-0004-0000-0000-000015150000}"/>
    <hyperlink ref="I2701" r:id="rId5399" display="https://www.facebook.com/watch/live/?ref=watch_permalink&amp;v=312865720941798" xr:uid="{00000000-0004-0000-0000-000016150000}"/>
    <hyperlink ref="A2702" r:id="rId5400" display="https://www.facebook.com/lanimasangkay" xr:uid="{00000000-0004-0000-0000-000017150000}"/>
    <hyperlink ref="I2702" r:id="rId5401" display="https://www.facebook.com/watch/live/?ref=watch_permalink&amp;v=312865720941798" xr:uid="{00000000-0004-0000-0000-000018150000}"/>
    <hyperlink ref="A2703" r:id="rId5402" display="https://www.facebook.com/pepe.jacinto" xr:uid="{00000000-0004-0000-0000-000019150000}"/>
    <hyperlink ref="I2703" r:id="rId5403" display="https://www.facebook.com/watch/live/?ref=watch_permalink&amp;v=312865720941798" xr:uid="{00000000-0004-0000-0000-00001A150000}"/>
    <hyperlink ref="A2704" r:id="rId5404" display="https://www.facebook.com/salvie.maris.5" xr:uid="{00000000-0004-0000-0000-00001B150000}"/>
    <hyperlink ref="I2704" r:id="rId5405" display="https://www.facebook.com/watch/live/?ref=watch_permalink&amp;v=312865720941798" xr:uid="{00000000-0004-0000-0000-00001C150000}"/>
    <hyperlink ref="A2705" r:id="rId5406" display="https://www.facebook.com/profile.php?id=100007850237098" xr:uid="{00000000-0004-0000-0000-00001D150000}"/>
    <hyperlink ref="I2705" r:id="rId5407" display="https://www.facebook.com/watch/live/?ref=watch_permalink&amp;v=312865720941798" xr:uid="{00000000-0004-0000-0000-00001E150000}"/>
    <hyperlink ref="A2706" r:id="rId5408" display="https://www.facebook.com/emskie.parreno" xr:uid="{00000000-0004-0000-0000-00001F150000}"/>
    <hyperlink ref="I2706" r:id="rId5409" display="https://www.facebook.com/watch/live/?ref=watch_permalink&amp;v=312865720941798" xr:uid="{00000000-0004-0000-0000-000020150000}"/>
    <hyperlink ref="A2707" r:id="rId5410" display="https://www.facebook.com/profile.php?id=100079668216766" xr:uid="{00000000-0004-0000-0000-000021150000}"/>
    <hyperlink ref="I2707" r:id="rId5411" display="https://www.facebook.com/watch/live/?ref=watch_permalink&amp;v=312865720941798" xr:uid="{00000000-0004-0000-0000-000022150000}"/>
    <hyperlink ref="A2708" r:id="rId5412" display="https://www.facebook.com/rhexiesolita" xr:uid="{00000000-0004-0000-0000-000023150000}"/>
    <hyperlink ref="I2708" r:id="rId5413" display="https://www.facebook.com/watch/live/?ref=watch_permalink&amp;v=312865720941798" xr:uid="{00000000-0004-0000-0000-000024150000}"/>
    <hyperlink ref="A2709" r:id="rId5414" display="https://www.facebook.com/profile.php?id=100069901764842" xr:uid="{00000000-0004-0000-0000-000025150000}"/>
    <hyperlink ref="I2709" r:id="rId5415" display="https://www.facebook.com/watch/live/?ref=watch_permalink&amp;v=312865720941798" xr:uid="{00000000-0004-0000-0000-000026150000}"/>
    <hyperlink ref="A2710" r:id="rId5416" display="https://www.facebook.com/marinaalejandre.enriquez" xr:uid="{00000000-0004-0000-0000-000027150000}"/>
    <hyperlink ref="I2710" r:id="rId5417" display="https://www.facebook.com/watch/live/?ref=watch_permalink&amp;v=312865720941798" xr:uid="{00000000-0004-0000-0000-000028150000}"/>
    <hyperlink ref="A2711" r:id="rId5418" display="https://www.facebook.com/karen.enriquez.144181" xr:uid="{00000000-0004-0000-0000-000029150000}"/>
    <hyperlink ref="I2711" r:id="rId5419" display="https://www.facebook.com/watch/live/?ref=watch_permalink&amp;v=312865720941798" xr:uid="{00000000-0004-0000-0000-00002A150000}"/>
    <hyperlink ref="A2712" r:id="rId5420" display="https://www.facebook.com/jones.davis.1884" xr:uid="{00000000-0004-0000-0000-00002B150000}"/>
    <hyperlink ref="I2712" r:id="rId5421" display="https://www.facebook.com/watch/live/?ref=watch_permalink&amp;v=312865720941798" xr:uid="{00000000-0004-0000-0000-00002C150000}"/>
    <hyperlink ref="A2713" r:id="rId5422" display="https://www.facebook.com/TachieBillano" xr:uid="{00000000-0004-0000-0000-00002D150000}"/>
    <hyperlink ref="I2713" r:id="rId5423" display="https://www.facebook.com/watch/live/?ref=watch_permalink&amp;v=312865720941798" xr:uid="{00000000-0004-0000-0000-00002E150000}"/>
    <hyperlink ref="A2714" r:id="rId5424" display="https://www.facebook.com/darryl.francisco123166" xr:uid="{00000000-0004-0000-0000-00002F150000}"/>
    <hyperlink ref="I2714" r:id="rId5425" display="https://www.facebook.com/watch/live/?ref=watch_permalink&amp;v=312865720941798" xr:uid="{00000000-0004-0000-0000-000030150000}"/>
    <hyperlink ref="A2715" r:id="rId5426" display="https://www.facebook.com/rosemarie.anzures" xr:uid="{00000000-0004-0000-0000-000031150000}"/>
    <hyperlink ref="I2715" r:id="rId5427" display="https://www.facebook.com/watch/live/?ref=watch_permalink&amp;v=312865720941798" xr:uid="{00000000-0004-0000-0000-000032150000}"/>
    <hyperlink ref="A2716" r:id="rId5428" display="https://www.facebook.com/profile.php?id=100069901764842" xr:uid="{00000000-0004-0000-0000-000033150000}"/>
    <hyperlink ref="I2716" r:id="rId5429" display="https://www.facebook.com/watch/live/?ref=watch_permalink&amp;v=312865720941798" xr:uid="{00000000-0004-0000-0000-000034150000}"/>
    <hyperlink ref="A2717" r:id="rId5430" display="https://www.facebook.com/profile.php?id=100069901764842" xr:uid="{00000000-0004-0000-0000-000035150000}"/>
    <hyperlink ref="I2717" r:id="rId5431" display="https://www.facebook.com/watch/live/?ref=watch_permalink&amp;v=312865720941798" xr:uid="{00000000-0004-0000-0000-000036150000}"/>
    <hyperlink ref="A2718" r:id="rId5432" display="https://www.facebook.com/angelcried" xr:uid="{00000000-0004-0000-0000-000037150000}"/>
    <hyperlink ref="I2718" r:id="rId5433" display="https://www.facebook.com/watch/live/?ref=watch_permalink&amp;v=312865720941798" xr:uid="{00000000-0004-0000-0000-000038150000}"/>
    <hyperlink ref="A2719" r:id="rId5434" display="https://www.facebook.com/catalina.biticon.12" xr:uid="{00000000-0004-0000-0000-000039150000}"/>
    <hyperlink ref="I2719" r:id="rId5435" display="https://www.facebook.com/watch/live/?ref=watch_permalink&amp;v=312865720941798" xr:uid="{00000000-0004-0000-0000-00003A150000}"/>
    <hyperlink ref="A2720" r:id="rId5436" display="https://www.facebook.com/jasper.aravi" xr:uid="{00000000-0004-0000-0000-00003B150000}"/>
    <hyperlink ref="I2720" r:id="rId5437" display="https://www.facebook.com/watch/live/?ref=watch_permalink&amp;v=312865720941798" xr:uid="{00000000-0004-0000-0000-00003C150000}"/>
    <hyperlink ref="A2721" r:id="rId5438" display="https://www.facebook.com/arnel.atienza.984" xr:uid="{00000000-0004-0000-0000-00003D150000}"/>
    <hyperlink ref="I2721" r:id="rId5439" display="https://www.facebook.com/watch/live/?ref=watch_permalink&amp;v=312865720941798" xr:uid="{00000000-0004-0000-0000-00003E150000}"/>
    <hyperlink ref="A2722" r:id="rId5440" display="https://www.facebook.com/profile.php?id=100002551512347" xr:uid="{00000000-0004-0000-0000-00003F150000}"/>
    <hyperlink ref="I2722" r:id="rId5441" display="https://www.facebook.com/watch/live/?ref=watch_permalink&amp;v=312865720941798" xr:uid="{00000000-0004-0000-0000-000040150000}"/>
    <hyperlink ref="A2723" r:id="rId5442" display="https://www.facebook.com/angelita.magnaye.39" xr:uid="{00000000-0004-0000-0000-000041150000}"/>
    <hyperlink ref="I2723" r:id="rId5443" display="https://www.facebook.com/watch/live/?ref=watch_permalink&amp;v=312865720941798" xr:uid="{00000000-0004-0000-0000-000042150000}"/>
    <hyperlink ref="A2724" r:id="rId5444" display="https://www.facebook.com/profile.php?id=100070842512295" xr:uid="{00000000-0004-0000-0000-000043150000}"/>
    <hyperlink ref="I2724" r:id="rId5445" display="https://www.facebook.com/watch/live/?ref=watch_permalink&amp;v=312865720941798" xr:uid="{00000000-0004-0000-0000-000044150000}"/>
    <hyperlink ref="A2725" r:id="rId5446" display="https://www.facebook.com/cynthia.estrada.393950" xr:uid="{00000000-0004-0000-0000-000045150000}"/>
    <hyperlink ref="I2725" r:id="rId5447" display="https://www.facebook.com/watch/live/?ref=watch_permalink&amp;v=312865720941798" xr:uid="{00000000-0004-0000-0000-000046150000}"/>
    <hyperlink ref="A2726" r:id="rId5448" display="https://www.facebook.com/Big.Jon.Royal" xr:uid="{00000000-0004-0000-0000-000047150000}"/>
    <hyperlink ref="I2726" r:id="rId5449" display="https://www.facebook.com/watch/live/?ref=watch_permalink&amp;v=312865720941798" xr:uid="{00000000-0004-0000-0000-000048150000}"/>
    <hyperlink ref="A2727" r:id="rId5450" display="https://www.facebook.com/arvin.palomar" xr:uid="{00000000-0004-0000-0000-000049150000}"/>
    <hyperlink ref="I2727" r:id="rId5451" display="https://www.facebook.com/watch/live/?ref=watch_permalink&amp;v=312865720941798" xr:uid="{00000000-0004-0000-0000-00004A150000}"/>
    <hyperlink ref="A2728" r:id="rId5452" display="https://www.facebook.com/gnilojake2" xr:uid="{00000000-0004-0000-0000-00004B150000}"/>
    <hyperlink ref="I2728" r:id="rId5453" display="https://www.facebook.com/watch/live/?ref=watch_permalink&amp;v=312865720941798" xr:uid="{00000000-0004-0000-0000-00004C150000}"/>
    <hyperlink ref="A2729" r:id="rId5454" display="https://www.facebook.com/wilfredo.perez.581" xr:uid="{00000000-0004-0000-0000-00004D150000}"/>
    <hyperlink ref="I2729" r:id="rId5455" display="https://www.facebook.com/watch/live/?ref=watch_permalink&amp;v=312865720941798" xr:uid="{00000000-0004-0000-0000-00004E150000}"/>
    <hyperlink ref="A2730" r:id="rId5456" display="https://www.facebook.com/zuno.silang" xr:uid="{00000000-0004-0000-0000-00004F150000}"/>
    <hyperlink ref="I2730" r:id="rId5457" display="https://www.facebook.com/watch/live/?ref=watch_permalink&amp;v=312865720941798" xr:uid="{00000000-0004-0000-0000-000050150000}"/>
    <hyperlink ref="A2731" r:id="rId5458" display="https://www.facebook.com/mar.salesinap" xr:uid="{00000000-0004-0000-0000-000051150000}"/>
    <hyperlink ref="I2731" r:id="rId5459" display="https://www.facebook.com/watch/live/?ref=watch_permalink&amp;v=312865720941798" xr:uid="{00000000-0004-0000-0000-000052150000}"/>
    <hyperlink ref="A2732" r:id="rId5460" display="https://www.facebook.com/profile.php?id=100074412862665" xr:uid="{00000000-0004-0000-0000-000053150000}"/>
    <hyperlink ref="I2732" r:id="rId5461" display="https://www.facebook.com/watch/live/?ref=watch_permalink&amp;v=312865720941798" xr:uid="{00000000-0004-0000-0000-000054150000}"/>
    <hyperlink ref="A2733" r:id="rId5462" display="https://www.facebook.com/dante.vigo.56" xr:uid="{00000000-0004-0000-0000-000055150000}"/>
    <hyperlink ref="I2733" r:id="rId5463" display="https://www.facebook.com/watch/live/?ref=watch_permalink&amp;v=312865720941798" xr:uid="{00000000-0004-0000-0000-000056150000}"/>
    <hyperlink ref="A2734" r:id="rId5464" display="https://www.facebook.com/patriusmark" xr:uid="{00000000-0004-0000-0000-000057150000}"/>
    <hyperlink ref="I2734" r:id="rId5465" display="https://www.facebook.com/watch/live/?ref=watch_permalink&amp;v=312865720941798" xr:uid="{00000000-0004-0000-0000-000058150000}"/>
    <hyperlink ref="A2735" r:id="rId5466" display="https://www.facebook.com/inmate041908" xr:uid="{00000000-0004-0000-0000-000059150000}"/>
    <hyperlink ref="I2735" r:id="rId5467" display="https://www.facebook.com/watch/live/?ref=watch_permalink&amp;v=312865720941798" xr:uid="{00000000-0004-0000-0000-00005A150000}"/>
    <hyperlink ref="A2736" r:id="rId5468" display="https://www.facebook.com/inmate041908" xr:uid="{00000000-0004-0000-0000-00005B150000}"/>
    <hyperlink ref="I2736" r:id="rId5469" display="https://www.facebook.com/watch/live/?ref=watch_permalink&amp;v=312865720941798" xr:uid="{00000000-0004-0000-0000-00005C150000}"/>
    <hyperlink ref="A2737" r:id="rId5470" display="https://www.facebook.com/haniaalonto.orandang" xr:uid="{00000000-0004-0000-0000-00005D150000}"/>
    <hyperlink ref="I2737" r:id="rId5471" display="https://www.facebook.com/watch/live/?ref=watch_permalink&amp;v=312865720941798" xr:uid="{00000000-0004-0000-0000-00005E150000}"/>
    <hyperlink ref="A2738" r:id="rId5472" display="https://www.facebook.com/haniaalonto.orandang" xr:uid="{00000000-0004-0000-0000-00005F150000}"/>
    <hyperlink ref="I2738" r:id="rId5473" display="https://www.facebook.com/watch/live/?ref=watch_permalink&amp;v=312865720941798" xr:uid="{00000000-0004-0000-0000-000060150000}"/>
    <hyperlink ref="A2739" r:id="rId5474" display="https://www.facebook.com/catalina.biticon.12" xr:uid="{00000000-0004-0000-0000-000061150000}"/>
    <hyperlink ref="I2739" r:id="rId5475" display="https://www.facebook.com/watch/live/?ref=watch_permalink&amp;v=312865720941798" xr:uid="{00000000-0004-0000-0000-000062150000}"/>
    <hyperlink ref="A2740" r:id="rId5476" display="https://www.facebook.com/wilhelmina.medrano.3" xr:uid="{00000000-0004-0000-0000-000063150000}"/>
    <hyperlink ref="I2740" r:id="rId5477" display="https://www.facebook.com/watch/live/?ref=watch_permalink&amp;v=312865720941798" xr:uid="{00000000-0004-0000-0000-000064150000}"/>
    <hyperlink ref="A2741" r:id="rId5478" display="https://www.facebook.com/micoleizon" xr:uid="{00000000-0004-0000-0000-000065150000}"/>
    <hyperlink ref="I2741" r:id="rId5479" display="https://www.facebook.com/watch/live/?ref=watch_permalink&amp;v=312865720941798" xr:uid="{00000000-0004-0000-0000-000066150000}"/>
    <hyperlink ref="A2742" r:id="rId5480" display="https://www.facebook.com/micoleizon" xr:uid="{00000000-0004-0000-0000-000067150000}"/>
    <hyperlink ref="I2742" r:id="rId5481" display="https://www.facebook.com/watch/live/?ref=watch_permalink&amp;v=312865720941798" xr:uid="{00000000-0004-0000-0000-000068150000}"/>
    <hyperlink ref="A2743" r:id="rId5482" display="https://www.facebook.com/arthur.purugganan" xr:uid="{00000000-0004-0000-0000-000069150000}"/>
    <hyperlink ref="I2743" r:id="rId5483" display="https://www.facebook.com/watch/live/?ref=watch_permalink&amp;v=312865720941798" xr:uid="{00000000-0004-0000-0000-00006A150000}"/>
    <hyperlink ref="A2744" r:id="rId5484" display="https://www.facebook.com/arthur.purugganan" xr:uid="{00000000-0004-0000-0000-00006B150000}"/>
    <hyperlink ref="I2744" r:id="rId5485" display="https://www.facebook.com/watch/live/?ref=watch_permalink&amp;v=312865720941798" xr:uid="{00000000-0004-0000-0000-00006C150000}"/>
    <hyperlink ref="A2745" r:id="rId5486" display="https://www.facebook.com/arthur.purugganan" xr:uid="{00000000-0004-0000-0000-00006D150000}"/>
    <hyperlink ref="I2745" r:id="rId5487" display="https://www.facebook.com/watch/live/?ref=watch_permalink&amp;v=312865720941798" xr:uid="{00000000-0004-0000-0000-00006E150000}"/>
    <hyperlink ref="A2746" r:id="rId5488" display="https://www.facebook.com/arthur.purugganan" xr:uid="{00000000-0004-0000-0000-00006F150000}"/>
    <hyperlink ref="I2746" r:id="rId5489" display="https://www.facebook.com/watch/live/?ref=watch_permalink&amp;v=312865720941798" xr:uid="{00000000-0004-0000-0000-000070150000}"/>
    <hyperlink ref="A2747" r:id="rId5490" display="https://www.facebook.com/beverly.beverly.7161953" xr:uid="{00000000-0004-0000-0000-000071150000}"/>
    <hyperlink ref="I2747" r:id="rId5491" display="https://www.facebook.com/watch/live/?ref=watch_permalink&amp;v=312865720941798" xr:uid="{00000000-0004-0000-0000-000072150000}"/>
    <hyperlink ref="A2748" r:id="rId5492" display="https://www.facebook.com/phils.alapag" xr:uid="{00000000-0004-0000-0000-000073150000}"/>
    <hyperlink ref="I2748" r:id="rId5493" display="https://www.facebook.com/watch/live/?ref=watch_permalink&amp;v=312865720941798" xr:uid="{00000000-0004-0000-0000-000074150000}"/>
    <hyperlink ref="A2749" r:id="rId5494" display="https://www.facebook.com/soliviocheryl" xr:uid="{00000000-0004-0000-0000-000075150000}"/>
    <hyperlink ref="I2749" r:id="rId5495" display="https://www.facebook.com/watch/live/?ref=watch_permalink&amp;v=312865720941798" xr:uid="{00000000-0004-0000-0000-000076150000}"/>
    <hyperlink ref="A2750" r:id="rId5496" display="https://www.facebook.com/carlos.marquez.5243" xr:uid="{00000000-0004-0000-0000-000077150000}"/>
    <hyperlink ref="I2750" r:id="rId5497" display="https://www.facebook.com/watch/live/?ref=watch_permalink&amp;v=312865720941798" xr:uid="{00000000-0004-0000-0000-000078150000}"/>
    <hyperlink ref="A2751" r:id="rId5498" display="https://www.facebook.com/ed.balot" xr:uid="{00000000-0004-0000-0000-000079150000}"/>
    <hyperlink ref="I2751" r:id="rId5499" display="https://www.facebook.com/rapplerdotcom/photos/a.317154781638645/5594453700575367/" xr:uid="{00000000-0004-0000-0000-00007A150000}"/>
    <hyperlink ref="A2752" r:id="rId5500" display="https://www.facebook.com/bren.bernales" xr:uid="{00000000-0004-0000-0000-00007B150000}"/>
    <hyperlink ref="I2752" r:id="rId5501" display="https://www.facebook.com/rapplerdotcom/photos/a.317154781638645/5594453700575367/" xr:uid="{00000000-0004-0000-0000-00007C150000}"/>
    <hyperlink ref="A2753" r:id="rId5502" display="https://www.facebook.com/boyiya.david" xr:uid="{00000000-0004-0000-0000-00007D150000}"/>
    <hyperlink ref="I2753" r:id="rId5503" display="https://www.facebook.com/rapplerdotcom/photos/a.317154781638645/5594453700575367/" xr:uid="{00000000-0004-0000-0000-00007E150000}"/>
    <hyperlink ref="A2754" r:id="rId5504" display="https://www.facebook.com/profile.php?id=100075733818877" xr:uid="{00000000-0004-0000-0000-00007F150000}"/>
    <hyperlink ref="I2754" r:id="rId5505" display="https://www.facebook.com/rapplerdotcom/photos/a.317154781638645/5594453700575367/" xr:uid="{00000000-0004-0000-0000-000080150000}"/>
    <hyperlink ref="A2755" r:id="rId5506" display="https://www.facebook.com/narciso.corvera.549" xr:uid="{00000000-0004-0000-0000-000081150000}"/>
    <hyperlink ref="I2755" r:id="rId5507" display="https://www.facebook.com/rapplerdotcom/photos/a.317154781638645/5594453700575367/" xr:uid="{00000000-0004-0000-0000-000082150000}"/>
    <hyperlink ref="A2756" r:id="rId5508" display="https://www.facebook.com/joshuadolor" xr:uid="{00000000-0004-0000-0000-000083150000}"/>
    <hyperlink ref="I2756" r:id="rId5509" display="https://www.facebook.com/rapplerdotcom/photos/a.317154781638645/5594453700575367/" xr:uid="{00000000-0004-0000-0000-000084150000}"/>
    <hyperlink ref="A2757" r:id="rId5510" display="https://www.facebook.com/celeste.dietert" xr:uid="{00000000-0004-0000-0000-000085150000}"/>
    <hyperlink ref="I2757" r:id="rId5511" display="https://www.facebook.com/rapplerdotcom/photos/a.317154781638645/5594453700575367/" xr:uid="{00000000-0004-0000-0000-000086150000}"/>
    <hyperlink ref="A2758" r:id="rId5512" display="https://www.facebook.com/ampleidle" xr:uid="{00000000-0004-0000-0000-000087150000}"/>
    <hyperlink ref="I2758" r:id="rId5513" display="https://www.facebook.com/rapplerdotcom/photos/a.317154781638645/5594453700575367/" xr:uid="{00000000-0004-0000-0000-000088150000}"/>
    <hyperlink ref="A2759" r:id="rId5514" display="https://www.facebook.com/melinda.santelices" xr:uid="{00000000-0004-0000-0000-000089150000}"/>
    <hyperlink ref="I2759" r:id="rId5515" display="https://www.facebook.com/rapplerdotcom/photos/a.317154781638645/5594453700575367/" xr:uid="{00000000-0004-0000-0000-00008A150000}"/>
    <hyperlink ref="A2760" r:id="rId5516" display="https://www.facebook.com/sunsengnimkarina" xr:uid="{00000000-0004-0000-0000-00008B150000}"/>
    <hyperlink ref="I2760" r:id="rId5517" display="https://www.facebook.com/rapplerdotcom/photos/a.317154781638645/5594453700575367/" xr:uid="{00000000-0004-0000-0000-00008C150000}"/>
    <hyperlink ref="A2761" r:id="rId5518" display="https://www.facebook.com/agnes.sanbuenaventura.9" xr:uid="{00000000-0004-0000-0000-00008D150000}"/>
    <hyperlink ref="I2761" r:id="rId5519" display="https://www.facebook.com/rapplerdotcom/photos/a.317154781638645/5594453700575367/" xr:uid="{00000000-0004-0000-0000-00008E150000}"/>
    <hyperlink ref="A2762" r:id="rId5520" display="https://www.facebook.com/agnes.sanbuenaventura.9" xr:uid="{00000000-0004-0000-0000-00008F150000}"/>
    <hyperlink ref="I2762" r:id="rId5521" display="https://www.facebook.com/rapplerdotcom/photos/a.317154781638645/5594453700575367/" xr:uid="{00000000-0004-0000-0000-000090150000}"/>
    <hyperlink ref="A2763" r:id="rId5522" display="https://www.facebook.com/tessie.domingo.7" xr:uid="{00000000-0004-0000-0000-000091150000}"/>
    <hyperlink ref="I2763" r:id="rId5523" display="https://www.facebook.com/rapplerdotcom/photos/a.317154781638645/5594453700575367/" xr:uid="{00000000-0004-0000-0000-000092150000}"/>
    <hyperlink ref="A2764" r:id="rId5524" display="https://www.facebook.com/jude.romero.14" xr:uid="{00000000-0004-0000-0000-000093150000}"/>
    <hyperlink ref="I2764" r:id="rId5525" display="https://www.facebook.com/rapplerdotcom/photos/a.317154781638645/5594453700575367/" xr:uid="{00000000-0004-0000-0000-000094150000}"/>
    <hyperlink ref="A2765" r:id="rId5526" display="https://www.facebook.com/ampleidle" xr:uid="{00000000-0004-0000-0000-000095150000}"/>
    <hyperlink ref="I2765" r:id="rId5527" display="https://www.facebook.com/rapplerdotcom/photos/a.317154781638645/5594453700575367/" xr:uid="{00000000-0004-0000-0000-000096150000}"/>
    <hyperlink ref="A2766" r:id="rId5528" display="https://www.facebook.com/augustinatagaste" xr:uid="{00000000-0004-0000-0000-000097150000}"/>
    <hyperlink ref="I2766" r:id="rId5529" display="https://www.facebook.com/rapplerdotcom/photos/a.317154781638645/5594453700575367/" xr:uid="{00000000-0004-0000-0000-000098150000}"/>
    <hyperlink ref="A2767" r:id="rId5530" display="https://www.facebook.com/melbie.carpentero.7" xr:uid="{00000000-0004-0000-0000-000099150000}"/>
    <hyperlink ref="I2767" r:id="rId5531" display="https://www.facebook.com/rapplerdotcom/photos/a.317154781638645/5594453700575367/" xr:uid="{00000000-0004-0000-0000-00009A150000}"/>
    <hyperlink ref="A2768" r:id="rId5532" display="https://www.facebook.com/januario.pascua.3" xr:uid="{00000000-0004-0000-0000-00009B150000}"/>
    <hyperlink ref="I2768" r:id="rId5533" display="https://www.facebook.com/rapplerdotcom/photos/a.317154781638645/5594453700575367/" xr:uid="{00000000-0004-0000-0000-00009C150000}"/>
    <hyperlink ref="A2769" r:id="rId5534" display="https://www.facebook.com/kimkimmy.bautista" xr:uid="{00000000-0004-0000-0000-00009D150000}"/>
    <hyperlink ref="I2769" r:id="rId5535" display="https://www.facebook.com/rapplerdotcom/photos/a.317154781638645/5594453700575367/" xr:uid="{00000000-0004-0000-0000-00009E150000}"/>
    <hyperlink ref="A2770" r:id="rId5536" display="https://www.facebook.com/hellbladesxiii" xr:uid="{00000000-0004-0000-0000-00009F150000}"/>
    <hyperlink ref="I2770" r:id="rId5537" display="https://www.facebook.com/rapplerdotcom/photos/a.317154781638645/5594453700575367/" xr:uid="{00000000-0004-0000-0000-0000A0150000}"/>
    <hyperlink ref="A2771" r:id="rId5538" display="https://www.facebook.com/escalante.diwata" xr:uid="{00000000-0004-0000-0000-0000A1150000}"/>
    <hyperlink ref="I2771" r:id="rId5539" display="https://www.facebook.com/rapplerdotcom/photos/a.317154781638645/5594453700575367/" xr:uid="{00000000-0004-0000-0000-0000A2150000}"/>
    <hyperlink ref="A2772" r:id="rId5540" display="https://www.facebook.com/TheWillsanity" xr:uid="{00000000-0004-0000-0000-0000A3150000}"/>
    <hyperlink ref="I2772" r:id="rId5541" display="https://www.facebook.com/rapplerdotcom/photos/a.317154781638645/5594453700575367/" xr:uid="{00000000-0004-0000-0000-0000A4150000}"/>
    <hyperlink ref="A2773" r:id="rId5542" display="https://www.facebook.com/profile.php?id=100013129274631" xr:uid="{00000000-0004-0000-0000-0000A5150000}"/>
    <hyperlink ref="I2773" r:id="rId5543" display="https://www.facebook.com/rapplerdotcom/photos/a.317154781638645/5594453700575367/" xr:uid="{00000000-0004-0000-0000-0000A6150000}"/>
    <hyperlink ref="A2774" r:id="rId5544" display="https://www.facebook.com/austinmarkmccree" xr:uid="{00000000-0004-0000-0000-0000A7150000}"/>
    <hyperlink ref="I2774" r:id="rId5545" display="https://www.facebook.com/rapplerdotcom/photos/a.317154781638645/5594453700575367/" xr:uid="{00000000-0004-0000-0000-0000A8150000}"/>
    <hyperlink ref="A2775" r:id="rId5546" display="https://www.facebook.com/profile.php?id=100075733818877" xr:uid="{00000000-0004-0000-0000-0000A9150000}"/>
    <hyperlink ref="I2775" r:id="rId5547" display="https://www.facebook.com/rapplerdotcom/photos/a.317154781638645/5594453700575367/" xr:uid="{00000000-0004-0000-0000-0000AA150000}"/>
    <hyperlink ref="A2776" r:id="rId5548" display="https://www.facebook.com/gloria.buaron" xr:uid="{00000000-0004-0000-0000-0000AB150000}"/>
    <hyperlink ref="I2776" r:id="rId5549" display="https://www.facebook.com/rapplerdotcom/photos/a.317154781638645/5594453700575367/" xr:uid="{00000000-0004-0000-0000-0000AC150000}"/>
    <hyperlink ref="A2777" r:id="rId5550" display="https://www.facebook.com/ester.yu.7" xr:uid="{00000000-0004-0000-0000-0000AD150000}"/>
    <hyperlink ref="I2777" r:id="rId5551" display="https://www.facebook.com/rapplerdotcom/photos/a.317154781638645/5594453700575367/" xr:uid="{00000000-0004-0000-0000-0000AE150000}"/>
    <hyperlink ref="A2778" r:id="rId5552" display="https://www.facebook.com/zuemelville101" xr:uid="{00000000-0004-0000-0000-0000AF150000}"/>
    <hyperlink ref="I2778" r:id="rId5553" display="https://www.facebook.com/rapplerdotcom/photos/a.317154781638645/5594453700575367/" xr:uid="{00000000-0004-0000-0000-0000B0150000}"/>
    <hyperlink ref="A2779" r:id="rId5554" display="https://www.facebook.com/akihiro.sato.940098" xr:uid="{00000000-0004-0000-0000-0000B1150000}"/>
    <hyperlink ref="I2779" r:id="rId5555" display="https://www.facebook.com/rapplerdotcom/photos/a.317154781638645/5594453700575367/" xr:uid="{00000000-0004-0000-0000-0000B2150000}"/>
    <hyperlink ref="A2780" r:id="rId5556" display="https://www.facebook.com/knavejoshuamarquez" xr:uid="{00000000-0004-0000-0000-0000B3150000}"/>
    <hyperlink ref="I2780" r:id="rId5557" display="https://www.facebook.com/rapplerdotcom/photos/a.317154781638645/5594453700575367/" xr:uid="{00000000-0004-0000-0000-0000B4150000}"/>
    <hyperlink ref="A2781" r:id="rId5558" display="https://www.facebook.com/eg.forondaheydarian" xr:uid="{00000000-0004-0000-0000-0000B5150000}"/>
    <hyperlink ref="I2781" r:id="rId5559" display="https://www.facebook.com/rapplerdotcom/photos/a.317154781638645/5594453700575367/" xr:uid="{00000000-0004-0000-0000-0000B6150000}"/>
    <hyperlink ref="A2782" r:id="rId5560" display="https://www.facebook.com/bonny.dimayuga" xr:uid="{00000000-0004-0000-0000-0000B7150000}"/>
    <hyperlink ref="I2782" r:id="rId5561" display="https://www.facebook.com/rapplerdotcom/photos/a.317154781638645/5594453700575367/" xr:uid="{00000000-0004-0000-0000-0000B8150000}"/>
    <hyperlink ref="A2783" r:id="rId5562" display="https://www.facebook.com/profile.php?id=100010227300304" xr:uid="{00000000-0004-0000-0000-0000B9150000}"/>
    <hyperlink ref="I2783" r:id="rId5563" display="https://www.facebook.com/rapplerdotcom/photos/a.317154781638645/5594453700575367/" xr:uid="{00000000-0004-0000-0000-0000BA150000}"/>
    <hyperlink ref="A2784" r:id="rId5564" display="https://www.facebook.com/jessie.villagracia.37" xr:uid="{00000000-0004-0000-0000-0000BB150000}"/>
    <hyperlink ref="I2784" r:id="rId5565" display="https://www.facebook.com/rapplerdotcom/photos/a.317154781638645/5594453700575367/" xr:uid="{00000000-0004-0000-0000-0000BC150000}"/>
    <hyperlink ref="A2785" r:id="rId5566" display="https://www.facebook.com/agnes.sanbuenaventura.9" xr:uid="{00000000-0004-0000-0000-0000BD150000}"/>
    <hyperlink ref="I2785" r:id="rId5567" display="https://www.facebook.com/rapplerdotcom/photos/a.317154781638645/5594453700575367/" xr:uid="{00000000-0004-0000-0000-0000BE150000}"/>
    <hyperlink ref="A2786" r:id="rId5568" display="https://www.facebook.com/profile.php?id=100079722041118" xr:uid="{00000000-0004-0000-0000-0000BF150000}"/>
    <hyperlink ref="I2786" r:id="rId5569" display="https://www.facebook.com/rapplerdotcom/photos/a.317154781638645/5594453700575367/" xr:uid="{00000000-0004-0000-0000-0000C0150000}"/>
    <hyperlink ref="A2787" r:id="rId5570" display="https://www.facebook.com/czairr" xr:uid="{00000000-0004-0000-0000-0000C1150000}"/>
    <hyperlink ref="I2787" r:id="rId5571" display="https://www.facebook.com/rapplerdotcom/photos/a.317154781638645/5594453700575367/" xr:uid="{00000000-0004-0000-0000-0000C2150000}"/>
    <hyperlink ref="A2788" r:id="rId5572" display="https://www.facebook.com/mar.briones.10" xr:uid="{00000000-0004-0000-0000-0000C3150000}"/>
    <hyperlink ref="I2788" r:id="rId5573" display="https://www.facebook.com/rapplerdotcom/photos/a.317154781638645/5594453700575367/" xr:uid="{00000000-0004-0000-0000-0000C4150000}"/>
    <hyperlink ref="A2789" r:id="rId5574" display="https://www.facebook.com/carlos.alivio.5" xr:uid="{00000000-0004-0000-0000-0000C5150000}"/>
    <hyperlink ref="I2789" r:id="rId5575" display="https://www.facebook.com/rapplerdotcom/photos/a.317154781638645/5594453700575367/" xr:uid="{00000000-0004-0000-0000-0000C6150000}"/>
    <hyperlink ref="A2790" r:id="rId5576" display="https://www.facebook.com/markjoseph.vercial" xr:uid="{00000000-0004-0000-0000-0000C7150000}"/>
    <hyperlink ref="I2790" r:id="rId5577" display="https://www.facebook.com/rapplerdotcom/photos/a.317154781638645/5594453700575367/" xr:uid="{00000000-0004-0000-0000-0000C8150000}"/>
    <hyperlink ref="A2791" r:id="rId5578" display="https://www.facebook.com/joshuadolor" xr:uid="{00000000-0004-0000-0000-0000C9150000}"/>
    <hyperlink ref="I2791" r:id="rId5579" display="https://www.facebook.com/rapplerdotcom/photos/a.317154781638645/5594453700575367/" xr:uid="{00000000-0004-0000-0000-0000CA150000}"/>
    <hyperlink ref="A2792" r:id="rId5580" display="https://www.facebook.com/carlos.alivio.5" xr:uid="{00000000-0004-0000-0000-0000CB150000}"/>
    <hyperlink ref="I2792" r:id="rId5581" display="https://www.facebook.com/rapplerdotcom/photos/a.317154781638645/5594453700575367/" xr:uid="{00000000-0004-0000-0000-0000CC150000}"/>
    <hyperlink ref="A2793" r:id="rId5582" display="https://www.facebook.com/joshuadolor" xr:uid="{00000000-0004-0000-0000-0000CD150000}"/>
    <hyperlink ref="I2793" r:id="rId5583" display="https://www.facebook.com/rapplerdotcom/photos/a.317154781638645/5594453700575367/" xr:uid="{00000000-0004-0000-0000-0000CE150000}"/>
    <hyperlink ref="A2794" r:id="rId5584" display="https://www.facebook.com/azucena.dumaop" xr:uid="{00000000-0004-0000-0000-0000CF150000}"/>
    <hyperlink ref="I2794" r:id="rId5585" display="https://www.facebook.com/rapplerdotcom/photos/a.317154781638645/5594453700575367/" xr:uid="{00000000-0004-0000-0000-0000D0150000}"/>
    <hyperlink ref="A2795" r:id="rId5586" display="https://www.facebook.com/profile.php?id=100008642138032" xr:uid="{00000000-0004-0000-0000-0000D1150000}"/>
    <hyperlink ref="I2795" r:id="rId5587" display="https://www.facebook.com/rapplerdotcom/photos/a.317154781638645/5594453700575367/" xr:uid="{00000000-0004-0000-0000-0000D2150000}"/>
    <hyperlink ref="A2796" r:id="rId5588" display="https://www.facebook.com/joshuadolor" xr:uid="{00000000-0004-0000-0000-0000D3150000}"/>
    <hyperlink ref="I2796" r:id="rId5589" display="https://www.facebook.com/rapplerdotcom/photos/a.317154781638645/5594453700575367/" xr:uid="{00000000-0004-0000-0000-0000D4150000}"/>
    <hyperlink ref="A2797" r:id="rId5590" display="https://www.facebook.com/rudysalazar61" xr:uid="{00000000-0004-0000-0000-0000D5150000}"/>
    <hyperlink ref="I2797" r:id="rId5591" display="https://www.facebook.com/rapplerdotcom/photos/a.317154781638645/5594453700575367/" xr:uid="{00000000-0004-0000-0000-0000D6150000}"/>
    <hyperlink ref="A2798" r:id="rId5592" display="https://www.facebook.com/carmi.paulino1" xr:uid="{00000000-0004-0000-0000-0000D7150000}"/>
    <hyperlink ref="I2798" r:id="rId5593" display="https://www.facebook.com/rapplerdotcom/photos/a.317154781638645/5594453700575367/" xr:uid="{00000000-0004-0000-0000-0000D8150000}"/>
    <hyperlink ref="A2799" r:id="rId5594" display="https://www.facebook.com/lorenzo.rianzares.7" xr:uid="{00000000-0004-0000-0000-0000D9150000}"/>
    <hyperlink ref="I2799" r:id="rId5595" display="https://www.facebook.com/rapplerdotcom/photos/a.317154781638645/5594453700575367/" xr:uid="{00000000-0004-0000-0000-0000DA150000}"/>
    <hyperlink ref="A2800" r:id="rId5596" display="https://www.facebook.com/carmi.paulino1" xr:uid="{00000000-0004-0000-0000-0000DB150000}"/>
    <hyperlink ref="I2800" r:id="rId5597" display="https://www.facebook.com/rapplerdotcom/photos/a.317154781638645/5594453700575367/" xr:uid="{00000000-0004-0000-0000-0000DC150000}"/>
    <hyperlink ref="A2801" r:id="rId5598" display="https://www.facebook.com/lorenzo.rianzares.7" xr:uid="{00000000-0004-0000-0000-0000DD150000}"/>
    <hyperlink ref="I2801" r:id="rId5599" display="https://www.facebook.com/rapplerdotcom/photos/a.317154781638645/5594453700575367/" xr:uid="{00000000-0004-0000-0000-0000DE150000}"/>
    <hyperlink ref="A2802" r:id="rId5600" display="https://www.facebook.com/rosendo.delatorre.50" xr:uid="{00000000-0004-0000-0000-0000DF150000}"/>
    <hyperlink ref="I2802" r:id="rId5601" display="https://www.facebook.com/rapplerdotcom/photos/a.317154781638645/5594453700575367/" xr:uid="{00000000-0004-0000-0000-0000E0150000}"/>
    <hyperlink ref="A2803" r:id="rId5602" display="https://www.facebook.com/milanituda" xr:uid="{00000000-0004-0000-0000-0000E1150000}"/>
    <hyperlink ref="I2803" r:id="rId5603" display="https://www.facebook.com/rapplerdotcom/photos/a.317154781638645/5594453700575367/" xr:uid="{00000000-0004-0000-0000-0000E2150000}"/>
    <hyperlink ref="A2804" r:id="rId5604" display="https://www.facebook.com/herbert.jose.mnl" xr:uid="{00000000-0004-0000-0000-0000E3150000}"/>
    <hyperlink ref="I2804" r:id="rId5605" display="https://www.facebook.com/rapplerdotcom/photos/a.317154781638645/5594453700575367/" xr:uid="{00000000-0004-0000-0000-0000E4150000}"/>
    <hyperlink ref="A2805" r:id="rId5606" display="https://www.facebook.com/jude.romero.14" xr:uid="{00000000-0004-0000-0000-0000E5150000}"/>
    <hyperlink ref="I2805" r:id="rId5607" display="https://www.facebook.com/rapplerdotcom/photos/a.317154781638645/5594453700575367/" xr:uid="{00000000-0004-0000-0000-0000E6150000}"/>
    <hyperlink ref="A2806" r:id="rId5608" display="https://www.facebook.com/rocky.romero.1042" xr:uid="{00000000-0004-0000-0000-0000E7150000}"/>
    <hyperlink ref="I2806" r:id="rId5609" display="https://www.facebook.com/rapplerdotcom/photos/a.317154781638645/5594453700575367/" xr:uid="{00000000-0004-0000-0000-0000E8150000}"/>
    <hyperlink ref="A2807" r:id="rId5610" display="https://www.facebook.com/BimBirimBimBim" xr:uid="{00000000-0004-0000-0000-0000E9150000}"/>
    <hyperlink ref="I2807" r:id="rId5611" display="https://www.facebook.com/rapplerdotcom/photos/a.317154781638645/5594453700575367/" xr:uid="{00000000-0004-0000-0000-0000EA150000}"/>
    <hyperlink ref="A2808" r:id="rId5612" display="https://www.facebook.com/milanituda" xr:uid="{00000000-0004-0000-0000-0000EB150000}"/>
    <hyperlink ref="I2808" r:id="rId5613" display="https://www.facebook.com/rapplerdotcom/photos/a.317154781638645/5594453700575367/" xr:uid="{00000000-0004-0000-0000-0000EC150000}"/>
    <hyperlink ref="A2809" r:id="rId5614" display="https://www.facebook.com/BimBirimBimBim" xr:uid="{00000000-0004-0000-0000-0000ED150000}"/>
    <hyperlink ref="I2809" r:id="rId5615" display="https://www.facebook.com/rapplerdotcom/photos/a.317154781638645/5594453700575367/" xr:uid="{00000000-0004-0000-0000-0000EE150000}"/>
    <hyperlink ref="A2810" r:id="rId5616" display="https://www.facebook.com/milanituda" xr:uid="{00000000-0004-0000-0000-0000EF150000}"/>
    <hyperlink ref="I2810" r:id="rId5617" display="https://www.facebook.com/rapplerdotcom/photos/a.317154781638645/5594453700575367/" xr:uid="{00000000-0004-0000-0000-0000F0150000}"/>
    <hyperlink ref="A2811" r:id="rId5618" display="https://www.facebook.com/sha.karon" xr:uid="{00000000-0004-0000-0000-0000F1150000}"/>
    <hyperlink ref="I2811" r:id="rId5619" display="https://www.facebook.com/rapplerdotcom/photos/a.317154781638645/5594453700575367/" xr:uid="{00000000-0004-0000-0000-0000F2150000}"/>
    <hyperlink ref="A2812" r:id="rId5620" display="https://www.facebook.com/minda.amen" xr:uid="{00000000-0004-0000-0000-0000F3150000}"/>
    <hyperlink ref="I2812" r:id="rId5621" display="https://www.facebook.com/rapplerdotcom/photos/a.317154781638645/5594453700575367/" xr:uid="{00000000-0004-0000-0000-0000F4150000}"/>
    <hyperlink ref="A2813" r:id="rId5622" display="https://www.facebook.com/carina.constantino.754" xr:uid="{00000000-0004-0000-0000-0000F5150000}"/>
    <hyperlink ref="I2813" r:id="rId5623" display="https://www.facebook.com/rapplerdotcom/photos/a.317154781638645/5594453700575367/" xr:uid="{00000000-0004-0000-0000-0000F6150000}"/>
    <hyperlink ref="A2814" r:id="rId5624" display="https://www.facebook.com/close728/" xr:uid="{00000000-0004-0000-0000-0000F7150000}"/>
    <hyperlink ref="I2814" r:id="rId5625" display="https://www.facebook.com/rapplerdotcom/photos/a.317154781638645/5594453700575367/" xr:uid="{00000000-0004-0000-0000-0000F8150000}"/>
    <hyperlink ref="A2815" r:id="rId5626" display="https://www.facebook.com/ricky.yanong.37" xr:uid="{00000000-0004-0000-0000-0000F9150000}"/>
    <hyperlink ref="I2815" r:id="rId5627" display="https://www.facebook.com/rapplerdotcom/photos/a.317154781638645/5594453700575367/" xr:uid="{00000000-0004-0000-0000-0000FA150000}"/>
    <hyperlink ref="A2816" r:id="rId5628" display="https://www.facebook.com/angelica.magcamit" xr:uid="{00000000-0004-0000-0000-0000FB150000}"/>
    <hyperlink ref="I2816" r:id="rId5629" display="https://www.facebook.com/rapplerdotcom/photos/a.317154781638645/5594453700575367/" xr:uid="{00000000-0004-0000-0000-0000FC150000}"/>
    <hyperlink ref="A2817" r:id="rId5630" display="https://www.facebook.com/narciso.corvera.549" xr:uid="{00000000-0004-0000-0000-0000FD150000}"/>
    <hyperlink ref="I2817" r:id="rId5631" display="https://www.facebook.com/rapplerdotcom/photos/a.317154781638645/5594453700575367/" xr:uid="{00000000-0004-0000-0000-0000FE150000}"/>
    <hyperlink ref="A2818" r:id="rId5632" display="https://www.facebook.com/cornelio.albino1" xr:uid="{00000000-0004-0000-0000-0000FF150000}"/>
    <hyperlink ref="I2818" r:id="rId5633" display="https://www.facebook.com/rapplerdotcom/photos/a.317154781638645/5594453700575367/" xr:uid="{00000000-0004-0000-0000-000000160000}"/>
    <hyperlink ref="A2819" r:id="rId5634" display="https://www.facebook.com/RichestDad" xr:uid="{00000000-0004-0000-0000-000001160000}"/>
    <hyperlink ref="I2819" r:id="rId5635" display="https://www.facebook.com/rapplerdotcom/photos/a.317154781638645/5594453700575367/" xr:uid="{00000000-0004-0000-0000-000002160000}"/>
    <hyperlink ref="A2820" r:id="rId5636" display="https://www.facebook.com/servidadjohnpaul" xr:uid="{00000000-0004-0000-0000-000003160000}"/>
    <hyperlink ref="I2820" r:id="rId5637" display="https://www.facebook.com/rapplerdotcom/photos/a.317154781638645/5594453700575367/" xr:uid="{00000000-0004-0000-0000-000004160000}"/>
    <hyperlink ref="A2821" r:id="rId5638" display="https://www.facebook.com/odad.aucsap" xr:uid="{00000000-0004-0000-0000-000005160000}"/>
    <hyperlink ref="I2821" r:id="rId5639" display="https://www.facebook.com/rapplerdotcom/photos/a.317154781638645/5594453700575367/" xr:uid="{00000000-0004-0000-0000-000006160000}"/>
    <hyperlink ref="A2822" r:id="rId5640" display="https://www.facebook.com/profile.php?id=100010227300304" xr:uid="{00000000-0004-0000-0000-000007160000}"/>
    <hyperlink ref="I2822" r:id="rId5641" display="https://www.facebook.com/rapplerdotcom/photos/a.317154781638645/5594453700575367/" xr:uid="{00000000-0004-0000-0000-000008160000}"/>
    <hyperlink ref="A2823" r:id="rId5642" display="https://www.facebook.com/marvz.mendoza.5" xr:uid="{00000000-0004-0000-0000-000009160000}"/>
    <hyperlink ref="I2823" r:id="rId5643" display="https://www.facebook.com/rapplerdotcom/photos/a.317154781638645/5594453700575367/" xr:uid="{00000000-0004-0000-0000-00000A160000}"/>
    <hyperlink ref="A2824" r:id="rId5644" display="https://www.facebook.com/alex.bacarro" xr:uid="{00000000-0004-0000-0000-00000B160000}"/>
    <hyperlink ref="I2824" r:id="rId5645" display="https://www.facebook.com/rapplerdotcom/photos/a.317154781638645/5594453700575367/" xr:uid="{00000000-0004-0000-0000-00000C160000}"/>
    <hyperlink ref="A2825" r:id="rId5646" display="https://www.facebook.com/terense.zingapan" xr:uid="{00000000-0004-0000-0000-00000D160000}"/>
    <hyperlink ref="I2825" r:id="rId5647" display="https://www.facebook.com/rapplerdotcom/photos/a.317154781638645/5594453700575367/" xr:uid="{00000000-0004-0000-0000-00000E160000}"/>
    <hyperlink ref="A2826" r:id="rId5648" display="https://www.facebook.com/profile.php?id=100009601696045" xr:uid="{00000000-0004-0000-0000-00000F160000}"/>
    <hyperlink ref="I2826" r:id="rId5649" display="https://www.facebook.com/rapplerdotcom/photos/a.317154781638645/5594453700575367/" xr:uid="{00000000-0004-0000-0000-000010160000}"/>
    <hyperlink ref="A2827" r:id="rId5650" display="https://www.facebook.com/eliseo.calimlim" xr:uid="{00000000-0004-0000-0000-000011160000}"/>
    <hyperlink ref="I2827" r:id="rId5651" display="https://www.facebook.com/rapplerdotcom/photos/a.317154781638645/5594453700575367/" xr:uid="{00000000-0004-0000-0000-000012160000}"/>
    <hyperlink ref="A2828" r:id="rId5652" display="https://www.facebook.com/rocky.romero.1042" xr:uid="{00000000-0004-0000-0000-000013160000}"/>
    <hyperlink ref="I2828" r:id="rId5653" display="https://www.facebook.com/rapplerdotcom/photos/a.317154781638645/5594453700575367/" xr:uid="{00000000-0004-0000-0000-000014160000}"/>
    <hyperlink ref="A2829" r:id="rId5654" display="https://www.facebook.com/susan.sagario.56" xr:uid="{00000000-0004-0000-0000-000015160000}"/>
    <hyperlink ref="I2829" r:id="rId5655" display="https://www.facebook.com/rapplerdotcom/photos/a.317154781638645/5594453700575367/" xr:uid="{00000000-0004-0000-0000-000016160000}"/>
    <hyperlink ref="A2830" r:id="rId5656" display="https://www.facebook.com/bsc41" xr:uid="{00000000-0004-0000-0000-000017160000}"/>
    <hyperlink ref="I2830" r:id="rId5657" display="https://www.facebook.com/rapplerdotcom/photos/a.317154781638645/5594453700575367/" xr:uid="{00000000-0004-0000-0000-000018160000}"/>
    <hyperlink ref="A2831" r:id="rId5658" display="https://www.facebook.com/fepilia.giron.31" xr:uid="{00000000-0004-0000-0000-000019160000}"/>
    <hyperlink ref="I2831" r:id="rId5659" display="https://www.facebook.com/rapplerdotcom/photos/a.317154781638645/5594453700575367/" xr:uid="{00000000-0004-0000-0000-00001A160000}"/>
    <hyperlink ref="A2832" r:id="rId5660" display="https://www.facebook.com/juliustigley.perater" xr:uid="{00000000-0004-0000-0000-00001B160000}"/>
    <hyperlink ref="I2832" r:id="rId5661" display="https://www.facebook.com/rapplerdotcom/photos/a.317154781638645/5594453700575367/" xr:uid="{00000000-0004-0000-0000-00001C160000}"/>
    <hyperlink ref="A2833" r:id="rId5662" display="https://www.facebook.com/emviray" xr:uid="{00000000-0004-0000-0000-00001D160000}"/>
    <hyperlink ref="I2833" r:id="rId5663" display="https://www.facebook.com/rapplerdotcom/photos/a.317154781638645/5594453700575367/" xr:uid="{00000000-0004-0000-0000-00001E160000}"/>
    <hyperlink ref="A2834" r:id="rId5664" display="https://www.facebook.com/cris.caligtan.5" xr:uid="{00000000-0004-0000-0000-00001F160000}"/>
    <hyperlink ref="I2834" r:id="rId5665" display="https://www.facebook.com/rapplerdotcom/photos/a.317154781638645/5594453700575367/" xr:uid="{00000000-0004-0000-0000-000020160000}"/>
    <hyperlink ref="A2835" r:id="rId5666" display="https://www.facebook.com/sam.zamudio.946" xr:uid="{00000000-0004-0000-0000-000021160000}"/>
    <hyperlink ref="I2835" r:id="rId5667" display="https://www.facebook.com/rapplerdotcom/photos/a.317154781638645/5594453700575367/" xr:uid="{00000000-0004-0000-0000-000022160000}"/>
    <hyperlink ref="A2836" r:id="rId5668" display="https://www.facebook.com/jovito.tamayo.7" xr:uid="{00000000-0004-0000-0000-000023160000}"/>
    <hyperlink ref="I2836" r:id="rId5669" display="https://www.facebook.com/rapplerdotcom/photos/a.317154781638645/5594453700575367/" xr:uid="{00000000-0004-0000-0000-000024160000}"/>
    <hyperlink ref="A2837" r:id="rId5670" display="https://www.facebook.com/joyteopengco" xr:uid="{00000000-0004-0000-0000-000025160000}"/>
    <hyperlink ref="I2837" r:id="rId5671" display="https://www.facebook.com/rapplerdotcom/photos/a.317154781638645/5594453700575367/" xr:uid="{00000000-0004-0000-0000-000026160000}"/>
    <hyperlink ref="A2838" r:id="rId5672" display="https://www.facebook.com/dennisdheus" xr:uid="{00000000-0004-0000-0000-000027160000}"/>
    <hyperlink ref="I2838" r:id="rId5673" display="https://www.facebook.com/rapplerdotcom/photos/a.317154781638645/5594453700575367/" xr:uid="{00000000-0004-0000-0000-000028160000}"/>
    <hyperlink ref="A2839" r:id="rId5674" display="https://www.facebook.com/Ninja.Kugmo" xr:uid="{00000000-0004-0000-0000-000029160000}"/>
    <hyperlink ref="I2839" r:id="rId5675" display="https://www.facebook.com/rapplerdotcom/photos/a.317154781638645/5594453700575367/" xr:uid="{00000000-0004-0000-0000-00002A160000}"/>
    <hyperlink ref="A2840" r:id="rId5676" display="https://www.facebook.com/danilo.onggona.16" xr:uid="{00000000-0004-0000-0000-00002B160000}"/>
    <hyperlink ref="I2840" r:id="rId5677" display="https://www.facebook.com/rapplerdotcom/photos/a.317154781638645/5594453700575367/" xr:uid="{00000000-0004-0000-0000-00002C160000}"/>
    <hyperlink ref="A2841" r:id="rId5678" display="https://www.facebook.com/austinmarkmccree" xr:uid="{00000000-0004-0000-0000-00002D160000}"/>
    <hyperlink ref="I2841" r:id="rId5679" display="https://www.facebook.com/rapplerdotcom/photos/a.317154781638645/5594453700575367/" xr:uid="{00000000-0004-0000-0000-00002E160000}"/>
    <hyperlink ref="A2842" r:id="rId5680" display="https://www.facebook.com/lalang.uv.3" xr:uid="{00000000-0004-0000-0000-00002F160000}"/>
    <hyperlink ref="I2842" r:id="rId5681" display="https://www.facebook.com/rapplerdotcom/photos/a.317154781638645/5594453700575367/" xr:uid="{00000000-0004-0000-0000-000030160000}"/>
    <hyperlink ref="A2843" r:id="rId5682" display="https://www.facebook.com/dave.padilla.3348" xr:uid="{00000000-0004-0000-0000-000031160000}"/>
    <hyperlink ref="I2843" r:id="rId5683" display="https://www.facebook.com/rapplerdotcom/photos/a.317154781638645/5594453700575367/" xr:uid="{00000000-0004-0000-0000-000032160000}"/>
    <hyperlink ref="A2844" r:id="rId5684" display="https://www.facebook.com/noel.manuel.52" xr:uid="{00000000-0004-0000-0000-000033160000}"/>
    <hyperlink ref="I2844" r:id="rId5685" display="https://www.facebook.com/rapplerdotcom/photos/a.317154781638645/5594453700575367/" xr:uid="{00000000-0004-0000-0000-000034160000}"/>
    <hyperlink ref="A2845" r:id="rId5686" display="https://www.facebook.com/jimmy.pascua.5" xr:uid="{00000000-0004-0000-0000-000035160000}"/>
    <hyperlink ref="I2845" r:id="rId5687" display="https://www.facebook.com/rapplerdotcom/photos/a.317154781638645/5594453700575367/" xr:uid="{00000000-0004-0000-0000-000036160000}"/>
    <hyperlink ref="A2846" r:id="rId5688" display="https://www.facebook.com/malou.b.delapaz" xr:uid="{00000000-0004-0000-0000-000037160000}"/>
    <hyperlink ref="I2846" r:id="rId5689" display="https://www.facebook.com/rapplerdotcom/photos/a.317154781638645/5594453700575367/" xr:uid="{00000000-0004-0000-0000-000038160000}"/>
    <hyperlink ref="A2847" r:id="rId5690" display="https://www.facebook.com/profile.php?id=100077329839114" xr:uid="{00000000-0004-0000-0000-000039160000}"/>
    <hyperlink ref="I2847" r:id="rId5691" display="https://www.facebook.com/rapplerdotcom/photos/a.317154781638645/5594453700575367/" xr:uid="{00000000-0004-0000-0000-00003A160000}"/>
    <hyperlink ref="A2848" r:id="rId5692" display="https://www.facebook.com/Babe.Serrano" xr:uid="{00000000-0004-0000-0000-00003B160000}"/>
    <hyperlink ref="I2848" r:id="rId5693" display="https://www.facebook.com/rapplerdotcom/photos/a.317154781638645/5594453700575367/" xr:uid="{00000000-0004-0000-0000-00003C160000}"/>
    <hyperlink ref="A2849" r:id="rId5694" display="https://www.facebook.com/azon.delrosario.1" xr:uid="{00000000-0004-0000-0000-00003D160000}"/>
    <hyperlink ref="I2849" r:id="rId5695" display="https://www.facebook.com/rapplerdotcom/photos/a.317154781638645/5594453700575367/" xr:uid="{00000000-0004-0000-0000-00003E160000}"/>
    <hyperlink ref="A2850" r:id="rId5696" display="https://www.facebook.com/profile.php?id=100007043323184" xr:uid="{00000000-0004-0000-0000-00003F160000}"/>
    <hyperlink ref="I2850" r:id="rId5697" display="https://www.facebook.com/rapplerdotcom/photos/a.317154781638645/5594453700575367/" xr:uid="{00000000-0004-0000-0000-000040160000}"/>
    <hyperlink ref="A2851" r:id="rId5698" display="https://www.facebook.com/gracey.lay.9" xr:uid="{00000000-0004-0000-0000-000041160000}"/>
    <hyperlink ref="I2851" r:id="rId5699" display="https://www.facebook.com/rapplerdotcom/photos/a.317154781638645/5594453700575367/" xr:uid="{00000000-0004-0000-0000-000042160000}"/>
    <hyperlink ref="A2852" r:id="rId5700" display="https://www.facebook.com/ramil.delarosa.5" xr:uid="{00000000-0004-0000-0000-000043160000}"/>
    <hyperlink ref="I2852" r:id="rId5701" display="https://www.facebook.com/rapplerdotcom/photos/a.317154781638645/5594453700575367/" xr:uid="{00000000-0004-0000-0000-000044160000}"/>
    <hyperlink ref="A2853" r:id="rId5702" display="https://www.facebook.com/profile.php?id=100009365788837" xr:uid="{00000000-0004-0000-0000-000045160000}"/>
    <hyperlink ref="I2853" r:id="rId5703" display="https://www.facebook.com/rapplerdotcom/photos/a.317154781638645/5594453700575367/" xr:uid="{00000000-0004-0000-0000-000046160000}"/>
    <hyperlink ref="A2854" r:id="rId5704" display="https://www.facebook.com/profile.php?id=100075535575222" xr:uid="{00000000-0004-0000-0000-000047160000}"/>
    <hyperlink ref="I2854" r:id="rId5705" display="https://www.facebook.com/rapplerdotcom/photos/a.317154781638645/5594453700575367/" xr:uid="{00000000-0004-0000-0000-000048160000}"/>
    <hyperlink ref="A2855" r:id="rId5706" display="https://www.facebook.com/gloria.bumanglag.56" xr:uid="{00000000-0004-0000-0000-000049160000}"/>
    <hyperlink ref="I2855" r:id="rId5707" display="https://www.facebook.com/rapplerdotcom/photos/a.317154781638645/5594453700575367/" xr:uid="{00000000-0004-0000-0000-00004A160000}"/>
    <hyperlink ref="A2856" r:id="rId5708" display="https://www.facebook.com/may.atr.5623" xr:uid="{00000000-0004-0000-0000-00004B160000}"/>
    <hyperlink ref="I2856" r:id="rId5709" display="https://www.facebook.com/rapplerdotcom/photos/a.317154781638645/5594453700575367/" xr:uid="{00000000-0004-0000-0000-00004C160000}"/>
    <hyperlink ref="A2857" r:id="rId5710" display="https://www.facebook.com/jojo.lagaya.9" xr:uid="{00000000-0004-0000-0000-00004D160000}"/>
    <hyperlink ref="I2857" r:id="rId5711" display="https://www.facebook.com/rapplerdotcom/photos/a.317154781638645/5594453700575367/" xr:uid="{00000000-0004-0000-0000-00004E160000}"/>
    <hyperlink ref="A2858" r:id="rId5712" display="https://www.facebook.com/juliusryan.tuquero" xr:uid="{00000000-0004-0000-0000-00004F160000}"/>
    <hyperlink ref="I2858" r:id="rId5713" display="https://www.facebook.com/rapplerdotcom/photos/a.317154781638645/5594453700575367/" xr:uid="{00000000-0004-0000-0000-000050160000}"/>
    <hyperlink ref="A2859" r:id="rId5714" display="https://www.facebook.com/machristina.zaragoza" xr:uid="{00000000-0004-0000-0000-000051160000}"/>
    <hyperlink ref="I2859" r:id="rId5715" display="https://www.facebook.com/rapplerdotcom/photos/a.317154781638645/5594453700575367/" xr:uid="{00000000-0004-0000-0000-000052160000}"/>
    <hyperlink ref="A2860" r:id="rId5716" display="https://www.facebook.com/janet.santos.7121" xr:uid="{00000000-0004-0000-0000-000053160000}"/>
    <hyperlink ref="I2860" r:id="rId5717" display="https://www.facebook.com/rapplerdotcom/photos/a.317154781638645/5594453700575367/" xr:uid="{00000000-0004-0000-0000-000054160000}"/>
    <hyperlink ref="A2861" r:id="rId5718" display="https://www.facebook.com/gina.rico.55" xr:uid="{00000000-0004-0000-0000-000055160000}"/>
    <hyperlink ref="I2861" r:id="rId5719" display="https://www.facebook.com/rapplerdotcom/photos/a.317154781638645/5594453700575367/" xr:uid="{00000000-0004-0000-0000-000056160000}"/>
    <hyperlink ref="A2862" r:id="rId5720" display="https://www.facebook.com/melbie.carpentero.7" xr:uid="{00000000-0004-0000-0000-000057160000}"/>
    <hyperlink ref="I2862" r:id="rId5721" display="https://www.facebook.com/rapplerdotcom/photos/a.317154781638645/5594453700575367/" xr:uid="{00000000-0004-0000-0000-000058160000}"/>
    <hyperlink ref="A2863" r:id="rId5722" display="https://www.facebook.com/jing.gambayan" xr:uid="{00000000-0004-0000-0000-000059160000}"/>
    <hyperlink ref="I2863" r:id="rId5723" display="https://www.facebook.com/rapplerdotcom/photos/a.317154781638645/5594453700575367/" xr:uid="{00000000-0004-0000-0000-00005A160000}"/>
    <hyperlink ref="A2864" r:id="rId5724" display="https://www.facebook.com/eduardo.bonndadjr" xr:uid="{00000000-0004-0000-0000-00005B160000}"/>
    <hyperlink ref="I2864" r:id="rId5725" display="https://www.facebook.com/rapplerdotcom/photos/a.317154781638645/5594453700575367/" xr:uid="{00000000-0004-0000-0000-00005C160000}"/>
    <hyperlink ref="A2865" r:id="rId5726" display="https://www.facebook.com/rodel.palmones.58" xr:uid="{00000000-0004-0000-0000-00005D160000}"/>
    <hyperlink ref="I2865" r:id="rId5727" display="https://www.facebook.com/rapplerdotcom/photos/a.317154781638645/5594453700575367/" xr:uid="{00000000-0004-0000-0000-00005E160000}"/>
    <hyperlink ref="A2866" r:id="rId5728" display="https://www.facebook.com/ruel.padua.1" xr:uid="{00000000-0004-0000-0000-00005F160000}"/>
    <hyperlink ref="I2866" r:id="rId5729" display="https://www.facebook.com/rapplerdotcom/photos/a.317154781638645/5594453700575367/" xr:uid="{00000000-0004-0000-0000-000060160000}"/>
    <hyperlink ref="A2867" r:id="rId5730" display="https://www.facebook.com/melbie.carpentero.7" xr:uid="{00000000-0004-0000-0000-000061160000}"/>
    <hyperlink ref="I2867" r:id="rId5731" display="https://www.facebook.com/rapplerdotcom/photos/a.317154781638645/5594453700575367/" xr:uid="{00000000-0004-0000-0000-000062160000}"/>
    <hyperlink ref="A2868" r:id="rId5732" display="https://www.facebook.com/val.canonigo.5" xr:uid="{00000000-0004-0000-0000-000063160000}"/>
    <hyperlink ref="I2868" r:id="rId5733" display="https://www.facebook.com/rapplerdotcom/photos/a.317154781638645/5594453700575367/" xr:uid="{00000000-0004-0000-0000-000064160000}"/>
    <hyperlink ref="A2869" r:id="rId5734" display="https://www.facebook.com/luz.c.austria" xr:uid="{00000000-0004-0000-0000-000065160000}"/>
    <hyperlink ref="I2869" r:id="rId5735" display="https://www.facebook.com/rapplerdotcom/photos/a.317154781638645/5594453700575367/" xr:uid="{00000000-0004-0000-0000-000066160000}"/>
    <hyperlink ref="A2870" r:id="rId5736" display="https://www.facebook.com/estelita.ambatacaluste" xr:uid="{00000000-0004-0000-0000-000067160000}"/>
    <hyperlink ref="I2870" r:id="rId5737" display="https://www.facebook.com/rapplerdotcom/photos/a.317154781638645/5594453700575367/" xr:uid="{00000000-0004-0000-0000-000068160000}"/>
    <hyperlink ref="A2871" r:id="rId5738" display="https://www.facebook.com/alfredofabro.boking" xr:uid="{00000000-0004-0000-0000-000069160000}"/>
    <hyperlink ref="I2871" r:id="rId5739" display="https://www.facebook.com/rapplerdotcom/photos/a.317154781638645/5594453700575367/" xr:uid="{00000000-0004-0000-0000-00006A160000}"/>
    <hyperlink ref="A2872" r:id="rId5740" display="https://www.facebook.com/luz.c.austria" xr:uid="{00000000-0004-0000-0000-00006B160000}"/>
    <hyperlink ref="I2872" r:id="rId5741" display="https://www.facebook.com/rapplerdotcom/photos/a.317154781638645/5594453700575367/" xr:uid="{00000000-0004-0000-0000-00006C160000}"/>
    <hyperlink ref="A2873" r:id="rId5742" display="https://www.facebook.com/esmeraldo.go" xr:uid="{00000000-0004-0000-0000-00006D160000}"/>
    <hyperlink ref="I2873" r:id="rId5743" display="https://www.facebook.com/rapplerdotcom/photos/a.317154781638645/5594453700575367/" xr:uid="{00000000-0004-0000-0000-00006E160000}"/>
    <hyperlink ref="A2874" r:id="rId5744" display="https://www.facebook.com/jude.romero.14" xr:uid="{00000000-0004-0000-0000-00006F160000}"/>
    <hyperlink ref="I2874" r:id="rId5745" display="https://www.facebook.com/rapplerdotcom/photos/a.317154781638645/5594453700575367/" xr:uid="{00000000-0004-0000-0000-000070160000}"/>
    <hyperlink ref="A2875" r:id="rId5746" display="https://www.facebook.com/darylalmighty" xr:uid="{00000000-0004-0000-0000-000071160000}"/>
    <hyperlink ref="I2875" r:id="rId5747" display="https://www.facebook.com/rapplerdotcom/photos/a.317154781638645/5594453700575367/" xr:uid="{00000000-0004-0000-0000-000072160000}"/>
    <hyperlink ref="A2876" r:id="rId5748" display="https://www.facebook.com/melbie.carpentero.7" xr:uid="{00000000-0004-0000-0000-000073160000}"/>
    <hyperlink ref="I2876" r:id="rId5749" display="https://www.facebook.com/rapplerdotcom/photos/a.317154781638645/5594453700575367/" xr:uid="{00000000-0004-0000-0000-000074160000}"/>
    <hyperlink ref="A2877" r:id="rId5750" display="https://www.facebook.com/profile.php?id=100076416052093" xr:uid="{00000000-0004-0000-0000-000075160000}"/>
    <hyperlink ref="I2877" r:id="rId5751" display="https://www.facebook.com/rapplerdotcom/photos/a.317154781638645/5594453700575367/" xr:uid="{00000000-0004-0000-0000-000076160000}"/>
    <hyperlink ref="A2878" r:id="rId5752" display="https://www.facebook.com/eva.jimenez.39794895" xr:uid="{00000000-0004-0000-0000-000077160000}"/>
    <hyperlink ref="I2878" r:id="rId5753" display="https://www.facebook.com/rapplerdotcom/photos/a.317154781638645/5594453700575367/" xr:uid="{00000000-0004-0000-0000-000078160000}"/>
    <hyperlink ref="A2879" r:id="rId5754" display="https://www.facebook.com/blesilda.santiago.7" xr:uid="{00000000-0004-0000-0000-000079160000}"/>
    <hyperlink ref="I2879" r:id="rId5755" display="https://www.facebook.com/rapplerdotcom/photos/a.317154781638645/5594453700575367/" xr:uid="{00000000-0004-0000-0000-00007A160000}"/>
    <hyperlink ref="A2880" r:id="rId5756" display="https://www.facebook.com/enrico.valentin" xr:uid="{00000000-0004-0000-0000-00007B160000}"/>
    <hyperlink ref="I2880" r:id="rId5757" display="https://www.facebook.com/rapplerdotcom/photos/a.317154781638645/5594453700575367/" xr:uid="{00000000-0004-0000-0000-00007C160000}"/>
    <hyperlink ref="A2881" r:id="rId5758" display="https://www.facebook.com/antonio.fortes.3150807" xr:uid="{00000000-0004-0000-0000-00007D160000}"/>
    <hyperlink ref="I2881" r:id="rId5759" display="https://www.facebook.com/rapplerdotcom/photos/a.317154781638645/5594453700575367/" xr:uid="{00000000-0004-0000-0000-00007E160000}"/>
    <hyperlink ref="A2882" r:id="rId5760" display="https://www.facebook.com/saturnino.m.zamora" xr:uid="{00000000-0004-0000-0000-00007F160000}"/>
    <hyperlink ref="I2882" r:id="rId5761" display="https://www.facebook.com/rapplerdotcom/photos/a.317154781638645/5594453700575367/" xr:uid="{00000000-0004-0000-0000-000080160000}"/>
    <hyperlink ref="A2883" r:id="rId5762" display="https://www.facebook.com/teresita.gonzales.31337" xr:uid="{00000000-0004-0000-0000-000081160000}"/>
    <hyperlink ref="I2883" r:id="rId5763" display="https://www.facebook.com/rapplerdotcom/photos/a.317154781638645/5594453700575367/" xr:uid="{00000000-0004-0000-0000-000082160000}"/>
    <hyperlink ref="A2884" r:id="rId5764" display="https://www.facebook.com/carmelita.panganiban.374" xr:uid="{00000000-0004-0000-0000-000083160000}"/>
    <hyperlink ref="I2884" r:id="rId5765" display="https://www.facebook.com/rapplerdotcom/photos/a.317154781638645/5594453700575367/" xr:uid="{00000000-0004-0000-0000-000084160000}"/>
    <hyperlink ref="A2885" r:id="rId5766" display="https://www.facebook.com/mariateresa.camaddo" xr:uid="{00000000-0004-0000-0000-000085160000}"/>
    <hyperlink ref="I2885" r:id="rId5767" display="https://www.facebook.com/rapplerdotcom/photos/a.317154781638645/5594453700575367/" xr:uid="{00000000-0004-0000-0000-000086160000}"/>
    <hyperlink ref="A2886" r:id="rId5768" display="https://www.facebook.com/narciso.santos.980967" xr:uid="{00000000-0004-0000-0000-000087160000}"/>
    <hyperlink ref="I2886" r:id="rId5769" display="https://www.facebook.com/rapplerdotcom/photos/a.317154781638645/5594453700575367/" xr:uid="{00000000-0004-0000-0000-000088160000}"/>
    <hyperlink ref="A2887" r:id="rId5770" display="https://www.facebook.com/soledad.mariano.336" xr:uid="{00000000-0004-0000-0000-000089160000}"/>
    <hyperlink ref="I2887" r:id="rId5771" display="https://www.facebook.com/rapplerdotcom/photos/a.317154781638645/5594453700575367/" xr:uid="{00000000-0004-0000-0000-00008A160000}"/>
    <hyperlink ref="A2888" r:id="rId5772" display="https://www.facebook.com/profile.php?id=100076414760032" xr:uid="{00000000-0004-0000-0000-00008B160000}"/>
    <hyperlink ref="I2888" r:id="rId5773" display="https://www.facebook.com/rapplerdotcom/photos/a.317154781638645/5594453700575367/" xr:uid="{00000000-0004-0000-0000-00008C160000}"/>
    <hyperlink ref="A2889" r:id="rId5774" display="https://www.facebook.com/profile.php?id=100010227300304" xr:uid="{00000000-0004-0000-0000-00008D160000}"/>
    <hyperlink ref="I2889" r:id="rId5775" display="https://www.facebook.com/rapplerdotcom/photos/a.317154781638645/5594453700575367/" xr:uid="{00000000-0004-0000-0000-00008E160000}"/>
    <hyperlink ref="A2890" r:id="rId5776" display="https://www.facebook.com/bernardo.hermogenes" xr:uid="{00000000-0004-0000-0000-00008F160000}"/>
    <hyperlink ref="I2890" r:id="rId5777" display="https://www.facebook.com/rapplerdotcom/photos/a.317154781638645/5594453700575367/" xr:uid="{00000000-0004-0000-0000-000090160000}"/>
    <hyperlink ref="A2891" r:id="rId5778" display="https://www.facebook.com/profile.php?id=100040002892951" xr:uid="{00000000-0004-0000-0000-000091160000}"/>
    <hyperlink ref="I2891" r:id="rId5779" display="https://www.facebook.com/rapplerdotcom/photos/a.317154781638645/5594453700575367/" xr:uid="{00000000-0004-0000-0000-000092160000}"/>
    <hyperlink ref="A2892" r:id="rId5780" display="https://www.facebook.com/anecia.comandantepore" xr:uid="{00000000-0004-0000-0000-000093160000}"/>
    <hyperlink ref="I2892" r:id="rId5781" display="https://www.facebook.com/rapplerdotcom/photos/a.317154781638645/5594453700575367/" xr:uid="{00000000-0004-0000-0000-000094160000}"/>
    <hyperlink ref="A2893" r:id="rId5782" display="https://www.facebook.com/lesdicen" xr:uid="{00000000-0004-0000-0000-000095160000}"/>
    <hyperlink ref="I2893" r:id="rId5783" display="https://www.facebook.com/rapplerdotcom/photos/a.317154781638645/5594453700575367/" xr:uid="{00000000-0004-0000-0000-000096160000}"/>
    <hyperlink ref="A2894" r:id="rId5784" display="https://www.facebook.com/pjp021055" xr:uid="{00000000-0004-0000-0000-000097160000}"/>
    <hyperlink ref="I2894" r:id="rId5785" display="https://www.facebook.com/rapplerdotcom/photos/a.317154781638645/5594453700575367/" xr:uid="{00000000-0004-0000-0000-000098160000}"/>
    <hyperlink ref="A2895" r:id="rId5786" display="https://www.facebook.com/MiLjenN25" xr:uid="{00000000-0004-0000-0000-000099160000}"/>
    <hyperlink ref="I2895" r:id="rId5787" display="https://www.facebook.com/rapplerdotcom/photos/a.317154781638645/5594453700575367/" xr:uid="{00000000-0004-0000-0000-00009A160000}"/>
    <hyperlink ref="A2896" r:id="rId5788" display="https://www.facebook.com/rudy.ricafrente.10" xr:uid="{00000000-0004-0000-0000-00009B160000}"/>
    <hyperlink ref="I2896" r:id="rId5789" display="https://www.facebook.com/rapplerdotcom/photos/a.317154781638645/5594453700575367/" xr:uid="{00000000-0004-0000-0000-00009C160000}"/>
    <hyperlink ref="A2897" r:id="rId5790" display="https://www.facebook.com/profile.php?id=100005240507812" xr:uid="{00000000-0004-0000-0000-00009D160000}"/>
    <hyperlink ref="I2897" r:id="rId5791" display="https://www.facebook.com/rapplerdotcom/photos/a.317154781638645/5594453700575367/" xr:uid="{00000000-0004-0000-0000-00009E160000}"/>
    <hyperlink ref="A2898" r:id="rId5792" display="https://www.facebook.com/rafaelito.ballesteros.90" xr:uid="{00000000-0004-0000-0000-00009F160000}"/>
    <hyperlink ref="I2898" r:id="rId5793" display="https://www.facebook.com/rapplerdotcom/photos/a.317154781638645/5594453700575367/" xr:uid="{00000000-0004-0000-0000-0000A0160000}"/>
    <hyperlink ref="A2899" r:id="rId5794" display="https://www.facebook.com/jude.romero.14" xr:uid="{00000000-0004-0000-0000-0000A1160000}"/>
    <hyperlink ref="I2899" r:id="rId5795" display="https://www.facebook.com/rapplerdotcom/photos/a.317154781638645/5594453700575367/" xr:uid="{00000000-0004-0000-0000-0000A2160000}"/>
    <hyperlink ref="A2900" r:id="rId5796" display="https://www.facebook.com/merly.mesuga" xr:uid="{00000000-0004-0000-0000-0000A3160000}"/>
    <hyperlink ref="I2900" r:id="rId5797" display="https://www.facebook.com/rapplerdotcom/photos/a.317154781638645/5594453700575367/" xr:uid="{00000000-0004-0000-0000-0000A4160000}"/>
    <hyperlink ref="A2901" r:id="rId5798" display="https://www.facebook.com/jimmy.pascua.5" xr:uid="{00000000-0004-0000-0000-0000A5160000}"/>
    <hyperlink ref="I2901" r:id="rId5799" display="https://www.facebook.com/rapplerdotcom/photos/a.317154781638645/5594453700575367/" xr:uid="{00000000-0004-0000-0000-0000A6160000}"/>
    <hyperlink ref="A2902" r:id="rId5800" display="https://www.facebook.com/ogie.fernandez.731" xr:uid="{00000000-0004-0000-0000-0000A7160000}"/>
    <hyperlink ref="I2902" r:id="rId5801" display="https://www.facebook.com/rapplerdotcom/photos/a.317154781638645/5594453700575367/" xr:uid="{00000000-0004-0000-0000-0000A8160000}"/>
    <hyperlink ref="A2903" r:id="rId5802" display="https://www.facebook.com/profile.php?id=1300557137" xr:uid="{00000000-0004-0000-0000-0000A9160000}"/>
    <hyperlink ref="I2903" r:id="rId5803" display="https://www.facebook.com/rapplerdotcom/photos/a.317154781638645/5594453700575367/" xr:uid="{00000000-0004-0000-0000-0000AA160000}"/>
    <hyperlink ref="A2904" r:id="rId5804" display="https://www.facebook.com/profile.php?id=100076456402720" xr:uid="{00000000-0004-0000-0000-0000AB160000}"/>
    <hyperlink ref="I2904" r:id="rId5805" display="https://www.facebook.com/rapplerdotcom/photos/a.317154781638645/5594453700575367/" xr:uid="{00000000-0004-0000-0000-0000AC160000}"/>
    <hyperlink ref="A2905" r:id="rId5806" display="https://www.facebook.com/johannis.dihayco" xr:uid="{00000000-0004-0000-0000-0000AD160000}"/>
    <hyperlink ref="I2905" r:id="rId5807" display="https://www.facebook.com/rapplerdotcom/photos/a.317154781638645/5594453700575367/" xr:uid="{00000000-0004-0000-0000-0000AE160000}"/>
    <hyperlink ref="A2906" r:id="rId5808" display="https://www.facebook.com/emmanuel.bernardino.391" xr:uid="{00000000-0004-0000-0000-0000AF160000}"/>
    <hyperlink ref="I2906" r:id="rId5809" display="https://www.facebook.com/rapplerdotcom/photos/a.317154781638645/5594453700575367/" xr:uid="{00000000-0004-0000-0000-0000B0160000}"/>
    <hyperlink ref="A2907" r:id="rId5810" display="https://www.facebook.com/jessie.villagracia.37" xr:uid="{00000000-0004-0000-0000-0000B1160000}"/>
    <hyperlink ref="I2907" r:id="rId5811" display="https://www.facebook.com/rapplerdotcom/photos/a.317154781638645/5594453700575367/" xr:uid="{00000000-0004-0000-0000-0000B2160000}"/>
    <hyperlink ref="A2908" r:id="rId5812" display="https://www.facebook.com/jocelyn.a.diaz.58" xr:uid="{00000000-0004-0000-0000-0000B3160000}"/>
    <hyperlink ref="I2908" r:id="rId5813" display="https://www.facebook.com/rapplerdotcom/photos/a.317154781638645/5594453700575367/" xr:uid="{00000000-0004-0000-0000-0000B4160000}"/>
    <hyperlink ref="A2909" r:id="rId5814" display="https://www.facebook.com/teresa.plamor" xr:uid="{00000000-0004-0000-0000-0000B5160000}"/>
    <hyperlink ref="I2909" r:id="rId5815" display="https://www.facebook.com/rapplerdotcom/photos/a.317154781638645/5594453700575367/" xr:uid="{00000000-0004-0000-0000-0000B6160000}"/>
    <hyperlink ref="A2910" r:id="rId5816" display="https://www.facebook.com/janicebalicoco2485" xr:uid="{00000000-0004-0000-0000-0000B7160000}"/>
    <hyperlink ref="I2910" r:id="rId5817" display="https://www.facebook.com/rapplerdotcom/photos/a.317154781638645/5594453700575367/" xr:uid="{00000000-0004-0000-0000-0000B8160000}"/>
    <hyperlink ref="A2911" r:id="rId5818" display="https://www.facebook.com/juan.tajanlangit.5" xr:uid="{00000000-0004-0000-0000-0000B9160000}"/>
    <hyperlink ref="I2911" r:id="rId5819" display="https://www.facebook.com/rapplerdotcom/photos/a.317154781638645/5594453700575367/" xr:uid="{00000000-0004-0000-0000-0000BA160000}"/>
    <hyperlink ref="A2912" r:id="rId5820" display="https://www.facebook.com/martin.orsal.1" xr:uid="{00000000-0004-0000-0000-0000BB160000}"/>
    <hyperlink ref="I2912" r:id="rId5821" display="https://www.facebook.com/rapplerdotcom/photos/a.317154781638645/5594453700575367/" xr:uid="{00000000-0004-0000-0000-0000BC160000}"/>
    <hyperlink ref="A2913" r:id="rId5822" display="https://www.facebook.com/jessie.villagracia.37" xr:uid="{00000000-0004-0000-0000-0000BD160000}"/>
    <hyperlink ref="I2913" r:id="rId5823" display="https://www.facebook.com/rapplerdotcom/photos/a.317154781638645/5594453700575367/" xr:uid="{00000000-0004-0000-0000-0000BE160000}"/>
    <hyperlink ref="A2914" r:id="rId5824" display="https://www.facebook.com/johnny.collantes.37" xr:uid="{00000000-0004-0000-0000-0000BF160000}"/>
    <hyperlink ref="I2914" r:id="rId5825" display="https://www.facebook.com/rapplerdotcom/photos/a.317154781638645/5594453700575367/" xr:uid="{00000000-0004-0000-0000-0000C0160000}"/>
    <hyperlink ref="A2915" r:id="rId5826" display="https://www.facebook.com/daijing.dizon" xr:uid="{00000000-0004-0000-0000-0000C1160000}"/>
    <hyperlink ref="I2915" r:id="rId5827" display="https://www.facebook.com/rapplerdotcom/photos/a.317154781638645/5594453700575367/" xr:uid="{00000000-0004-0000-0000-0000C2160000}"/>
    <hyperlink ref="A2916" r:id="rId5828" display="https://www.facebook.com/lilia.aquino.3367" xr:uid="{00000000-0004-0000-0000-0000C3160000}"/>
    <hyperlink ref="I2916" r:id="rId5829" display="https://www.facebook.com/rapplerdotcom/photos/a.317154781638645/5594453700575367/" xr:uid="{00000000-0004-0000-0000-0000C4160000}"/>
    <hyperlink ref="A2917" r:id="rId5830" display="https://www.facebook.com/profile.php?id=100071338364446" xr:uid="{00000000-0004-0000-0000-0000C5160000}"/>
    <hyperlink ref="I2917" r:id="rId5831" display="https://www.facebook.com/rapplerdotcom/photos/a.317154781638645/5594453700575367/" xr:uid="{00000000-0004-0000-0000-0000C6160000}"/>
    <hyperlink ref="A2918" r:id="rId5832" display="https://www.facebook.com/zeny.gallatiera" xr:uid="{00000000-0004-0000-0000-0000C7160000}"/>
    <hyperlink ref="I2918" r:id="rId5833" display="https://www.facebook.com/rapplerdotcom/photos/a.317154781638645/5594453700575367/" xr:uid="{00000000-0004-0000-0000-0000C8160000}"/>
    <hyperlink ref="A2919" r:id="rId5834" display="https://www.facebook.com/oscar.sibal" xr:uid="{00000000-0004-0000-0000-0000C9160000}"/>
    <hyperlink ref="I2919" r:id="rId5835" display="https://www.facebook.com/rapplerdotcom/photos/a.317154781638645/5594453700575367/" xr:uid="{00000000-0004-0000-0000-0000CA160000}"/>
    <hyperlink ref="A2920" r:id="rId5836" display="https://www.facebook.com/irma.rubio.735" xr:uid="{00000000-0004-0000-0000-0000CB160000}"/>
    <hyperlink ref="I2920" r:id="rId5837" display="https://www.facebook.com/rapplerdotcom/photos/a.317154781638645/5594453700575367/" xr:uid="{00000000-0004-0000-0000-0000CC160000}"/>
    <hyperlink ref="A2921" r:id="rId5838" display="https://www.facebook.com/beth.n.luna" xr:uid="{00000000-0004-0000-0000-0000CD160000}"/>
    <hyperlink ref="I2921" r:id="rId5839" display="https://www.facebook.com/rapplerdotcom/photos/a.317154781638645/5594453700575367/" xr:uid="{00000000-0004-0000-0000-0000CE160000}"/>
    <hyperlink ref="A2922" r:id="rId5840" display="https://www.facebook.com/virgilio.r.cruz.5" xr:uid="{00000000-0004-0000-0000-0000CF160000}"/>
    <hyperlink ref="I2922" r:id="rId5841" display="https://www.facebook.com/rapplerdotcom/photos/a.317154781638645/5594453700575367/" xr:uid="{00000000-0004-0000-0000-0000D0160000}"/>
    <hyperlink ref="A2923" r:id="rId5842" display="https://www.facebook.com/nessmark.altar" xr:uid="{00000000-0004-0000-0000-0000D1160000}"/>
    <hyperlink ref="I2923" r:id="rId5843" display="https://www.facebook.com/rapplerdotcom/photos/a.317154781638645/5594453700575367/" xr:uid="{00000000-0004-0000-0000-0000D2160000}"/>
    <hyperlink ref="A2924" r:id="rId5844" display="https://www.facebook.com/profile.php?id=100008034378748" xr:uid="{00000000-0004-0000-0000-0000D3160000}"/>
    <hyperlink ref="I2924" r:id="rId5845" display="https://www.facebook.com/rapplerdotcom/photos/a.317154781638645/5594453700575367/" xr:uid="{00000000-0004-0000-0000-0000D4160000}"/>
    <hyperlink ref="A2925" r:id="rId5846" display="https://www.facebook.com/nessmark.altar" xr:uid="{00000000-0004-0000-0000-0000D5160000}"/>
    <hyperlink ref="I2925" r:id="rId5847" display="https://www.facebook.com/rapplerdotcom/photos/a.317154781638645/5594453700575367/" xr:uid="{00000000-0004-0000-0000-0000D6160000}"/>
    <hyperlink ref="A2926" r:id="rId5848" display="https://www.facebook.com/jessie.villagracia.37" xr:uid="{00000000-0004-0000-0000-0000D7160000}"/>
    <hyperlink ref="I2926" r:id="rId5849" display="https://www.facebook.com/rapplerdotcom/photos/a.317154781638645/5594453700575367/" xr:uid="{00000000-0004-0000-0000-0000D8160000}"/>
    <hyperlink ref="A2927" r:id="rId5850" display="https://www.facebook.com/julie.arenas143" xr:uid="{00000000-0004-0000-0000-0000D9160000}"/>
    <hyperlink ref="I2927" r:id="rId5851" display="https://www.facebook.com/rapplerdotcom/photos/a.317154781638645/5594453700575367/" xr:uid="{00000000-0004-0000-0000-0000DA160000}"/>
    <hyperlink ref="A2928" r:id="rId5852" display="https://www.facebook.com/cecilia.bucong" xr:uid="{00000000-0004-0000-0000-0000DB160000}"/>
    <hyperlink ref="I2928" r:id="rId5853" display="https://www.facebook.com/rapplerdotcom/photos/a.317154781638645/5594453700575367/" xr:uid="{00000000-0004-0000-0000-0000DC160000}"/>
    <hyperlink ref="A2929" r:id="rId5854" display="https://www.facebook.com/profile.php?id=100074886289403" xr:uid="{00000000-0004-0000-0000-0000DD160000}"/>
    <hyperlink ref="I2929" r:id="rId5855" display="https://www.facebook.com/rapplerdotcom/photos/a.317154781638645/5594453700575367/" xr:uid="{00000000-0004-0000-0000-0000DE160000}"/>
    <hyperlink ref="A2930" r:id="rId5856" display="https://www.facebook.com/rnld29" xr:uid="{00000000-0004-0000-0000-0000DF160000}"/>
    <hyperlink ref="I2930" r:id="rId5857" display="https://www.facebook.com/rapplerdotcom/photos/a.317154781638645/5594453700575367/" xr:uid="{00000000-0004-0000-0000-0000E0160000}"/>
    <hyperlink ref="A2931" r:id="rId5858" display="https://www.facebook.com/oyette.calanog" xr:uid="{00000000-0004-0000-0000-0000E1160000}"/>
    <hyperlink ref="I2931" r:id="rId5859" display="https://www.facebook.com/rapplerdotcom/photos/a.317154781638645/5594453700575367/" xr:uid="{00000000-0004-0000-0000-0000E2160000}"/>
    <hyperlink ref="A2932" r:id="rId5860" display="https://www.facebook.com/charlie.viejon.5" xr:uid="{00000000-0004-0000-0000-0000E3160000}"/>
    <hyperlink ref="I2932" r:id="rId5861" display="https://www.facebook.com/rapplerdotcom/photos/a.317154781638645/5594453700575367/" xr:uid="{00000000-0004-0000-0000-0000E4160000}"/>
    <hyperlink ref="A2933" r:id="rId5862" display="https://www.facebook.com/yumika.mikay" xr:uid="{00000000-0004-0000-0000-0000E5160000}"/>
    <hyperlink ref="I2933" r:id="rId5863" display="https://www.facebook.com/rapplerdotcom/photos/a.317154781638645/5594453700575367/" xr:uid="{00000000-0004-0000-0000-0000E6160000}"/>
    <hyperlink ref="A2934" r:id="rId5864" display="https://www.facebook.com/santiago.meneses.31542" xr:uid="{00000000-0004-0000-0000-0000E7160000}"/>
    <hyperlink ref="I2934" r:id="rId5865" display="https://www.facebook.com/rapplerdotcom/photos/a.317154781638645/5594453700575367/" xr:uid="{00000000-0004-0000-0000-0000E8160000}"/>
    <hyperlink ref="A2935" r:id="rId5866" display="https://www.facebook.com/rogelio.lapuz.5055" xr:uid="{00000000-0004-0000-0000-0000E9160000}"/>
    <hyperlink ref="I2935" r:id="rId5867" display="https://www.facebook.com/rapplerdotcom/photos/a.317154781638645/5594453700575367/" xr:uid="{00000000-0004-0000-0000-0000EA160000}"/>
    <hyperlink ref="A2936" r:id="rId5868" display="https://www.facebook.com/mariaana.fontamillas" xr:uid="{00000000-0004-0000-0000-0000EB160000}"/>
    <hyperlink ref="I2936" r:id="rId5869" display="https://www.facebook.com/rapplerdotcom/posts/pfbid0Kg1RoVj1WsJryHzrsA3oSrLQ6DJc4g1o3yMhcNHB9BrPu7fZV7ugtw1hYVefEPE9l" xr:uid="{00000000-0004-0000-0000-0000EC160000}"/>
    <hyperlink ref="A2937" r:id="rId5870" display="https://www.facebook.com/tintin.f.asis" xr:uid="{00000000-0004-0000-0000-0000ED160000}"/>
    <hyperlink ref="I2937" r:id="rId5871" display="https://www.facebook.com/rapplerdotcom/posts/pfbid0Kg1RoVj1WsJryHzrsA3oSrLQ6DJc4g1o3yMhcNHB9BrPu7fZV7ugtw1hYVefEPE9l" xr:uid="{00000000-0004-0000-0000-0000EE160000}"/>
    <hyperlink ref="A2938" r:id="rId5872" display="https://www.facebook.com/regine.tamayo1" xr:uid="{00000000-0004-0000-0000-0000EF160000}"/>
    <hyperlink ref="I2938" r:id="rId5873" display="https://www.facebook.com/rapplerdotcom/posts/pfbid0Kg1RoVj1WsJryHzrsA3oSrLQ6DJc4g1o3yMhcNHB9BrPu7fZV7ugtw1hYVefEPE9l" xr:uid="{00000000-0004-0000-0000-0000F0160000}"/>
    <hyperlink ref="A2939" r:id="rId5874" display="https://www.facebook.com/jcaramirez" xr:uid="{00000000-0004-0000-0000-0000F1160000}"/>
    <hyperlink ref="I2939" r:id="rId5875" display="https://www.facebook.com/rapplerdotcom/posts/pfbid0Kg1RoVj1WsJryHzrsA3oSrLQ6DJc4g1o3yMhcNHB9BrPu7fZV7ugtw1hYVefEPE9l" xr:uid="{00000000-0004-0000-0000-0000F2160000}"/>
    <hyperlink ref="A2940" r:id="rId5876" display="https://www.facebook.com/majecelruby.barnido.507" xr:uid="{00000000-0004-0000-0000-0000F3160000}"/>
    <hyperlink ref="I2940" r:id="rId5877" display="https://www.facebook.com/rapplerdotcom/posts/pfbid0Kg1RoVj1WsJryHzrsA3oSrLQ6DJc4g1o3yMhcNHB9BrPu7fZV7ugtw1hYVefEPE9l" xr:uid="{00000000-0004-0000-0000-0000F4160000}"/>
    <hyperlink ref="A2941" r:id="rId5878" display="https://www.facebook.com/janarvy.parr" xr:uid="{00000000-0004-0000-0000-0000F5160000}"/>
    <hyperlink ref="I2941" r:id="rId5879" display="https://www.facebook.com/rapplerdotcom/posts/pfbid0Kg1RoVj1WsJryHzrsA3oSrLQ6DJc4g1o3yMhcNHB9BrPu7fZV7ugtw1hYVefEPE9l" xr:uid="{00000000-0004-0000-0000-0000F6160000}"/>
    <hyperlink ref="A2942" r:id="rId5880" display="https://www.facebook.com/champoybulletelbow" xr:uid="{00000000-0004-0000-0000-0000F7160000}"/>
    <hyperlink ref="I2942" r:id="rId5881" display="https://www.facebook.com/rapplerdotcom/posts/pfbid0Kg1RoVj1WsJryHzrsA3oSrLQ6DJc4g1o3yMhcNHB9BrPu7fZV7ugtw1hYVefEPE9l" xr:uid="{00000000-0004-0000-0000-0000F8160000}"/>
    <hyperlink ref="A2943" r:id="rId5882" display="https://www.facebook.com/profile.php?id=100013349808064" xr:uid="{00000000-0004-0000-0000-0000F9160000}"/>
    <hyperlink ref="I2943" r:id="rId5883" display="https://www.facebook.com/rapplerdotcom/posts/pfbid0Kg1RoVj1WsJryHzrsA3oSrLQ6DJc4g1o3yMhcNHB9BrPu7fZV7ugtw1hYVefEPE9l" xr:uid="{00000000-0004-0000-0000-0000FA160000}"/>
    <hyperlink ref="A2944" r:id="rId5884" display="https://www.facebook.com/wengnyssa.wengnyssa" xr:uid="{00000000-0004-0000-0000-0000FB160000}"/>
    <hyperlink ref="I2944" r:id="rId5885" display="https://www.facebook.com/rapplerdotcom/posts/pfbid0Kg1RoVj1WsJryHzrsA3oSrLQ6DJc4g1o3yMhcNHB9BrPu7fZV7ugtw1hYVefEPE9l" xr:uid="{00000000-0004-0000-0000-0000FC160000}"/>
    <hyperlink ref="A2945" r:id="rId5886" display="https://www.facebook.com/profile.php?id=100071312860980" xr:uid="{00000000-0004-0000-0000-0000FD160000}"/>
    <hyperlink ref="I2945" r:id="rId5887" display="https://www.facebook.com/rapplerdotcom/posts/pfbid0Kg1RoVj1WsJryHzrsA3oSrLQ6DJc4g1o3yMhcNHB9BrPu7fZV7ugtw1hYVefEPE9l" xr:uid="{00000000-0004-0000-0000-0000FE160000}"/>
    <hyperlink ref="A2946" r:id="rId5888" display="https://www.facebook.com/pandoy.malabanan" xr:uid="{00000000-0004-0000-0000-0000FF160000}"/>
    <hyperlink ref="I2946" r:id="rId5889" display="https://www.facebook.com/rapplerdotcom/photos/a.317154781638645/5594359700584767/" xr:uid="{00000000-0004-0000-0000-000000170000}"/>
    <hyperlink ref="A2947" r:id="rId5890" display="https://www.facebook.com/joyce.gracia" xr:uid="{00000000-0004-0000-0000-000001170000}"/>
    <hyperlink ref="I2947" r:id="rId5891" display="https://www.facebook.com/rapplerdotcom/photos/a.317154781638645/5594359700584767/" xr:uid="{00000000-0004-0000-0000-000002170000}"/>
    <hyperlink ref="A2948" r:id="rId5892" display="https://www.facebook.com/nancy.obrador.1" xr:uid="{00000000-0004-0000-0000-000003170000}"/>
    <hyperlink ref="I2948" r:id="rId5893" display="https://www.facebook.com/rapplerdotcom/photos/a.317154781638645/5594359700584767/" xr:uid="{00000000-0004-0000-0000-000004170000}"/>
    <hyperlink ref="A2949" r:id="rId5894" display="https://www.facebook.com/fatima.dy" xr:uid="{00000000-0004-0000-0000-000005170000}"/>
    <hyperlink ref="I2949" r:id="rId5895" display="https://www.facebook.com/rapplerdotcom/photos/a.317154781638645/5594359700584767/" xr:uid="{00000000-0004-0000-0000-000006170000}"/>
    <hyperlink ref="A2950" r:id="rId5896" display="https://www.facebook.com/marilyn.a.ferrer" xr:uid="{00000000-0004-0000-0000-000007170000}"/>
    <hyperlink ref="I2950" r:id="rId5897" display="https://www.facebook.com/rapplerdotcom/photos/a.317154781638645/5594359700584767/" xr:uid="{00000000-0004-0000-0000-000008170000}"/>
    <hyperlink ref="A2951" r:id="rId5898" display="https://www.facebook.com/macristina.panaguiton.7" xr:uid="{00000000-0004-0000-0000-000009170000}"/>
    <hyperlink ref="I2951" r:id="rId5899" display="https://www.facebook.com/rapplerdotcom/photos/a.317154781638645/5594359700584767/" xr:uid="{00000000-0004-0000-0000-00000A170000}"/>
    <hyperlink ref="A2952" r:id="rId5900" display="https://www.facebook.com/EnricElesisCruz" xr:uid="{00000000-0004-0000-0000-00000B170000}"/>
    <hyperlink ref="I2952" r:id="rId5901" display="https://www.facebook.com/rapplerdotcom/photos/a.317154781638645/5594359700584767/" xr:uid="{00000000-0004-0000-0000-00000C170000}"/>
    <hyperlink ref="A2953" r:id="rId5902" display="https://www.facebook.com/edilberto.fermil.9" xr:uid="{00000000-0004-0000-0000-00000D170000}"/>
    <hyperlink ref="I2953" r:id="rId5903" display="https://www.facebook.com/rapplerdotcom/photos/a.317154781638645/5594359700584767/" xr:uid="{00000000-0004-0000-0000-00000E170000}"/>
    <hyperlink ref="A2954" r:id="rId5904" display="https://www.facebook.com/mel.lao.18" xr:uid="{00000000-0004-0000-0000-00000F170000}"/>
    <hyperlink ref="I2954" r:id="rId5905" display="https://www.facebook.com/rapplerdotcom/photos/a.317154781638645/5594359700584767/" xr:uid="{00000000-0004-0000-0000-000010170000}"/>
    <hyperlink ref="A2955" r:id="rId5906" display="https://www.facebook.com/roie.donna" xr:uid="{00000000-0004-0000-0000-000011170000}"/>
    <hyperlink ref="I2955" r:id="rId5907" display="https://www.facebook.com/rapplerdotcom/photos/a.317154781638645/5594359700584767/" xr:uid="{00000000-0004-0000-0000-000012170000}"/>
    <hyperlink ref="A2956" r:id="rId5908" display="https://www.facebook.com/neilyuchan" xr:uid="{00000000-0004-0000-0000-000013170000}"/>
    <hyperlink ref="I2956" r:id="rId5909" display="https://www.facebook.com/rapplerdotcom/photos/a.317154781638645/5594359700584767/" xr:uid="{00000000-0004-0000-0000-000014170000}"/>
    <hyperlink ref="A2957" r:id="rId5910" display="https://www.facebook.com/milagrosilidan" xr:uid="{00000000-0004-0000-0000-000015170000}"/>
    <hyperlink ref="I2957" r:id="rId5911" display="https://www.facebook.com/rapplerdotcom/photos/a.317154781638645/5594359700584767/" xr:uid="{00000000-0004-0000-0000-000016170000}"/>
    <hyperlink ref="A2958" r:id="rId5912" display="https://www.facebook.com/Alvin3aces" xr:uid="{00000000-0004-0000-0000-000017170000}"/>
    <hyperlink ref="I2958" r:id="rId5913" display="https://www.facebook.com/rapplerdotcom/photos/a.317154781638645/5594359700584767/" xr:uid="{00000000-0004-0000-0000-000018170000}"/>
    <hyperlink ref="A2959" r:id="rId5914" display="https://www.facebook.com/hyath" xr:uid="{00000000-0004-0000-0000-000019170000}"/>
    <hyperlink ref="I2959" r:id="rId5915" display="https://www.facebook.com/rapplerdotcom/photos/a.317154781638645/5594359700584767/" xr:uid="{00000000-0004-0000-0000-00001A170000}"/>
    <hyperlink ref="A2960" r:id="rId5916" display="https://www.facebook.com/christene.delacruz.777" xr:uid="{00000000-0004-0000-0000-00001B170000}"/>
    <hyperlink ref="I2960" r:id="rId5917" display="https://www.facebook.com/rapplerdotcom/photos/a.317154781638645/5594359700584767/" xr:uid="{00000000-0004-0000-0000-00001C170000}"/>
    <hyperlink ref="A2961" r:id="rId5918" display="https://www.facebook.com/jaymar.pantojatumlos" xr:uid="{00000000-0004-0000-0000-00001D170000}"/>
    <hyperlink ref="I2961" r:id="rId5919" display="https://www.facebook.com/rapplerdotcom/photos/a.317154781638645/5594359700584767/" xr:uid="{00000000-0004-0000-0000-00001E170000}"/>
    <hyperlink ref="A2962" r:id="rId5920" display="https://www.facebook.com/benjie.paralta" xr:uid="{00000000-0004-0000-0000-00001F170000}"/>
    <hyperlink ref="I2962" r:id="rId5921" display="https://www.facebook.com/rapplerdotcom/photos/a.317154781638645/5594359700584767/" xr:uid="{00000000-0004-0000-0000-000020170000}"/>
    <hyperlink ref="A2963" r:id="rId5922" display="https://www.facebook.com/austregelina.chua" xr:uid="{00000000-0004-0000-0000-000021170000}"/>
    <hyperlink ref="I2963" r:id="rId5923" display="https://www.facebook.com/rapplerdotcom/photos/a.317154781638645/5594359700584767/" xr:uid="{00000000-0004-0000-0000-000022170000}"/>
    <hyperlink ref="A2964" r:id="rId5924" display="https://www.facebook.com/john.elizarde.5" xr:uid="{00000000-0004-0000-0000-000023170000}"/>
    <hyperlink ref="I2964" r:id="rId5925" display="https://www.facebook.com/rapplerdotcom/photos/a.317154781638645/5594359700584767/" xr:uid="{00000000-0004-0000-0000-000024170000}"/>
    <hyperlink ref="A2965" r:id="rId5926" display="https://www.facebook.com/nievestampis" xr:uid="{00000000-0004-0000-0000-000025170000}"/>
    <hyperlink ref="I2965" r:id="rId5927" display="https://www.facebook.com/rapplerdotcom/photos/a.317154781638645/5594359700584767/" xr:uid="{00000000-0004-0000-0000-000026170000}"/>
    <hyperlink ref="A2966" r:id="rId5928" display="https://www.facebook.com/tintin.radoc" xr:uid="{00000000-0004-0000-0000-000027170000}"/>
    <hyperlink ref="I2966" r:id="rId5929" display="https://www.facebook.com/rapplerdotcom/photos/a.317154781638645/5594359700584767/" xr:uid="{00000000-0004-0000-0000-000028170000}"/>
    <hyperlink ref="A2967" r:id="rId5930" display="https://www.facebook.com/boy.cinco" xr:uid="{00000000-0004-0000-0000-000029170000}"/>
    <hyperlink ref="I2967" r:id="rId5931" display="https://www.facebook.com/rapplerdotcom/photos/a.317154781638645/5594359700584767/" xr:uid="{00000000-0004-0000-0000-00002A170000}"/>
    <hyperlink ref="A2968" r:id="rId5932" display="https://www.facebook.com/chris.lim.946" xr:uid="{00000000-0004-0000-0000-00002B170000}"/>
    <hyperlink ref="I2968" r:id="rId5933" display="https://www.facebook.com/rapplerdotcom/photos/a.317154781638645/5594359700584767/" xr:uid="{00000000-0004-0000-0000-00002C170000}"/>
    <hyperlink ref="A2969" r:id="rId5934" display="https://www.facebook.com/bong.nicdao.3" xr:uid="{00000000-0004-0000-0000-00002D170000}"/>
    <hyperlink ref="I2969" r:id="rId5935" display="https://www.facebook.com/rapplerdotcom/photos/a.317154781638645/5594359700584767/" xr:uid="{00000000-0004-0000-0000-00002E170000}"/>
    <hyperlink ref="A2970" r:id="rId5936" display="https://www.facebook.com/dontimothy.buhain.5" xr:uid="{00000000-0004-0000-0000-00002F170000}"/>
    <hyperlink ref="I2970" r:id="rId5937" display="https://www.facebook.com/rapplerdotcom/photos/a.317154781638645/5594359700584767/" xr:uid="{00000000-0004-0000-0000-000030170000}"/>
    <hyperlink ref="A2971" r:id="rId5938" display="https://www.facebook.com/filemon.viduya.1" xr:uid="{00000000-0004-0000-0000-000031170000}"/>
    <hyperlink ref="I2971" r:id="rId5939" display="https://www.facebook.com/rapplerdotcom/photos/a.317154781638645/5594359700584767/" xr:uid="{00000000-0004-0000-0000-000032170000}"/>
    <hyperlink ref="A2972" r:id="rId5940" display="https://www.facebook.com/mariatheresa.ooyama" xr:uid="{00000000-0004-0000-0000-000033170000}"/>
    <hyperlink ref="I2972" r:id="rId5941" display="https://www.facebook.com/rapplerdotcom/photos/a.317154781638645/5594359700584767/" xr:uid="{00000000-0004-0000-0000-000034170000}"/>
    <hyperlink ref="A2973" r:id="rId5942" display="https://www.facebook.com/alvin.arellano.986" xr:uid="{00000000-0004-0000-0000-000035170000}"/>
    <hyperlink ref="I2973" r:id="rId5943" display="https://www.facebook.com/rapplerdotcom/photos/a.317154781638645/5594359700584767/" xr:uid="{00000000-0004-0000-0000-000036170000}"/>
    <hyperlink ref="A2974" r:id="rId5944" display="https://www.facebook.com/rodulfojr.bumaat" xr:uid="{00000000-0004-0000-0000-000037170000}"/>
    <hyperlink ref="I2974" r:id="rId5945" display="https://www.facebook.com/rapplerdotcom/photos/a.317154781638645/5594359700584767/" xr:uid="{00000000-0004-0000-0000-000038170000}"/>
    <hyperlink ref="A2975" r:id="rId5946" display="https://www.facebook.com/jonathan.biwit" xr:uid="{00000000-0004-0000-0000-000039170000}"/>
    <hyperlink ref="I2975" r:id="rId5947" display="https://www.facebook.com/rapplerdotcom/photos/a.317154781638645/5594359700584767/" xr:uid="{00000000-0004-0000-0000-00003A170000}"/>
    <hyperlink ref="A2976" r:id="rId5948" display="https://www.facebook.com/lut.aver.3" xr:uid="{00000000-0004-0000-0000-00003B170000}"/>
    <hyperlink ref="I2976" r:id="rId5949" display="https://www.facebook.com/rapplerdotcom/photos/a.317154781638645/5594359700584767/" xr:uid="{00000000-0004-0000-0000-00003C170000}"/>
    <hyperlink ref="A2977" r:id="rId5950" display="https://www.facebook.com/profile.php?id=100002846509290" xr:uid="{00000000-0004-0000-0000-00003D170000}"/>
    <hyperlink ref="I2977" r:id="rId5951" display="https://www.facebook.com/rapplerdotcom/photos/a.317154781638645/5594359700584767/" xr:uid="{00000000-0004-0000-0000-00003E170000}"/>
    <hyperlink ref="A2978" r:id="rId5952" display="https://www.facebook.com/profile.php?id=100069246870332" xr:uid="{00000000-0004-0000-0000-00003F170000}"/>
    <hyperlink ref="I2978" r:id="rId5953" display="https://www.facebook.com/rapplerdotcom/photos/a.317154781638645/5594359700584767/" xr:uid="{00000000-0004-0000-0000-000040170000}"/>
    <hyperlink ref="A2979" r:id="rId5954" display="https://www.facebook.com/fgancheta" xr:uid="{00000000-0004-0000-0000-000041170000}"/>
    <hyperlink ref="I2979" r:id="rId5955" display="https://www.facebook.com/rapplerdotcom/photos/a.317154781638645/5594359700584767/" xr:uid="{00000000-0004-0000-0000-000042170000}"/>
    <hyperlink ref="A2980" r:id="rId5956" display="https://www.facebook.com/onie.abon.98" xr:uid="{00000000-0004-0000-0000-000043170000}"/>
    <hyperlink ref="I2980" r:id="rId5957" display="https://www.facebook.com/rapplerdotcom/photos/a.317154781638645/5594359700584767/" xr:uid="{00000000-0004-0000-0000-000044170000}"/>
    <hyperlink ref="A2981" r:id="rId5958" display="https://www.facebook.com/allan.escalona.12" xr:uid="{00000000-0004-0000-0000-000045170000}"/>
    <hyperlink ref="I2981" r:id="rId5959" display="https://www.facebook.com/rapplerdotcom/photos/a.317154781638645/5594359700584767/" xr:uid="{00000000-0004-0000-0000-000046170000}"/>
    <hyperlink ref="A2982" r:id="rId5960" display="https://www.facebook.com/profile.php?id=100008274437577" xr:uid="{00000000-0004-0000-0000-000047170000}"/>
    <hyperlink ref="I2982" r:id="rId5961" display="https://www.facebook.com/rapplerdotcom/photos/a.317154781638645/5594359700584767/" xr:uid="{00000000-0004-0000-0000-000048170000}"/>
    <hyperlink ref="A2983" r:id="rId5962" display="https://www.facebook.com/manuel.cero.750" xr:uid="{00000000-0004-0000-0000-000049170000}"/>
    <hyperlink ref="I2983" r:id="rId5963" display="https://www.facebook.com/rapplerdotcom/photos/a.317154781638645/5594359700584767/" xr:uid="{00000000-0004-0000-0000-00004A170000}"/>
    <hyperlink ref="A2984" r:id="rId5964" display="https://www.facebook.com/profile.php?id=100075205566420" xr:uid="{00000000-0004-0000-0000-00004B170000}"/>
    <hyperlink ref="I2984" r:id="rId5965" display="https://www.facebook.com/rapplerdotcom/photos/a.317154781638645/5594359700584767/" xr:uid="{00000000-0004-0000-0000-00004C170000}"/>
    <hyperlink ref="A2985" r:id="rId5966" display="https://www.facebook.com/udtohansamuel" xr:uid="{00000000-0004-0000-0000-00004D170000}"/>
    <hyperlink ref="I2985" r:id="rId5967" display="https://www.facebook.com/rapplerdotcom/photos/a.317154781638645/5594359700584767/" xr:uid="{00000000-0004-0000-0000-00004E170000}"/>
    <hyperlink ref="A2986" r:id="rId5968" display="https://www.facebook.com/regie.basa.39" xr:uid="{00000000-0004-0000-0000-00004F170000}"/>
    <hyperlink ref="I2986" r:id="rId5969" display="https://www.facebook.com/rapplerdotcom/photos/a.317154781638645/5594359700584767/" xr:uid="{00000000-0004-0000-0000-000050170000}"/>
    <hyperlink ref="A2987" r:id="rId5970" display="https://www.facebook.com/mackoy.palang.7" xr:uid="{00000000-0004-0000-0000-000051170000}"/>
    <hyperlink ref="I2987" r:id="rId5971" display="https://www.facebook.com/rapplerdotcom/photos/a.317154781638645/5594359700584767/" xr:uid="{00000000-0004-0000-0000-000052170000}"/>
    <hyperlink ref="A2988" r:id="rId5972" display="https://www.facebook.com/kobejacky.leoning.90" xr:uid="{00000000-0004-0000-0000-000053170000}"/>
    <hyperlink ref="I2988" r:id="rId5973" display="https://www.facebook.com/rapplerdotcom/photos/a.317154781638645/5594359700584767/" xr:uid="{00000000-0004-0000-0000-000054170000}"/>
    <hyperlink ref="A2989" r:id="rId5974" display="https://www.facebook.com/efren.moral.10" xr:uid="{00000000-0004-0000-0000-000055170000}"/>
    <hyperlink ref="I2989" r:id="rId5975" display="https://www.facebook.com/rapplerdotcom/photos/a.317154781638645/5594359700584767/" xr:uid="{00000000-0004-0000-0000-000056170000}"/>
    <hyperlink ref="A2990" r:id="rId5976" display="https://www.facebook.com/profile.php?id=1321814894" xr:uid="{00000000-0004-0000-0000-000057170000}"/>
    <hyperlink ref="I2990" r:id="rId5977" display="https://www.facebook.com/rapplerdotcom/photos/a.317154781638645/5594359700584767/" xr:uid="{00000000-0004-0000-0000-000058170000}"/>
    <hyperlink ref="A2991" r:id="rId5978" display="https://www.facebook.com/neil.torreon.7" xr:uid="{00000000-0004-0000-0000-000059170000}"/>
    <hyperlink ref="I2991" r:id="rId5979" display="https://www.facebook.com/rapplerdotcom/photos/a.317154781638645/5594359700584767/" xr:uid="{00000000-0004-0000-0000-00005A170000}"/>
    <hyperlink ref="A2992" r:id="rId5980" display="https://www.facebook.com/gerardocandano" xr:uid="{00000000-0004-0000-0000-00005B170000}"/>
    <hyperlink ref="I2992" r:id="rId5981" display="https://www.facebook.com/rapplerdotcom/photos/a.317154781638645/5594359700584767/" xr:uid="{00000000-0004-0000-0000-00005C170000}"/>
    <hyperlink ref="A2993" r:id="rId5982" display="https://www.facebook.com/tess.fuertez" xr:uid="{00000000-0004-0000-0000-00005D170000}"/>
    <hyperlink ref="I2993" r:id="rId5983" display="https://www.facebook.com/rapplerdotcom/photos/a.317154781638645/5594359700584767/" xr:uid="{00000000-0004-0000-0000-00005E170000}"/>
    <hyperlink ref="A2994" r:id="rId5984" display="https://www.facebook.com/jeac2016" xr:uid="{00000000-0004-0000-0000-00005F170000}"/>
    <hyperlink ref="I2994" r:id="rId5985" display="https://www.facebook.com/rapplerdotcom/photos/a.317154781638645/5594359700584767/" xr:uid="{00000000-0004-0000-0000-000060170000}"/>
    <hyperlink ref="A2995" r:id="rId5986" display="https://www.facebook.com/edwin.nabong.790" xr:uid="{00000000-0004-0000-0000-000061170000}"/>
    <hyperlink ref="I2995" r:id="rId5987" display="https://www.facebook.com/rapplerdotcom/photos/a.317154781638645/5594359700584767/" xr:uid="{00000000-0004-0000-0000-000062170000}"/>
    <hyperlink ref="A2996" r:id="rId5988" display="https://www.facebook.com/mary.lasquety" xr:uid="{00000000-0004-0000-0000-000063170000}"/>
    <hyperlink ref="I2996" r:id="rId5989" display="https://www.facebook.com/rapplerdotcom/photos/a.317154781638645/5594359700584767/" xr:uid="{00000000-0004-0000-0000-000064170000}"/>
    <hyperlink ref="A2997" r:id="rId5990" display="https://www.facebook.com/profile.php?id=100070491889329" xr:uid="{00000000-0004-0000-0000-000065170000}"/>
    <hyperlink ref="I2997" r:id="rId5991" display="https://www.facebook.com/rapplerdotcom/photos/a.317154781638645/5594359700584767/" xr:uid="{00000000-0004-0000-0000-000066170000}"/>
    <hyperlink ref="A2998" r:id="rId5992" display="https://www.facebook.com/profile.php?id=100004150696757" xr:uid="{00000000-0004-0000-0000-000067170000}"/>
    <hyperlink ref="I2998" r:id="rId5993" display="https://www.facebook.com/rapplerdotcom/photos/a.317154781638645/5594359700584767/" xr:uid="{00000000-0004-0000-0000-000068170000}"/>
    <hyperlink ref="A2999" r:id="rId5994" display="https://www.facebook.com/rboy.escaran" xr:uid="{00000000-0004-0000-0000-000069170000}"/>
    <hyperlink ref="I2999" r:id="rId5995" display="https://www.facebook.com/rapplerdotcom/photos/a.317154781638645/5594359700584767/" xr:uid="{00000000-0004-0000-0000-00006A170000}"/>
    <hyperlink ref="A3000" r:id="rId5996" display="https://www.facebook.com/emman.bantad" xr:uid="{00000000-0004-0000-0000-00006B170000}"/>
    <hyperlink ref="I3000" r:id="rId5997" display="https://www.facebook.com/rapplerdotcom/photos/a.317154781638645/5594359700584767/" xr:uid="{00000000-0004-0000-0000-00006C170000}"/>
    <hyperlink ref="A3001" r:id="rId5998" display="https://www.facebook.com/mcdolawcarla" xr:uid="{00000000-0004-0000-0000-00006D170000}"/>
    <hyperlink ref="I3001" r:id="rId5999" display="https://www.facebook.com/rapplerdotcom/photos/a.317154781638645/5594359700584767/" xr:uid="{00000000-0004-0000-0000-00006E170000}"/>
    <hyperlink ref="A3002" r:id="rId6000" display="https://www.facebook.com/jun.buama1" xr:uid="{00000000-0004-0000-0000-00006F170000}"/>
    <hyperlink ref="I3002" r:id="rId6001" display="https://www.facebook.com/rapplerdotcom/photos/a.317154781638645/5594359700584767/" xr:uid="{00000000-0004-0000-0000-000070170000}"/>
    <hyperlink ref="A3003" r:id="rId6002" display="https://www.facebook.com/roberto.jabon.9" xr:uid="{00000000-0004-0000-0000-000071170000}"/>
    <hyperlink ref="I3003" r:id="rId6003" display="https://www.facebook.com/rapplerdotcom/photos/a.317154781638645/5594359700584767/" xr:uid="{00000000-0004-0000-0000-000072170000}"/>
    <hyperlink ref="A3004" r:id="rId6004" display="https://www.facebook.com/eddie.soriente" xr:uid="{00000000-0004-0000-0000-000073170000}"/>
    <hyperlink ref="I3004" r:id="rId6005" display="https://www.facebook.com/rapplerdotcom/photos/a.317154781638645/5594359700584767/" xr:uid="{00000000-0004-0000-0000-000074170000}"/>
    <hyperlink ref="A3005" r:id="rId6006" display="https://www.facebook.com/gerry.guevara.3" xr:uid="{00000000-0004-0000-0000-000075170000}"/>
    <hyperlink ref="I3005" r:id="rId6007" display="https://www.facebook.com/rapplerdotcom/photos/a.317154781638645/5594359700584767/" xr:uid="{00000000-0004-0000-0000-000076170000}"/>
    <hyperlink ref="A3006" r:id="rId6008" display="https://www.facebook.com/benjie.paralta" xr:uid="{00000000-0004-0000-0000-000077170000}"/>
    <hyperlink ref="I3006" r:id="rId6009" display="https://www.facebook.com/rapplerdotcom/photos/a.317154781638645/5594359700584767/" xr:uid="{00000000-0004-0000-0000-000078170000}"/>
    <hyperlink ref="A3007" r:id="rId6010" display="https://www.facebook.com/zenyrj" xr:uid="{00000000-0004-0000-0000-000079170000}"/>
    <hyperlink ref="I3007" r:id="rId6011" display="https://www.facebook.com/rapplerdotcom/photos/a.317154781638645/5594359700584767/" xr:uid="{00000000-0004-0000-0000-00007A170000}"/>
    <hyperlink ref="A3008" r:id="rId6012" display="https://www.facebook.com/profile.php?id=100047766465936" xr:uid="{00000000-0004-0000-0000-00007B170000}"/>
    <hyperlink ref="I3008" r:id="rId6013" display="https://www.facebook.com/rapplerdotcom/photos/a.317154781638645/5594359700584767/" xr:uid="{00000000-0004-0000-0000-00007C170000}"/>
    <hyperlink ref="A3009" r:id="rId6014" display="https://www.facebook.com/luther.staromana1" xr:uid="{00000000-0004-0000-0000-00007D170000}"/>
    <hyperlink ref="I3009" r:id="rId6015" display="https://www.facebook.com/rapplerdotcom/photos/a.317154781638645/5594359700584767/" xr:uid="{00000000-0004-0000-0000-00007E170000}"/>
    <hyperlink ref="A3010" r:id="rId6016" display="https://www.facebook.com/profile.php?id=100047766465936" xr:uid="{00000000-0004-0000-0000-00007F170000}"/>
    <hyperlink ref="I3010" r:id="rId6017" display="https://www.facebook.com/rapplerdotcom/photos/a.317154781638645/5594359700584767/" xr:uid="{00000000-0004-0000-0000-000080170000}"/>
    <hyperlink ref="A3011" r:id="rId6018" display="https://www.facebook.com/danilo.betitaleoncito.9" xr:uid="{00000000-0004-0000-0000-000081170000}"/>
    <hyperlink ref="I3011" r:id="rId6019" display="https://www.facebook.com/rapplerdotcom/photos/a.317154781638645/5594359700584767/" xr:uid="{00000000-0004-0000-0000-000082170000}"/>
    <hyperlink ref="A3012" r:id="rId6020" display="https://www.facebook.com/eugene.arat" xr:uid="{00000000-0004-0000-0000-000083170000}"/>
    <hyperlink ref="I3012" r:id="rId6021" display="https://www.facebook.com/rapplerdotcom/photos/a.317154781638645/5594359700584767/" xr:uid="{00000000-0004-0000-0000-000084170000}"/>
    <hyperlink ref="A3013" r:id="rId6022" display="https://www.facebook.com/rebecca.rupal" xr:uid="{00000000-0004-0000-0000-000085170000}"/>
    <hyperlink ref="I3013" r:id="rId6023" display="https://www.facebook.com/rapplerdotcom/photos/a.317154781638645/5594359700584767/" xr:uid="{00000000-0004-0000-0000-000086170000}"/>
    <hyperlink ref="A3014" r:id="rId6024" display="https://www.facebook.com/barry.jave" xr:uid="{00000000-0004-0000-0000-000087170000}"/>
    <hyperlink ref="I3014" r:id="rId6025" display="https://www.facebook.com/rapplerdotcom/photos/a.317154781638645/5594359700584767/" xr:uid="{00000000-0004-0000-0000-000088170000}"/>
    <hyperlink ref="A3015" r:id="rId6026" display="https://www.facebook.com/pipo.anos.5" xr:uid="{00000000-0004-0000-0000-000089170000}"/>
    <hyperlink ref="I3015" r:id="rId6027" display="https://www.facebook.com/rapplerdotcom/photos/a.317154781638645/5594359700584767/" xr:uid="{00000000-0004-0000-0000-00008A170000}"/>
    <hyperlink ref="A3016" r:id="rId6028" display="https://www.facebook.com/johnhenry.santos.3958" xr:uid="{00000000-0004-0000-0000-00008B170000}"/>
    <hyperlink ref="I3016" r:id="rId6029" display="https://www.facebook.com/rapplerdotcom/photos/a.317154781638645/5594359700584767/" xr:uid="{00000000-0004-0000-0000-00008C170000}"/>
    <hyperlink ref="A3017" r:id="rId6030" display="https://www.facebook.com/angelica.banag" xr:uid="{00000000-0004-0000-0000-00008D170000}"/>
    <hyperlink ref="I3017" r:id="rId6031" display="https://www.facebook.com/rapplerdotcom/photos/a.317154781638645/5594359700584767/" xr:uid="{00000000-0004-0000-0000-00008E170000}"/>
    <hyperlink ref="A3018" r:id="rId6032" display="https://www.facebook.com/maxbrunofranco" xr:uid="{00000000-0004-0000-0000-00008F170000}"/>
    <hyperlink ref="I3018" r:id="rId6033" display="https://www.facebook.com/rapplerdotcom/photos/a.317154781638645/5594359700584767/" xr:uid="{00000000-0004-0000-0000-000090170000}"/>
    <hyperlink ref="A3019" r:id="rId6034" display="https://www.facebook.com/julsrey.nioko" xr:uid="{00000000-0004-0000-0000-000091170000}"/>
    <hyperlink ref="I3019" r:id="rId6035" display="https://www.facebook.com/rapplerdotcom/photos/a.317154781638645/5594359700584767/" xr:uid="{00000000-0004-0000-0000-000092170000}"/>
    <hyperlink ref="A3020" r:id="rId6036" display="https://www.facebook.com/clocie.rinocar" xr:uid="{00000000-0004-0000-0000-000093170000}"/>
    <hyperlink ref="I3020" r:id="rId6037" display="https://www.facebook.com/rapplerdotcom/photos/a.317154781638645/5594359700584767/" xr:uid="{00000000-0004-0000-0000-000094170000}"/>
    <hyperlink ref="A3021" r:id="rId6038" display="https://www.facebook.com/profile.php?id=100053379136272" xr:uid="{00000000-0004-0000-0000-000095170000}"/>
    <hyperlink ref="I3021" r:id="rId6039" display="https://www.facebook.com/rapplerdotcom/photos/a.317154781638645/5594359700584767/" xr:uid="{00000000-0004-0000-0000-000096170000}"/>
    <hyperlink ref="A3022" r:id="rId6040" display="https://www.facebook.com/rebecca.serato.9" xr:uid="{00000000-0004-0000-0000-000097170000}"/>
    <hyperlink ref="I3022" r:id="rId6041" display="https://www.facebook.com/rapplerdotcom/photos/a.317154781638645/5594359700584767/" xr:uid="{00000000-0004-0000-0000-000098170000}"/>
    <hyperlink ref="A3023" r:id="rId6042" display="https://www.facebook.com/fe.cordero1" xr:uid="{00000000-0004-0000-0000-000099170000}"/>
    <hyperlink ref="I3023" r:id="rId6043" display="https://www.facebook.com/rapplerdotcom/photos/a.317154781638645/5594359700584767/" xr:uid="{00000000-0004-0000-0000-00009A170000}"/>
    <hyperlink ref="A3024" r:id="rId6044" display="https://www.facebook.com/roland.romero.39" xr:uid="{00000000-0004-0000-0000-00009B170000}"/>
    <hyperlink ref="I3024" r:id="rId6045" display="https://www.facebook.com/rapplerdotcom/photos/a.317154781638645/5594359700584767/" xr:uid="{00000000-0004-0000-0000-00009C170000}"/>
    <hyperlink ref="A3025" r:id="rId6046" display="https://www.facebook.com/eramc.cuaton" xr:uid="{00000000-0004-0000-0000-00009D170000}"/>
    <hyperlink ref="I3025" r:id="rId6047" display="https://www.facebook.com/rapplerdotcom/photos/a.317154781638645/5594359700584767/" xr:uid="{00000000-0004-0000-0000-00009E170000}"/>
    <hyperlink ref="A3026" r:id="rId6048" display="https://www.facebook.com/danilo.mica" xr:uid="{00000000-0004-0000-0000-00009F170000}"/>
    <hyperlink ref="I3026" r:id="rId6049" display="https://www.facebook.com/rapplerdotcom/photos/a.317154781638645/5594359700584767/" xr:uid="{00000000-0004-0000-0000-0000A0170000}"/>
    <hyperlink ref="A3027" r:id="rId6050" display="https://www.facebook.com/rodolfo.dampios.1" xr:uid="{00000000-0004-0000-0000-0000A1170000}"/>
    <hyperlink ref="I3027" r:id="rId6051" display="https://www.facebook.com/rapplerdotcom/photos/a.317154781638645/5594359700584767/" xr:uid="{00000000-0004-0000-0000-0000A2170000}"/>
    <hyperlink ref="A3028" r:id="rId6052" display="https://www.facebook.com/mayonggarcia" xr:uid="{00000000-0004-0000-0000-0000A3170000}"/>
    <hyperlink ref="I3028" r:id="rId6053" display="https://www.facebook.com/rapplerdotcom/photos/a.317154781638645/5594359700584767/" xr:uid="{00000000-0004-0000-0000-0000A4170000}"/>
    <hyperlink ref="A3029" r:id="rId6054" display="https://www.facebook.com/profile.php?id=100072849818660" xr:uid="{00000000-0004-0000-0000-0000A5170000}"/>
    <hyperlink ref="I3029" r:id="rId6055" display="https://www.facebook.com/rapplerdotcom/photos/a.317154781638645/5594359700584767/" xr:uid="{00000000-0004-0000-0000-0000A6170000}"/>
    <hyperlink ref="A3030" r:id="rId6056" display="https://www.facebook.com/tony.alcazar.127" xr:uid="{00000000-0004-0000-0000-0000A7170000}"/>
    <hyperlink ref="I3030" r:id="rId6057" display="https://www.facebook.com/rapplerdotcom/photos/a.317154781638645/5594359700584767/" xr:uid="{00000000-0004-0000-0000-0000A8170000}"/>
    <hyperlink ref="A3031" r:id="rId6058" display="https://www.facebook.com/johnhenry.santos.3958" xr:uid="{00000000-0004-0000-0000-0000A9170000}"/>
    <hyperlink ref="I3031" r:id="rId6059" display="https://www.facebook.com/rapplerdotcom/photos/a.317154781638645/5594359700584767/" xr:uid="{00000000-0004-0000-0000-0000AA170000}"/>
    <hyperlink ref="A3032" r:id="rId6060" display="https://www.facebook.com/profile.php?id=100061205663342" xr:uid="{00000000-0004-0000-0000-0000AB170000}"/>
    <hyperlink ref="I3032" r:id="rId6061" display="https://www.facebook.com/rapplerdotcom/photos/a.317154781638645/5594359700584767/" xr:uid="{00000000-0004-0000-0000-0000AC170000}"/>
    <hyperlink ref="A3033" r:id="rId6062" display="https://www.facebook.com/noberto.montuya.9" xr:uid="{00000000-0004-0000-0000-0000AD170000}"/>
    <hyperlink ref="I3033" r:id="rId6063" display="https://www.facebook.com/rapplerdotcom/photos/a.317154781638645/5594359700584767/" xr:uid="{00000000-0004-0000-0000-0000AE170000}"/>
    <hyperlink ref="A3034" r:id="rId6064" display="https://www.facebook.com/teri.j.li" xr:uid="{00000000-0004-0000-0000-0000AF170000}"/>
    <hyperlink ref="I3034" r:id="rId6065" display="https://www.facebook.com/rapplerdotcom/photos/a.317154781638645/5594359700584767/" xr:uid="{00000000-0004-0000-0000-0000B0170000}"/>
    <hyperlink ref="A3035" r:id="rId6066" display="https://www.facebook.com/fotee.rimas" xr:uid="{00000000-0004-0000-0000-0000B1170000}"/>
    <hyperlink ref="I3035" r:id="rId6067" display="https://www.facebook.com/rapplerdotcom/photos/a.317154781638645/5594359700584767/" xr:uid="{00000000-0004-0000-0000-0000B2170000}"/>
    <hyperlink ref="A3036" r:id="rId6068" display="https://www.facebook.com/raymondpastoral" xr:uid="{00000000-0004-0000-0000-0000B3170000}"/>
    <hyperlink ref="I3036" r:id="rId6069" display="https://www.facebook.com/rapplerdotcom/photos/a.317154781638645/5594359700584767/" xr:uid="{00000000-0004-0000-0000-0000B4170000}"/>
    <hyperlink ref="A3037" r:id="rId6070" display="https://www.facebook.com/alex.wabinga" xr:uid="{00000000-0004-0000-0000-0000B5170000}"/>
    <hyperlink ref="I3037" r:id="rId6071" display="https://www.facebook.com/rapplerdotcom/photos/a.317154781638645/5594359700584767/" xr:uid="{00000000-0004-0000-0000-0000B6170000}"/>
    <hyperlink ref="A3038" r:id="rId6072" display="https://www.facebook.com/jonniemaganes" xr:uid="{00000000-0004-0000-0000-0000B7170000}"/>
    <hyperlink ref="I3038" r:id="rId6073" display="https://www.facebook.com/rapplerdotcom/photos/a.317154781638645/5594359700584767/" xr:uid="{00000000-0004-0000-0000-0000B8170000}"/>
    <hyperlink ref="A3039" r:id="rId6074" display="https://www.facebook.com/enrico.aragon.56" xr:uid="{00000000-0004-0000-0000-0000B9170000}"/>
    <hyperlink ref="I3039" r:id="rId6075" display="https://www.facebook.com/rapplerdotcom/photos/a.317154781638645/5594359700584767/" xr:uid="{00000000-0004-0000-0000-0000BA170000}"/>
    <hyperlink ref="A3040" r:id="rId6076" display="https://www.facebook.com/ngaela" xr:uid="{00000000-0004-0000-0000-0000BB170000}"/>
    <hyperlink ref="I3040" r:id="rId6077" display="https://www.facebook.com/rapplerdotcom/photos/a.317154781638645/5594359700584767/" xr:uid="{00000000-0004-0000-0000-0000BC170000}"/>
    <hyperlink ref="A3041" r:id="rId6078" display="https://www.facebook.com/ragrag.alb" xr:uid="{00000000-0004-0000-0000-0000BD170000}"/>
    <hyperlink ref="I3041" r:id="rId6079" display="https://www.facebook.com/rapplerdotcom/photos/a.317154781638645/5594359700584767/" xr:uid="{00000000-0004-0000-0000-0000BE170000}"/>
    <hyperlink ref="A3042" r:id="rId6080" display="https://www.facebook.com/aldrin.reyes.3760430" xr:uid="{00000000-0004-0000-0000-0000BF170000}"/>
    <hyperlink ref="I3042" r:id="rId6081" display="https://www.facebook.com/rapplerdotcom/photos/a.317154781638645/5594359700584767/" xr:uid="{00000000-0004-0000-0000-0000C0170000}"/>
    <hyperlink ref="A3043" r:id="rId6082" display="https://www.facebook.com/edwin.asis.58" xr:uid="{00000000-0004-0000-0000-0000C1170000}"/>
    <hyperlink ref="I3043" r:id="rId6083" display="https://www.facebook.com/rapplerdotcom/photos/a.317154781638645/5594359700584767/" xr:uid="{00000000-0004-0000-0000-0000C2170000}"/>
    <hyperlink ref="A3044" r:id="rId6084" display="https://www.facebook.com/profile.php?id=100005251668716" xr:uid="{00000000-0004-0000-0000-0000C3170000}"/>
    <hyperlink ref="I3044" r:id="rId6085" display="https://www.facebook.com/rapplerdotcom/photos/a.317154781638645/5594359700584767/" xr:uid="{00000000-0004-0000-0000-0000C4170000}"/>
    <hyperlink ref="A3045" r:id="rId6086" display="https://www.facebook.com/355wat" xr:uid="{00000000-0004-0000-0000-0000C5170000}"/>
    <hyperlink ref="I3045" r:id="rId6087" display="https://www.facebook.com/rapplerdotcom/photos/a.317154781638645/5594359700584767/" xr:uid="{00000000-0004-0000-0000-0000C6170000}"/>
    <hyperlink ref="A3046" r:id="rId6088" display="https://www.facebook.com/antonio.yap.712" xr:uid="{00000000-0004-0000-0000-0000C7170000}"/>
    <hyperlink ref="I3046" r:id="rId6089" display="https://www.facebook.com/rapplerdotcom/photos/a.317154781638645/5594359700584767/" xr:uid="{00000000-0004-0000-0000-0000C8170000}"/>
    <hyperlink ref="A3047" r:id="rId6090" display="https://www.facebook.com/perryjun.agustin" xr:uid="{00000000-0004-0000-0000-0000C9170000}"/>
    <hyperlink ref="I3047" r:id="rId6091" display="https://www.facebook.com/rapplerdotcom/photos/a.317154781638645/5594359700584767/" xr:uid="{00000000-0004-0000-0000-0000CA170000}"/>
    <hyperlink ref="A3048" r:id="rId6092" display="https://www.facebook.com/maribeth.algodon" xr:uid="{00000000-0004-0000-0000-0000CB170000}"/>
    <hyperlink ref="I3048" r:id="rId6093" display="https://www.facebook.com/rapplerdotcom/photos/a.317154781638645/5594359700584767/" xr:uid="{00000000-0004-0000-0000-0000CC170000}"/>
    <hyperlink ref="A3049" r:id="rId6094" display="https://www.facebook.com/verminda.raymundo.96" xr:uid="{00000000-0004-0000-0000-0000CD170000}"/>
    <hyperlink ref="I3049" r:id="rId6095" display="https://www.facebook.com/rapplerdotcom/photos/a.317154781638645/5594359700584767/" xr:uid="{00000000-0004-0000-0000-0000CE170000}"/>
    <hyperlink ref="A3050" r:id="rId6096" display="https://www.facebook.com/profile.php?id=100069846437904" xr:uid="{00000000-0004-0000-0000-0000CF170000}"/>
    <hyperlink ref="I3050" r:id="rId6097" display="https://www.facebook.com/rapplerdotcom/photos/a.317154781638645/5594359700584767/" xr:uid="{00000000-0004-0000-0000-0000D0170000}"/>
    <hyperlink ref="A3051" r:id="rId6098" display="https://www.facebook.com/maldz.marcial04" xr:uid="{00000000-0004-0000-0000-0000D1170000}"/>
    <hyperlink ref="I3051" r:id="rId6099" display="https://www.facebook.com/rapplerdotcom/photos/a.317154781638645/5594359700584767/" xr:uid="{00000000-0004-0000-0000-0000D2170000}"/>
    <hyperlink ref="A3052" r:id="rId6100" display="https://www.facebook.com/eusebiobutchgarcia" xr:uid="{00000000-0004-0000-0000-0000D3170000}"/>
    <hyperlink ref="I3052" r:id="rId6101" display="https://www.facebook.com/rapplerdotcom/photos/a.317154781638645/5594359700584767/" xr:uid="{00000000-0004-0000-0000-0000D4170000}"/>
    <hyperlink ref="A3053" r:id="rId6102" display="https://www.facebook.com/sue.idaloy" xr:uid="{00000000-0004-0000-0000-0000D5170000}"/>
    <hyperlink ref="I3053" r:id="rId6103" display="https://www.facebook.com/rapplerdotcom/photos/a.317154781638645/5594359700584767/" xr:uid="{00000000-0004-0000-0000-0000D6170000}"/>
    <hyperlink ref="A3054" r:id="rId6104" display="https://www.facebook.com/phol.sanchez05" xr:uid="{00000000-0004-0000-0000-0000D7170000}"/>
    <hyperlink ref="I3054" r:id="rId6105" display="https://www.facebook.com/rapplerdotcom/photos/a.317154781638645/5594359700584767/" xr:uid="{00000000-0004-0000-0000-0000D8170000}"/>
    <hyperlink ref="A3055" r:id="rId6106" display="https://www.facebook.com/jake.arceno.new" xr:uid="{00000000-0004-0000-0000-0000D9170000}"/>
    <hyperlink ref="I3055" r:id="rId6107" display="https://www.facebook.com/rapplerdotcom/photos/a.317154781638645/5594359700584767/" xr:uid="{00000000-0004-0000-0000-0000DA170000}"/>
    <hyperlink ref="A3056" r:id="rId6108" display="https://www.facebook.com/merly.vederas" xr:uid="{00000000-0004-0000-0000-0000DB170000}"/>
    <hyperlink ref="I3056" r:id="rId6109" display="https://www.facebook.com/rapplerdotcom/photos/a.317154781638645/5594359700584767/" xr:uid="{00000000-0004-0000-0000-0000DC170000}"/>
    <hyperlink ref="A3057" r:id="rId6110" display="https://www.facebook.com/ces.lopez" xr:uid="{00000000-0004-0000-0000-0000DD170000}"/>
    <hyperlink ref="I3057" r:id="rId6111" display="https://www.facebook.com/rapplerdotcom/photos/a.317154781638645/5594359700584767/" xr:uid="{00000000-0004-0000-0000-0000DE170000}"/>
    <hyperlink ref="A3058" r:id="rId6112" display="https://www.facebook.com/jenny.o.lew" xr:uid="{00000000-0004-0000-0000-0000DF170000}"/>
    <hyperlink ref="I3058" r:id="rId6113" display="https://www.facebook.com/rapplerdotcom/photos/a.317154781638645/5594359700584767/" xr:uid="{00000000-0004-0000-0000-0000E0170000}"/>
    <hyperlink ref="A3059" r:id="rId6114" display="https://www.facebook.com/profile.php?id=100078610847597" xr:uid="{00000000-0004-0000-0000-0000E1170000}"/>
    <hyperlink ref="I3059" r:id="rId6115" display="https://www.facebook.com/rapplerdotcom/posts/pfbid0JJW97xH5fR5tDSLUQ8AnEgkPMU9Aigs9CgcNy2Q7AzJY4R8mRoicBgu3PLdqpf2Tl" xr:uid="{00000000-0004-0000-0000-0000E2170000}"/>
    <hyperlink ref="A3060" r:id="rId6116" display="https://www.facebook.com/profile.php?id=100078704860464" xr:uid="{00000000-0004-0000-0000-0000E3170000}"/>
    <hyperlink ref="I3060" r:id="rId6117" display="https://www.facebook.com/rapplerdotcom/posts/pfbid0JJW97xH5fR5tDSLUQ8AnEgkPMU9Aigs9CgcNy2Q7AzJY4R8mRoicBgu3PLdqpf2Tl" xr:uid="{00000000-0004-0000-0000-0000E4170000}"/>
    <hyperlink ref="A3061" r:id="rId6118" display="https://www.facebook.com/profile.php?id=100078424016875" xr:uid="{00000000-0004-0000-0000-0000E5170000}"/>
    <hyperlink ref="I3061" r:id="rId6119" display="https://www.facebook.com/rapplerdotcom/posts/pfbid0JJW97xH5fR5tDSLUQ8AnEgkPMU9Aigs9CgcNy2Q7AzJY4R8mRoicBgu3PLdqpf2Tl" xr:uid="{00000000-0004-0000-0000-0000E6170000}"/>
    <hyperlink ref="A3062" r:id="rId6120" display="https://www.facebook.com/profile.php?id=100077431578233" xr:uid="{00000000-0004-0000-0000-0000E7170000}"/>
    <hyperlink ref="I3062" r:id="rId6121" display="https://www.facebook.com/rapplerdotcom/posts/pfbid0JJW97xH5fR5tDSLUQ8AnEgkPMU9Aigs9CgcNy2Q7AzJY4R8mRoicBgu3PLdqpf2Tl" xr:uid="{00000000-0004-0000-0000-0000E8170000}"/>
    <hyperlink ref="A3063" r:id="rId6122" display="https://www.facebook.com/vsalmario" xr:uid="{00000000-0004-0000-0000-0000E9170000}"/>
    <hyperlink ref="I3063" r:id="rId6123" display="https://www.facebook.com/rapplerdotcom/posts/pfbid0JJW97xH5fR5tDSLUQ8AnEgkPMU9Aigs9CgcNy2Q7AzJY4R8mRoicBgu3PLdqpf2Tl" xr:uid="{00000000-0004-0000-0000-0000EA170000}"/>
    <hyperlink ref="A3064" r:id="rId6124" display="https://www.facebook.com/bin.abdulmalikimam" xr:uid="{00000000-0004-0000-0000-0000EB170000}"/>
    <hyperlink ref="I3064" r:id="rId6125" display="https://www.facebook.com/rapplerdotcom/posts/pfbid0JJW97xH5fR5tDSLUQ8AnEgkPMU9Aigs9CgcNy2Q7AzJY4R8mRoicBgu3PLdqpf2Tl" xr:uid="{00000000-0004-0000-0000-0000EC170000}"/>
    <hyperlink ref="A3065" r:id="rId6126" display="https://www.facebook.com/mariajovitzzz" xr:uid="{00000000-0004-0000-0000-0000ED170000}"/>
    <hyperlink ref="I3065" r:id="rId6127" display="https://www.facebook.com/rapplerdotcom/posts/pfbid0JJW97xH5fR5tDSLUQ8AnEgkPMU9Aigs9CgcNy2Q7AzJY4R8mRoicBgu3PLdqpf2Tl" xr:uid="{00000000-0004-0000-0000-0000EE170000}"/>
    <hyperlink ref="A3066" r:id="rId6128" display="https://www.facebook.com/profile.php?id=100077170219530" xr:uid="{00000000-0004-0000-0000-0000EF170000}"/>
    <hyperlink ref="I3066" r:id="rId6129" display="https://www.facebook.com/rapplerdotcom/posts/pfbid0JJW97xH5fR5tDSLUQ8AnEgkPMU9Aigs9CgcNy2Q7AzJY4R8mRoicBgu3PLdqpf2Tl" xr:uid="{00000000-0004-0000-0000-0000F0170000}"/>
    <hyperlink ref="A3067" r:id="rId6130" display="https://www.facebook.com/profile.php?id=100075805955471" xr:uid="{00000000-0004-0000-0000-0000F1170000}"/>
    <hyperlink ref="I3067" r:id="rId6131" display="https://www.facebook.com/rapplerdotcom/posts/pfbid0JJW97xH5fR5tDSLUQ8AnEgkPMU9Aigs9CgcNy2Q7AzJY4R8mRoicBgu3PLdqpf2Tl" xr:uid="{00000000-0004-0000-0000-0000F2170000}"/>
    <hyperlink ref="A3068" r:id="rId6132" display="https://www.facebook.com/profile.php?id=100078360290135" xr:uid="{00000000-0004-0000-0000-0000F3170000}"/>
    <hyperlink ref="I3068" r:id="rId6133" display="https://www.facebook.com/rapplerdotcom/posts/pfbid0JJW97xH5fR5tDSLUQ8AnEgkPMU9Aigs9CgcNy2Q7AzJY4R8mRoicBgu3PLdqpf2Tl" xr:uid="{00000000-0004-0000-0000-0000F4170000}"/>
    <hyperlink ref="A3069" r:id="rId6134" display="https://www.facebook.com/profile.php?id=100078889116529" xr:uid="{00000000-0004-0000-0000-0000F5170000}"/>
    <hyperlink ref="I3069" r:id="rId6135" display="https://www.facebook.com/rapplerdotcom/posts/pfbid0JJW97xH5fR5tDSLUQ8AnEgkPMU9Aigs9CgcNy2Q7AzJY4R8mRoicBgu3PLdqpf2Tl" xr:uid="{00000000-0004-0000-0000-0000F6170000}"/>
    <hyperlink ref="A3070" r:id="rId6136" display="https://www.facebook.com/profile.php?id=100077311853138" xr:uid="{00000000-0004-0000-0000-0000F7170000}"/>
    <hyperlink ref="I3070" r:id="rId6137" display="https://www.facebook.com/rapplerdotcom/posts/pfbid0JJW97xH5fR5tDSLUQ8AnEgkPMU9Aigs9CgcNy2Q7AzJY4R8mRoicBgu3PLdqpf2Tl" xr:uid="{00000000-0004-0000-0000-0000F8170000}"/>
    <hyperlink ref="A3071" r:id="rId6138" display="https://www.facebook.com/profile.php?id=100078635051322" xr:uid="{00000000-0004-0000-0000-0000F9170000}"/>
    <hyperlink ref="I3071" r:id="rId6139" display="https://www.facebook.com/rapplerdotcom/posts/pfbid0JJW97xH5fR5tDSLUQ8AnEgkPMU9Aigs9CgcNy2Q7AzJY4R8mRoicBgu3PLdqpf2Tl" xr:uid="{00000000-0004-0000-0000-0000FA170000}"/>
    <hyperlink ref="A3072" r:id="rId6140" display="https://www.facebook.com/profile.php?id=100078958080591" xr:uid="{00000000-0004-0000-0000-0000FB170000}"/>
    <hyperlink ref="I3072" r:id="rId6141" display="https://www.facebook.com/rapplerdotcom/posts/pfbid0JJW97xH5fR5tDSLUQ8AnEgkPMU9Aigs9CgcNy2Q7AzJY4R8mRoicBgu3PLdqpf2Tl" xr:uid="{00000000-0004-0000-0000-0000FC170000}"/>
    <hyperlink ref="A3073" r:id="rId6142" display="https://www.facebook.com/profile.php?id=100078791799526" xr:uid="{00000000-0004-0000-0000-0000FD170000}"/>
    <hyperlink ref="I3073" r:id="rId6143" display="https://www.facebook.com/rapplerdotcom/posts/pfbid0JJW97xH5fR5tDSLUQ8AnEgkPMU9Aigs9CgcNy2Q7AzJY4R8mRoicBgu3PLdqpf2Tl" xr:uid="{00000000-0004-0000-0000-0000FE170000}"/>
    <hyperlink ref="A3074" r:id="rId6144" display="https://www.facebook.com/profile.php?id=100078910084321" xr:uid="{00000000-0004-0000-0000-0000FF170000}"/>
    <hyperlink ref="I3074" r:id="rId6145" display="https://www.facebook.com/rapplerdotcom/posts/pfbid0JJW97xH5fR5tDSLUQ8AnEgkPMU9Aigs9CgcNy2Q7AzJY4R8mRoicBgu3PLdqpf2Tl" xr:uid="{00000000-0004-0000-0000-000000180000}"/>
    <hyperlink ref="A3075" r:id="rId6146" display="https://www.facebook.com/profile.php?id=100078431061985" xr:uid="{00000000-0004-0000-0000-000001180000}"/>
    <hyperlink ref="I3075" r:id="rId6147" display="https://www.facebook.com/rapplerdotcom/posts/pfbid0JJW97xH5fR5tDSLUQ8AnEgkPMU9Aigs9CgcNy2Q7AzJY4R8mRoicBgu3PLdqpf2Tl" xr:uid="{00000000-0004-0000-0000-000002180000}"/>
    <hyperlink ref="A3076" r:id="rId6148" display="https://www.facebook.com/profile.php?id=100078847867707" xr:uid="{00000000-0004-0000-0000-000003180000}"/>
    <hyperlink ref="I3076" r:id="rId6149" display="https://www.facebook.com/rapplerdotcom/posts/pfbid0JJW97xH5fR5tDSLUQ8AnEgkPMU9Aigs9CgcNy2Q7AzJY4R8mRoicBgu3PLdqpf2Tl" xr:uid="{00000000-0004-0000-0000-000004180000}"/>
    <hyperlink ref="A3077" r:id="rId6150" display="https://www.facebook.com/rey.delabe.988" xr:uid="{00000000-0004-0000-0000-000005180000}"/>
    <hyperlink ref="I3077" r:id="rId6151" display="https://www.facebook.com/rapplerdotcom/posts/pfbid0JJW97xH5fR5tDSLUQ8AnEgkPMU9Aigs9CgcNy2Q7AzJY4R8mRoicBgu3PLdqpf2Tl" xr:uid="{00000000-0004-0000-0000-000006180000}"/>
    <hyperlink ref="A3078" r:id="rId6152" display="https://www.facebook.com/profile.php?id=100078672788984" xr:uid="{00000000-0004-0000-0000-000007180000}"/>
    <hyperlink ref="I3078" r:id="rId6153" display="https://www.facebook.com/rapplerdotcom/posts/pfbid0JJW97xH5fR5tDSLUQ8AnEgkPMU9Aigs9CgcNy2Q7AzJY4R8mRoicBgu3PLdqpf2Tl" xr:uid="{00000000-0004-0000-0000-000008180000}"/>
    <hyperlink ref="A3079" r:id="rId6154" display="https://www.facebook.com/bin.abdulmalikimam" xr:uid="{00000000-0004-0000-0000-000009180000}"/>
    <hyperlink ref="I3079" r:id="rId6155" display="https://www.facebook.com/rapplerdotcom/posts/pfbid0JJW97xH5fR5tDSLUQ8AnEgkPMU9Aigs9CgcNy2Q7AzJY4R8mRoicBgu3PLdqpf2Tl" xr:uid="{00000000-0004-0000-0000-00000A180000}"/>
    <hyperlink ref="A3080" r:id="rId6156" display="https://www.facebook.com/dennismanaladd" xr:uid="{00000000-0004-0000-0000-00000B180000}"/>
    <hyperlink ref="I3080" r:id="rId6157" display="https://www.facebook.com/rapplerdotcom/posts/pfbid0JJW97xH5fR5tDSLUQ8AnEgkPMU9Aigs9CgcNy2Q7AzJY4R8mRoicBgu3PLdqpf2Tl" xr:uid="{00000000-0004-0000-0000-00000C180000}"/>
    <hyperlink ref="A3081" r:id="rId6158" display="https://www.facebook.com/profile.php?id=100074253206798" xr:uid="{00000000-0004-0000-0000-00000D180000}"/>
    <hyperlink ref="I3081" r:id="rId6159" display="https://www.facebook.com/rapplerdotcom/posts/pfbid0JJW97xH5fR5tDSLUQ8AnEgkPMU9Aigs9CgcNy2Q7AzJY4R8mRoicBgu3PLdqpf2Tl" xr:uid="{00000000-0004-0000-0000-00000E180000}"/>
    <hyperlink ref="A3082" r:id="rId6160" display="https://www.facebook.com/jed.alegado" xr:uid="{00000000-0004-0000-0000-00000F180000}"/>
    <hyperlink ref="I3082" r:id="rId6161" display="https://www.facebook.com/rapplerdotcom/posts/pfbid0JJW97xH5fR5tDSLUQ8AnEgkPMU9Aigs9CgcNy2Q7AzJY4R8mRoicBgu3PLdqpf2Tl" xr:uid="{00000000-0004-0000-0000-000010180000}"/>
    <hyperlink ref="A3083" r:id="rId6162" display="https://www.facebook.com/gobi.castle.9" xr:uid="{00000000-0004-0000-0000-000011180000}"/>
    <hyperlink ref="I3083" r:id="rId6163" display="https://www.facebook.com/rapplerdotcom/posts/pfbid0JJW97xH5fR5tDSLUQ8AnEgkPMU9Aigs9CgcNy2Q7AzJY4R8mRoicBgu3PLdqpf2Tl" xr:uid="{00000000-0004-0000-0000-000012180000}"/>
    <hyperlink ref="A3084" r:id="rId6164" display="https://www.facebook.com/johndiazcortez" xr:uid="{00000000-0004-0000-0000-000013180000}"/>
    <hyperlink ref="I3084" r:id="rId6165" display="https://www.facebook.com/watch/?v=684555919511830" xr:uid="{00000000-0004-0000-0000-000014180000}"/>
    <hyperlink ref="A3085" r:id="rId6166" display="https://www.facebook.com/honesto.pabilando.7" xr:uid="{00000000-0004-0000-0000-000015180000}"/>
    <hyperlink ref="I3085" r:id="rId6167" display="https://www.facebook.com/watch/?v=684555919511830" xr:uid="{00000000-0004-0000-0000-000016180000}"/>
    <hyperlink ref="A3086" r:id="rId6168" display="https://www.facebook.com/mayette.miranda.9" xr:uid="{00000000-0004-0000-0000-000017180000}"/>
    <hyperlink ref="I3086" r:id="rId6169" display="https://www.facebook.com/watch/?v=684555919511830" xr:uid="{00000000-0004-0000-0000-000018180000}"/>
    <hyperlink ref="A3087" r:id="rId6170" display="https://www.facebook.com/julio.quian" xr:uid="{00000000-0004-0000-0000-000019180000}"/>
    <hyperlink ref="I3087" r:id="rId6171" display="https://www.facebook.com/watch/?v=684555919511830" xr:uid="{00000000-0004-0000-0000-00001A180000}"/>
    <hyperlink ref="A3088" r:id="rId6172" display="https://www.facebook.com/mary.magaling.583" xr:uid="{00000000-0004-0000-0000-00001B180000}"/>
    <hyperlink ref="I3088" r:id="rId6173" display="https://www.facebook.com/watch/?v=684555919511830" xr:uid="{00000000-0004-0000-0000-00001C180000}"/>
    <hyperlink ref="A3089" r:id="rId6174" display="https://www.facebook.com/addie.arano" xr:uid="{00000000-0004-0000-0000-00001D180000}"/>
    <hyperlink ref="I3089" r:id="rId6175" display="https://www.facebook.com/watch/?v=684555919511830" xr:uid="{00000000-0004-0000-0000-00001E180000}"/>
    <hyperlink ref="A3090" r:id="rId6176" display="https://www.facebook.com/tony.deguzman.104" xr:uid="{00000000-0004-0000-0000-00001F180000}"/>
    <hyperlink ref="I3090" r:id="rId6177" display="https://www.facebook.com/watch/?v=684555919511830" xr:uid="{00000000-0004-0000-0000-000020180000}"/>
    <hyperlink ref="A3091" r:id="rId6178" display="https://www.facebook.com/tambay.lang.7792" xr:uid="{00000000-0004-0000-0000-000021180000}"/>
    <hyperlink ref="I3091" r:id="rId6179" display="https://www.facebook.com/watch/?v=684555919511830" xr:uid="{00000000-0004-0000-0000-000022180000}"/>
    <hyperlink ref="A3092" r:id="rId6180" display="https://www.facebook.com/irisbadinas" xr:uid="{00000000-0004-0000-0000-000023180000}"/>
    <hyperlink ref="I3092" r:id="rId6181" display="https://www.facebook.com/watch/?v=684555919511830" xr:uid="{00000000-0004-0000-0000-000024180000}"/>
    <hyperlink ref="A3093" r:id="rId6182" display="https://www.facebook.com/geronima.hansen" xr:uid="{00000000-0004-0000-0000-000025180000}"/>
    <hyperlink ref="I3093" r:id="rId6183" display="https://www.facebook.com/watch/?v=684555919511830" xr:uid="{00000000-0004-0000-0000-000026180000}"/>
    <hyperlink ref="A3094" r:id="rId6184" display="https://www.facebook.com/mary.magaling.583" xr:uid="{00000000-0004-0000-0000-000027180000}"/>
    <hyperlink ref="I3094" r:id="rId6185" display="https://www.facebook.com/watch/?v=684555919511830" xr:uid="{00000000-0004-0000-0000-000028180000}"/>
    <hyperlink ref="A3095" r:id="rId6186" display="https://www.facebook.com/profile.php?id=100079559509251" xr:uid="{00000000-0004-0000-0000-000029180000}"/>
    <hyperlink ref="I3095" r:id="rId6187" display="https://www.facebook.com/watch/?v=684555919511830" xr:uid="{00000000-0004-0000-0000-00002A180000}"/>
    <hyperlink ref="A3096" r:id="rId6188" display="https://www.facebook.com/olracyer.nadneba.3" xr:uid="{00000000-0004-0000-0000-00002B180000}"/>
    <hyperlink ref="I3096" r:id="rId6189" display="https://www.facebook.com/watch/?v=684555919511830" xr:uid="{00000000-0004-0000-0000-00002C180000}"/>
    <hyperlink ref="A3097" r:id="rId6190" display="https://www.facebook.com/profile.php?id=100008940702894" xr:uid="{00000000-0004-0000-0000-00002D180000}"/>
    <hyperlink ref="I3097" r:id="rId6191" display="https://www.facebook.com/watch/?v=684555919511830" xr:uid="{00000000-0004-0000-0000-00002E180000}"/>
    <hyperlink ref="A3098" r:id="rId6192" display="https://www.facebook.com/argen.azarcon.7" xr:uid="{00000000-0004-0000-0000-00002F180000}"/>
    <hyperlink ref="I3098" r:id="rId6193" display="https://www.facebook.com/watch/?v=684555919511830" xr:uid="{00000000-0004-0000-0000-000030180000}"/>
    <hyperlink ref="A3099" r:id="rId6194" display="https://www.facebook.com/mayette.miranda.9" xr:uid="{00000000-0004-0000-0000-000031180000}"/>
    <hyperlink ref="I3099" r:id="rId6195" display="https://www.facebook.com/watch/?v=684555919511830" xr:uid="{00000000-0004-0000-0000-000032180000}"/>
    <hyperlink ref="A3100" r:id="rId6196" display="https://www.facebook.com/profile.php?id=100045960874317" xr:uid="{00000000-0004-0000-0000-000033180000}"/>
    <hyperlink ref="I3100" r:id="rId6197" display="https://www.facebook.com/watch/?v=684555919511830" xr:uid="{00000000-0004-0000-0000-000034180000}"/>
    <hyperlink ref="A3101" r:id="rId6198" display="https://www.facebook.com/angeles.soriben" xr:uid="{00000000-0004-0000-0000-000035180000}"/>
    <hyperlink ref="I3101" r:id="rId6199" display="https://www.facebook.com/watch/?v=684555919511830" xr:uid="{00000000-0004-0000-0000-000036180000}"/>
    <hyperlink ref="A3102" r:id="rId6200" display="https://www.facebook.com/yztik.yaj" xr:uid="{00000000-0004-0000-0000-000037180000}"/>
    <hyperlink ref="I3102" r:id="rId6201" display="https://www.facebook.com/watch/?v=684555919511830" xr:uid="{00000000-0004-0000-0000-000038180000}"/>
    <hyperlink ref="A3103" r:id="rId6202" display="https://www.facebook.com/profile.php?id=100010435327642" xr:uid="{00000000-0004-0000-0000-000039180000}"/>
    <hyperlink ref="I3103" r:id="rId6203" display="https://www.facebook.com/watch/?v=684555919511830" xr:uid="{00000000-0004-0000-0000-00003A180000}"/>
    <hyperlink ref="A3104" r:id="rId6204" display="https://www.facebook.com/profile.php?id=100010628258142" xr:uid="{00000000-0004-0000-0000-00003B180000}"/>
    <hyperlink ref="I3104" r:id="rId6205" display="https://www.facebook.com/watch/?v=684555919511830" xr:uid="{00000000-0004-0000-0000-00003C180000}"/>
    <hyperlink ref="A3105" r:id="rId6206" display="https://www.facebook.com/ryan.ampasu.9" xr:uid="{00000000-0004-0000-0000-00003D180000}"/>
    <hyperlink ref="I3105" r:id="rId6207" display="https://www.facebook.com/watch/?v=684555919511830" xr:uid="{00000000-0004-0000-0000-00003E180000}"/>
    <hyperlink ref="A3106" r:id="rId6208" display="https://www.facebook.com/rlyn.caipang" xr:uid="{00000000-0004-0000-0000-00003F180000}"/>
    <hyperlink ref="I3106" r:id="rId6209" display="https://www.facebook.com/watch/?v=684555919511830" xr:uid="{00000000-0004-0000-0000-000040180000}"/>
    <hyperlink ref="A3107" r:id="rId6210" display="https://www.facebook.com/donna.arepiso" xr:uid="{00000000-0004-0000-0000-000041180000}"/>
    <hyperlink ref="I3107" r:id="rId6211" display="https://www.facebook.com/watch/?v=684555919511830" xr:uid="{00000000-0004-0000-0000-000042180000}"/>
    <hyperlink ref="A3108" r:id="rId6212" display="https://www.facebook.com/profile.php?id=100069544954062" xr:uid="{00000000-0004-0000-0000-000043180000}"/>
    <hyperlink ref="I3108" r:id="rId6213" display="https://www.facebook.com/watch/?v=684555919511830" xr:uid="{00000000-0004-0000-0000-000044180000}"/>
    <hyperlink ref="A3109" r:id="rId6214" display="https://www.facebook.com/rolly.dejesus.18" xr:uid="{00000000-0004-0000-0000-000045180000}"/>
    <hyperlink ref="I3109" r:id="rId6215" display="https://www.facebook.com/watch/?v=684555919511830" xr:uid="{00000000-0004-0000-0000-000046180000}"/>
    <hyperlink ref="A3110" r:id="rId6216" display="https://www.facebook.com/rigelle.fernandez.39" xr:uid="{00000000-0004-0000-0000-000047180000}"/>
    <hyperlink ref="I3110" r:id="rId6217" display="https://www.facebook.com/watch/?v=684555919511830" xr:uid="{00000000-0004-0000-0000-000048180000}"/>
    <hyperlink ref="A3111" r:id="rId6218" display="https://www.facebook.com/profile.php?id=100073277073791" xr:uid="{00000000-0004-0000-0000-000049180000}"/>
    <hyperlink ref="I3111" r:id="rId6219" display="https://www.facebook.com/watch/?v=684555919511830" xr:uid="{00000000-0004-0000-0000-00004A180000}"/>
    <hyperlink ref="A3112" r:id="rId6220" display="https://www.facebook.com/ivan.taneomoreno.9" xr:uid="{00000000-0004-0000-0000-00004B180000}"/>
    <hyperlink ref="I3112" r:id="rId6221" display="https://www.facebook.com/watch/?v=684555919511830" xr:uid="{00000000-0004-0000-0000-00004C180000}"/>
    <hyperlink ref="A3113" r:id="rId6222" display="https://www.facebook.com/richard.saveron" xr:uid="{00000000-0004-0000-0000-00004D180000}"/>
    <hyperlink ref="I3113" r:id="rId6223" display="https://www.facebook.com/watch/?v=684555919511830" xr:uid="{00000000-0004-0000-0000-00004E180000}"/>
    <hyperlink ref="A3114" r:id="rId6224" display="https://www.facebook.com/sumalpong.juwelsaberon" xr:uid="{00000000-0004-0000-0000-00004F180000}"/>
    <hyperlink ref="I3114" r:id="rId6225" display="https://www.facebook.com/watch/?v=684555919511830" xr:uid="{00000000-0004-0000-0000-000050180000}"/>
    <hyperlink ref="A3115" r:id="rId6226" display="https://www.facebook.com/ervin.alagao.5" xr:uid="{00000000-0004-0000-0000-000051180000}"/>
    <hyperlink ref="I3115" r:id="rId6227" display="https://www.facebook.com/watch/?v=684555919511830" xr:uid="{00000000-0004-0000-0000-000052180000}"/>
    <hyperlink ref="A3116" r:id="rId6228" display="https://www.facebook.com/profile.php?id=100073839987788" xr:uid="{00000000-0004-0000-0000-000053180000}"/>
    <hyperlink ref="I3116" r:id="rId6229" display="https://www.facebook.com/watch/?v=684555919511830" xr:uid="{00000000-0004-0000-0000-00005418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 Dorado</cp:lastModifiedBy>
  <dcterms:modified xsi:type="dcterms:W3CDTF">2022-08-12T10:26:41Z</dcterms:modified>
</cp:coreProperties>
</file>