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50" windowWidth="15480" windowHeight="8415" tabRatio="817" firstSheet="13" activeTab="17"/>
  </bookViews>
  <sheets>
    <sheet name="Data" sheetId="8" r:id="rId1"/>
    <sheet name="HousingSales" sheetId="9" r:id="rId2"/>
    <sheet name="HousingSales Forecast" sheetId="28" r:id="rId3"/>
    <sheet name="HousingStarts" sheetId="10" r:id="rId4"/>
    <sheet name="HousingStarts Forecast" sheetId="29" r:id="rId5"/>
    <sheet name="Population" sheetId="11" r:id="rId6"/>
    <sheet name="PopulationForecast" sheetId="22" r:id="rId7"/>
    <sheet name="Unemployment" sheetId="12" r:id="rId8"/>
    <sheet name="Unemployment Forecast" sheetId="23" r:id="rId9"/>
    <sheet name="Average Family Income" sheetId="13" r:id="rId10"/>
    <sheet name="Average Family Income Forecast" sheetId="24" r:id="rId11"/>
    <sheet name="Average Unattached Individuals" sheetId="14" r:id="rId12"/>
    <sheet name="Average Unattached Forecast" sheetId="25" r:id="rId13"/>
    <sheet name="BC GDP" sheetId="15" r:id="rId14"/>
    <sheet name="BC GDP Forecast" sheetId="26" r:id="rId15"/>
    <sheet name="Mortgage Interest Rates" sheetId="19" r:id="rId16"/>
    <sheet name="Mortgage Int Rate Forsecast" sheetId="27" r:id="rId17"/>
    <sheet name="Housing Simulation" sheetId="17" r:id="rId18"/>
    <sheet name="Weights" sheetId="20" r:id="rId19"/>
    <sheet name="Projections" sheetId="30" r:id="rId20"/>
  </sheets>
  <definedNames>
    <definedName name="a" localSheetId="9">'Average Family Income'!$I$6</definedName>
    <definedName name="a" localSheetId="11">'Average Unattached Individuals'!$I$6</definedName>
    <definedName name="a" localSheetId="13">'BC GDP'!$I$6</definedName>
    <definedName name="a" localSheetId="1">HousingSales!$I$6</definedName>
    <definedName name="a" localSheetId="3">HousingStarts!$I$6</definedName>
    <definedName name="a" localSheetId="15">'Mortgage Interest Rates'!$I$6</definedName>
    <definedName name="a" localSheetId="5">Population!$I$6</definedName>
    <definedName name="a" localSheetId="7">Unemployment!$I$6</definedName>
    <definedName name="ActualValue" localSheetId="10">'Average Family Income Forecast'!$B$4:$B$22</definedName>
    <definedName name="ActualValue" localSheetId="12">'Average Unattached Forecast'!$B$4:$B$22</definedName>
    <definedName name="ActualValue" localSheetId="14">'BC GDP Forecast'!$B$4:$B$22</definedName>
    <definedName name="ActualValue" localSheetId="2">'HousingSales Forecast'!$B$4:$B$22</definedName>
    <definedName name="ActualValue" localSheetId="4">'HousingStarts Forecast'!$B$4:$B$22</definedName>
    <definedName name="ActualValue" localSheetId="16">'Mortgage Int Rate Forsecast'!$B$4:$B$22</definedName>
    <definedName name="ActualValue" localSheetId="6">PopulationForecast!$B$4:$B$22</definedName>
    <definedName name="ActualValue" localSheetId="8">'Unemployment Forecast'!$B$4:$B$22</definedName>
    <definedName name="Alpha" localSheetId="10">'Average Family Income Forecast'!$I$11</definedName>
    <definedName name="Alpha" localSheetId="12">'Average Unattached Forecast'!$I$11</definedName>
    <definedName name="Alpha" localSheetId="14">'BC GDP Forecast'!$I$11</definedName>
    <definedName name="Alpha" localSheetId="2">'HousingSales Forecast'!$I$11</definedName>
    <definedName name="Alpha" localSheetId="4">'HousingStarts Forecast'!$I$11</definedName>
    <definedName name="Alpha" localSheetId="16">'Mortgage Int Rate Forsecast'!$I$11</definedName>
    <definedName name="Alpha" localSheetId="6">PopulationForecast!$I$11</definedName>
    <definedName name="Alpha" localSheetId="8">'Unemployment Forecast'!$I$11</definedName>
    <definedName name="b" localSheetId="9">'Average Family Income'!$I$7</definedName>
    <definedName name="b" localSheetId="11">'Average Unattached Individuals'!$I$7</definedName>
    <definedName name="b" localSheetId="13">'BC GDP'!$I$7</definedName>
    <definedName name="b" localSheetId="1">HousingSales!$I$7</definedName>
    <definedName name="b" localSheetId="3">HousingStarts!$I$7</definedName>
    <definedName name="b" localSheetId="15">'Mortgage Interest Rates'!$I$7</definedName>
    <definedName name="b" localSheetId="5">Population!$I$7</definedName>
    <definedName name="b" localSheetId="7">Unemployment!$I$7</definedName>
    <definedName name="Beta" localSheetId="10">'Average Family Income Forecast'!$I$14</definedName>
    <definedName name="Beta" localSheetId="12">'Average Unattached Forecast'!$I$14</definedName>
    <definedName name="Beta" localSheetId="14">'BC GDP Forecast'!$I$14</definedName>
    <definedName name="Beta" localSheetId="2">'HousingSales Forecast'!$I$14</definedName>
    <definedName name="Beta" localSheetId="4">'HousingStarts Forecast'!$I$14</definedName>
    <definedName name="Beta" localSheetId="16">'Mortgage Int Rate Forsecast'!$I$14</definedName>
    <definedName name="Beta" localSheetId="6">PopulationForecast!$I$14</definedName>
    <definedName name="Beta" localSheetId="8">'Unemployment Forecast'!$I$14</definedName>
    <definedName name="DependentVariable" localSheetId="9">'Average Family Income'!$C$5:$C$23</definedName>
    <definedName name="DependentVariable" localSheetId="11">'Average Unattached Individuals'!$C$5:$C$23</definedName>
    <definedName name="DependentVariable" localSheetId="13">'BC GDP'!$C$5:$C$23</definedName>
    <definedName name="DependentVariable" localSheetId="1">HousingSales!$C$5:$C$23</definedName>
    <definedName name="DependentVariable" localSheetId="3">HousingStarts!$C$5:$C$23</definedName>
    <definedName name="DependentVariable" localSheetId="15">'Mortgage Interest Rates'!$C$5:$C$23</definedName>
    <definedName name="DependentVariable" localSheetId="5">Population!$C$5:$C$23</definedName>
    <definedName name="DependentVariable" localSheetId="7">Unemployment!$C$5:$C$23</definedName>
    <definedName name="ForecastingError" localSheetId="10">'Average Family Income Forecast'!$F$5:$F$22</definedName>
    <definedName name="ForecastingError" localSheetId="12">'Average Unattached Forecast'!$F$5:$F$22</definedName>
    <definedName name="ForecastingError" localSheetId="14">'BC GDP Forecast'!$F$5:$F$22</definedName>
    <definedName name="ForecastingError" localSheetId="2">'HousingSales Forecast'!$F$5:$F$22</definedName>
    <definedName name="ForecastingError" localSheetId="4">'HousingStarts Forecast'!$F$5:$F$22</definedName>
    <definedName name="ForecastingError" localSheetId="16">'Mortgage Int Rate Forsecast'!$F$5:$F$22</definedName>
    <definedName name="ForecastingError" localSheetId="6">PopulationForecast!$F$5:$F$22</definedName>
    <definedName name="ForecastingError" localSheetId="8">'Unemployment Forecast'!$F$5:$F$22</definedName>
    <definedName name="ForecastValue" localSheetId="10">'Average Family Income Forecast'!$E$4:$E$22</definedName>
    <definedName name="ForecastValue" localSheetId="12">'Average Unattached Forecast'!$E$4:$E$22</definedName>
    <definedName name="ForecastValue" localSheetId="14">'BC GDP Forecast'!$E$4:$E$22</definedName>
    <definedName name="ForecastValue" localSheetId="2">'HousingSales Forecast'!$E$4:$E$22</definedName>
    <definedName name="ForecastValue" localSheetId="4">'HousingStarts Forecast'!$E$4:$E$22</definedName>
    <definedName name="ForecastValue" localSheetId="16">'Mortgage Int Rate Forsecast'!$E$4:$E$22</definedName>
    <definedName name="ForecastValue" localSheetId="6">PopulationForecast!$E$4:$E$22</definedName>
    <definedName name="ForecastValue" localSheetId="8">'Unemployment Forecast'!$E$4:$E$22</definedName>
    <definedName name="IndependentVariable" localSheetId="9">'Average Family Income'!$B$5:$B$23</definedName>
    <definedName name="IndependentVariable" localSheetId="11">'Average Unattached Individuals'!$B$5:$B$23</definedName>
    <definedName name="IndependentVariable" localSheetId="13">'BC GDP'!$B$5:$B$23</definedName>
    <definedName name="IndependentVariable" localSheetId="1">HousingSales!$B$5:$B$23</definedName>
    <definedName name="IndependentVariable" localSheetId="3">HousingStarts!$B$5:$B$23</definedName>
    <definedName name="IndependentVariable" localSheetId="15">'Mortgage Interest Rates'!$B$5:$B$23</definedName>
    <definedName name="IndependentVariable" localSheetId="5">Population!$B$5:$B$23</definedName>
    <definedName name="IndependentVariable" localSheetId="7">Unemployment!$B$5:$B$23</definedName>
  </definedNames>
  <calcPr calcId="125725"/>
</workbook>
</file>

<file path=xl/calcChain.xml><?xml version="1.0" encoding="utf-8"?>
<calcChain xmlns="http://schemas.openxmlformats.org/spreadsheetml/2006/main">
  <c r="L8" i="17"/>
  <c r="M7"/>
  <c r="B10" i="30"/>
  <c r="J2" i="17" s="1"/>
  <c r="B6" i="30"/>
  <c r="F2" i="17" s="1"/>
  <c r="B5" i="30"/>
  <c r="E2" i="17" s="1"/>
  <c r="B4" i="30"/>
  <c r="D2" i="17" s="1"/>
  <c r="C22" i="29"/>
  <c r="C21"/>
  <c r="C20"/>
  <c r="C19"/>
  <c r="C18"/>
  <c r="C17"/>
  <c r="C16"/>
  <c r="C15"/>
  <c r="C14"/>
  <c r="C13"/>
  <c r="C12"/>
  <c r="C11"/>
  <c r="C10"/>
  <c r="C9"/>
  <c r="C8"/>
  <c r="C7"/>
  <c r="C6"/>
  <c r="E5"/>
  <c r="F5" s="1"/>
  <c r="C5"/>
  <c r="D5" s="1"/>
  <c r="F4"/>
  <c r="C22" i="28"/>
  <c r="C21"/>
  <c r="C20"/>
  <c r="C19"/>
  <c r="C18"/>
  <c r="C17"/>
  <c r="C16"/>
  <c r="C15"/>
  <c r="C14"/>
  <c r="C13"/>
  <c r="C12"/>
  <c r="C11"/>
  <c r="C10"/>
  <c r="C9"/>
  <c r="C8"/>
  <c r="C7"/>
  <c r="C6"/>
  <c r="E5"/>
  <c r="F5" s="1"/>
  <c r="C5"/>
  <c r="D5" s="1"/>
  <c r="F4"/>
  <c r="C22" i="27"/>
  <c r="C21"/>
  <c r="C20"/>
  <c r="C19"/>
  <c r="C18"/>
  <c r="C17"/>
  <c r="C16"/>
  <c r="C15"/>
  <c r="C14"/>
  <c r="C13"/>
  <c r="C12"/>
  <c r="C11"/>
  <c r="C10"/>
  <c r="C9"/>
  <c r="C8"/>
  <c r="C7"/>
  <c r="C6"/>
  <c r="E5"/>
  <c r="F5" s="1"/>
  <c r="C5"/>
  <c r="D5" s="1"/>
  <c r="F4"/>
  <c r="C22" i="26"/>
  <c r="C21"/>
  <c r="C20"/>
  <c r="C19"/>
  <c r="C18"/>
  <c r="C17"/>
  <c r="C16"/>
  <c r="C15"/>
  <c r="C14"/>
  <c r="C13"/>
  <c r="C12"/>
  <c r="C11"/>
  <c r="C10"/>
  <c r="C9"/>
  <c r="C8"/>
  <c r="C7"/>
  <c r="C6"/>
  <c r="E5"/>
  <c r="F5" s="1"/>
  <c r="C5"/>
  <c r="D5" s="1"/>
  <c r="F4"/>
  <c r="C22" i="25"/>
  <c r="C21"/>
  <c r="C20"/>
  <c r="C19"/>
  <c r="C18"/>
  <c r="C17"/>
  <c r="C16"/>
  <c r="C15"/>
  <c r="C14"/>
  <c r="C13"/>
  <c r="C12"/>
  <c r="C11"/>
  <c r="C10"/>
  <c r="C9"/>
  <c r="C8"/>
  <c r="C7"/>
  <c r="C6"/>
  <c r="E5"/>
  <c r="F5" s="1"/>
  <c r="C5"/>
  <c r="D5" s="1"/>
  <c r="F4"/>
  <c r="C22" i="24"/>
  <c r="C21"/>
  <c r="C20"/>
  <c r="C19"/>
  <c r="C18"/>
  <c r="C17"/>
  <c r="C16"/>
  <c r="C15"/>
  <c r="C14"/>
  <c r="C13"/>
  <c r="C12"/>
  <c r="C11"/>
  <c r="C10"/>
  <c r="C9"/>
  <c r="C8"/>
  <c r="C7"/>
  <c r="C6"/>
  <c r="E5"/>
  <c r="F5" s="1"/>
  <c r="C5"/>
  <c r="D5" s="1"/>
  <c r="F4"/>
  <c r="C22" i="23"/>
  <c r="C21"/>
  <c r="C20"/>
  <c r="C19"/>
  <c r="C18"/>
  <c r="C17"/>
  <c r="C16"/>
  <c r="C15"/>
  <c r="C14"/>
  <c r="C13"/>
  <c r="C12"/>
  <c r="C11"/>
  <c r="C10"/>
  <c r="C9"/>
  <c r="C8"/>
  <c r="C7"/>
  <c r="C6"/>
  <c r="E5"/>
  <c r="F5" s="1"/>
  <c r="C5"/>
  <c r="D5" s="1"/>
  <c r="F4"/>
  <c r="C6" i="22"/>
  <c r="C7"/>
  <c r="C8"/>
  <c r="C9"/>
  <c r="C10"/>
  <c r="C11"/>
  <c r="C12"/>
  <c r="C13"/>
  <c r="C14"/>
  <c r="C15"/>
  <c r="C16"/>
  <c r="C17"/>
  <c r="C18"/>
  <c r="C19"/>
  <c r="C20"/>
  <c r="C21"/>
  <c r="C22"/>
  <c r="C5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F4"/>
  <c r="E6" i="29" l="1"/>
  <c r="E6" i="28"/>
  <c r="F6" s="1"/>
  <c r="D6" i="29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F6"/>
  <c r="D6" i="28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E6" i="27"/>
  <c r="D6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F6"/>
  <c r="E6" i="26"/>
  <c r="F6" s="1"/>
  <c r="D6"/>
  <c r="D7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E6" i="25"/>
  <c r="D6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F6"/>
  <c r="E6" i="24"/>
  <c r="F6" s="1"/>
  <c r="D6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E6" i="23"/>
  <c r="F6" s="1"/>
  <c r="D6"/>
  <c r="E5" i="22"/>
  <c r="E7" i="29" l="1"/>
  <c r="E7" i="28"/>
  <c r="F7" s="1"/>
  <c r="E8" i="29"/>
  <c r="F7"/>
  <c r="E7" i="25"/>
  <c r="E8" i="28"/>
  <c r="E7" i="27"/>
  <c r="F7" s="1"/>
  <c r="E7" i="24"/>
  <c r="E8" i="27"/>
  <c r="E7" i="26"/>
  <c r="F7" s="1"/>
  <c r="F7" i="25"/>
  <c r="E8"/>
  <c r="E8" i="24"/>
  <c r="F7"/>
  <c r="E7" i="23"/>
  <c r="D7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F7"/>
  <c r="E6" i="22"/>
  <c r="F5"/>
  <c r="E8" i="26" l="1"/>
  <c r="E9" i="29"/>
  <c r="F8"/>
  <c r="E9" i="28"/>
  <c r="F8"/>
  <c r="E9" i="27"/>
  <c r="F8"/>
  <c r="E9" i="26"/>
  <c r="F8"/>
  <c r="E9" i="25"/>
  <c r="F8"/>
  <c r="E9" i="24"/>
  <c r="F8"/>
  <c r="E8" i="23"/>
  <c r="E9" s="1"/>
  <c r="E7" i="22"/>
  <c r="F6"/>
  <c r="F9" i="29" l="1"/>
  <c r="E10"/>
  <c r="F9" i="28"/>
  <c r="E10"/>
  <c r="F9" i="27"/>
  <c r="E10"/>
  <c r="E10" i="26"/>
  <c r="F9"/>
  <c r="E10" i="25"/>
  <c r="F9"/>
  <c r="F9" i="24"/>
  <c r="E10"/>
  <c r="F8" i="23"/>
  <c r="F9"/>
  <c r="E10"/>
  <c r="E8" i="22"/>
  <c r="F7"/>
  <c r="F10" i="29" l="1"/>
  <c r="E11"/>
  <c r="F10" i="28"/>
  <c r="E11"/>
  <c r="F10" i="27"/>
  <c r="E11"/>
  <c r="E11" i="26"/>
  <c r="F10"/>
  <c r="E11" i="25"/>
  <c r="F10"/>
  <c r="F10" i="24"/>
  <c r="E11"/>
  <c r="F10" i="23"/>
  <c r="E11"/>
  <c r="E9" i="22"/>
  <c r="F8"/>
  <c r="F11" i="29" l="1"/>
  <c r="E12"/>
  <c r="F11" i="28"/>
  <c r="E12"/>
  <c r="F11" i="27"/>
  <c r="E12"/>
  <c r="E12" i="26"/>
  <c r="F11"/>
  <c r="E12" i="25"/>
  <c r="F11"/>
  <c r="F11" i="24"/>
  <c r="E12"/>
  <c r="F11" i="23"/>
  <c r="E12"/>
  <c r="E10" i="22"/>
  <c r="F9"/>
  <c r="F12" i="29" l="1"/>
  <c r="E13"/>
  <c r="F12" i="28"/>
  <c r="E13"/>
  <c r="F12" i="27"/>
  <c r="E13"/>
  <c r="E13" i="26"/>
  <c r="F12"/>
  <c r="E13" i="25"/>
  <c r="F12"/>
  <c r="F12" i="24"/>
  <c r="E13"/>
  <c r="F12" i="23"/>
  <c r="E13"/>
  <c r="E11" i="22"/>
  <c r="F10"/>
  <c r="F13" i="29" l="1"/>
  <c r="E14"/>
  <c r="F13" i="28"/>
  <c r="E14"/>
  <c r="F13" i="27"/>
  <c r="E14"/>
  <c r="E14" i="26"/>
  <c r="F13"/>
  <c r="E14" i="25"/>
  <c r="F13"/>
  <c r="F13" i="24"/>
  <c r="E14"/>
  <c r="F13" i="23"/>
  <c r="E14"/>
  <c r="E12" i="22"/>
  <c r="F11"/>
  <c r="B17" i="20"/>
  <c r="E3" i="17" s="1"/>
  <c r="B16" i="20"/>
  <c r="J3" i="17" s="1"/>
  <c r="B15" i="20"/>
  <c r="F3" i="17" s="1"/>
  <c r="F14" i="29" l="1"/>
  <c r="E15"/>
  <c r="F14" i="28"/>
  <c r="E15"/>
  <c r="F14" i="27"/>
  <c r="E15"/>
  <c r="E15" i="26"/>
  <c r="F14"/>
  <c r="E15" i="25"/>
  <c r="F14"/>
  <c r="F14" i="24"/>
  <c r="E15"/>
  <c r="F14" i="23"/>
  <c r="E15"/>
  <c r="E13" i="22"/>
  <c r="F12"/>
  <c r="C23" i="19"/>
  <c r="C22"/>
  <c r="C21"/>
  <c r="C20"/>
  <c r="C19"/>
  <c r="C18"/>
  <c r="C17"/>
  <c r="C16"/>
  <c r="C15"/>
  <c r="C14"/>
  <c r="C13"/>
  <c r="C12"/>
  <c r="C11"/>
  <c r="C10"/>
  <c r="C9"/>
  <c r="C8"/>
  <c r="C7"/>
  <c r="C6"/>
  <c r="C5"/>
  <c r="C23" i="15"/>
  <c r="C22"/>
  <c r="C21"/>
  <c r="C20"/>
  <c r="C19"/>
  <c r="C18"/>
  <c r="C17"/>
  <c r="C16"/>
  <c r="C15"/>
  <c r="C14"/>
  <c r="C13"/>
  <c r="C12"/>
  <c r="C11"/>
  <c r="C10"/>
  <c r="C9"/>
  <c r="C8"/>
  <c r="C7"/>
  <c r="C6"/>
  <c r="C5"/>
  <c r="C23" i="14"/>
  <c r="C22"/>
  <c r="C21"/>
  <c r="C20"/>
  <c r="C19"/>
  <c r="C18"/>
  <c r="C17"/>
  <c r="C16"/>
  <c r="C15"/>
  <c r="C14"/>
  <c r="C13"/>
  <c r="C12"/>
  <c r="C11"/>
  <c r="C10"/>
  <c r="C9"/>
  <c r="C8"/>
  <c r="C7"/>
  <c r="C6"/>
  <c r="C5"/>
  <c r="C23" i="13"/>
  <c r="C22"/>
  <c r="C21"/>
  <c r="C20"/>
  <c r="C19"/>
  <c r="C18"/>
  <c r="C17"/>
  <c r="C16"/>
  <c r="C15"/>
  <c r="C14"/>
  <c r="C13"/>
  <c r="C12"/>
  <c r="C11"/>
  <c r="C10"/>
  <c r="C9"/>
  <c r="C8"/>
  <c r="C7"/>
  <c r="C6"/>
  <c r="C5"/>
  <c r="C23" i="12"/>
  <c r="C22"/>
  <c r="C21"/>
  <c r="C20"/>
  <c r="C19"/>
  <c r="C18"/>
  <c r="C17"/>
  <c r="C16"/>
  <c r="C15"/>
  <c r="C14"/>
  <c r="C13"/>
  <c r="C12"/>
  <c r="C11"/>
  <c r="C10"/>
  <c r="C9"/>
  <c r="C8"/>
  <c r="C7"/>
  <c r="C6"/>
  <c r="C5"/>
  <c r="C23" i="11"/>
  <c r="C22"/>
  <c r="C21"/>
  <c r="C20"/>
  <c r="C19"/>
  <c r="C18"/>
  <c r="C17"/>
  <c r="C16"/>
  <c r="C15"/>
  <c r="C14"/>
  <c r="C13"/>
  <c r="C12"/>
  <c r="C11"/>
  <c r="C10"/>
  <c r="C9"/>
  <c r="C8"/>
  <c r="C7"/>
  <c r="C6"/>
  <c r="C5"/>
  <c r="C23" i="10"/>
  <c r="C22"/>
  <c r="C21"/>
  <c r="C20"/>
  <c r="C19"/>
  <c r="C18"/>
  <c r="C17"/>
  <c r="C16"/>
  <c r="C15"/>
  <c r="C14"/>
  <c r="C13"/>
  <c r="C12"/>
  <c r="C11"/>
  <c r="C10"/>
  <c r="C9"/>
  <c r="C8"/>
  <c r="C7"/>
  <c r="C6"/>
  <c r="C5"/>
  <c r="C23" i="9"/>
  <c r="C22"/>
  <c r="C21"/>
  <c r="C20"/>
  <c r="C19"/>
  <c r="C18"/>
  <c r="C17"/>
  <c r="C16"/>
  <c r="C15"/>
  <c r="C14"/>
  <c r="C13"/>
  <c r="C12"/>
  <c r="C11"/>
  <c r="C10"/>
  <c r="C9"/>
  <c r="C8"/>
  <c r="C7"/>
  <c r="C6"/>
  <c r="C5"/>
  <c r="I7" i="19"/>
  <c r="B11" i="20" s="1"/>
  <c r="C11" s="1"/>
  <c r="I6" i="19"/>
  <c r="B24" i="14"/>
  <c r="B8" i="30" s="1"/>
  <c r="H2" i="17" s="1"/>
  <c r="B24" i="13"/>
  <c r="B7" i="30" s="1"/>
  <c r="G2" i="17" s="1"/>
  <c r="B24" i="15"/>
  <c r="B24" i="9"/>
  <c r="B3" i="30" s="1"/>
  <c r="C2" i="17" s="1"/>
  <c r="I2" l="1"/>
  <c r="B9" i="30"/>
  <c r="F15" i="29"/>
  <c r="E16"/>
  <c r="F15" i="28"/>
  <c r="E16"/>
  <c r="F15" i="27"/>
  <c r="E16"/>
  <c r="E16" i="26"/>
  <c r="F15"/>
  <c r="E16" i="25"/>
  <c r="F15"/>
  <c r="F15" i="24"/>
  <c r="E16"/>
  <c r="F15" i="23"/>
  <c r="E16"/>
  <c r="E14" i="22"/>
  <c r="F13"/>
  <c r="D24" i="19"/>
  <c r="D5"/>
  <c r="E5" s="1"/>
  <c r="F5" s="1"/>
  <c r="D9"/>
  <c r="E9" s="1"/>
  <c r="F9" s="1"/>
  <c r="D11"/>
  <c r="E11" s="1"/>
  <c r="F11" s="1"/>
  <c r="D12"/>
  <c r="E12" s="1"/>
  <c r="F12" s="1"/>
  <c r="D14"/>
  <c r="E14" s="1"/>
  <c r="F14" s="1"/>
  <c r="D15"/>
  <c r="E15" s="1"/>
  <c r="F15" s="1"/>
  <c r="D17"/>
  <c r="E17" s="1"/>
  <c r="F17" s="1"/>
  <c r="I18"/>
  <c r="D20"/>
  <c r="E20" s="1"/>
  <c r="F20" s="1"/>
  <c r="D22"/>
  <c r="E22" s="1"/>
  <c r="F22" s="1"/>
  <c r="D6"/>
  <c r="E6" s="1"/>
  <c r="F6" s="1"/>
  <c r="D7"/>
  <c r="E7" s="1"/>
  <c r="F7" s="1"/>
  <c r="D8"/>
  <c r="E8" s="1"/>
  <c r="F8" s="1"/>
  <c r="D10"/>
  <c r="E10" s="1"/>
  <c r="F10" s="1"/>
  <c r="D13"/>
  <c r="E13" s="1"/>
  <c r="F13" s="1"/>
  <c r="D16"/>
  <c r="E16" s="1"/>
  <c r="F16" s="1"/>
  <c r="D18"/>
  <c r="E18" s="1"/>
  <c r="F18" s="1"/>
  <c r="D19"/>
  <c r="E19" s="1"/>
  <c r="F19" s="1"/>
  <c r="D21"/>
  <c r="E21" s="1"/>
  <c r="F21" s="1"/>
  <c r="D23"/>
  <c r="E23" s="1"/>
  <c r="F23" s="1"/>
  <c r="I7" i="15"/>
  <c r="B6" i="20" s="1"/>
  <c r="C6" s="1"/>
  <c r="I6" i="15"/>
  <c r="I7" i="14"/>
  <c r="B5" i="20" s="1"/>
  <c r="C5" s="1"/>
  <c r="I6" i="14"/>
  <c r="I7" i="13"/>
  <c r="B4" i="20" s="1"/>
  <c r="C4" s="1"/>
  <c r="I6" i="13"/>
  <c r="I7" i="12"/>
  <c r="B10" i="20" s="1"/>
  <c r="C10" s="1"/>
  <c r="I6" i="12"/>
  <c r="I7" i="11"/>
  <c r="B12" i="20" s="1"/>
  <c r="C12" s="1"/>
  <c r="I6" i="11"/>
  <c r="I7" i="10"/>
  <c r="B3" i="20" s="1"/>
  <c r="C3" s="1"/>
  <c r="I6" i="10"/>
  <c r="F16" i="29" l="1"/>
  <c r="E17"/>
  <c r="F16" i="28"/>
  <c r="E17"/>
  <c r="F16" i="27"/>
  <c r="E17"/>
  <c r="E17" i="26"/>
  <c r="F16"/>
  <c r="E17" i="25"/>
  <c r="F16"/>
  <c r="F16" i="24"/>
  <c r="E17"/>
  <c r="F16" i="23"/>
  <c r="E17"/>
  <c r="E15" i="22"/>
  <c r="F14"/>
  <c r="D24" i="15"/>
  <c r="I14" i="19"/>
  <c r="D5" i="12"/>
  <c r="E5" s="1"/>
  <c r="D24"/>
  <c r="D24" i="10"/>
  <c r="D24" i="11"/>
  <c r="D24" i="13"/>
  <c r="D24" i="14"/>
  <c r="D5" i="15"/>
  <c r="E5" s="1"/>
  <c r="F5" s="1"/>
  <c r="I11" i="19"/>
  <c r="D23" i="15"/>
  <c r="E23" s="1"/>
  <c r="F23" s="1"/>
  <c r="D9"/>
  <c r="E9" s="1"/>
  <c r="F9" s="1"/>
  <c r="D11"/>
  <c r="E11" s="1"/>
  <c r="F11" s="1"/>
  <c r="D12"/>
  <c r="E12" s="1"/>
  <c r="F12" s="1"/>
  <c r="D14"/>
  <c r="E14" s="1"/>
  <c r="F14" s="1"/>
  <c r="D15"/>
  <c r="E15" s="1"/>
  <c r="F15" s="1"/>
  <c r="D17"/>
  <c r="E17" s="1"/>
  <c r="F17" s="1"/>
  <c r="I18"/>
  <c r="D20"/>
  <c r="E20" s="1"/>
  <c r="F20" s="1"/>
  <c r="D22"/>
  <c r="E22" s="1"/>
  <c r="F22" s="1"/>
  <c r="D5" i="14"/>
  <c r="E5" s="1"/>
  <c r="F5" s="1"/>
  <c r="D6" i="15"/>
  <c r="E6" s="1"/>
  <c r="F6" s="1"/>
  <c r="D7"/>
  <c r="E7" s="1"/>
  <c r="F7" s="1"/>
  <c r="D8"/>
  <c r="E8" s="1"/>
  <c r="F8" s="1"/>
  <c r="D10"/>
  <c r="E10" s="1"/>
  <c r="F10" s="1"/>
  <c r="D13"/>
  <c r="E13" s="1"/>
  <c r="F13" s="1"/>
  <c r="D16"/>
  <c r="E16" s="1"/>
  <c r="F16" s="1"/>
  <c r="D18"/>
  <c r="E18" s="1"/>
  <c r="F18" s="1"/>
  <c r="D19"/>
  <c r="E19" s="1"/>
  <c r="F19" s="1"/>
  <c r="D21"/>
  <c r="E21" s="1"/>
  <c r="F21" s="1"/>
  <c r="D23" i="14"/>
  <c r="E23" s="1"/>
  <c r="F23" s="1"/>
  <c r="D9"/>
  <c r="E9" s="1"/>
  <c r="F9" s="1"/>
  <c r="D11"/>
  <c r="E11" s="1"/>
  <c r="F11" s="1"/>
  <c r="D12"/>
  <c r="E12" s="1"/>
  <c r="F12" s="1"/>
  <c r="D14"/>
  <c r="E14" s="1"/>
  <c r="F14" s="1"/>
  <c r="D15"/>
  <c r="E15" s="1"/>
  <c r="F15" s="1"/>
  <c r="D17"/>
  <c r="E17" s="1"/>
  <c r="F17" s="1"/>
  <c r="I18"/>
  <c r="D20"/>
  <c r="E20" s="1"/>
  <c r="F20" s="1"/>
  <c r="D22"/>
  <c r="E22" s="1"/>
  <c r="F22" s="1"/>
  <c r="D5" i="11"/>
  <c r="E5" s="1"/>
  <c r="D6" i="14"/>
  <c r="E6" s="1"/>
  <c r="F6" s="1"/>
  <c r="D7"/>
  <c r="E7" s="1"/>
  <c r="F7" s="1"/>
  <c r="D8"/>
  <c r="E8" s="1"/>
  <c r="F8" s="1"/>
  <c r="D10"/>
  <c r="E10" s="1"/>
  <c r="F10" s="1"/>
  <c r="D13"/>
  <c r="E13" s="1"/>
  <c r="F13" s="1"/>
  <c r="D16"/>
  <c r="E16" s="1"/>
  <c r="F16" s="1"/>
  <c r="D18"/>
  <c r="E18" s="1"/>
  <c r="F18" s="1"/>
  <c r="D19"/>
  <c r="E19" s="1"/>
  <c r="F19" s="1"/>
  <c r="D21"/>
  <c r="E21" s="1"/>
  <c r="F21" s="1"/>
  <c r="D22" i="13"/>
  <c r="E22" s="1"/>
  <c r="F22" s="1"/>
  <c r="D10"/>
  <c r="E10" s="1"/>
  <c r="F10" s="1"/>
  <c r="D16"/>
  <c r="E16" s="1"/>
  <c r="F16" s="1"/>
  <c r="D19"/>
  <c r="E19" s="1"/>
  <c r="F19" s="1"/>
  <c r="D23"/>
  <c r="E23" s="1"/>
  <c r="F23" s="1"/>
  <c r="D5"/>
  <c r="E5" s="1"/>
  <c r="F5" s="1"/>
  <c r="D6"/>
  <c r="E6" s="1"/>
  <c r="F6" s="1"/>
  <c r="D7"/>
  <c r="E7" s="1"/>
  <c r="F7" s="1"/>
  <c r="D8"/>
  <c r="E8" s="1"/>
  <c r="F8" s="1"/>
  <c r="D13"/>
  <c r="E13" s="1"/>
  <c r="F13" s="1"/>
  <c r="D18"/>
  <c r="E18" s="1"/>
  <c r="F18" s="1"/>
  <c r="D21"/>
  <c r="E21" s="1"/>
  <c r="F21" s="1"/>
  <c r="D9"/>
  <c r="E9" s="1"/>
  <c r="F9" s="1"/>
  <c r="D11"/>
  <c r="E11" s="1"/>
  <c r="F11" s="1"/>
  <c r="D12"/>
  <c r="E12" s="1"/>
  <c r="F12" s="1"/>
  <c r="D14"/>
  <c r="E14" s="1"/>
  <c r="F14" s="1"/>
  <c r="D15"/>
  <c r="E15" s="1"/>
  <c r="F15" s="1"/>
  <c r="D17"/>
  <c r="E17" s="1"/>
  <c r="F17" s="1"/>
  <c r="I18"/>
  <c r="D20"/>
  <c r="E20" s="1"/>
  <c r="F20" s="1"/>
  <c r="D22" i="12"/>
  <c r="E22" s="1"/>
  <c r="F22" s="1"/>
  <c r="F5"/>
  <c r="D6"/>
  <c r="E6" s="1"/>
  <c r="F6" s="1"/>
  <c r="D7"/>
  <c r="E7" s="1"/>
  <c r="F7" s="1"/>
  <c r="D8"/>
  <c r="E8" s="1"/>
  <c r="F8" s="1"/>
  <c r="D10"/>
  <c r="E10" s="1"/>
  <c r="F10" s="1"/>
  <c r="D13"/>
  <c r="E13" s="1"/>
  <c r="F13" s="1"/>
  <c r="D16"/>
  <c r="E16" s="1"/>
  <c r="F16" s="1"/>
  <c r="D18"/>
  <c r="E18" s="1"/>
  <c r="F18" s="1"/>
  <c r="D19"/>
  <c r="E19" s="1"/>
  <c r="F19" s="1"/>
  <c r="D21"/>
  <c r="E21" s="1"/>
  <c r="F21" s="1"/>
  <c r="D23"/>
  <c r="E23" s="1"/>
  <c r="F23" s="1"/>
  <c r="D9"/>
  <c r="E9" s="1"/>
  <c r="F9" s="1"/>
  <c r="D11"/>
  <c r="E11" s="1"/>
  <c r="F11" s="1"/>
  <c r="D12"/>
  <c r="E12" s="1"/>
  <c r="F12" s="1"/>
  <c r="D14"/>
  <c r="E14" s="1"/>
  <c r="F14" s="1"/>
  <c r="D15"/>
  <c r="E15" s="1"/>
  <c r="F15" s="1"/>
  <c r="D17"/>
  <c r="E17" s="1"/>
  <c r="F17" s="1"/>
  <c r="I18"/>
  <c r="D20"/>
  <c r="E20" s="1"/>
  <c r="F20" s="1"/>
  <c r="D23" i="11"/>
  <c r="E23" s="1"/>
  <c r="F23" s="1"/>
  <c r="F5"/>
  <c r="D9"/>
  <c r="E9" s="1"/>
  <c r="F9" s="1"/>
  <c r="D11"/>
  <c r="E11" s="1"/>
  <c r="F11" s="1"/>
  <c r="D12"/>
  <c r="E12" s="1"/>
  <c r="F12" s="1"/>
  <c r="D14"/>
  <c r="E14" s="1"/>
  <c r="F14" s="1"/>
  <c r="D15"/>
  <c r="E15" s="1"/>
  <c r="F15" s="1"/>
  <c r="D17"/>
  <c r="E17" s="1"/>
  <c r="F17" s="1"/>
  <c r="I18"/>
  <c r="D20"/>
  <c r="E20" s="1"/>
  <c r="F20" s="1"/>
  <c r="D22"/>
  <c r="E22" s="1"/>
  <c r="F22" s="1"/>
  <c r="D6"/>
  <c r="E6" s="1"/>
  <c r="F6" s="1"/>
  <c r="D7"/>
  <c r="E7" s="1"/>
  <c r="F7" s="1"/>
  <c r="D8"/>
  <c r="E8" s="1"/>
  <c r="F8" s="1"/>
  <c r="D10"/>
  <c r="E10" s="1"/>
  <c r="F10" s="1"/>
  <c r="D13"/>
  <c r="E13" s="1"/>
  <c r="F13" s="1"/>
  <c r="D16"/>
  <c r="E16" s="1"/>
  <c r="F16" s="1"/>
  <c r="D18"/>
  <c r="E18" s="1"/>
  <c r="F18" s="1"/>
  <c r="D19"/>
  <c r="E19" s="1"/>
  <c r="F19" s="1"/>
  <c r="D21"/>
  <c r="E21" s="1"/>
  <c r="F21" s="1"/>
  <c r="D5" i="10"/>
  <c r="E5" s="1"/>
  <c r="D23"/>
  <c r="E23" s="1"/>
  <c r="F23" s="1"/>
  <c r="F5"/>
  <c r="D9"/>
  <c r="E9" s="1"/>
  <c r="F9" s="1"/>
  <c r="D11"/>
  <c r="E11" s="1"/>
  <c r="F11" s="1"/>
  <c r="D12"/>
  <c r="E12" s="1"/>
  <c r="F12" s="1"/>
  <c r="D14"/>
  <c r="E14" s="1"/>
  <c r="F14" s="1"/>
  <c r="D15"/>
  <c r="E15" s="1"/>
  <c r="F15" s="1"/>
  <c r="D17"/>
  <c r="E17" s="1"/>
  <c r="F17" s="1"/>
  <c r="I18"/>
  <c r="D20"/>
  <c r="E20" s="1"/>
  <c r="F20" s="1"/>
  <c r="D22"/>
  <c r="E22" s="1"/>
  <c r="F22" s="1"/>
  <c r="D6"/>
  <c r="E6" s="1"/>
  <c r="F6" s="1"/>
  <c r="D7"/>
  <c r="E7" s="1"/>
  <c r="F7" s="1"/>
  <c r="D8"/>
  <c r="E8" s="1"/>
  <c r="F8" s="1"/>
  <c r="D10"/>
  <c r="E10" s="1"/>
  <c r="F10" s="1"/>
  <c r="D13"/>
  <c r="E13" s="1"/>
  <c r="F13" s="1"/>
  <c r="D16"/>
  <c r="E16" s="1"/>
  <c r="F16" s="1"/>
  <c r="D18"/>
  <c r="E18" s="1"/>
  <c r="F18" s="1"/>
  <c r="D19"/>
  <c r="E19" s="1"/>
  <c r="F19" s="1"/>
  <c r="D21"/>
  <c r="E21" s="1"/>
  <c r="F21" s="1"/>
  <c r="J5" i="17" l="1"/>
  <c r="F17" i="29"/>
  <c r="E18"/>
  <c r="F17" i="28"/>
  <c r="E18"/>
  <c r="F17" i="27"/>
  <c r="E18"/>
  <c r="E18" i="26"/>
  <c r="F17"/>
  <c r="E18" i="25"/>
  <c r="F17"/>
  <c r="F17" i="24"/>
  <c r="E18"/>
  <c r="F17" i="23"/>
  <c r="E18"/>
  <c r="E16" i="22"/>
  <c r="F15"/>
  <c r="I11" i="15"/>
  <c r="I14"/>
  <c r="I11" i="14"/>
  <c r="I14"/>
  <c r="I11" i="13"/>
  <c r="I14"/>
  <c r="I11" i="12"/>
  <c r="I14"/>
  <c r="I14" i="11"/>
  <c r="I11"/>
  <c r="I11" i="10"/>
  <c r="I14"/>
  <c r="I7" i="9"/>
  <c r="B2" i="20" s="1"/>
  <c r="C2" s="1"/>
  <c r="I6" i="9"/>
  <c r="D5" i="17" l="1"/>
  <c r="F5"/>
  <c r="G5"/>
  <c r="H5"/>
  <c r="I5"/>
  <c r="E5"/>
  <c r="F18" i="29"/>
  <c r="E19"/>
  <c r="F18" i="28"/>
  <c r="E19"/>
  <c r="F18" i="27"/>
  <c r="E19"/>
  <c r="E19" i="26"/>
  <c r="F18"/>
  <c r="E19" i="25"/>
  <c r="F18"/>
  <c r="F18" i="24"/>
  <c r="E19"/>
  <c r="F18" i="23"/>
  <c r="E19"/>
  <c r="E17" i="22"/>
  <c r="F16"/>
  <c r="C7" i="20"/>
  <c r="D2" s="1"/>
  <c r="E2" s="1"/>
  <c r="I18" i="9"/>
  <c r="D9"/>
  <c r="E9" s="1"/>
  <c r="F9" s="1"/>
  <c r="D24"/>
  <c r="D21"/>
  <c r="E21" s="1"/>
  <c r="F21" s="1"/>
  <c r="D20"/>
  <c r="E20" s="1"/>
  <c r="F20" s="1"/>
  <c r="D5"/>
  <c r="E5" s="1"/>
  <c r="D17"/>
  <c r="E17" s="1"/>
  <c r="F17" s="1"/>
  <c r="D16"/>
  <c r="E16" s="1"/>
  <c r="F16" s="1"/>
  <c r="D7"/>
  <c r="E7" s="1"/>
  <c r="F7" s="1"/>
  <c r="F5"/>
  <c r="D19"/>
  <c r="E19" s="1"/>
  <c r="F19" s="1"/>
  <c r="D14"/>
  <c r="E14" s="1"/>
  <c r="F14" s="1"/>
  <c r="D18"/>
  <c r="E18" s="1"/>
  <c r="F18" s="1"/>
  <c r="D23"/>
  <c r="E23" s="1"/>
  <c r="F23" s="1"/>
  <c r="D13"/>
  <c r="E13" s="1"/>
  <c r="F13" s="1"/>
  <c r="D8"/>
  <c r="E8" s="1"/>
  <c r="F8" s="1"/>
  <c r="D12"/>
  <c r="E12" s="1"/>
  <c r="F12" s="1"/>
  <c r="D11"/>
  <c r="E11" s="1"/>
  <c r="F11" s="1"/>
  <c r="D15"/>
  <c r="E15" s="1"/>
  <c r="F15" s="1"/>
  <c r="D6"/>
  <c r="E6" s="1"/>
  <c r="F6" s="1"/>
  <c r="D10"/>
  <c r="E10" s="1"/>
  <c r="F10" s="1"/>
  <c r="D22"/>
  <c r="E22" s="1"/>
  <c r="F22" s="1"/>
  <c r="F19" i="29" l="1"/>
  <c r="E20"/>
  <c r="F19" i="28"/>
  <c r="E20"/>
  <c r="F19" i="27"/>
  <c r="E20"/>
  <c r="E20" i="26"/>
  <c r="F19"/>
  <c r="E20" i="25"/>
  <c r="F19"/>
  <c r="F19" i="24"/>
  <c r="E20"/>
  <c r="F19" i="23"/>
  <c r="E20"/>
  <c r="E18" i="22"/>
  <c r="F17"/>
  <c r="B18" i="20"/>
  <c r="C3" i="17" s="1"/>
  <c r="D7" i="20"/>
  <c r="D12"/>
  <c r="D5"/>
  <c r="E5" s="1"/>
  <c r="B21" s="1"/>
  <c r="H3" i="17" s="1"/>
  <c r="D3" i="20"/>
  <c r="E3" s="1"/>
  <c r="B19" s="1"/>
  <c r="D3" i="17" s="1"/>
  <c r="D4" i="20"/>
  <c r="E4" s="1"/>
  <c r="B20" s="1"/>
  <c r="G3" i="17" s="1"/>
  <c r="D6" i="20"/>
  <c r="E6" s="1"/>
  <c r="B22" s="1"/>
  <c r="I3" i="17" s="1"/>
  <c r="I11" i="9"/>
  <c r="C5" i="17" s="1"/>
  <c r="I14" i="9"/>
  <c r="F20" i="29" l="1"/>
  <c r="E21"/>
  <c r="F20" i="28"/>
  <c r="E21"/>
  <c r="F20" i="27"/>
  <c r="E21"/>
  <c r="E21" i="26"/>
  <c r="F20"/>
  <c r="E21" i="25"/>
  <c r="F20"/>
  <c r="F20" i="24"/>
  <c r="E21"/>
  <c r="F20" i="23"/>
  <c r="E21"/>
  <c r="E19" i="22"/>
  <c r="F18"/>
  <c r="E7" i="20"/>
  <c r="B23"/>
  <c r="F21" i="29" l="1"/>
  <c r="E22"/>
  <c r="F21" i="28"/>
  <c r="E22"/>
  <c r="F21" i="27"/>
  <c r="E22"/>
  <c r="E22" i="26"/>
  <c r="F21"/>
  <c r="E22" i="25"/>
  <c r="F21"/>
  <c r="F21" i="24"/>
  <c r="E22"/>
  <c r="F21" i="23"/>
  <c r="E22"/>
  <c r="E20" i="22"/>
  <c r="F19"/>
  <c r="F22" i="29" l="1"/>
  <c r="E23"/>
  <c r="C4" i="30" s="1"/>
  <c r="D4" s="1"/>
  <c r="E4" s="1"/>
  <c r="D4" i="17" s="1"/>
  <c r="D7" s="1"/>
  <c r="F22" i="28"/>
  <c r="E23"/>
  <c r="C3" i="30" s="1"/>
  <c r="D3" s="1"/>
  <c r="E3" s="1"/>
  <c r="C4" i="17" s="1"/>
  <c r="C7" s="1"/>
  <c r="F22" i="27"/>
  <c r="E23"/>
  <c r="C10" i="30" s="1"/>
  <c r="D10" s="1"/>
  <c r="E10" s="1"/>
  <c r="J4" i="17" s="1"/>
  <c r="J7" s="1"/>
  <c r="E23" i="26"/>
  <c r="C9" i="30" s="1"/>
  <c r="D9" s="1"/>
  <c r="E9" s="1"/>
  <c r="I4" i="17" s="1"/>
  <c r="I7" s="1"/>
  <c r="F22" i="26"/>
  <c r="E23" i="25"/>
  <c r="C8" i="30" s="1"/>
  <c r="D8" s="1"/>
  <c r="E8" s="1"/>
  <c r="H4" i="17" s="1"/>
  <c r="H7" s="1"/>
  <c r="F22" i="25"/>
  <c r="F22" i="24"/>
  <c r="E23"/>
  <c r="C7" i="30" s="1"/>
  <c r="D7" s="1"/>
  <c r="E7" s="1"/>
  <c r="G4" i="17" s="1"/>
  <c r="G7" s="1"/>
  <c r="F22" i="23"/>
  <c r="E23"/>
  <c r="C6" i="30" s="1"/>
  <c r="D6" s="1"/>
  <c r="E6" s="1"/>
  <c r="F4" i="17" s="1"/>
  <c r="F7" s="1"/>
  <c r="E21" i="22"/>
  <c r="F20"/>
  <c r="I8" i="29" l="1"/>
  <c r="I5"/>
  <c r="I5" i="28"/>
  <c r="I8"/>
  <c r="I8" i="27"/>
  <c r="I5"/>
  <c r="I5" i="26"/>
  <c r="I8"/>
  <c r="I5" i="25"/>
  <c r="I8"/>
  <c r="I8" i="24"/>
  <c r="I5"/>
  <c r="I8" i="23"/>
  <c r="I5"/>
  <c r="E22" i="22"/>
  <c r="F21"/>
  <c r="F22" l="1"/>
  <c r="E23"/>
  <c r="C5" i="30" s="1"/>
  <c r="D5" s="1"/>
  <c r="E5" s="1"/>
  <c r="E4" i="17" s="1"/>
  <c r="E7" s="1"/>
  <c r="K7" s="1"/>
  <c r="I8" i="22"/>
  <c r="I5"/>
  <c r="M8" i="17" l="1"/>
</calcChain>
</file>

<file path=xl/sharedStrings.xml><?xml version="1.0" encoding="utf-8"?>
<sst xmlns="http://schemas.openxmlformats.org/spreadsheetml/2006/main" count="343" uniqueCount="69">
  <si>
    <t>NOTE: These statistics only represent sales which have been processed through the multiple listing service.</t>
  </si>
  <si>
    <t>SOURCE: Canadian Real Estate Association and BC Real Estate Association</t>
  </si>
  <si>
    <t>PRODUCED BY: BC STATS, February 17, 2009</t>
  </si>
  <si>
    <t>Year</t>
  </si>
  <si>
    <t>Population</t>
  </si>
  <si>
    <t>Unemployment Rate (%)</t>
  </si>
  <si>
    <t>Total Housing Starts in BC</t>
  </si>
  <si>
    <t>Housing Sales</t>
  </si>
  <si>
    <t>Average House Price</t>
  </si>
  <si>
    <t>BC Housing Sales/Prices</t>
  </si>
  <si>
    <t>BC GDP ($million)</t>
  </si>
  <si>
    <t>Average Family Income</t>
  </si>
  <si>
    <t>Average Unattached Individuals Income</t>
  </si>
  <si>
    <t>Independent Variable</t>
  </si>
  <si>
    <t>Dependent Variable</t>
  </si>
  <si>
    <t>Estimate Error</t>
  </si>
  <si>
    <t>Square of Error</t>
  </si>
  <si>
    <t>Linear Regression Line</t>
  </si>
  <si>
    <t>y=a+bx</t>
  </si>
  <si>
    <t>a=</t>
  </si>
  <si>
    <t>b=</t>
  </si>
  <si>
    <t>Mean Absolute Deviation</t>
  </si>
  <si>
    <t>MAD =</t>
  </si>
  <si>
    <t>Mean Square Error</t>
  </si>
  <si>
    <t>MSE =</t>
  </si>
  <si>
    <t>Estimation</t>
  </si>
  <si>
    <t>if x =</t>
  </si>
  <si>
    <t>then y =</t>
  </si>
  <si>
    <t>Mean</t>
  </si>
  <si>
    <t>Standard error</t>
  </si>
  <si>
    <t>Median</t>
  </si>
  <si>
    <t>Standard deviation</t>
  </si>
  <si>
    <t>Variance</t>
  </si>
  <si>
    <t>Skewness</t>
  </si>
  <si>
    <t>Kurtosis</t>
  </si>
  <si>
    <t>HousingStarts</t>
  </si>
  <si>
    <t>Unemployment</t>
  </si>
  <si>
    <t>Average Unattached individuals</t>
  </si>
  <si>
    <t>Projection</t>
  </si>
  <si>
    <t>Effect on Housign Price</t>
  </si>
  <si>
    <t>Average House Price NPV</t>
  </si>
  <si>
    <t>2009 Projection BCStats</t>
  </si>
  <si>
    <t>2009 Projected BC housing market Vancouver realestate</t>
  </si>
  <si>
    <t>Estimate NPV</t>
  </si>
  <si>
    <t>2009 Projection Vancouver Sun</t>
  </si>
  <si>
    <t>GDP Projected by Toronto Dominion Bank</t>
  </si>
  <si>
    <t>2009 unemployment rate project by Toronto-Dominion Bank</t>
  </si>
  <si>
    <t>Projected by Royal Bank</t>
  </si>
  <si>
    <t>BC GDP (millions)</t>
  </si>
  <si>
    <t>Average House Price for 2009 will be</t>
  </si>
  <si>
    <t>GDP Projected by Stats Canada</t>
  </si>
  <si>
    <t>Mortgage Fixed 5 year Interest Rate Bank of Canada</t>
  </si>
  <si>
    <t>Mortgage Interest Rate 5 Year Fixed</t>
  </si>
  <si>
    <t>Housing Price NPV</t>
  </si>
  <si>
    <t>Absolute</t>
  </si>
  <si>
    <t>Latest Trend</t>
  </si>
  <si>
    <t>Estimated Trend</t>
  </si>
  <si>
    <t>Forecast</t>
  </si>
  <si>
    <t>Forecasting Error</t>
  </si>
  <si>
    <t>Alpha</t>
  </si>
  <si>
    <r>
      <rPr>
        <sz val="11"/>
        <color indexed="8"/>
        <rFont val="Times New Roman"/>
        <family val="1"/>
      </rPr>
      <t>α</t>
    </r>
    <r>
      <rPr>
        <sz val="11"/>
        <color indexed="8"/>
        <rFont val="Calibri"/>
        <family val="2"/>
      </rPr>
      <t xml:space="preserve"> =</t>
    </r>
  </si>
  <si>
    <t>Beta</t>
  </si>
  <si>
    <r>
      <rPr>
        <sz val="11"/>
        <color indexed="8"/>
        <rFont val="Times New Roman"/>
        <family val="1"/>
      </rPr>
      <t>β</t>
    </r>
    <r>
      <rPr>
        <sz val="11"/>
        <color indexed="8"/>
        <rFont val="Calibri"/>
        <family val="2"/>
      </rPr>
      <t xml:space="preserve"> =</t>
    </r>
  </si>
  <si>
    <t>Industry Projections</t>
  </si>
  <si>
    <t>Our Time Series Projections</t>
  </si>
  <si>
    <t>Industry Projection error</t>
  </si>
  <si>
    <t>Industry Error Percentage</t>
  </si>
  <si>
    <t>Projection Margin of Error:</t>
  </si>
  <si>
    <t>Regression Line Margin of Error</t>
  </si>
</sst>
</file>

<file path=xl/styles.xml><?xml version="1.0" encoding="utf-8"?>
<styleSheet xmlns="http://schemas.openxmlformats.org/spreadsheetml/2006/main">
  <numFmts count="6">
    <numFmt numFmtId="8" formatCode="&quot;$&quot;#,##0.00;[Red]\-&quot;$&quot;#,##0.00"/>
    <numFmt numFmtId="43" formatCode="_-* #,##0.00_-;\-* #,##0.00_-;_-* &quot;-&quot;??_-;_-@_-"/>
    <numFmt numFmtId="164" formatCode="&quot;$&quot;#,##0"/>
    <numFmt numFmtId="165" formatCode="&quot;$&quot;#,##0.00"/>
    <numFmt numFmtId="166" formatCode="0.0%"/>
    <numFmt numFmtId="167" formatCode="_-* #,##0_-;\-* #,##0_-;_-* &quot;-&quot;??_-;_-@_-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name val="Arial"/>
      <family val="2"/>
    </font>
    <font>
      <sz val="10"/>
      <name val="Arial"/>
      <family val="2"/>
    </font>
    <font>
      <sz val="20"/>
      <color rgb="FFFF0000"/>
      <name val="Calibri"/>
      <family val="2"/>
      <scheme val="minor"/>
    </font>
    <font>
      <sz val="10"/>
      <color theme="1"/>
      <name val="Arial Unicode MS"/>
      <family val="2"/>
    </font>
    <font>
      <b/>
      <i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>
      <alignment horizontal="left"/>
    </xf>
    <xf numFmtId="0" fontId="19" fillId="0" borderId="0"/>
    <xf numFmtId="9" fontId="19" fillId="0" borderId="0" applyFont="0" applyFill="0" applyBorder="0" applyAlignment="0" applyProtection="0"/>
  </cellStyleXfs>
  <cellXfs count="85">
    <xf numFmtId="0" fontId="0" fillId="0" borderId="0" xfId="0"/>
    <xf numFmtId="3" fontId="0" fillId="0" borderId="0" xfId="0" applyNumberFormat="1"/>
    <xf numFmtId="0" fontId="16" fillId="0" borderId="0" xfId="0" applyFont="1"/>
    <xf numFmtId="0" fontId="0" fillId="0" borderId="10" xfId="0" applyBorder="1"/>
    <xf numFmtId="0" fontId="0" fillId="0" borderId="10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33" borderId="11" xfId="0" applyNumberFormat="1" applyFill="1" applyBorder="1" applyAlignment="1">
      <alignment horizontal="center" wrapText="1"/>
    </xf>
    <xf numFmtId="3" fontId="0" fillId="33" borderId="10" xfId="0" applyNumberForma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 wrapText="1"/>
    </xf>
    <xf numFmtId="164" fontId="0" fillId="0" borderId="10" xfId="0" applyNumberFormat="1" applyBorder="1" applyAlignment="1">
      <alignment horizontal="center"/>
    </xf>
    <xf numFmtId="164" fontId="0" fillId="33" borderId="10" xfId="0" applyNumberFormat="1" applyFill="1" applyBorder="1" applyAlignment="1">
      <alignment horizontal="center" wrapText="1"/>
    </xf>
    <xf numFmtId="0" fontId="16" fillId="0" borderId="1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37" fontId="0" fillId="0" borderId="0" xfId="42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16" fillId="0" borderId="0" xfId="0" applyFont="1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9" fontId="0" fillId="0" borderId="0" xfId="43" applyFont="1" applyAlignment="1">
      <alignment horizontal="center"/>
    </xf>
    <xf numFmtId="0" fontId="0" fillId="0" borderId="15" xfId="0" applyBorder="1"/>
    <xf numFmtId="1" fontId="0" fillId="0" borderId="0" xfId="43" applyNumberFormat="1" applyFont="1" applyBorder="1" applyAlignment="1">
      <alignment horizontal="center"/>
    </xf>
    <xf numFmtId="0" fontId="0" fillId="0" borderId="17" xfId="0" applyBorder="1"/>
    <xf numFmtId="164" fontId="0" fillId="0" borderId="1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3" fontId="14" fillId="0" borderId="10" xfId="0" applyNumberFormat="1" applyFont="1" applyFill="1" applyBorder="1" applyAlignment="1">
      <alignment horizontal="center"/>
    </xf>
    <xf numFmtId="164" fontId="14" fillId="0" borderId="10" xfId="0" applyNumberFormat="1" applyFont="1" applyBorder="1" applyAlignment="1">
      <alignment horizontal="center"/>
    </xf>
    <xf numFmtId="3" fontId="14" fillId="33" borderId="10" xfId="0" applyNumberFormat="1" applyFont="1" applyFill="1" applyBorder="1" applyAlignment="1">
      <alignment horizontal="center" wrapText="1"/>
    </xf>
    <xf numFmtId="3" fontId="14" fillId="0" borderId="10" xfId="0" applyNumberFormat="1" applyFont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4" fontId="20" fillId="0" borderId="0" xfId="0" applyNumberFormat="1" applyFont="1" applyAlignment="1">
      <alignment horizontal="center"/>
    </xf>
    <xf numFmtId="8" fontId="0" fillId="0" borderId="0" xfId="0" applyNumberFormat="1"/>
    <xf numFmtId="0" fontId="21" fillId="0" borderId="0" xfId="0" applyFont="1"/>
    <xf numFmtId="4" fontId="0" fillId="0" borderId="0" xfId="0" applyNumberFormat="1" applyAlignment="1">
      <alignment horizontal="center"/>
    </xf>
    <xf numFmtId="2" fontId="0" fillId="33" borderId="10" xfId="0" applyNumberFormat="1" applyFill="1" applyBorder="1" applyAlignment="1">
      <alignment horizontal="center" wrapText="1"/>
    </xf>
    <xf numFmtId="2" fontId="0" fillId="0" borderId="10" xfId="0" applyNumberFormat="1" applyBorder="1" applyAlignment="1">
      <alignment horizontal="center"/>
    </xf>
    <xf numFmtId="2" fontId="14" fillId="0" borderId="10" xfId="0" applyNumberFormat="1" applyFont="1" applyBorder="1" applyAlignment="1">
      <alignment horizontal="center"/>
    </xf>
    <xf numFmtId="165" fontId="14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166" fontId="0" fillId="0" borderId="0" xfId="43" applyNumberFormat="1" applyFont="1"/>
    <xf numFmtId="9" fontId="0" fillId="0" borderId="0" xfId="0" applyNumberFormat="1"/>
    <xf numFmtId="9" fontId="16" fillId="0" borderId="0" xfId="0" applyNumberFormat="1" applyFont="1"/>
    <xf numFmtId="0" fontId="16" fillId="0" borderId="20" xfId="0" applyFont="1" applyBorder="1" applyAlignment="1">
      <alignment horizontal="center"/>
    </xf>
    <xf numFmtId="0" fontId="0" fillId="0" borderId="20" xfId="0" applyBorder="1"/>
    <xf numFmtId="9" fontId="0" fillId="0" borderId="20" xfId="43" applyNumberFormat="1" applyFont="1" applyBorder="1"/>
    <xf numFmtId="166" fontId="0" fillId="0" borderId="20" xfId="0" applyNumberFormat="1" applyBorder="1"/>
    <xf numFmtId="9" fontId="16" fillId="0" borderId="20" xfId="43" applyNumberFormat="1" applyFont="1" applyBorder="1"/>
    <xf numFmtId="166" fontId="16" fillId="0" borderId="20" xfId="0" applyNumberFormat="1" applyFont="1" applyBorder="1"/>
    <xf numFmtId="10" fontId="0" fillId="0" borderId="20" xfId="0" applyNumberFormat="1" applyBorder="1"/>
    <xf numFmtId="10" fontId="16" fillId="0" borderId="20" xfId="0" applyNumberFormat="1" applyFont="1" applyBorder="1"/>
    <xf numFmtId="166" fontId="0" fillId="0" borderId="20" xfId="43" applyNumberFormat="1" applyFont="1" applyBorder="1"/>
    <xf numFmtId="166" fontId="0" fillId="0" borderId="0" xfId="0" applyNumberFormat="1" applyAlignment="1">
      <alignment horizontal="center"/>
    </xf>
    <xf numFmtId="166" fontId="0" fillId="0" borderId="20" xfId="0" applyNumberFormat="1" applyFont="1" applyBorder="1"/>
    <xf numFmtId="10" fontId="20" fillId="0" borderId="0" xfId="0" applyNumberFormat="1" applyFont="1" applyAlignment="1">
      <alignment horizontal="center"/>
    </xf>
    <xf numFmtId="0" fontId="22" fillId="0" borderId="0" xfId="0" applyFont="1"/>
    <xf numFmtId="0" fontId="0" fillId="0" borderId="0" xfId="0" applyAlignment="1">
      <alignment horizontal="center" vertical="center" wrapText="1"/>
    </xf>
    <xf numFmtId="0" fontId="24" fillId="0" borderId="0" xfId="0" applyFont="1" applyAlignment="1">
      <alignment horizontal="right"/>
    </xf>
    <xf numFmtId="0" fontId="23" fillId="0" borderId="10" xfId="0" applyFon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/>
    </xf>
    <xf numFmtId="1" fontId="14" fillId="0" borderId="10" xfId="0" applyNumberFormat="1" applyFon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14" fillId="0" borderId="10" xfId="0" applyNumberFormat="1" applyFont="1" applyBorder="1" applyAlignment="1">
      <alignment horizontal="center"/>
    </xf>
    <xf numFmtId="0" fontId="16" fillId="0" borderId="20" xfId="0" applyFont="1" applyBorder="1"/>
    <xf numFmtId="3" fontId="0" fillId="0" borderId="20" xfId="0" applyNumberFormat="1" applyBorder="1"/>
    <xf numFmtId="2" fontId="0" fillId="0" borderId="20" xfId="0" applyNumberFormat="1" applyBorder="1"/>
    <xf numFmtId="164" fontId="0" fillId="0" borderId="20" xfId="0" applyNumberFormat="1" applyBorder="1"/>
    <xf numFmtId="1" fontId="0" fillId="0" borderId="20" xfId="0" applyNumberFormat="1" applyBorder="1"/>
    <xf numFmtId="43" fontId="0" fillId="0" borderId="20" xfId="42" applyFont="1" applyBorder="1"/>
    <xf numFmtId="167" fontId="0" fillId="0" borderId="20" xfId="42" applyNumberFormat="1" applyFont="1" applyBorder="1"/>
    <xf numFmtId="0" fontId="16" fillId="0" borderId="20" xfId="0" applyFont="1" applyFill="1" applyBorder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7pt" xfId="44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/>
    <cellStyle name="Note" xfId="15" builtinId="10" customBuiltin="1"/>
    <cellStyle name="Output" xfId="10" builtinId="21" customBuiltin="1"/>
    <cellStyle name="Percent" xfId="43" builtinId="5"/>
    <cellStyle name="Percent 2" xfId="46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A28"/>
  <sheetViews>
    <sheetView zoomScale="73" zoomScaleNormal="73" workbookViewId="0">
      <selection activeCell="G30" sqref="G30"/>
    </sheetView>
  </sheetViews>
  <sheetFormatPr defaultRowHeight="15"/>
  <cols>
    <col min="2" max="2" width="19.42578125" bestFit="1" customWidth="1"/>
    <col min="3" max="3" width="26" customWidth="1"/>
    <col min="4" max="4" width="23.7109375" bestFit="1" customWidth="1"/>
    <col min="5" max="5" width="14.140625" customWidth="1"/>
    <col min="6" max="6" width="23.140625" bestFit="1" customWidth="1"/>
    <col min="7" max="7" width="22" bestFit="1" customWidth="1"/>
    <col min="8" max="8" width="37" bestFit="1" customWidth="1"/>
    <col min="9" max="9" width="16.7109375" customWidth="1"/>
    <col min="10" max="10" width="32.7109375" customWidth="1"/>
  </cols>
  <sheetData>
    <row r="1" spans="1:27">
      <c r="A1" s="2" t="s">
        <v>9</v>
      </c>
      <c r="B1" s="2"/>
    </row>
    <row r="2" spans="1:27">
      <c r="D2" s="1"/>
      <c r="E2" s="1"/>
      <c r="F2" s="1"/>
      <c r="G2" s="1"/>
      <c r="H2" s="1"/>
      <c r="I2" s="1"/>
      <c r="J2" s="1"/>
      <c r="K2" s="1"/>
    </row>
    <row r="4" spans="1:27">
      <c r="A4" t="s">
        <v>0</v>
      </c>
    </row>
    <row r="5" spans="1:27">
      <c r="A5" t="s">
        <v>1</v>
      </c>
    </row>
    <row r="6" spans="1:27">
      <c r="A6" t="s">
        <v>2</v>
      </c>
    </row>
    <row r="7" spans="1:27" ht="15.75" thickBot="1"/>
    <row r="8" spans="1:27" ht="30.75" thickBot="1">
      <c r="A8" s="9"/>
      <c r="B8" s="9" t="s">
        <v>8</v>
      </c>
      <c r="C8" s="9" t="s">
        <v>7</v>
      </c>
      <c r="D8" s="9" t="s">
        <v>6</v>
      </c>
      <c r="E8" s="9" t="s">
        <v>4</v>
      </c>
      <c r="F8" s="9" t="s">
        <v>5</v>
      </c>
      <c r="G8" s="9" t="s">
        <v>11</v>
      </c>
      <c r="H8" s="9" t="s">
        <v>12</v>
      </c>
      <c r="I8" s="11" t="s">
        <v>10</v>
      </c>
      <c r="J8" s="11" t="s">
        <v>51</v>
      </c>
    </row>
    <row r="9" spans="1:27" ht="15.75" thickBot="1">
      <c r="A9" s="9">
        <v>1990</v>
      </c>
      <c r="B9" s="12">
        <v>157616</v>
      </c>
      <c r="C9" s="5">
        <v>58027</v>
      </c>
      <c r="D9" s="5">
        <v>36720</v>
      </c>
      <c r="E9" s="6">
        <v>3292111</v>
      </c>
      <c r="F9" s="4">
        <v>8.4</v>
      </c>
      <c r="G9" s="12">
        <v>63100</v>
      </c>
      <c r="H9" s="12">
        <v>24700</v>
      </c>
      <c r="I9" s="13">
        <v>79350</v>
      </c>
      <c r="J9" s="46">
        <v>11.34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thickBot="1">
      <c r="A10" s="9">
        <v>1991</v>
      </c>
      <c r="B10" s="12">
        <v>168235</v>
      </c>
      <c r="C10" s="5">
        <v>84554</v>
      </c>
      <c r="D10" s="5">
        <v>31875</v>
      </c>
      <c r="E10" s="7">
        <v>3373787</v>
      </c>
      <c r="F10" s="4">
        <v>9.9</v>
      </c>
      <c r="G10" s="12">
        <v>60400</v>
      </c>
      <c r="H10" s="12">
        <v>22100</v>
      </c>
      <c r="I10" s="13">
        <v>81849</v>
      </c>
      <c r="J10" s="46">
        <v>12.2</v>
      </c>
    </row>
    <row r="11" spans="1:27" ht="15.75" thickBot="1">
      <c r="A11" s="9">
        <v>1992</v>
      </c>
      <c r="B11" s="12">
        <v>189999</v>
      </c>
      <c r="C11" s="5">
        <v>93564</v>
      </c>
      <c r="D11" s="5">
        <v>40621</v>
      </c>
      <c r="E11" s="7">
        <v>3468802</v>
      </c>
      <c r="F11" s="4">
        <v>10.1</v>
      </c>
      <c r="G11" s="12">
        <v>59400</v>
      </c>
      <c r="H11" s="12">
        <v>22100</v>
      </c>
      <c r="I11" s="13">
        <v>87242</v>
      </c>
      <c r="J11" s="46">
        <v>12.5</v>
      </c>
    </row>
    <row r="12" spans="1:27" ht="15.75" thickBot="1">
      <c r="A12" s="9">
        <v>1993</v>
      </c>
      <c r="B12" s="12">
        <v>211992</v>
      </c>
      <c r="C12" s="5">
        <v>80919</v>
      </c>
      <c r="D12" s="5">
        <v>42807</v>
      </c>
      <c r="E12" s="7">
        <v>3567772</v>
      </c>
      <c r="F12" s="4">
        <v>9.6999999999999993</v>
      </c>
      <c r="G12" s="12">
        <v>58200</v>
      </c>
      <c r="H12" s="12">
        <v>21800</v>
      </c>
      <c r="I12" s="13">
        <v>94077</v>
      </c>
      <c r="J12" s="46">
        <v>14</v>
      </c>
    </row>
    <row r="13" spans="1:27" ht="15.75" thickBot="1">
      <c r="A13" s="9">
        <v>1994</v>
      </c>
      <c r="B13" s="12">
        <v>229514</v>
      </c>
      <c r="C13" s="5">
        <v>75270</v>
      </c>
      <c r="D13" s="5">
        <v>39408</v>
      </c>
      <c r="E13" s="7">
        <v>3676075</v>
      </c>
      <c r="F13" s="4">
        <v>9.1</v>
      </c>
      <c r="G13" s="12">
        <v>59000</v>
      </c>
      <c r="H13" s="12">
        <v>21400</v>
      </c>
      <c r="I13" s="13">
        <v>100512</v>
      </c>
      <c r="J13" s="46">
        <v>10.199999999999999</v>
      </c>
    </row>
    <row r="14" spans="1:27" ht="15.75" thickBot="1">
      <c r="A14" s="9">
        <v>1995</v>
      </c>
      <c r="B14" s="12">
        <v>221860</v>
      </c>
      <c r="C14" s="5">
        <v>58082</v>
      </c>
      <c r="D14" s="5">
        <v>27057</v>
      </c>
      <c r="E14" s="7">
        <v>3777390</v>
      </c>
      <c r="F14" s="4">
        <v>8.5</v>
      </c>
      <c r="G14" s="12">
        <v>59700</v>
      </c>
      <c r="H14" s="12">
        <v>22300</v>
      </c>
      <c r="I14" s="13">
        <v>105670</v>
      </c>
      <c r="J14" s="46">
        <v>8.5</v>
      </c>
    </row>
    <row r="15" spans="1:27" ht="15.75" thickBot="1">
      <c r="A15" s="9">
        <v>1996</v>
      </c>
      <c r="B15" s="12">
        <v>218687</v>
      </c>
      <c r="C15" s="5">
        <v>72182</v>
      </c>
      <c r="D15" s="5">
        <v>27641</v>
      </c>
      <c r="E15" s="7">
        <v>3874317</v>
      </c>
      <c r="F15" s="4">
        <v>8.6999999999999993</v>
      </c>
      <c r="G15" s="12">
        <v>59800</v>
      </c>
      <c r="H15" s="12">
        <v>21800</v>
      </c>
      <c r="I15" s="13">
        <v>108865</v>
      </c>
      <c r="J15" s="46">
        <v>8.3000000000000007</v>
      </c>
    </row>
    <row r="16" spans="1:27" ht="15.75" thickBot="1">
      <c r="A16" s="9">
        <v>1997</v>
      </c>
      <c r="B16" s="12">
        <v>220512</v>
      </c>
      <c r="C16" s="5">
        <v>68182</v>
      </c>
      <c r="D16" s="5">
        <v>29351</v>
      </c>
      <c r="E16" s="7">
        <v>3948583</v>
      </c>
      <c r="F16" s="4">
        <v>8.4</v>
      </c>
      <c r="G16" s="12">
        <v>61400</v>
      </c>
      <c r="H16" s="12">
        <v>21700</v>
      </c>
      <c r="I16" s="13">
        <v>114383</v>
      </c>
      <c r="J16" s="46">
        <v>7.1</v>
      </c>
    </row>
    <row r="17" spans="1:10" ht="15.75" thickBot="1">
      <c r="A17" s="9">
        <v>1998</v>
      </c>
      <c r="B17" s="12">
        <v>212046</v>
      </c>
      <c r="C17" s="5">
        <v>52910</v>
      </c>
      <c r="D17" s="5">
        <v>19931</v>
      </c>
      <c r="E17" s="7">
        <v>3983113</v>
      </c>
      <c r="F17" s="4">
        <v>8.8000000000000007</v>
      </c>
      <c r="G17" s="12">
        <v>64100</v>
      </c>
      <c r="H17" s="12">
        <v>22500</v>
      </c>
      <c r="I17" s="13">
        <v>115641</v>
      </c>
      <c r="J17" s="47">
        <v>6.9</v>
      </c>
    </row>
    <row r="18" spans="1:10" ht="15.75" thickBot="1">
      <c r="A18" s="9">
        <v>1999</v>
      </c>
      <c r="B18" s="12">
        <v>215283</v>
      </c>
      <c r="C18" s="5">
        <v>58084</v>
      </c>
      <c r="D18" s="5">
        <v>16309</v>
      </c>
      <c r="E18" s="7">
        <v>4011375</v>
      </c>
      <c r="F18" s="4">
        <v>8.3000000000000007</v>
      </c>
      <c r="G18" s="12">
        <v>66100</v>
      </c>
      <c r="H18" s="12">
        <v>24700</v>
      </c>
      <c r="I18" s="13">
        <v>120921</v>
      </c>
      <c r="J18" s="47">
        <v>8.25</v>
      </c>
    </row>
    <row r="19" spans="1:10" ht="15.75" thickBot="1">
      <c r="A19" s="9">
        <v>2000</v>
      </c>
      <c r="B19" s="12">
        <v>216989</v>
      </c>
      <c r="C19" s="5">
        <v>53454</v>
      </c>
      <c r="D19" s="5">
        <v>14418</v>
      </c>
      <c r="E19" s="7">
        <v>4039230</v>
      </c>
      <c r="F19" s="4">
        <v>7.1</v>
      </c>
      <c r="G19" s="12">
        <v>69100</v>
      </c>
      <c r="H19" s="12">
        <v>24800</v>
      </c>
      <c r="I19" s="13">
        <v>131333</v>
      </c>
      <c r="J19" s="47">
        <v>7.95</v>
      </c>
    </row>
    <row r="20" spans="1:10" ht="15.75" thickBot="1">
      <c r="A20" s="9">
        <v>2001</v>
      </c>
      <c r="B20" s="12">
        <v>220952</v>
      </c>
      <c r="C20" s="5">
        <v>68105</v>
      </c>
      <c r="D20" s="5">
        <v>17234</v>
      </c>
      <c r="E20" s="7">
        <v>4076264</v>
      </c>
      <c r="F20" s="4">
        <v>7.7</v>
      </c>
      <c r="G20" s="12">
        <v>69800</v>
      </c>
      <c r="H20" s="12">
        <v>25600</v>
      </c>
      <c r="I20" s="13">
        <v>133514</v>
      </c>
      <c r="J20" s="47">
        <v>6.85</v>
      </c>
    </row>
    <row r="21" spans="1:10" ht="15.75" thickBot="1">
      <c r="A21" s="9">
        <v>2002</v>
      </c>
      <c r="B21" s="12">
        <v>238758</v>
      </c>
      <c r="C21" s="5">
        <v>82725</v>
      </c>
      <c r="D21" s="5">
        <v>21625</v>
      </c>
      <c r="E21" s="7">
        <v>4098178</v>
      </c>
      <c r="F21" s="4">
        <v>8.5</v>
      </c>
      <c r="G21" s="12">
        <v>69700</v>
      </c>
      <c r="H21" s="12">
        <v>26100</v>
      </c>
      <c r="I21" s="13">
        <v>138193</v>
      </c>
      <c r="J21" s="47">
        <v>6.7</v>
      </c>
    </row>
    <row r="22" spans="1:10" ht="15.75" thickBot="1">
      <c r="A22" s="9">
        <v>2003</v>
      </c>
      <c r="B22" s="12">
        <v>259835</v>
      </c>
      <c r="C22" s="5">
        <v>93126</v>
      </c>
      <c r="D22" s="5">
        <v>26174</v>
      </c>
      <c r="E22" s="7">
        <v>4122396</v>
      </c>
      <c r="F22" s="4">
        <v>8</v>
      </c>
      <c r="G22" s="12">
        <v>69100</v>
      </c>
      <c r="H22" s="12">
        <v>26900</v>
      </c>
      <c r="I22" s="13">
        <v>145642</v>
      </c>
      <c r="J22" s="47">
        <v>6.45</v>
      </c>
    </row>
    <row r="23" spans="1:10" ht="15.75" thickBot="1">
      <c r="A23" s="9">
        <v>2004</v>
      </c>
      <c r="B23" s="12">
        <v>288967</v>
      </c>
      <c r="C23" s="5">
        <v>96316</v>
      </c>
      <c r="D23" s="5">
        <v>32925</v>
      </c>
      <c r="E23" s="7">
        <v>4155170</v>
      </c>
      <c r="F23" s="4">
        <v>7.2</v>
      </c>
      <c r="G23" s="12">
        <v>70800</v>
      </c>
      <c r="H23" s="12">
        <v>26800</v>
      </c>
      <c r="I23" s="13">
        <v>157675</v>
      </c>
      <c r="J23" s="47">
        <v>6.05</v>
      </c>
    </row>
    <row r="24" spans="1:10" ht="15.75" thickBot="1">
      <c r="A24" s="9">
        <v>2005</v>
      </c>
      <c r="B24" s="12">
        <v>332137</v>
      </c>
      <c r="C24" s="5">
        <v>106290</v>
      </c>
      <c r="D24" s="5">
        <v>34667</v>
      </c>
      <c r="E24" s="7">
        <v>4196788</v>
      </c>
      <c r="F24" s="4">
        <v>5.9</v>
      </c>
      <c r="G24" s="12">
        <v>71600</v>
      </c>
      <c r="H24" s="12">
        <v>27500</v>
      </c>
      <c r="I24" s="13">
        <v>169308</v>
      </c>
      <c r="J24" s="47">
        <v>6.3</v>
      </c>
    </row>
    <row r="25" spans="1:10" ht="15.75" thickBot="1">
      <c r="A25" s="9">
        <v>2006</v>
      </c>
      <c r="B25" s="12">
        <v>390963</v>
      </c>
      <c r="C25" s="5">
        <v>96696</v>
      </c>
      <c r="D25" s="5">
        <v>36443</v>
      </c>
      <c r="E25" s="7">
        <v>4243580</v>
      </c>
      <c r="F25" s="4">
        <v>4.8</v>
      </c>
      <c r="G25" s="12">
        <v>73000</v>
      </c>
      <c r="H25" s="12">
        <v>28800</v>
      </c>
      <c r="I25" s="13">
        <v>182743</v>
      </c>
      <c r="J25" s="47">
        <v>6.45</v>
      </c>
    </row>
    <row r="26" spans="1:10" ht="15.75" thickBot="1">
      <c r="A26" s="9">
        <v>2007</v>
      </c>
      <c r="B26" s="12">
        <v>439119</v>
      </c>
      <c r="C26" s="5">
        <v>102805</v>
      </c>
      <c r="D26" s="5">
        <v>39195</v>
      </c>
      <c r="E26" s="7">
        <v>4310305</v>
      </c>
      <c r="F26" s="4">
        <v>4.2</v>
      </c>
      <c r="G26" s="12">
        <v>73570</v>
      </c>
      <c r="H26" s="12">
        <v>29020</v>
      </c>
      <c r="I26" s="13">
        <v>192528</v>
      </c>
      <c r="J26" s="47">
        <v>7.54</v>
      </c>
    </row>
    <row r="27" spans="1:10" ht="15.75" thickBot="1">
      <c r="A27" s="9">
        <v>2008</v>
      </c>
      <c r="B27" s="12">
        <v>454599</v>
      </c>
      <c r="C27" s="5">
        <v>68923</v>
      </c>
      <c r="D27" s="5">
        <v>33250</v>
      </c>
      <c r="E27" s="7">
        <v>4381603</v>
      </c>
      <c r="F27" s="4">
        <v>4.5999999999999996</v>
      </c>
      <c r="G27" s="12">
        <v>74480</v>
      </c>
      <c r="H27" s="12">
        <v>29620</v>
      </c>
      <c r="I27" s="12">
        <v>190765</v>
      </c>
      <c r="J27" s="47">
        <v>6.75</v>
      </c>
    </row>
    <row r="28" spans="1:10">
      <c r="A28" s="8"/>
      <c r="B28" s="8"/>
      <c r="C28" s="8"/>
      <c r="D28" s="8"/>
      <c r="E28" s="8"/>
      <c r="F28" s="8"/>
      <c r="G28" s="8"/>
      <c r="H28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6"/>
  <dimension ref="A3:I26"/>
  <sheetViews>
    <sheetView zoomScale="74" zoomScaleNormal="74" workbookViewId="0">
      <selection activeCell="H23" sqref="H23"/>
    </sheetView>
  </sheetViews>
  <sheetFormatPr defaultRowHeight="15"/>
  <cols>
    <col min="2" max="2" width="23.7109375" bestFit="1" customWidth="1"/>
    <col min="3" max="3" width="23.85546875" bestFit="1" customWidth="1"/>
    <col min="4" max="4" width="12.5703125" bestFit="1" customWidth="1"/>
    <col min="5" max="5" width="13.5703125" bestFit="1" customWidth="1"/>
    <col min="6" max="6" width="16.42578125" bestFit="1" customWidth="1"/>
    <col min="7" max="7" width="19.42578125" bestFit="1" customWidth="1"/>
    <col min="8" max="8" width="21" bestFit="1" customWidth="1"/>
    <col min="9" max="9" width="13.85546875" bestFit="1" customWidth="1"/>
  </cols>
  <sheetData>
    <row r="3" spans="1:9" ht="15.75" thickBot="1">
      <c r="B3" s="2" t="s">
        <v>13</v>
      </c>
      <c r="C3" s="2" t="s">
        <v>14</v>
      </c>
    </row>
    <row r="4" spans="1:9" ht="15.75" thickBot="1">
      <c r="A4" s="9" t="s">
        <v>3</v>
      </c>
      <c r="B4" s="9" t="s">
        <v>11</v>
      </c>
      <c r="C4" s="9" t="s">
        <v>40</v>
      </c>
      <c r="D4" s="14" t="s">
        <v>43</v>
      </c>
      <c r="E4" s="14" t="s">
        <v>15</v>
      </c>
      <c r="F4" s="14" t="s">
        <v>16</v>
      </c>
      <c r="G4" s="9" t="s">
        <v>8</v>
      </c>
      <c r="H4" s="16" t="s">
        <v>17</v>
      </c>
    </row>
    <row r="5" spans="1:9" ht="15.75" thickBot="1">
      <c r="A5" s="9">
        <v>1990</v>
      </c>
      <c r="B5" s="12">
        <v>63100</v>
      </c>
      <c r="C5" s="12">
        <f>Data!B9/((1+0.04)^-19)</f>
        <v>332073.13972341898</v>
      </c>
      <c r="D5" s="12">
        <f t="shared" ref="D5:D23" si="0">a+(b*B5)</f>
        <v>361371.28526457027</v>
      </c>
      <c r="E5" s="12">
        <f>ABS(C5-D5)</f>
        <v>29298.145541151287</v>
      </c>
      <c r="F5" s="5">
        <f>E5^2</f>
        <v>858381332.15048301</v>
      </c>
      <c r="G5" s="12">
        <v>157616</v>
      </c>
      <c r="H5" s="15" t="s">
        <v>18</v>
      </c>
    </row>
    <row r="6" spans="1:9" ht="15.75" thickBot="1">
      <c r="A6" s="9">
        <v>1991</v>
      </c>
      <c r="B6" s="12">
        <v>60400</v>
      </c>
      <c r="C6" s="12">
        <f>Data!B10/((1+0.04)^-18)</f>
        <v>340813.24146470748</v>
      </c>
      <c r="D6" s="12">
        <f t="shared" si="0"/>
        <v>355529.91519017139</v>
      </c>
      <c r="E6" s="12">
        <f t="shared" ref="E6:E23" si="1">ABS(C6-D6)</f>
        <v>14716.673725463916</v>
      </c>
      <c r="F6" s="5">
        <f t="shared" ref="F6:F23" si="2">E6^2</f>
        <v>216580485.54175997</v>
      </c>
      <c r="G6" s="12">
        <v>168235</v>
      </c>
      <c r="H6" s="15" t="s">
        <v>19</v>
      </c>
      <c r="I6">
        <f>INTERCEPT(DependentVariable,IndependentVariable)</f>
        <v>224856.30315546994</v>
      </c>
    </row>
    <row r="7" spans="1:9" ht="15.75" thickBot="1">
      <c r="A7" s="9">
        <v>1992</v>
      </c>
      <c r="B7" s="12">
        <v>59400</v>
      </c>
      <c r="C7" s="12">
        <f>Data!B11/((1+0.04)^-17)</f>
        <v>370099.14625519793</v>
      </c>
      <c r="D7" s="12">
        <f t="shared" si="0"/>
        <v>353366.44479224586</v>
      </c>
      <c r="E7" s="12">
        <f t="shared" si="1"/>
        <v>16732.701462952071</v>
      </c>
      <c r="F7" s="5">
        <f t="shared" si="2"/>
        <v>279983298.24827838</v>
      </c>
      <c r="G7" s="12">
        <v>189999</v>
      </c>
      <c r="H7" s="15" t="s">
        <v>20</v>
      </c>
      <c r="I7">
        <f>SLOPE(DependentVariable,IndependentVariable)</f>
        <v>2.1634703979255208</v>
      </c>
    </row>
    <row r="8" spans="1:9" ht="15.75" thickBot="1">
      <c r="A8" s="9">
        <v>1993</v>
      </c>
      <c r="B8" s="12">
        <v>58200</v>
      </c>
      <c r="C8" s="12">
        <f>Data!B12/((1+0.04)^-16)</f>
        <v>397057.04024419928</v>
      </c>
      <c r="D8" s="12">
        <f t="shared" si="0"/>
        <v>350770.28031473525</v>
      </c>
      <c r="E8" s="12">
        <f t="shared" si="1"/>
        <v>46286.759929464024</v>
      </c>
      <c r="F8" s="5">
        <f t="shared" si="2"/>
        <v>2142464144.7678363</v>
      </c>
      <c r="G8" s="12">
        <v>211992</v>
      </c>
    </row>
    <row r="9" spans="1:9" ht="15.75" thickBot="1">
      <c r="A9" s="9">
        <v>1994</v>
      </c>
      <c r="B9" s="12">
        <v>59000</v>
      </c>
      <c r="C9" s="12">
        <f>Data!B13/((1+0.04)^-15)</f>
        <v>413341.7477229145</v>
      </c>
      <c r="D9" s="12">
        <f t="shared" si="0"/>
        <v>352501.0566330757</v>
      </c>
      <c r="E9" s="12">
        <f t="shared" si="1"/>
        <v>60840.691089838801</v>
      </c>
      <c r="F9" s="5">
        <f t="shared" si="2"/>
        <v>3701589692.2891903</v>
      </c>
      <c r="G9" s="12">
        <v>229514</v>
      </c>
    </row>
    <row r="10" spans="1:9" ht="15.75" thickBot="1">
      <c r="A10" s="9">
        <v>1995</v>
      </c>
      <c r="B10" s="12">
        <v>59700</v>
      </c>
      <c r="C10" s="12">
        <f>Data!B14/((1+0.04)^-14)</f>
        <v>384189.73666515818</v>
      </c>
      <c r="D10" s="12">
        <f t="shared" si="0"/>
        <v>354015.48591162352</v>
      </c>
      <c r="E10" s="12">
        <f t="shared" si="1"/>
        <v>30174.250753534667</v>
      </c>
      <c r="F10" s="5">
        <f t="shared" si="2"/>
        <v>910485408.53718746</v>
      </c>
      <c r="G10" s="12">
        <v>221860</v>
      </c>
      <c r="H10" s="82" t="s">
        <v>21</v>
      </c>
      <c r="I10" s="82"/>
    </row>
    <row r="11" spans="1:9" ht="15.75" thickBot="1">
      <c r="A11" s="9">
        <v>1996</v>
      </c>
      <c r="B11" s="12">
        <v>59800</v>
      </c>
      <c r="C11" s="12">
        <f>Data!B15/((1+0.04)^-13)</f>
        <v>364129.93009318708</v>
      </c>
      <c r="D11" s="12">
        <f t="shared" si="0"/>
        <v>354231.83295141609</v>
      </c>
      <c r="E11" s="12">
        <f t="shared" si="1"/>
        <v>9898.0971417709952</v>
      </c>
      <c r="F11" s="5">
        <f t="shared" si="2"/>
        <v>97972327.027935147</v>
      </c>
      <c r="G11" s="12">
        <v>218687</v>
      </c>
      <c r="H11" s="15" t="s">
        <v>22</v>
      </c>
      <c r="I11" s="18">
        <f>AVERAGE(E5:E23)</f>
        <v>42887.922397631279</v>
      </c>
    </row>
    <row r="12" spans="1:9" ht="15.75" thickBot="1">
      <c r="A12" s="9">
        <v>1997</v>
      </c>
      <c r="B12" s="12">
        <v>61400</v>
      </c>
      <c r="C12" s="12">
        <f>Data!B16/((1+0.04)^-12)</f>
        <v>353046.81658079667</v>
      </c>
      <c r="D12" s="12">
        <f t="shared" si="0"/>
        <v>357693.38558809692</v>
      </c>
      <c r="E12" s="12">
        <f t="shared" si="1"/>
        <v>4646.5690073002479</v>
      </c>
      <c r="F12" s="5">
        <f t="shared" si="2"/>
        <v>21590603.539603211</v>
      </c>
      <c r="G12" s="12">
        <v>220512</v>
      </c>
    </row>
    <row r="13" spans="1:9" ht="15.75" thickBot="1">
      <c r="A13" s="9">
        <v>1998</v>
      </c>
      <c r="B13" s="12">
        <v>64100</v>
      </c>
      <c r="C13" s="12">
        <f>Data!B17/((1+0.04)^-11)</f>
        <v>326435.0748253871</v>
      </c>
      <c r="D13" s="12">
        <f t="shared" si="0"/>
        <v>363534.75566249585</v>
      </c>
      <c r="E13" s="12">
        <f t="shared" si="1"/>
        <v>37099.680837108754</v>
      </c>
      <c r="F13" s="5">
        <f t="shared" si="2"/>
        <v>1376386318.2153344</v>
      </c>
      <c r="G13" s="12">
        <v>212046</v>
      </c>
      <c r="H13" s="82" t="s">
        <v>23</v>
      </c>
      <c r="I13" s="82"/>
    </row>
    <row r="14" spans="1:9" ht="15.75" thickBot="1">
      <c r="A14" s="9">
        <v>1999</v>
      </c>
      <c r="B14" s="12">
        <v>66100</v>
      </c>
      <c r="C14" s="12">
        <f>Data!B18/((1+0.04)^-10)</f>
        <v>318671.43039007601</v>
      </c>
      <c r="D14" s="12">
        <f t="shared" si="0"/>
        <v>367861.69645834685</v>
      </c>
      <c r="E14" s="12">
        <f t="shared" si="1"/>
        <v>49190.266068270837</v>
      </c>
      <c r="F14" s="5">
        <f t="shared" si="2"/>
        <v>2419682275.8672771</v>
      </c>
      <c r="G14" s="12">
        <v>215283</v>
      </c>
      <c r="H14" s="15" t="s">
        <v>24</v>
      </c>
      <c r="I14" s="19">
        <f>SUMSQ(E5:E23) / COUNT(E5:E23)</f>
        <v>2494545719.6613169</v>
      </c>
    </row>
    <row r="15" spans="1:9" ht="15.75" thickBot="1">
      <c r="A15" s="9">
        <v>2000</v>
      </c>
      <c r="B15" s="12">
        <v>69100</v>
      </c>
      <c r="C15" s="12">
        <f>Data!B19/((1+0.04)^-9)</f>
        <v>308843.00686552568</v>
      </c>
      <c r="D15" s="12">
        <f t="shared" si="0"/>
        <v>374352.10765212344</v>
      </c>
      <c r="E15" s="12">
        <f t="shared" si="1"/>
        <v>65509.100786597759</v>
      </c>
      <c r="F15" s="5">
        <f t="shared" si="2"/>
        <v>4291442285.8686233</v>
      </c>
      <c r="G15" s="12">
        <v>216989</v>
      </c>
    </row>
    <row r="16" spans="1:9" ht="15.75" thickBot="1">
      <c r="A16" s="9">
        <v>2001</v>
      </c>
      <c r="B16" s="12">
        <v>69800</v>
      </c>
      <c r="C16" s="12">
        <f>Data!B20/((1+0.04)^-8)</f>
        <v>302388.06882514613</v>
      </c>
      <c r="D16" s="12">
        <f t="shared" si="0"/>
        <v>375866.53693067131</v>
      </c>
      <c r="E16" s="12">
        <f t="shared" si="1"/>
        <v>73478.468105525186</v>
      </c>
      <c r="F16" s="5">
        <f t="shared" si="2"/>
        <v>5399085275.1346817</v>
      </c>
      <c r="G16" s="12">
        <v>220952</v>
      </c>
      <c r="H16" s="82" t="s">
        <v>25</v>
      </c>
      <c r="I16" s="82"/>
    </row>
    <row r="17" spans="1:9" ht="15.75" thickBot="1">
      <c r="A17" s="9">
        <v>2002</v>
      </c>
      <c r="B17" s="12">
        <v>69700</v>
      </c>
      <c r="C17" s="12">
        <f>Data!B21/((1+0.04)^-7)</f>
        <v>314189.23974679073</v>
      </c>
      <c r="D17" s="12">
        <f t="shared" si="0"/>
        <v>375650.18989087874</v>
      </c>
      <c r="E17" s="12">
        <f t="shared" si="1"/>
        <v>61460.950144088012</v>
      </c>
      <c r="F17" s="5">
        <f t="shared" si="2"/>
        <v>3777448392.6140723</v>
      </c>
      <c r="G17" s="12">
        <v>238758</v>
      </c>
      <c r="H17" s="15" t="s">
        <v>26</v>
      </c>
      <c r="I17" s="20">
        <v>80000</v>
      </c>
    </row>
    <row r="18" spans="1:9" ht="15.75" thickBot="1">
      <c r="A18" s="9">
        <v>2003</v>
      </c>
      <c r="B18" s="12">
        <v>69100</v>
      </c>
      <c r="C18" s="12">
        <f>Data!B22/((1+0.04)^-6)</f>
        <v>328774.16717090824</v>
      </c>
      <c r="D18" s="12">
        <f t="shared" si="0"/>
        <v>374352.10765212344</v>
      </c>
      <c r="E18" s="12">
        <f t="shared" si="1"/>
        <v>45577.940481215192</v>
      </c>
      <c r="F18" s="5">
        <f t="shared" si="2"/>
        <v>2077348658.5091944</v>
      </c>
      <c r="G18" s="12">
        <v>259835</v>
      </c>
      <c r="H18" s="15" t="s">
        <v>27</v>
      </c>
      <c r="I18" s="18">
        <f>a + (I17 * b)</f>
        <v>397933.93498951162</v>
      </c>
    </row>
    <row r="19" spans="1:9" ht="15.75" thickBot="1">
      <c r="A19" s="9">
        <v>2004</v>
      </c>
      <c r="B19" s="12">
        <v>70800</v>
      </c>
      <c r="C19" s="12">
        <f>Data!B23/((1+0.04)^-5)</f>
        <v>351572.53924782091</v>
      </c>
      <c r="D19" s="12">
        <f t="shared" si="0"/>
        <v>378030.00732859678</v>
      </c>
      <c r="E19" s="12">
        <f t="shared" si="1"/>
        <v>26457.46808077587</v>
      </c>
      <c r="F19" s="5">
        <f t="shared" si="2"/>
        <v>699997617.24527407</v>
      </c>
      <c r="G19" s="12">
        <v>288967</v>
      </c>
    </row>
    <row r="20" spans="1:9" ht="15.75" thickBot="1">
      <c r="A20" s="9">
        <v>2005</v>
      </c>
      <c r="B20" s="12">
        <v>71600</v>
      </c>
      <c r="C20" s="12">
        <f>Data!B24/((1+0.04)^-4)</f>
        <v>388553.31254272006</v>
      </c>
      <c r="D20" s="12">
        <f t="shared" si="0"/>
        <v>379760.78364693723</v>
      </c>
      <c r="E20" s="12">
        <f t="shared" si="1"/>
        <v>8792.5288957828307</v>
      </c>
      <c r="F20" s="5">
        <f t="shared" si="2"/>
        <v>77308564.383176044</v>
      </c>
      <c r="G20" s="12">
        <v>332137</v>
      </c>
    </row>
    <row r="21" spans="1:9" ht="15.75" thickBot="1">
      <c r="A21" s="9">
        <v>2006</v>
      </c>
      <c r="B21" s="12">
        <v>73000</v>
      </c>
      <c r="C21" s="12">
        <f>Data!B25/((1+0.04)^-3)</f>
        <v>439780.20403200004</v>
      </c>
      <c r="D21" s="12">
        <f t="shared" si="0"/>
        <v>382789.64220403298</v>
      </c>
      <c r="E21" s="12">
        <f t="shared" si="1"/>
        <v>56990.56182796706</v>
      </c>
      <c r="F21" s="5">
        <f t="shared" si="2"/>
        <v>3247924137.4673362</v>
      </c>
      <c r="G21" s="12">
        <v>390963</v>
      </c>
    </row>
    <row r="22" spans="1:9" ht="15.75" thickBot="1">
      <c r="A22" s="9">
        <v>2007</v>
      </c>
      <c r="B22" s="12">
        <v>73570</v>
      </c>
      <c r="C22" s="12">
        <f>Data!B26/((1+0.04)^-2)</f>
        <v>474951.11040000006</v>
      </c>
      <c r="D22" s="12">
        <f t="shared" si="0"/>
        <v>384022.82033085049</v>
      </c>
      <c r="E22" s="12">
        <f t="shared" si="1"/>
        <v>90928.290069149574</v>
      </c>
      <c r="F22" s="5">
        <f t="shared" si="2"/>
        <v>8267953934.8994055</v>
      </c>
      <c r="G22" s="12">
        <v>439119</v>
      </c>
    </row>
    <row r="23" spans="1:9" ht="15.75" thickBot="1">
      <c r="A23" s="9">
        <v>2008</v>
      </c>
      <c r="B23" s="12">
        <v>74480</v>
      </c>
      <c r="C23" s="12">
        <f>Data!B27/((1+0.04)^-1)</f>
        <v>472782.96</v>
      </c>
      <c r="D23" s="12">
        <f t="shared" si="0"/>
        <v>385991.57839296269</v>
      </c>
      <c r="E23" s="12">
        <f t="shared" si="1"/>
        <v>86791.381607037329</v>
      </c>
      <c r="F23" s="5">
        <f t="shared" si="2"/>
        <v>7532743921.2583771</v>
      </c>
      <c r="G23" s="12">
        <v>454599</v>
      </c>
    </row>
    <row r="24" spans="1:9" ht="15.75" thickBot="1">
      <c r="A24" s="14">
        <v>2009</v>
      </c>
      <c r="B24" s="33">
        <f>B23-(B23*0.02)</f>
        <v>72990.399999999994</v>
      </c>
      <c r="C24" s="3"/>
      <c r="D24" s="33">
        <f>a+(b*B24)</f>
        <v>382768.87288821285</v>
      </c>
      <c r="E24" s="3"/>
      <c r="F24" s="3"/>
      <c r="G24" s="33"/>
    </row>
    <row r="26" spans="1:9">
      <c r="B26" t="s">
        <v>47</v>
      </c>
    </row>
  </sheetData>
  <mergeCells count="3">
    <mergeCell ref="H10:I10"/>
    <mergeCell ref="H13:I13"/>
    <mergeCell ref="H16:I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I23"/>
  <sheetViews>
    <sheetView zoomScale="75" zoomScaleNormal="75" workbookViewId="0">
      <selection activeCell="B23" sqref="B23"/>
    </sheetView>
  </sheetViews>
  <sheetFormatPr defaultRowHeight="15"/>
  <cols>
    <col min="1" max="1" width="15.7109375" bestFit="1" customWidth="1"/>
    <col min="2" max="2" width="23.7109375" bestFit="1" customWidth="1"/>
    <col min="3" max="3" width="12.5703125" bestFit="1" customWidth="1"/>
    <col min="4" max="4" width="13.5703125" bestFit="1" customWidth="1"/>
    <col min="5" max="5" width="19.42578125" bestFit="1" customWidth="1"/>
    <col min="6" max="6" width="13.5703125" bestFit="1" customWidth="1"/>
    <col min="9" max="9" width="13.5703125" bestFit="1" customWidth="1"/>
  </cols>
  <sheetData>
    <row r="2" spans="1:9" ht="15.75" thickBot="1">
      <c r="A2" s="66"/>
      <c r="C2" s="8"/>
      <c r="D2" s="8"/>
      <c r="E2" s="8"/>
      <c r="F2" s="8"/>
      <c r="I2" s="8"/>
    </row>
    <row r="3" spans="1:9" ht="30.75" thickBot="1">
      <c r="A3" s="9" t="s">
        <v>3</v>
      </c>
      <c r="B3" s="9" t="s">
        <v>11</v>
      </c>
      <c r="C3" s="69" t="s">
        <v>55</v>
      </c>
      <c r="D3" s="69" t="s">
        <v>56</v>
      </c>
      <c r="E3" s="69" t="s">
        <v>57</v>
      </c>
      <c r="F3" s="69" t="s">
        <v>58</v>
      </c>
      <c r="G3" s="67"/>
      <c r="H3" s="67"/>
      <c r="I3" s="67"/>
    </row>
    <row r="4" spans="1:9" ht="15.75" thickBot="1">
      <c r="A4" s="9">
        <v>1990</v>
      </c>
      <c r="B4" s="12">
        <v>63100</v>
      </c>
      <c r="C4" s="4">
        <v>0</v>
      </c>
      <c r="D4" s="4">
        <v>1000</v>
      </c>
      <c r="E4" s="12">
        <v>63100</v>
      </c>
      <c r="F4" s="70">
        <f t="shared" ref="F4:F22" si="0">ABS(ActualValue - ForecastValue)</f>
        <v>0</v>
      </c>
      <c r="H4" s="83" t="s">
        <v>21</v>
      </c>
      <c r="I4" s="83"/>
    </row>
    <row r="5" spans="1:9" ht="15.75" thickBot="1">
      <c r="A5" s="9">
        <v>1991</v>
      </c>
      <c r="B5" s="12">
        <v>60400</v>
      </c>
      <c r="C5" s="4">
        <f>B5-B4</f>
        <v>-2700</v>
      </c>
      <c r="D5" s="70">
        <f t="shared" ref="D5:D22" si="1">(Beta * C5) + ((1 - Beta) * D4)</f>
        <v>-850</v>
      </c>
      <c r="E5" s="12">
        <f t="shared" ref="E5:E23" si="2">((Alpha * B4) + ((1 - Alpha) * E4)) + D4</f>
        <v>64100</v>
      </c>
      <c r="F5" s="70">
        <f t="shared" si="0"/>
        <v>3700</v>
      </c>
      <c r="H5" s="15" t="s">
        <v>22</v>
      </c>
      <c r="I5" s="18">
        <f>AVERAGE(ForecastingError)</f>
        <v>1370.2131652832031</v>
      </c>
    </row>
    <row r="6" spans="1:9" ht="15.75" thickBot="1">
      <c r="A6" s="9">
        <v>1992</v>
      </c>
      <c r="B6" s="12">
        <v>59400</v>
      </c>
      <c r="C6" s="4">
        <f t="shared" ref="C6:C22" si="3">B6-B5</f>
        <v>-1000</v>
      </c>
      <c r="D6" s="70">
        <f t="shared" si="1"/>
        <v>-925</v>
      </c>
      <c r="E6" s="12">
        <f t="shared" si="2"/>
        <v>61400</v>
      </c>
      <c r="F6" s="70">
        <f t="shared" si="0"/>
        <v>2000</v>
      </c>
      <c r="I6" s="8"/>
    </row>
    <row r="7" spans="1:9" ht="15.75" thickBot="1">
      <c r="A7" s="9">
        <v>1993</v>
      </c>
      <c r="B7" s="12">
        <v>58200</v>
      </c>
      <c r="C7" s="4">
        <f t="shared" si="3"/>
        <v>-1200</v>
      </c>
      <c r="D7" s="70">
        <f t="shared" si="1"/>
        <v>-1062.5</v>
      </c>
      <c r="E7" s="12">
        <f t="shared" si="2"/>
        <v>59475</v>
      </c>
      <c r="F7" s="70">
        <f t="shared" si="0"/>
        <v>1275</v>
      </c>
      <c r="H7" s="83" t="s">
        <v>23</v>
      </c>
      <c r="I7" s="83"/>
    </row>
    <row r="8" spans="1:9" ht="15.75" thickBot="1">
      <c r="A8" s="9">
        <v>1994</v>
      </c>
      <c r="B8" s="12">
        <v>59000</v>
      </c>
      <c r="C8" s="4">
        <f t="shared" si="3"/>
        <v>800</v>
      </c>
      <c r="D8" s="70">
        <f t="shared" si="1"/>
        <v>-131.25</v>
      </c>
      <c r="E8" s="12">
        <f t="shared" si="2"/>
        <v>57775</v>
      </c>
      <c r="F8" s="70">
        <f t="shared" si="0"/>
        <v>1225</v>
      </c>
      <c r="H8" s="15" t="s">
        <v>24</v>
      </c>
      <c r="I8" s="19">
        <f>SUMSQ(ForecastingError) / COUNT(ForecastingError)</f>
        <v>2783820.0416092295</v>
      </c>
    </row>
    <row r="9" spans="1:9" ht="15.75" thickBot="1">
      <c r="A9" s="9">
        <v>1995</v>
      </c>
      <c r="B9" s="12">
        <v>59700</v>
      </c>
      <c r="C9" s="4">
        <f t="shared" si="3"/>
        <v>700</v>
      </c>
      <c r="D9" s="70">
        <f t="shared" si="1"/>
        <v>284.375</v>
      </c>
      <c r="E9" s="12">
        <f t="shared" si="2"/>
        <v>58256.25</v>
      </c>
      <c r="F9" s="70">
        <f t="shared" si="0"/>
        <v>1443.75</v>
      </c>
      <c r="I9" s="8"/>
    </row>
    <row r="10" spans="1:9" ht="15.75" thickBot="1">
      <c r="A10" s="9">
        <v>1996</v>
      </c>
      <c r="B10" s="12">
        <v>59800</v>
      </c>
      <c r="C10" s="4">
        <f t="shared" si="3"/>
        <v>100</v>
      </c>
      <c r="D10" s="70">
        <f t="shared" si="1"/>
        <v>192.1875</v>
      </c>
      <c r="E10" s="12">
        <f t="shared" si="2"/>
        <v>59262.5</v>
      </c>
      <c r="F10" s="70">
        <f t="shared" si="0"/>
        <v>537.5</v>
      </c>
      <c r="H10" s="83" t="s">
        <v>59</v>
      </c>
      <c r="I10" s="83"/>
    </row>
    <row r="11" spans="1:9" ht="15.75" thickBot="1">
      <c r="A11" s="9">
        <v>1997</v>
      </c>
      <c r="B11" s="12">
        <v>61400</v>
      </c>
      <c r="C11" s="4">
        <f t="shared" si="3"/>
        <v>1600</v>
      </c>
      <c r="D11" s="70">
        <f t="shared" si="1"/>
        <v>896.09375</v>
      </c>
      <c r="E11" s="12">
        <f t="shared" si="2"/>
        <v>59723.4375</v>
      </c>
      <c r="F11" s="70">
        <f t="shared" si="0"/>
        <v>1676.5625</v>
      </c>
      <c r="H11" s="68" t="s">
        <v>60</v>
      </c>
      <c r="I11" s="8">
        <v>0.5</v>
      </c>
    </row>
    <row r="12" spans="1:9" ht="15.75" thickBot="1">
      <c r="A12" s="9">
        <v>1998</v>
      </c>
      <c r="B12" s="12">
        <v>64100</v>
      </c>
      <c r="C12" s="4">
        <f t="shared" si="3"/>
        <v>2700</v>
      </c>
      <c r="D12" s="70">
        <f t="shared" si="1"/>
        <v>1798.046875</v>
      </c>
      <c r="E12" s="12">
        <f t="shared" si="2"/>
        <v>61457.8125</v>
      </c>
      <c r="F12" s="70">
        <f t="shared" si="0"/>
        <v>2642.1875</v>
      </c>
      <c r="I12" s="8"/>
    </row>
    <row r="13" spans="1:9" ht="15.75" thickBot="1">
      <c r="A13" s="9">
        <v>1999</v>
      </c>
      <c r="B13" s="12">
        <v>66100</v>
      </c>
      <c r="C13" s="4">
        <f t="shared" si="3"/>
        <v>2000</v>
      </c>
      <c r="D13" s="70">
        <f t="shared" si="1"/>
        <v>1899.0234375</v>
      </c>
      <c r="E13" s="12">
        <f t="shared" si="2"/>
        <v>64576.953125</v>
      </c>
      <c r="F13" s="70">
        <f t="shared" si="0"/>
        <v>1523.046875</v>
      </c>
      <c r="H13" s="83" t="s">
        <v>61</v>
      </c>
      <c r="I13" s="83"/>
    </row>
    <row r="14" spans="1:9" ht="15.75" thickBot="1">
      <c r="A14" s="9">
        <v>2000</v>
      </c>
      <c r="B14" s="12">
        <v>69100</v>
      </c>
      <c r="C14" s="4">
        <f t="shared" si="3"/>
        <v>3000</v>
      </c>
      <c r="D14" s="70">
        <f t="shared" si="1"/>
        <v>2449.51171875</v>
      </c>
      <c r="E14" s="12">
        <f t="shared" si="2"/>
        <v>67237.5</v>
      </c>
      <c r="F14" s="70">
        <f t="shared" si="0"/>
        <v>1862.5</v>
      </c>
      <c r="H14" s="68" t="s">
        <v>62</v>
      </c>
      <c r="I14" s="8">
        <v>0.5</v>
      </c>
    </row>
    <row r="15" spans="1:9" ht="15.75" thickBot="1">
      <c r="A15" s="9">
        <v>2001</v>
      </c>
      <c r="B15" s="12">
        <v>69800</v>
      </c>
      <c r="C15" s="4">
        <f t="shared" si="3"/>
        <v>700</v>
      </c>
      <c r="D15" s="70">
        <f t="shared" si="1"/>
        <v>1574.755859375</v>
      </c>
      <c r="E15" s="12">
        <f t="shared" si="2"/>
        <v>70618.26171875</v>
      </c>
      <c r="F15" s="70">
        <f t="shared" si="0"/>
        <v>818.26171875</v>
      </c>
    </row>
    <row r="16" spans="1:9" ht="15.75" thickBot="1">
      <c r="A16" s="9">
        <v>2002</v>
      </c>
      <c r="B16" s="12">
        <v>69700</v>
      </c>
      <c r="C16" s="4">
        <f t="shared" si="3"/>
        <v>-100</v>
      </c>
      <c r="D16" s="70">
        <f t="shared" si="1"/>
        <v>737.3779296875</v>
      </c>
      <c r="E16" s="12">
        <f t="shared" si="2"/>
        <v>71783.88671875</v>
      </c>
      <c r="F16" s="70">
        <f t="shared" si="0"/>
        <v>2083.88671875</v>
      </c>
    </row>
    <row r="17" spans="1:6" ht="15.75" thickBot="1">
      <c r="A17" s="9">
        <v>2003</v>
      </c>
      <c r="B17" s="12">
        <v>69100</v>
      </c>
      <c r="C17" s="4">
        <f t="shared" si="3"/>
        <v>-600</v>
      </c>
      <c r="D17" s="70">
        <f t="shared" si="1"/>
        <v>68.68896484375</v>
      </c>
      <c r="E17" s="12">
        <f t="shared" si="2"/>
        <v>71479.3212890625</v>
      </c>
      <c r="F17" s="70">
        <f t="shared" si="0"/>
        <v>2379.3212890625</v>
      </c>
    </row>
    <row r="18" spans="1:6" ht="15.75" thickBot="1">
      <c r="A18" s="9">
        <v>2004</v>
      </c>
      <c r="B18" s="12">
        <v>70800</v>
      </c>
      <c r="C18" s="4">
        <f t="shared" si="3"/>
        <v>1700</v>
      </c>
      <c r="D18" s="70">
        <f t="shared" si="1"/>
        <v>884.344482421875</v>
      </c>
      <c r="E18" s="12">
        <f t="shared" si="2"/>
        <v>70358.349609375</v>
      </c>
      <c r="F18" s="70">
        <f t="shared" si="0"/>
        <v>441.650390625</v>
      </c>
    </row>
    <row r="19" spans="1:6" ht="15.75" thickBot="1">
      <c r="A19" s="9">
        <v>2005</v>
      </c>
      <c r="B19" s="12">
        <v>71600</v>
      </c>
      <c r="C19" s="4">
        <f t="shared" si="3"/>
        <v>800</v>
      </c>
      <c r="D19" s="70">
        <f t="shared" si="1"/>
        <v>842.1722412109375</v>
      </c>
      <c r="E19" s="12">
        <f t="shared" si="2"/>
        <v>71463.519287109375</v>
      </c>
      <c r="F19" s="70">
        <f t="shared" si="0"/>
        <v>136.480712890625</v>
      </c>
    </row>
    <row r="20" spans="1:6" ht="15.75" thickBot="1">
      <c r="A20" s="9">
        <v>2006</v>
      </c>
      <c r="B20" s="12">
        <v>73000</v>
      </c>
      <c r="C20" s="4">
        <f t="shared" si="3"/>
        <v>1400</v>
      </c>
      <c r="D20" s="70">
        <f t="shared" si="1"/>
        <v>1121.0861206054687</v>
      </c>
      <c r="E20" s="12">
        <f t="shared" si="2"/>
        <v>72373.931884765625</v>
      </c>
      <c r="F20" s="70">
        <f t="shared" si="0"/>
        <v>626.068115234375</v>
      </c>
    </row>
    <row r="21" spans="1:6" ht="15.75" thickBot="1">
      <c r="A21" s="9">
        <v>2007</v>
      </c>
      <c r="B21" s="12">
        <v>73570</v>
      </c>
      <c r="C21" s="4">
        <f t="shared" si="3"/>
        <v>570</v>
      </c>
      <c r="D21" s="70">
        <f t="shared" si="1"/>
        <v>845.54306030273437</v>
      </c>
      <c r="E21" s="12">
        <f t="shared" si="2"/>
        <v>73808.052062988281</v>
      </c>
      <c r="F21" s="70">
        <f t="shared" si="0"/>
        <v>238.05206298828125</v>
      </c>
    </row>
    <row r="22" spans="1:6" ht="15.75" thickBot="1">
      <c r="A22" s="9">
        <v>2008</v>
      </c>
      <c r="B22" s="12">
        <v>74480</v>
      </c>
      <c r="C22" s="4">
        <f t="shared" si="3"/>
        <v>910</v>
      </c>
      <c r="D22" s="70">
        <f t="shared" si="1"/>
        <v>877.77153015136719</v>
      </c>
      <c r="E22" s="12">
        <f t="shared" si="2"/>
        <v>74534.569091796875</v>
      </c>
      <c r="F22" s="70">
        <f t="shared" si="0"/>
        <v>54.569091796875</v>
      </c>
    </row>
    <row r="23" spans="1:6" ht="15.75" thickBot="1">
      <c r="A23" s="14">
        <v>2009</v>
      </c>
      <c r="B23" s="33"/>
      <c r="C23" s="3"/>
      <c r="D23" s="3"/>
      <c r="E23" s="33">
        <f t="shared" si="2"/>
        <v>75385.056076049805</v>
      </c>
      <c r="F23" s="3"/>
    </row>
  </sheetData>
  <mergeCells count="4">
    <mergeCell ref="H4:I4"/>
    <mergeCell ref="H7:I7"/>
    <mergeCell ref="H10:I10"/>
    <mergeCell ref="H13:I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/>
  <dimension ref="A3:I26"/>
  <sheetViews>
    <sheetView zoomScale="71" zoomScaleNormal="71" workbookViewId="0">
      <selection activeCell="B4" sqref="B4:B24"/>
    </sheetView>
  </sheetViews>
  <sheetFormatPr defaultRowHeight="15"/>
  <cols>
    <col min="2" max="2" width="37" bestFit="1" customWidth="1"/>
    <col min="3" max="3" width="23.85546875" bestFit="1" customWidth="1"/>
    <col min="4" max="4" width="12.5703125" bestFit="1" customWidth="1"/>
    <col min="5" max="5" width="13.5703125" bestFit="1" customWidth="1"/>
    <col min="6" max="6" width="16.42578125" bestFit="1" customWidth="1"/>
    <col min="7" max="7" width="19.42578125" bestFit="1" customWidth="1"/>
    <col min="8" max="8" width="21" bestFit="1" customWidth="1"/>
    <col min="9" max="9" width="13.85546875" bestFit="1" customWidth="1"/>
  </cols>
  <sheetData>
    <row r="3" spans="1:9" ht="15.75" thickBot="1">
      <c r="B3" s="2" t="s">
        <v>13</v>
      </c>
      <c r="C3" s="2" t="s">
        <v>14</v>
      </c>
    </row>
    <row r="4" spans="1:9" ht="15.75" thickBot="1">
      <c r="A4" s="9" t="s">
        <v>3</v>
      </c>
      <c r="B4" s="9" t="s">
        <v>12</v>
      </c>
      <c r="C4" s="9" t="s">
        <v>40</v>
      </c>
      <c r="D4" s="14" t="s">
        <v>43</v>
      </c>
      <c r="E4" s="14" t="s">
        <v>15</v>
      </c>
      <c r="F4" s="14" t="s">
        <v>16</v>
      </c>
      <c r="G4" s="9" t="s">
        <v>8</v>
      </c>
      <c r="H4" s="16" t="s">
        <v>17</v>
      </c>
    </row>
    <row r="5" spans="1:9" ht="15.75" thickBot="1">
      <c r="A5" s="9">
        <v>1990</v>
      </c>
      <c r="B5" s="12">
        <v>24700</v>
      </c>
      <c r="C5" s="12">
        <f>Data!B9/((1+0.04)^-19)</f>
        <v>332073.13972341898</v>
      </c>
      <c r="D5" s="12">
        <f t="shared" ref="D5:D23" si="0">a+(b*B5)</f>
        <v>367101.81017849618</v>
      </c>
      <c r="E5" s="12">
        <f>ABS(C5-D5)</f>
        <v>35028.670455077197</v>
      </c>
      <c r="F5" s="5">
        <f>E5^2</f>
        <v>1227007753.8503981</v>
      </c>
      <c r="G5" s="12">
        <v>157616</v>
      </c>
      <c r="H5" s="15" t="s">
        <v>18</v>
      </c>
    </row>
    <row r="6" spans="1:9" ht="15.75" thickBot="1">
      <c r="A6" s="9">
        <v>1991</v>
      </c>
      <c r="B6" s="12">
        <v>22100</v>
      </c>
      <c r="C6" s="12">
        <f>Data!B10/((1+0.04)^-18)</f>
        <v>340813.24146470748</v>
      </c>
      <c r="D6" s="12">
        <f t="shared" si="0"/>
        <v>348410.79905959149</v>
      </c>
      <c r="E6" s="12">
        <f t="shared" ref="E6:E23" si="1">ABS(C6-D6)</f>
        <v>7597.5575948840124</v>
      </c>
      <c r="F6" s="5">
        <f t="shared" ref="F6:F23" si="2">E6^2</f>
        <v>57722881.407579735</v>
      </c>
      <c r="G6" s="12">
        <v>168235</v>
      </c>
      <c r="H6" s="15" t="s">
        <v>19</v>
      </c>
      <c r="I6">
        <f>INTERCEPT(DependentVariable,IndependentVariable)</f>
        <v>189537.20454890162</v>
      </c>
    </row>
    <row r="7" spans="1:9" ht="15.75" thickBot="1">
      <c r="A7" s="9">
        <v>1992</v>
      </c>
      <c r="B7" s="12">
        <v>22100</v>
      </c>
      <c r="C7" s="12">
        <f>Data!B11/((1+0.04)^-17)</f>
        <v>370099.14625519793</v>
      </c>
      <c r="D7" s="12">
        <f t="shared" si="0"/>
        <v>348410.79905959149</v>
      </c>
      <c r="E7" s="12">
        <f t="shared" si="1"/>
        <v>21688.347195606446</v>
      </c>
      <c r="F7" s="5">
        <f t="shared" si="2"/>
        <v>470384404.07717001</v>
      </c>
      <c r="G7" s="12">
        <v>189999</v>
      </c>
      <c r="H7" s="15" t="s">
        <v>20</v>
      </c>
      <c r="I7">
        <f>SLOPE(DependentVariable,IndependentVariable)</f>
        <v>7.1888504303479577</v>
      </c>
    </row>
    <row r="8" spans="1:9" ht="15.75" thickBot="1">
      <c r="A8" s="9">
        <v>1993</v>
      </c>
      <c r="B8" s="12">
        <v>21800</v>
      </c>
      <c r="C8" s="12">
        <f>Data!B12/((1+0.04)^-16)</f>
        <v>397057.04024419928</v>
      </c>
      <c r="D8" s="12">
        <f t="shared" si="0"/>
        <v>346254.1439304871</v>
      </c>
      <c r="E8" s="12">
        <f t="shared" si="1"/>
        <v>50802.896313712175</v>
      </c>
      <c r="F8" s="5">
        <f t="shared" si="2"/>
        <v>2580934273.8617902</v>
      </c>
      <c r="G8" s="12">
        <v>211992</v>
      </c>
    </row>
    <row r="9" spans="1:9" ht="15.75" thickBot="1">
      <c r="A9" s="9">
        <v>1994</v>
      </c>
      <c r="B9" s="12">
        <v>21400</v>
      </c>
      <c r="C9" s="12">
        <f>Data!B13/((1+0.04)^-15)</f>
        <v>413341.7477229145</v>
      </c>
      <c r="D9" s="12">
        <f t="shared" si="0"/>
        <v>343378.60375834792</v>
      </c>
      <c r="E9" s="12">
        <f t="shared" si="1"/>
        <v>69963.143964566581</v>
      </c>
      <c r="F9" s="5">
        <f t="shared" si="2"/>
        <v>4894841513.4066696</v>
      </c>
      <c r="G9" s="12">
        <v>229514</v>
      </c>
    </row>
    <row r="10" spans="1:9" ht="15.75" thickBot="1">
      <c r="A10" s="9">
        <v>1995</v>
      </c>
      <c r="B10" s="12">
        <v>22300</v>
      </c>
      <c r="C10" s="12">
        <f>Data!B14/((1+0.04)^-14)</f>
        <v>384189.73666515818</v>
      </c>
      <c r="D10" s="12">
        <f t="shared" si="0"/>
        <v>349848.56914566108</v>
      </c>
      <c r="E10" s="12">
        <f t="shared" si="1"/>
        <v>34341.167519497103</v>
      </c>
      <c r="F10" s="5">
        <f t="shared" si="2"/>
        <v>1179315786.6021628</v>
      </c>
      <c r="G10" s="12">
        <v>221860</v>
      </c>
      <c r="H10" s="82" t="s">
        <v>21</v>
      </c>
      <c r="I10" s="82"/>
    </row>
    <row r="11" spans="1:9" ht="15.75" thickBot="1">
      <c r="A11" s="9">
        <v>1996</v>
      </c>
      <c r="B11" s="12">
        <v>21800</v>
      </c>
      <c r="C11" s="12">
        <f>Data!B15/((1+0.04)^-13)</f>
        <v>364129.93009318708</v>
      </c>
      <c r="D11" s="12">
        <f t="shared" si="0"/>
        <v>346254.1439304871</v>
      </c>
      <c r="E11" s="12">
        <f t="shared" si="1"/>
        <v>17875.78616269998</v>
      </c>
      <c r="F11" s="5">
        <f t="shared" si="2"/>
        <v>319543730.93457609</v>
      </c>
      <c r="G11" s="12">
        <v>218687</v>
      </c>
      <c r="H11" s="15" t="s">
        <v>22</v>
      </c>
      <c r="I11" s="18">
        <f>AVERAGE(E5:E23)</f>
        <v>41454.231490983773</v>
      </c>
    </row>
    <row r="12" spans="1:9" ht="15.75" thickBot="1">
      <c r="A12" s="9">
        <v>1997</v>
      </c>
      <c r="B12" s="12">
        <v>21700</v>
      </c>
      <c r="C12" s="12">
        <f>Data!B16/((1+0.04)^-12)</f>
        <v>353046.81658079667</v>
      </c>
      <c r="D12" s="12">
        <f t="shared" si="0"/>
        <v>345535.25888745231</v>
      </c>
      <c r="E12" s="12">
        <f t="shared" si="1"/>
        <v>7511.5576933443663</v>
      </c>
      <c r="F12" s="5">
        <f t="shared" si="2"/>
        <v>56423498.980440937</v>
      </c>
      <c r="G12" s="12">
        <v>220512</v>
      </c>
    </row>
    <row r="13" spans="1:9" ht="15.75" thickBot="1">
      <c r="A13" s="9">
        <v>1998</v>
      </c>
      <c r="B13" s="12">
        <v>22500</v>
      </c>
      <c r="C13" s="12">
        <f>Data!B17/((1+0.04)^-11)</f>
        <v>326435.0748253871</v>
      </c>
      <c r="D13" s="12">
        <f t="shared" si="0"/>
        <v>351286.33923173067</v>
      </c>
      <c r="E13" s="12">
        <f t="shared" si="1"/>
        <v>24851.264406343573</v>
      </c>
      <c r="F13" s="5">
        <f t="shared" si="2"/>
        <v>617585342.59399891</v>
      </c>
      <c r="G13" s="12">
        <v>212046</v>
      </c>
      <c r="H13" s="82" t="s">
        <v>23</v>
      </c>
      <c r="I13" s="82"/>
    </row>
    <row r="14" spans="1:9" ht="15.75" thickBot="1">
      <c r="A14" s="9">
        <v>1999</v>
      </c>
      <c r="B14" s="12">
        <v>24700</v>
      </c>
      <c r="C14" s="12">
        <f>Data!B18/((1+0.04)^-10)</f>
        <v>318671.43039007601</v>
      </c>
      <c r="D14" s="12">
        <f t="shared" si="0"/>
        <v>367101.81017849618</v>
      </c>
      <c r="E14" s="12">
        <f t="shared" si="1"/>
        <v>48430.379788420163</v>
      </c>
      <c r="F14" s="5">
        <f t="shared" si="2"/>
        <v>2345501686.4506164</v>
      </c>
      <c r="G14" s="12">
        <v>215283</v>
      </c>
      <c r="H14" s="15" t="s">
        <v>24</v>
      </c>
      <c r="I14" s="19">
        <f>SUMSQ(E5:E23) / COUNT(E5:E23)</f>
        <v>2254717121.0879545</v>
      </c>
    </row>
    <row r="15" spans="1:9" ht="15.75" thickBot="1">
      <c r="A15" s="9">
        <v>2000</v>
      </c>
      <c r="B15" s="12">
        <v>24800</v>
      </c>
      <c r="C15" s="12">
        <f>Data!B19/((1+0.04)^-9)</f>
        <v>308843.00686552568</v>
      </c>
      <c r="D15" s="12">
        <f t="shared" si="0"/>
        <v>367820.69522153097</v>
      </c>
      <c r="E15" s="12">
        <f t="shared" si="1"/>
        <v>58977.688356005296</v>
      </c>
      <c r="F15" s="5">
        <f t="shared" si="2"/>
        <v>3478367723.8180828</v>
      </c>
      <c r="G15" s="12">
        <v>216989</v>
      </c>
    </row>
    <row r="16" spans="1:9" ht="15.75" thickBot="1">
      <c r="A16" s="9">
        <v>2001</v>
      </c>
      <c r="B16" s="12">
        <v>25600</v>
      </c>
      <c r="C16" s="12">
        <f>Data!B20/((1+0.04)^-8)</f>
        <v>302388.06882514613</v>
      </c>
      <c r="D16" s="12">
        <f t="shared" si="0"/>
        <v>373571.77556580934</v>
      </c>
      <c r="E16" s="12">
        <f t="shared" si="1"/>
        <v>71183.706740663212</v>
      </c>
      <c r="F16" s="5">
        <f t="shared" si="2"/>
        <v>5067120105.3407412</v>
      </c>
      <c r="G16" s="12">
        <v>220952</v>
      </c>
      <c r="H16" s="82" t="s">
        <v>25</v>
      </c>
      <c r="I16" s="82"/>
    </row>
    <row r="17" spans="1:9" ht="15.75" thickBot="1">
      <c r="A17" s="9">
        <v>2002</v>
      </c>
      <c r="B17" s="12">
        <v>26100</v>
      </c>
      <c r="C17" s="12">
        <f>Data!B21/((1+0.04)^-7)</f>
        <v>314189.23974679073</v>
      </c>
      <c r="D17" s="12">
        <f t="shared" si="0"/>
        <v>377166.20078098332</v>
      </c>
      <c r="E17" s="12">
        <f t="shared" si="1"/>
        <v>62976.961034192587</v>
      </c>
      <c r="F17" s="5">
        <f t="shared" si="2"/>
        <v>3966097621.1022115</v>
      </c>
      <c r="G17" s="12">
        <v>238758</v>
      </c>
      <c r="H17" s="15" t="s">
        <v>26</v>
      </c>
      <c r="I17" s="20">
        <v>30000</v>
      </c>
    </row>
    <row r="18" spans="1:9" ht="15.75" thickBot="1">
      <c r="A18" s="9">
        <v>2003</v>
      </c>
      <c r="B18" s="12">
        <v>26900</v>
      </c>
      <c r="C18" s="12">
        <f>Data!B22/((1+0.04)^-6)</f>
        <v>328774.16717090824</v>
      </c>
      <c r="D18" s="12">
        <f t="shared" si="0"/>
        <v>382917.28112526168</v>
      </c>
      <c r="E18" s="12">
        <f t="shared" si="1"/>
        <v>54143.113954353437</v>
      </c>
      <c r="F18" s="5">
        <f t="shared" si="2"/>
        <v>2931476788.6741018</v>
      </c>
      <c r="G18" s="12">
        <v>259835</v>
      </c>
      <c r="H18" s="15" t="s">
        <v>27</v>
      </c>
      <c r="I18" s="18">
        <f>a + (I17 * b)</f>
        <v>405202.71745934035</v>
      </c>
    </row>
    <row r="19" spans="1:9" ht="15.75" thickBot="1">
      <c r="A19" s="9">
        <v>2004</v>
      </c>
      <c r="B19" s="12">
        <v>26800</v>
      </c>
      <c r="C19" s="12">
        <f>Data!B23/((1+0.04)^-5)</f>
        <v>351572.53924782091</v>
      </c>
      <c r="D19" s="12">
        <f t="shared" si="0"/>
        <v>382198.39608222689</v>
      </c>
      <c r="E19" s="12">
        <f t="shared" si="1"/>
        <v>30625.856834405975</v>
      </c>
      <c r="F19" s="5">
        <f t="shared" si="2"/>
        <v>937943106.84153116</v>
      </c>
      <c r="G19" s="12">
        <v>288967</v>
      </c>
    </row>
    <row r="20" spans="1:9" ht="15.75" thickBot="1">
      <c r="A20" s="9">
        <v>2005</v>
      </c>
      <c r="B20" s="12">
        <v>27500</v>
      </c>
      <c r="C20" s="12">
        <f>Data!B24/((1+0.04)^-4)</f>
        <v>388553.31254272006</v>
      </c>
      <c r="D20" s="12">
        <f t="shared" si="0"/>
        <v>387230.59138347046</v>
      </c>
      <c r="E20" s="12">
        <f t="shared" si="1"/>
        <v>1322.7211592496024</v>
      </c>
      <c r="F20" s="5">
        <f t="shared" si="2"/>
        <v>1749591.2651266118</v>
      </c>
      <c r="G20" s="12">
        <v>332137</v>
      </c>
    </row>
    <row r="21" spans="1:9" ht="15.75" thickBot="1">
      <c r="A21" s="9">
        <v>2006</v>
      </c>
      <c r="B21" s="12">
        <v>28800</v>
      </c>
      <c r="C21" s="12">
        <f>Data!B25/((1+0.04)^-3)</f>
        <v>439780.20403200004</v>
      </c>
      <c r="D21" s="12">
        <f t="shared" si="0"/>
        <v>396576.0969429228</v>
      </c>
      <c r="E21" s="12">
        <f t="shared" si="1"/>
        <v>43204.107089077239</v>
      </c>
      <c r="F21" s="5">
        <f t="shared" si="2"/>
        <v>1866594869.364454</v>
      </c>
      <c r="G21" s="12">
        <v>390963</v>
      </c>
    </row>
    <row r="22" spans="1:9" ht="15.75" thickBot="1">
      <c r="A22" s="9">
        <v>2007</v>
      </c>
      <c r="B22" s="12">
        <v>29020</v>
      </c>
      <c r="C22" s="12">
        <f>Data!B26/((1+0.04)^-2)</f>
        <v>474951.11040000006</v>
      </c>
      <c r="D22" s="12">
        <f t="shared" si="0"/>
        <v>398157.64403759933</v>
      </c>
      <c r="E22" s="12">
        <f t="shared" si="1"/>
        <v>76793.466362400737</v>
      </c>
      <c r="F22" s="5">
        <f t="shared" si="2"/>
        <v>5897236475.9531736</v>
      </c>
      <c r="G22" s="12">
        <v>439119</v>
      </c>
    </row>
    <row r="23" spans="1:9" ht="15.75" thickBot="1">
      <c r="A23" s="9">
        <v>2008</v>
      </c>
      <c r="B23" s="12">
        <v>29620</v>
      </c>
      <c r="C23" s="12">
        <f>Data!B27/((1+0.04)^-1)</f>
        <v>472782.96</v>
      </c>
      <c r="D23" s="12">
        <f t="shared" si="0"/>
        <v>402470.9542958081</v>
      </c>
      <c r="E23" s="12">
        <f t="shared" si="1"/>
        <v>70312.005704191921</v>
      </c>
      <c r="F23" s="5">
        <f t="shared" si="2"/>
        <v>4943778146.1463175</v>
      </c>
      <c r="G23" s="12">
        <v>454599</v>
      </c>
    </row>
    <row r="24" spans="1:9" ht="15.75" thickBot="1">
      <c r="A24" s="14">
        <v>2009</v>
      </c>
      <c r="B24" s="33">
        <f>B23-(B23*0.02)</f>
        <v>29027.599999999999</v>
      </c>
      <c r="C24" s="3"/>
      <c r="D24" s="33">
        <f>a+(B24*b)</f>
        <v>398212.27930087002</v>
      </c>
      <c r="E24" s="3"/>
      <c r="F24" s="3"/>
      <c r="G24" s="33"/>
    </row>
    <row r="26" spans="1:9">
      <c r="B26" t="s">
        <v>47</v>
      </c>
    </row>
  </sheetData>
  <mergeCells count="3">
    <mergeCell ref="H10:I10"/>
    <mergeCell ref="H13:I13"/>
    <mergeCell ref="H16:I1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I23"/>
  <sheetViews>
    <sheetView zoomScale="73" zoomScaleNormal="73" workbookViewId="0">
      <selection activeCell="I17" sqref="I17"/>
    </sheetView>
  </sheetViews>
  <sheetFormatPr defaultRowHeight="15"/>
  <cols>
    <col min="1" max="1" width="15.7109375" bestFit="1" customWidth="1"/>
    <col min="2" max="2" width="37" bestFit="1" customWidth="1"/>
    <col min="3" max="3" width="12.5703125" bestFit="1" customWidth="1"/>
    <col min="4" max="4" width="13.5703125" bestFit="1" customWidth="1"/>
    <col min="5" max="5" width="19.42578125" bestFit="1" customWidth="1"/>
    <col min="6" max="6" width="13.5703125" bestFit="1" customWidth="1"/>
    <col min="9" max="9" width="13.5703125" bestFit="1" customWidth="1"/>
  </cols>
  <sheetData>
    <row r="2" spans="1:9" ht="15.75" thickBot="1">
      <c r="A2" s="66"/>
      <c r="C2" s="8"/>
      <c r="D2" s="8"/>
      <c r="E2" s="8"/>
      <c r="F2" s="8"/>
      <c r="I2" s="8"/>
    </row>
    <row r="3" spans="1:9" ht="30.75" thickBot="1">
      <c r="A3" s="9" t="s">
        <v>3</v>
      </c>
      <c r="B3" s="9" t="s">
        <v>12</v>
      </c>
      <c r="C3" s="69" t="s">
        <v>55</v>
      </c>
      <c r="D3" s="69" t="s">
        <v>56</v>
      </c>
      <c r="E3" s="69" t="s">
        <v>57</v>
      </c>
      <c r="F3" s="69" t="s">
        <v>58</v>
      </c>
      <c r="G3" s="67"/>
      <c r="H3" s="67"/>
      <c r="I3" s="67"/>
    </row>
    <row r="4" spans="1:9" ht="15.75" thickBot="1">
      <c r="A4" s="9">
        <v>1990</v>
      </c>
      <c r="B4" s="12">
        <v>24700</v>
      </c>
      <c r="C4" s="4">
        <v>0</v>
      </c>
      <c r="D4" s="4">
        <v>500</v>
      </c>
      <c r="E4" s="12">
        <v>24000</v>
      </c>
      <c r="F4" s="70">
        <f t="shared" ref="F4:F22" si="0">ABS(ActualValue - ForecastValue)</f>
        <v>700</v>
      </c>
      <c r="H4" s="83" t="s">
        <v>21</v>
      </c>
      <c r="I4" s="83"/>
    </row>
    <row r="5" spans="1:9" ht="15.75" thickBot="1">
      <c r="A5" s="9">
        <v>1991</v>
      </c>
      <c r="B5" s="12">
        <v>22100</v>
      </c>
      <c r="C5" s="4">
        <f>B5-B4</f>
        <v>-2600</v>
      </c>
      <c r="D5" s="70">
        <f t="shared" ref="D5:D22" si="1">(Beta * C5) + ((1 - Beta) * D4)</f>
        <v>-1050</v>
      </c>
      <c r="E5" s="12">
        <f t="shared" ref="E5:E23" si="2">((Alpha * B4) + ((1 - Alpha) * E4)) + D4</f>
        <v>24850</v>
      </c>
      <c r="F5" s="70">
        <f t="shared" si="0"/>
        <v>2750</v>
      </c>
      <c r="H5" s="15" t="s">
        <v>22</v>
      </c>
      <c r="I5" s="18">
        <f>AVERAGE(ForecastingError)</f>
        <v>565.61351776123047</v>
      </c>
    </row>
    <row r="6" spans="1:9" ht="15.75" thickBot="1">
      <c r="A6" s="9">
        <v>1992</v>
      </c>
      <c r="B6" s="12">
        <v>22100</v>
      </c>
      <c r="C6" s="4">
        <f t="shared" ref="C6:C22" si="3">B6-B5</f>
        <v>0</v>
      </c>
      <c r="D6" s="70">
        <f t="shared" si="1"/>
        <v>-525</v>
      </c>
      <c r="E6" s="12">
        <f t="shared" si="2"/>
        <v>22425</v>
      </c>
      <c r="F6" s="70">
        <f t="shared" si="0"/>
        <v>325</v>
      </c>
      <c r="I6" s="8"/>
    </row>
    <row r="7" spans="1:9" ht="15.75" thickBot="1">
      <c r="A7" s="9">
        <v>1993</v>
      </c>
      <c r="B7" s="12">
        <v>21800</v>
      </c>
      <c r="C7" s="4">
        <f t="shared" si="3"/>
        <v>-300</v>
      </c>
      <c r="D7" s="70">
        <f t="shared" si="1"/>
        <v>-412.5</v>
      </c>
      <c r="E7" s="12">
        <f t="shared" si="2"/>
        <v>21737.5</v>
      </c>
      <c r="F7" s="70">
        <f t="shared" si="0"/>
        <v>62.5</v>
      </c>
      <c r="H7" s="83" t="s">
        <v>23</v>
      </c>
      <c r="I7" s="83"/>
    </row>
    <row r="8" spans="1:9" ht="15.75" thickBot="1">
      <c r="A8" s="9">
        <v>1994</v>
      </c>
      <c r="B8" s="12">
        <v>21400</v>
      </c>
      <c r="C8" s="4">
        <f t="shared" si="3"/>
        <v>-400</v>
      </c>
      <c r="D8" s="70">
        <f t="shared" si="1"/>
        <v>-406.25</v>
      </c>
      <c r="E8" s="12">
        <f t="shared" si="2"/>
        <v>21356.25</v>
      </c>
      <c r="F8" s="70">
        <f t="shared" si="0"/>
        <v>43.75</v>
      </c>
      <c r="H8" s="15" t="s">
        <v>24</v>
      </c>
      <c r="I8" s="19">
        <f>SUMSQ(ForecastingError) / COUNT(ForecastingError)</f>
        <v>943226.84883958206</v>
      </c>
    </row>
    <row r="9" spans="1:9" ht="15.75" thickBot="1">
      <c r="A9" s="9">
        <v>1995</v>
      </c>
      <c r="B9" s="12">
        <v>22300</v>
      </c>
      <c r="C9" s="4">
        <f t="shared" si="3"/>
        <v>900</v>
      </c>
      <c r="D9" s="70">
        <f t="shared" si="1"/>
        <v>246.875</v>
      </c>
      <c r="E9" s="12">
        <f t="shared" si="2"/>
        <v>20971.875</v>
      </c>
      <c r="F9" s="70">
        <f t="shared" si="0"/>
        <v>1328.125</v>
      </c>
      <c r="I9" s="8"/>
    </row>
    <row r="10" spans="1:9" ht="15.75" thickBot="1">
      <c r="A10" s="9">
        <v>1996</v>
      </c>
      <c r="B10" s="12">
        <v>21800</v>
      </c>
      <c r="C10" s="4">
        <f t="shared" si="3"/>
        <v>-500</v>
      </c>
      <c r="D10" s="70">
        <f t="shared" si="1"/>
        <v>-126.5625</v>
      </c>
      <c r="E10" s="12">
        <f t="shared" si="2"/>
        <v>21882.8125</v>
      </c>
      <c r="F10" s="70">
        <f t="shared" si="0"/>
        <v>82.8125</v>
      </c>
      <c r="H10" s="83" t="s">
        <v>59</v>
      </c>
      <c r="I10" s="83"/>
    </row>
    <row r="11" spans="1:9" ht="15.75" thickBot="1">
      <c r="A11" s="9">
        <v>1997</v>
      </c>
      <c r="B11" s="12">
        <v>21700</v>
      </c>
      <c r="C11" s="4">
        <f t="shared" si="3"/>
        <v>-100</v>
      </c>
      <c r="D11" s="70">
        <f t="shared" si="1"/>
        <v>-113.28125</v>
      </c>
      <c r="E11" s="12">
        <f t="shared" si="2"/>
        <v>21714.84375</v>
      </c>
      <c r="F11" s="70">
        <f t="shared" si="0"/>
        <v>14.84375</v>
      </c>
      <c r="H11" s="68" t="s">
        <v>60</v>
      </c>
      <c r="I11" s="8">
        <v>0.5</v>
      </c>
    </row>
    <row r="12" spans="1:9" ht="15.75" thickBot="1">
      <c r="A12" s="9">
        <v>1998</v>
      </c>
      <c r="B12" s="12">
        <v>22500</v>
      </c>
      <c r="C12" s="4">
        <f t="shared" si="3"/>
        <v>800</v>
      </c>
      <c r="D12" s="70">
        <f t="shared" si="1"/>
        <v>343.359375</v>
      </c>
      <c r="E12" s="12">
        <f t="shared" si="2"/>
        <v>21594.140625</v>
      </c>
      <c r="F12" s="70">
        <f t="shared" si="0"/>
        <v>905.859375</v>
      </c>
      <c r="I12" s="8"/>
    </row>
    <row r="13" spans="1:9" ht="15.75" thickBot="1">
      <c r="A13" s="9">
        <v>1999</v>
      </c>
      <c r="B13" s="12">
        <v>24700</v>
      </c>
      <c r="C13" s="4">
        <f t="shared" si="3"/>
        <v>2200</v>
      </c>
      <c r="D13" s="70">
        <f t="shared" si="1"/>
        <v>1271.6796875</v>
      </c>
      <c r="E13" s="12">
        <f t="shared" si="2"/>
        <v>22390.4296875</v>
      </c>
      <c r="F13" s="70">
        <f t="shared" si="0"/>
        <v>2309.5703125</v>
      </c>
      <c r="H13" s="83" t="s">
        <v>61</v>
      </c>
      <c r="I13" s="83"/>
    </row>
    <row r="14" spans="1:9" ht="15.75" thickBot="1">
      <c r="A14" s="9">
        <v>2000</v>
      </c>
      <c r="B14" s="12">
        <v>24800</v>
      </c>
      <c r="C14" s="4">
        <f t="shared" si="3"/>
        <v>100</v>
      </c>
      <c r="D14" s="70">
        <f t="shared" si="1"/>
        <v>685.83984375</v>
      </c>
      <c r="E14" s="12">
        <f t="shared" si="2"/>
        <v>24816.89453125</v>
      </c>
      <c r="F14" s="70">
        <f t="shared" si="0"/>
        <v>16.89453125</v>
      </c>
      <c r="H14" s="68" t="s">
        <v>62</v>
      </c>
      <c r="I14" s="8">
        <v>0.5</v>
      </c>
    </row>
    <row r="15" spans="1:9" ht="15.75" thickBot="1">
      <c r="A15" s="9">
        <v>2001</v>
      </c>
      <c r="B15" s="12">
        <v>25600</v>
      </c>
      <c r="C15" s="4">
        <f t="shared" si="3"/>
        <v>800</v>
      </c>
      <c r="D15" s="70">
        <f t="shared" si="1"/>
        <v>742.919921875</v>
      </c>
      <c r="E15" s="12">
        <f t="shared" si="2"/>
        <v>25494.287109375</v>
      </c>
      <c r="F15" s="70">
        <f t="shared" si="0"/>
        <v>105.712890625</v>
      </c>
    </row>
    <row r="16" spans="1:9" ht="15.75" thickBot="1">
      <c r="A16" s="9">
        <v>2002</v>
      </c>
      <c r="B16" s="12">
        <v>26100</v>
      </c>
      <c r="C16" s="4">
        <f t="shared" si="3"/>
        <v>500</v>
      </c>
      <c r="D16" s="70">
        <f t="shared" si="1"/>
        <v>621.4599609375</v>
      </c>
      <c r="E16" s="12">
        <f t="shared" si="2"/>
        <v>26290.0634765625</v>
      </c>
      <c r="F16" s="70">
        <f t="shared" si="0"/>
        <v>190.0634765625</v>
      </c>
    </row>
    <row r="17" spans="1:6" ht="15.75" thickBot="1">
      <c r="A17" s="9">
        <v>2003</v>
      </c>
      <c r="B17" s="12">
        <v>26900</v>
      </c>
      <c r="C17" s="4">
        <f t="shared" si="3"/>
        <v>800</v>
      </c>
      <c r="D17" s="70">
        <f t="shared" si="1"/>
        <v>710.72998046875</v>
      </c>
      <c r="E17" s="12">
        <f t="shared" si="2"/>
        <v>26816.49169921875</v>
      </c>
      <c r="F17" s="70">
        <f t="shared" si="0"/>
        <v>83.50830078125</v>
      </c>
    </row>
    <row r="18" spans="1:6" ht="15.75" thickBot="1">
      <c r="A18" s="9">
        <v>2004</v>
      </c>
      <c r="B18" s="12">
        <v>26800</v>
      </c>
      <c r="C18" s="4">
        <f t="shared" si="3"/>
        <v>-100</v>
      </c>
      <c r="D18" s="70">
        <f t="shared" si="1"/>
        <v>305.364990234375</v>
      </c>
      <c r="E18" s="12">
        <f t="shared" si="2"/>
        <v>27568.975830078125</v>
      </c>
      <c r="F18" s="70">
        <f t="shared" si="0"/>
        <v>768.975830078125</v>
      </c>
    </row>
    <row r="19" spans="1:6" ht="15.75" thickBot="1">
      <c r="A19" s="9">
        <v>2005</v>
      </c>
      <c r="B19" s="12">
        <v>27500</v>
      </c>
      <c r="C19" s="4">
        <f t="shared" si="3"/>
        <v>700</v>
      </c>
      <c r="D19" s="70">
        <f t="shared" si="1"/>
        <v>502.6824951171875</v>
      </c>
      <c r="E19" s="12">
        <f t="shared" si="2"/>
        <v>27489.852905273438</v>
      </c>
      <c r="F19" s="70">
        <f t="shared" si="0"/>
        <v>10.1470947265625</v>
      </c>
    </row>
    <row r="20" spans="1:6" ht="15.75" thickBot="1">
      <c r="A20" s="9">
        <v>2006</v>
      </c>
      <c r="B20" s="12">
        <v>28800</v>
      </c>
      <c r="C20" s="4">
        <f t="shared" si="3"/>
        <v>1300</v>
      </c>
      <c r="D20" s="70">
        <f t="shared" si="1"/>
        <v>901.34124755859375</v>
      </c>
      <c r="E20" s="12">
        <f t="shared" si="2"/>
        <v>27997.608947753906</v>
      </c>
      <c r="F20" s="70">
        <f t="shared" si="0"/>
        <v>802.39105224609375</v>
      </c>
    </row>
    <row r="21" spans="1:6" ht="15.75" thickBot="1">
      <c r="A21" s="9">
        <v>2007</v>
      </c>
      <c r="B21" s="12">
        <v>29020</v>
      </c>
      <c r="C21" s="4">
        <f t="shared" si="3"/>
        <v>220</v>
      </c>
      <c r="D21" s="70">
        <f t="shared" si="1"/>
        <v>560.67062377929687</v>
      </c>
      <c r="E21" s="12">
        <f t="shared" si="2"/>
        <v>29300.145721435547</v>
      </c>
      <c r="F21" s="70">
        <f t="shared" si="0"/>
        <v>280.14572143554687</v>
      </c>
    </row>
    <row r="22" spans="1:6" ht="15.75" thickBot="1">
      <c r="A22" s="9">
        <v>2008</v>
      </c>
      <c r="B22" s="12">
        <v>29620</v>
      </c>
      <c r="C22" s="4">
        <f t="shared" si="3"/>
        <v>600</v>
      </c>
      <c r="D22" s="70">
        <f t="shared" si="1"/>
        <v>580.33531188964844</v>
      </c>
      <c r="E22" s="12">
        <f t="shared" si="2"/>
        <v>29720.74348449707</v>
      </c>
      <c r="F22" s="70">
        <f t="shared" si="0"/>
        <v>100.74348449707031</v>
      </c>
    </row>
    <row r="23" spans="1:6" ht="15.75" thickBot="1">
      <c r="A23" s="14">
        <v>2009</v>
      </c>
      <c r="B23" s="33"/>
      <c r="C23" s="3"/>
      <c r="D23" s="3"/>
      <c r="E23" s="33">
        <f t="shared" si="2"/>
        <v>30250.707054138184</v>
      </c>
      <c r="F23" s="3"/>
    </row>
  </sheetData>
  <mergeCells count="4">
    <mergeCell ref="H4:I4"/>
    <mergeCell ref="H7:I7"/>
    <mergeCell ref="H10:I10"/>
    <mergeCell ref="H13:I1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/>
  <dimension ref="A3:I26"/>
  <sheetViews>
    <sheetView zoomScale="73" zoomScaleNormal="73" workbookViewId="0">
      <selection activeCell="I27" sqref="I27"/>
    </sheetView>
  </sheetViews>
  <sheetFormatPr defaultRowHeight="15"/>
  <cols>
    <col min="2" max="2" width="20.7109375" bestFit="1" customWidth="1"/>
    <col min="3" max="3" width="23.85546875" bestFit="1" customWidth="1"/>
    <col min="4" max="4" width="12.5703125" bestFit="1" customWidth="1"/>
    <col min="5" max="5" width="13.5703125" bestFit="1" customWidth="1"/>
    <col min="6" max="6" width="16.42578125" bestFit="1" customWidth="1"/>
    <col min="7" max="7" width="19.42578125" bestFit="1" customWidth="1"/>
    <col min="8" max="8" width="21" bestFit="1" customWidth="1"/>
    <col min="9" max="9" width="13.85546875" bestFit="1" customWidth="1"/>
  </cols>
  <sheetData>
    <row r="3" spans="1:9" ht="15.75" thickBot="1">
      <c r="B3" s="2" t="s">
        <v>13</v>
      </c>
      <c r="C3" s="2" t="s">
        <v>14</v>
      </c>
    </row>
    <row r="4" spans="1:9" ht="15.75" thickBot="1">
      <c r="A4" s="9" t="s">
        <v>3</v>
      </c>
      <c r="B4" s="11" t="s">
        <v>10</v>
      </c>
      <c r="C4" s="9" t="s">
        <v>40</v>
      </c>
      <c r="D4" s="14" t="s">
        <v>43</v>
      </c>
      <c r="E4" s="14" t="s">
        <v>15</v>
      </c>
      <c r="F4" s="14" t="s">
        <v>16</v>
      </c>
      <c r="G4" s="9" t="s">
        <v>8</v>
      </c>
      <c r="H4" s="16" t="s">
        <v>17</v>
      </c>
    </row>
    <row r="5" spans="1:9" ht="15.75" thickBot="1">
      <c r="A5" s="9">
        <v>1990</v>
      </c>
      <c r="B5" s="13">
        <v>79350</v>
      </c>
      <c r="C5" s="12">
        <f>Data!B9/((1+0.04)^-19)</f>
        <v>332073.13972341898</v>
      </c>
      <c r="D5" s="12">
        <f t="shared" ref="D5:D23" si="0">a+(b*B5)</f>
        <v>330545.86722724885</v>
      </c>
      <c r="E5" s="12">
        <f>ABS(C5-D5)</f>
        <v>1527.2724961701315</v>
      </c>
      <c r="F5" s="5">
        <f>E5^2</f>
        <v>2332561.2775577442</v>
      </c>
      <c r="G5" s="12">
        <v>157616</v>
      </c>
      <c r="H5" s="15" t="s">
        <v>18</v>
      </c>
    </row>
    <row r="6" spans="1:9" ht="15.75" thickBot="1">
      <c r="A6" s="9">
        <v>1991</v>
      </c>
      <c r="B6" s="13">
        <v>81849</v>
      </c>
      <c r="C6" s="12">
        <f>Data!B10/((1+0.04)^-18)</f>
        <v>340813.24146470748</v>
      </c>
      <c r="D6" s="12">
        <f t="shared" si="0"/>
        <v>332405.26918453339</v>
      </c>
      <c r="E6" s="12">
        <f t="shared" ref="E6:E23" si="1">ABS(C6-D6)</f>
        <v>8407.9722801740863</v>
      </c>
      <c r="F6" s="5">
        <f t="shared" ref="F6:F23" si="2">E6^2</f>
        <v>70693997.864175826</v>
      </c>
      <c r="G6" s="12">
        <v>168235</v>
      </c>
      <c r="H6" s="15" t="s">
        <v>19</v>
      </c>
      <c r="I6">
        <f>INTERCEPT(DependentVariable,IndependentVariable)</f>
        <v>271504.83268922183</v>
      </c>
    </row>
    <row r="7" spans="1:9" ht="15.75" thickBot="1">
      <c r="A7" s="9">
        <v>1992</v>
      </c>
      <c r="B7" s="13">
        <v>87242</v>
      </c>
      <c r="C7" s="12">
        <f>Data!B11/((1+0.04)^-17)</f>
        <v>370099.14625519793</v>
      </c>
      <c r="D7" s="12">
        <f t="shared" si="0"/>
        <v>336417.97616958164</v>
      </c>
      <c r="E7" s="12">
        <f t="shared" si="1"/>
        <v>33681.170085616293</v>
      </c>
      <c r="F7" s="5">
        <f t="shared" si="2"/>
        <v>1134421218.3362138</v>
      </c>
      <c r="G7" s="12">
        <v>189999</v>
      </c>
      <c r="H7" s="15" t="s">
        <v>20</v>
      </c>
      <c r="I7">
        <f>SLOPE(DependentVariable,IndependentVariable)</f>
        <v>0.74405840627633291</v>
      </c>
    </row>
    <row r="8" spans="1:9" ht="15.75" thickBot="1">
      <c r="A8" s="9">
        <v>1993</v>
      </c>
      <c r="B8" s="13">
        <v>94077</v>
      </c>
      <c r="C8" s="12">
        <f>Data!B12/((1+0.04)^-16)</f>
        <v>397057.04024419928</v>
      </c>
      <c r="D8" s="12">
        <f t="shared" si="0"/>
        <v>341503.61537648039</v>
      </c>
      <c r="E8" s="12">
        <f t="shared" si="1"/>
        <v>55553.424867718888</v>
      </c>
      <c r="F8" s="5">
        <f t="shared" si="2"/>
        <v>3086183014.5332875</v>
      </c>
      <c r="G8" s="12">
        <v>211992</v>
      </c>
    </row>
    <row r="9" spans="1:9" ht="15.75" thickBot="1">
      <c r="A9" s="9">
        <v>1994</v>
      </c>
      <c r="B9" s="13">
        <v>100512</v>
      </c>
      <c r="C9" s="12">
        <f>Data!B13/((1+0.04)^-15)</f>
        <v>413341.7477229145</v>
      </c>
      <c r="D9" s="12">
        <f t="shared" si="0"/>
        <v>346291.63122086861</v>
      </c>
      <c r="E9" s="12">
        <f t="shared" si="1"/>
        <v>67050.116502045887</v>
      </c>
      <c r="F9" s="5">
        <f t="shared" si="2"/>
        <v>4495718122.9379263</v>
      </c>
      <c r="G9" s="12">
        <v>229514</v>
      </c>
    </row>
    <row r="10" spans="1:9" ht="15.75" thickBot="1">
      <c r="A10" s="9">
        <v>1995</v>
      </c>
      <c r="B10" s="13">
        <v>105670</v>
      </c>
      <c r="C10" s="12">
        <f>Data!B14/((1+0.04)^-14)</f>
        <v>384189.73666515818</v>
      </c>
      <c r="D10" s="12">
        <f t="shared" si="0"/>
        <v>350129.4844804419</v>
      </c>
      <c r="E10" s="12">
        <f t="shared" si="1"/>
        <v>34060.252184716286</v>
      </c>
      <c r="F10" s="5">
        <f t="shared" si="2"/>
        <v>1160100778.8864706</v>
      </c>
      <c r="G10" s="12">
        <v>221860</v>
      </c>
      <c r="H10" s="82" t="s">
        <v>21</v>
      </c>
      <c r="I10" s="82"/>
    </row>
    <row r="11" spans="1:9" ht="15.75" thickBot="1">
      <c r="A11" s="9">
        <v>1996</v>
      </c>
      <c r="B11" s="13">
        <v>108865</v>
      </c>
      <c r="C11" s="12">
        <f>Data!B15/((1+0.04)^-13)</f>
        <v>364129.93009318708</v>
      </c>
      <c r="D11" s="12">
        <f t="shared" si="0"/>
        <v>352506.75108849478</v>
      </c>
      <c r="E11" s="12">
        <f t="shared" si="1"/>
        <v>11623.179004692298</v>
      </c>
      <c r="F11" s="5">
        <f t="shared" si="2"/>
        <v>135098290.17511985</v>
      </c>
      <c r="G11" s="12">
        <v>218687</v>
      </c>
      <c r="H11" s="15" t="s">
        <v>22</v>
      </c>
      <c r="I11" s="18">
        <f>AVERAGE(E5:E23)</f>
        <v>38288.349445309257</v>
      </c>
    </row>
    <row r="12" spans="1:9" ht="15.75" thickBot="1">
      <c r="A12" s="9">
        <v>1997</v>
      </c>
      <c r="B12" s="13">
        <v>114383</v>
      </c>
      <c r="C12" s="12">
        <f>Data!B16/((1+0.04)^-12)</f>
        <v>353046.81658079667</v>
      </c>
      <c r="D12" s="12">
        <f t="shared" si="0"/>
        <v>356612.46537432761</v>
      </c>
      <c r="E12" s="12">
        <f t="shared" si="1"/>
        <v>3565.6487935309415</v>
      </c>
      <c r="F12" s="5">
        <f t="shared" si="2"/>
        <v>12713851.318808658</v>
      </c>
      <c r="G12" s="12">
        <v>220512</v>
      </c>
    </row>
    <row r="13" spans="1:9" ht="15.75" thickBot="1">
      <c r="A13" s="9">
        <v>1998</v>
      </c>
      <c r="B13" s="13">
        <v>115641</v>
      </c>
      <c r="C13" s="12">
        <f>Data!B17/((1+0.04)^-11)</f>
        <v>326435.0748253871</v>
      </c>
      <c r="D13" s="12">
        <f t="shared" si="0"/>
        <v>357548.49084942322</v>
      </c>
      <c r="E13" s="12">
        <f t="shared" si="1"/>
        <v>31113.416024036123</v>
      </c>
      <c r="F13" s="5">
        <f t="shared" si="2"/>
        <v>968044656.68474782</v>
      </c>
      <c r="G13" s="12">
        <v>212046</v>
      </c>
      <c r="H13" s="82" t="s">
        <v>23</v>
      </c>
      <c r="I13" s="82"/>
    </row>
    <row r="14" spans="1:9" ht="15.75" thickBot="1">
      <c r="A14" s="9">
        <v>1999</v>
      </c>
      <c r="B14" s="13">
        <v>120921</v>
      </c>
      <c r="C14" s="12">
        <f>Data!B18/((1+0.04)^-10)</f>
        <v>318671.43039007601</v>
      </c>
      <c r="D14" s="12">
        <f t="shared" si="0"/>
        <v>361477.11923456227</v>
      </c>
      <c r="E14" s="12">
        <f t="shared" si="1"/>
        <v>42805.688844486256</v>
      </c>
      <c r="F14" s="5">
        <f t="shared" si="2"/>
        <v>1832326997.4509752</v>
      </c>
      <c r="G14" s="12">
        <v>215283</v>
      </c>
      <c r="H14" s="15" t="s">
        <v>24</v>
      </c>
      <c r="I14" s="19">
        <f>SUMSQ(E5:E23) / COUNT(E5:E23)</f>
        <v>1953316315.6053138</v>
      </c>
    </row>
    <row r="15" spans="1:9" ht="15.75" thickBot="1">
      <c r="A15" s="9">
        <v>2000</v>
      </c>
      <c r="B15" s="13">
        <v>131333</v>
      </c>
      <c r="C15" s="12">
        <f>Data!B19/((1+0.04)^-9)</f>
        <v>308843.00686552568</v>
      </c>
      <c r="D15" s="12">
        <f t="shared" si="0"/>
        <v>369224.25536071148</v>
      </c>
      <c r="E15" s="12">
        <f t="shared" si="1"/>
        <v>60381.248495185806</v>
      </c>
      <c r="F15" s="5">
        <f t="shared" si="2"/>
        <v>3645895169.837378</v>
      </c>
      <c r="G15" s="12">
        <v>216989</v>
      </c>
    </row>
    <row r="16" spans="1:9" ht="15.75" thickBot="1">
      <c r="A16" s="9">
        <v>2001</v>
      </c>
      <c r="B16" s="13">
        <v>133514</v>
      </c>
      <c r="C16" s="12">
        <f>Data!B20/((1+0.04)^-8)</f>
        <v>302388.06882514613</v>
      </c>
      <c r="D16" s="12">
        <f t="shared" si="0"/>
        <v>370847.04674480017</v>
      </c>
      <c r="E16" s="12">
        <f t="shared" si="1"/>
        <v>68458.977919654048</v>
      </c>
      <c r="F16" s="5">
        <f t="shared" si="2"/>
        <v>4686631657.8036804</v>
      </c>
      <c r="G16" s="12">
        <v>220952</v>
      </c>
      <c r="H16" s="82" t="s">
        <v>25</v>
      </c>
      <c r="I16" s="82"/>
    </row>
    <row r="17" spans="1:9" ht="15.75" thickBot="1">
      <c r="A17" s="9">
        <v>2002</v>
      </c>
      <c r="B17" s="13">
        <v>138193</v>
      </c>
      <c r="C17" s="12">
        <f>Data!B21/((1+0.04)^-7)</f>
        <v>314189.23974679073</v>
      </c>
      <c r="D17" s="12">
        <f t="shared" si="0"/>
        <v>374328.49602776708</v>
      </c>
      <c r="E17" s="12">
        <f t="shared" si="1"/>
        <v>60139.256280976348</v>
      </c>
      <c r="F17" s="5">
        <f t="shared" si="2"/>
        <v>3616730146.0289531</v>
      </c>
      <c r="G17" s="12">
        <v>238758</v>
      </c>
      <c r="H17" s="15" t="s">
        <v>26</v>
      </c>
      <c r="I17" s="20">
        <v>200000</v>
      </c>
    </row>
    <row r="18" spans="1:9" ht="15.75" thickBot="1">
      <c r="A18" s="9">
        <v>2003</v>
      </c>
      <c r="B18" s="13">
        <v>145642</v>
      </c>
      <c r="C18" s="12">
        <f>Data!B22/((1+0.04)^-6)</f>
        <v>328774.16717090824</v>
      </c>
      <c r="D18" s="12">
        <f t="shared" si="0"/>
        <v>379870.9870961195</v>
      </c>
      <c r="E18" s="12">
        <f t="shared" si="1"/>
        <v>51096.819925211254</v>
      </c>
      <c r="F18" s="5">
        <f t="shared" si="2"/>
        <v>2610885006.4694657</v>
      </c>
      <c r="G18" s="12">
        <v>259835</v>
      </c>
      <c r="H18" s="15" t="s">
        <v>27</v>
      </c>
      <c r="I18" s="18">
        <f>a + (I17 * b)</f>
        <v>420316.51394448843</v>
      </c>
    </row>
    <row r="19" spans="1:9" ht="15.75" thickBot="1">
      <c r="A19" s="9">
        <v>2004</v>
      </c>
      <c r="B19" s="13">
        <v>157675</v>
      </c>
      <c r="C19" s="12">
        <f>Data!B23/((1+0.04)^-5)</f>
        <v>351572.53924782091</v>
      </c>
      <c r="D19" s="12">
        <f t="shared" si="0"/>
        <v>388824.24189884262</v>
      </c>
      <c r="E19" s="12">
        <f t="shared" si="1"/>
        <v>37251.702651021711</v>
      </c>
      <c r="F19" s="5">
        <f t="shared" si="2"/>
        <v>1387689350.4001379</v>
      </c>
      <c r="G19" s="12">
        <v>288967</v>
      </c>
    </row>
    <row r="20" spans="1:9" ht="15.75" thickBot="1">
      <c r="A20" s="9">
        <v>2005</v>
      </c>
      <c r="B20" s="13">
        <v>169308</v>
      </c>
      <c r="C20" s="12">
        <f>Data!B24/((1+0.04)^-4)</f>
        <v>388553.31254272006</v>
      </c>
      <c r="D20" s="12">
        <f t="shared" si="0"/>
        <v>397479.87333905522</v>
      </c>
      <c r="E20" s="12">
        <f t="shared" si="1"/>
        <v>8926.5607963351649</v>
      </c>
      <c r="F20" s="5">
        <f t="shared" si="2"/>
        <v>79683487.650667891</v>
      </c>
      <c r="G20" s="12">
        <v>332137</v>
      </c>
    </row>
    <row r="21" spans="1:9" ht="15.75" thickBot="1">
      <c r="A21" s="9">
        <v>2006</v>
      </c>
      <c r="B21" s="13">
        <v>182743</v>
      </c>
      <c r="C21" s="12">
        <f>Data!B25/((1+0.04)^-3)</f>
        <v>439780.20403200004</v>
      </c>
      <c r="D21" s="12">
        <f t="shared" si="0"/>
        <v>407476.29802737775</v>
      </c>
      <c r="E21" s="12">
        <f t="shared" si="1"/>
        <v>32303.906004622288</v>
      </c>
      <c r="F21" s="5">
        <f t="shared" si="2"/>
        <v>1043542343.1554719</v>
      </c>
      <c r="G21" s="12">
        <v>390963</v>
      </c>
    </row>
    <row r="22" spans="1:9" ht="15.75" thickBot="1">
      <c r="A22" s="9">
        <v>2007</v>
      </c>
      <c r="B22" s="13">
        <v>192528</v>
      </c>
      <c r="C22" s="12">
        <f>Data!B26/((1+0.04)^-2)</f>
        <v>474951.11040000006</v>
      </c>
      <c r="D22" s="12">
        <f t="shared" si="0"/>
        <v>414756.90953279164</v>
      </c>
      <c r="E22" s="12">
        <f t="shared" si="1"/>
        <v>60194.200867208419</v>
      </c>
      <c r="F22" s="5">
        <f t="shared" si="2"/>
        <v>3623341818.0418348</v>
      </c>
      <c r="G22" s="12">
        <v>439119</v>
      </c>
    </row>
    <row r="23" spans="1:9" ht="15.75" thickBot="1">
      <c r="A23" s="9">
        <v>2008</v>
      </c>
      <c r="B23" s="12">
        <v>190765</v>
      </c>
      <c r="C23" s="12">
        <f>Data!B27/((1+0.04)^-1)</f>
        <v>472782.96</v>
      </c>
      <c r="D23" s="12">
        <f t="shared" si="0"/>
        <v>413445.13456252648</v>
      </c>
      <c r="E23" s="12">
        <f t="shared" si="1"/>
        <v>59337.825437473541</v>
      </c>
      <c r="F23" s="5">
        <f t="shared" si="2"/>
        <v>3520977527.6480818</v>
      </c>
      <c r="G23" s="12">
        <v>454599</v>
      </c>
    </row>
    <row r="24" spans="1:9" ht="15.75" thickBot="1">
      <c r="A24" s="14">
        <v>2009</v>
      </c>
      <c r="B24" s="33">
        <f>B23-(B23*0.02)</f>
        <v>186949.7</v>
      </c>
      <c r="C24" s="12"/>
      <c r="D24" s="33">
        <f>a+(b*B24)</f>
        <v>410606.32852506038</v>
      </c>
      <c r="E24" s="12"/>
      <c r="F24" s="12"/>
      <c r="G24" s="33"/>
    </row>
    <row r="26" spans="1:9">
      <c r="B26" t="s">
        <v>45</v>
      </c>
    </row>
  </sheetData>
  <mergeCells count="3">
    <mergeCell ref="H10:I10"/>
    <mergeCell ref="H13:I13"/>
    <mergeCell ref="H16:I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2:I23"/>
  <sheetViews>
    <sheetView zoomScale="76" zoomScaleNormal="76" workbookViewId="0">
      <selection activeCell="B23" sqref="B23"/>
    </sheetView>
  </sheetViews>
  <sheetFormatPr defaultRowHeight="15"/>
  <cols>
    <col min="1" max="1" width="15.7109375" bestFit="1" customWidth="1"/>
    <col min="2" max="2" width="27.7109375" customWidth="1"/>
    <col min="3" max="3" width="12.5703125" bestFit="1" customWidth="1"/>
    <col min="4" max="4" width="13.5703125" bestFit="1" customWidth="1"/>
    <col min="5" max="5" width="19.42578125" bestFit="1" customWidth="1"/>
    <col min="6" max="6" width="13.5703125" bestFit="1" customWidth="1"/>
    <col min="9" max="9" width="13.5703125" bestFit="1" customWidth="1"/>
  </cols>
  <sheetData>
    <row r="2" spans="1:9" ht="15.75" thickBot="1">
      <c r="A2" s="66"/>
      <c r="C2" s="8"/>
      <c r="D2" s="8"/>
      <c r="E2" s="8"/>
      <c r="F2" s="8"/>
      <c r="I2" s="8"/>
    </row>
    <row r="3" spans="1:9" ht="30.75" thickBot="1">
      <c r="A3" s="9" t="s">
        <v>3</v>
      </c>
      <c r="B3" s="11" t="s">
        <v>10</v>
      </c>
      <c r="C3" s="69" t="s">
        <v>55</v>
      </c>
      <c r="D3" s="69" t="s">
        <v>56</v>
      </c>
      <c r="E3" s="69" t="s">
        <v>57</v>
      </c>
      <c r="F3" s="69" t="s">
        <v>58</v>
      </c>
      <c r="G3" s="67"/>
      <c r="H3" s="67"/>
      <c r="I3" s="67"/>
    </row>
    <row r="4" spans="1:9" ht="15.75" thickBot="1">
      <c r="A4" s="9">
        <v>1990</v>
      </c>
      <c r="B4" s="13">
        <v>79350</v>
      </c>
      <c r="C4" s="4">
        <v>0</v>
      </c>
      <c r="D4" s="4">
        <v>2000</v>
      </c>
      <c r="E4" s="12">
        <v>79000</v>
      </c>
      <c r="F4" s="70">
        <f t="shared" ref="F4:F22" si="0">ABS(ActualValue - ForecastValue)</f>
        <v>350</v>
      </c>
      <c r="H4" s="83" t="s">
        <v>21</v>
      </c>
      <c r="I4" s="83"/>
    </row>
    <row r="5" spans="1:9" ht="15.75" thickBot="1">
      <c r="A5" s="9">
        <v>1991</v>
      </c>
      <c r="B5" s="13">
        <v>81849</v>
      </c>
      <c r="C5" s="4">
        <f>B5-B4</f>
        <v>2499</v>
      </c>
      <c r="D5" s="70">
        <f t="shared" ref="D5:D22" si="1">(Beta * C5) + ((1 - Beta) * D4)</f>
        <v>2249.5</v>
      </c>
      <c r="E5" s="12">
        <f t="shared" ref="E5:E23" si="2">((Alpha * B4) + ((1 - Alpha) * E4)) + D4</f>
        <v>81175</v>
      </c>
      <c r="F5" s="70">
        <f t="shared" si="0"/>
        <v>674</v>
      </c>
      <c r="H5" s="15" t="s">
        <v>22</v>
      </c>
      <c r="I5" s="18">
        <f>AVERAGE(ForecastingError)</f>
        <v>3523.8048566182456</v>
      </c>
    </row>
    <row r="6" spans="1:9" ht="15.75" thickBot="1">
      <c r="A6" s="9">
        <v>1992</v>
      </c>
      <c r="B6" s="13">
        <v>87242</v>
      </c>
      <c r="C6" s="4">
        <f t="shared" ref="C6:C22" si="3">B6-B5</f>
        <v>5393</v>
      </c>
      <c r="D6" s="70">
        <f t="shared" si="1"/>
        <v>3821.25</v>
      </c>
      <c r="E6" s="12">
        <f t="shared" si="2"/>
        <v>83761.5</v>
      </c>
      <c r="F6" s="70">
        <f t="shared" si="0"/>
        <v>3480.5</v>
      </c>
      <c r="I6" s="8"/>
    </row>
    <row r="7" spans="1:9" ht="15.75" thickBot="1">
      <c r="A7" s="9">
        <v>1993</v>
      </c>
      <c r="B7" s="13">
        <v>94077</v>
      </c>
      <c r="C7" s="4">
        <f t="shared" si="3"/>
        <v>6835</v>
      </c>
      <c r="D7" s="70">
        <f t="shared" si="1"/>
        <v>5328.125</v>
      </c>
      <c r="E7" s="12">
        <f t="shared" si="2"/>
        <v>89323</v>
      </c>
      <c r="F7" s="70">
        <f t="shared" si="0"/>
        <v>4754</v>
      </c>
      <c r="H7" s="83" t="s">
        <v>23</v>
      </c>
      <c r="I7" s="83"/>
    </row>
    <row r="8" spans="1:9" ht="15.75" thickBot="1">
      <c r="A8" s="9">
        <v>1994</v>
      </c>
      <c r="B8" s="13">
        <v>100512</v>
      </c>
      <c r="C8" s="4">
        <f t="shared" si="3"/>
        <v>6435</v>
      </c>
      <c r="D8" s="70">
        <f t="shared" si="1"/>
        <v>5881.5625</v>
      </c>
      <c r="E8" s="12">
        <f t="shared" si="2"/>
        <v>97028.125</v>
      </c>
      <c r="F8" s="70">
        <f t="shared" si="0"/>
        <v>3483.875</v>
      </c>
      <c r="H8" s="15" t="s">
        <v>24</v>
      </c>
      <c r="I8" s="19">
        <f>SUMSQ(ForecastingError) / COUNT(ForecastingError)</f>
        <v>21570731.055797532</v>
      </c>
    </row>
    <row r="9" spans="1:9" ht="15.75" thickBot="1">
      <c r="A9" s="9">
        <v>1995</v>
      </c>
      <c r="B9" s="13">
        <v>105670</v>
      </c>
      <c r="C9" s="4">
        <f t="shared" si="3"/>
        <v>5158</v>
      </c>
      <c r="D9" s="70">
        <f t="shared" si="1"/>
        <v>5519.78125</v>
      </c>
      <c r="E9" s="12">
        <f t="shared" si="2"/>
        <v>104651.625</v>
      </c>
      <c r="F9" s="70">
        <f t="shared" si="0"/>
        <v>1018.375</v>
      </c>
      <c r="I9" s="8"/>
    </row>
    <row r="10" spans="1:9" ht="15.75" thickBot="1">
      <c r="A10" s="9">
        <v>1996</v>
      </c>
      <c r="B10" s="13">
        <v>108865</v>
      </c>
      <c r="C10" s="4">
        <f t="shared" si="3"/>
        <v>3195</v>
      </c>
      <c r="D10" s="70">
        <f t="shared" si="1"/>
        <v>4357.390625</v>
      </c>
      <c r="E10" s="12">
        <f t="shared" si="2"/>
        <v>110680.59375</v>
      </c>
      <c r="F10" s="70">
        <f t="shared" si="0"/>
        <v>1815.59375</v>
      </c>
      <c r="H10" s="83" t="s">
        <v>59</v>
      </c>
      <c r="I10" s="83"/>
    </row>
    <row r="11" spans="1:9" ht="15.75" thickBot="1">
      <c r="A11" s="9">
        <v>1997</v>
      </c>
      <c r="B11" s="13">
        <v>114383</v>
      </c>
      <c r="C11" s="4">
        <f t="shared" si="3"/>
        <v>5518</v>
      </c>
      <c r="D11" s="70">
        <f t="shared" si="1"/>
        <v>4937.6953125</v>
      </c>
      <c r="E11" s="12">
        <f t="shared" si="2"/>
        <v>114130.1875</v>
      </c>
      <c r="F11" s="70">
        <f t="shared" si="0"/>
        <v>252.8125</v>
      </c>
      <c r="H11" s="68" t="s">
        <v>60</v>
      </c>
      <c r="I11" s="8">
        <v>0.5</v>
      </c>
    </row>
    <row r="12" spans="1:9" ht="15.75" thickBot="1">
      <c r="A12" s="9">
        <v>1998</v>
      </c>
      <c r="B12" s="13">
        <v>115641</v>
      </c>
      <c r="C12" s="4">
        <f t="shared" si="3"/>
        <v>1258</v>
      </c>
      <c r="D12" s="70">
        <f t="shared" si="1"/>
        <v>3097.84765625</v>
      </c>
      <c r="E12" s="12">
        <f t="shared" si="2"/>
        <v>119194.2890625</v>
      </c>
      <c r="F12" s="70">
        <f t="shared" si="0"/>
        <v>3553.2890625</v>
      </c>
      <c r="I12" s="8"/>
    </row>
    <row r="13" spans="1:9" ht="15.75" thickBot="1">
      <c r="A13" s="9">
        <v>1999</v>
      </c>
      <c r="B13" s="13">
        <v>120921</v>
      </c>
      <c r="C13" s="4">
        <f t="shared" si="3"/>
        <v>5280</v>
      </c>
      <c r="D13" s="70">
        <f t="shared" si="1"/>
        <v>4188.923828125</v>
      </c>
      <c r="E13" s="12">
        <f t="shared" si="2"/>
        <v>120515.4921875</v>
      </c>
      <c r="F13" s="70">
        <f t="shared" si="0"/>
        <v>405.5078125</v>
      </c>
      <c r="H13" s="83" t="s">
        <v>61</v>
      </c>
      <c r="I13" s="83"/>
    </row>
    <row r="14" spans="1:9" ht="15.75" thickBot="1">
      <c r="A14" s="9">
        <v>2000</v>
      </c>
      <c r="B14" s="13">
        <v>131333</v>
      </c>
      <c r="C14" s="4">
        <f t="shared" si="3"/>
        <v>10412</v>
      </c>
      <c r="D14" s="70">
        <f t="shared" si="1"/>
        <v>7300.4619140625</v>
      </c>
      <c r="E14" s="12">
        <f t="shared" si="2"/>
        <v>124907.169921875</v>
      </c>
      <c r="F14" s="70">
        <f t="shared" si="0"/>
        <v>6425.830078125</v>
      </c>
      <c r="H14" s="68" t="s">
        <v>62</v>
      </c>
      <c r="I14" s="8">
        <v>0.5</v>
      </c>
    </row>
    <row r="15" spans="1:9" ht="15.75" thickBot="1">
      <c r="A15" s="9">
        <v>2001</v>
      </c>
      <c r="B15" s="13">
        <v>133514</v>
      </c>
      <c r="C15" s="4">
        <f t="shared" si="3"/>
        <v>2181</v>
      </c>
      <c r="D15" s="70">
        <f t="shared" si="1"/>
        <v>4740.73095703125</v>
      </c>
      <c r="E15" s="12">
        <f t="shared" si="2"/>
        <v>135420.546875</v>
      </c>
      <c r="F15" s="70">
        <f t="shared" si="0"/>
        <v>1906.546875</v>
      </c>
    </row>
    <row r="16" spans="1:9" ht="15.75" thickBot="1">
      <c r="A16" s="9">
        <v>2002</v>
      </c>
      <c r="B16" s="13">
        <v>138193</v>
      </c>
      <c r="C16" s="4">
        <f t="shared" si="3"/>
        <v>4679</v>
      </c>
      <c r="D16" s="70">
        <f t="shared" si="1"/>
        <v>4709.865478515625</v>
      </c>
      <c r="E16" s="12">
        <f t="shared" si="2"/>
        <v>139208.00439453125</v>
      </c>
      <c r="F16" s="70">
        <f t="shared" si="0"/>
        <v>1015.00439453125</v>
      </c>
    </row>
    <row r="17" spans="1:6" ht="15.75" thickBot="1">
      <c r="A17" s="9">
        <v>2003</v>
      </c>
      <c r="B17" s="13">
        <v>145642</v>
      </c>
      <c r="C17" s="4">
        <f t="shared" si="3"/>
        <v>7449</v>
      </c>
      <c r="D17" s="70">
        <f t="shared" si="1"/>
        <v>6079.4327392578125</v>
      </c>
      <c r="E17" s="12">
        <f t="shared" si="2"/>
        <v>143410.36767578125</v>
      </c>
      <c r="F17" s="70">
        <f t="shared" si="0"/>
        <v>2231.63232421875</v>
      </c>
    </row>
    <row r="18" spans="1:6" ht="15.75" thickBot="1">
      <c r="A18" s="9">
        <v>2004</v>
      </c>
      <c r="B18" s="13">
        <v>157675</v>
      </c>
      <c r="C18" s="4">
        <f t="shared" si="3"/>
        <v>12033</v>
      </c>
      <c r="D18" s="70">
        <f t="shared" si="1"/>
        <v>9056.2163696289062</v>
      </c>
      <c r="E18" s="12">
        <f t="shared" si="2"/>
        <v>150605.61657714844</v>
      </c>
      <c r="F18" s="70">
        <f t="shared" si="0"/>
        <v>7069.3834228515625</v>
      </c>
    </row>
    <row r="19" spans="1:6" ht="15.75" thickBot="1">
      <c r="A19" s="9">
        <v>2005</v>
      </c>
      <c r="B19" s="13">
        <v>169308</v>
      </c>
      <c r="C19" s="4">
        <f t="shared" si="3"/>
        <v>11633</v>
      </c>
      <c r="D19" s="70">
        <f t="shared" si="1"/>
        <v>10344.608184814453</v>
      </c>
      <c r="E19" s="12">
        <f t="shared" si="2"/>
        <v>163196.52465820313</v>
      </c>
      <c r="F19" s="70">
        <f t="shared" si="0"/>
        <v>6111.475341796875</v>
      </c>
    </row>
    <row r="20" spans="1:6" ht="15.75" thickBot="1">
      <c r="A20" s="9">
        <v>2006</v>
      </c>
      <c r="B20" s="13">
        <v>182743</v>
      </c>
      <c r="C20" s="4">
        <f t="shared" si="3"/>
        <v>13435</v>
      </c>
      <c r="D20" s="70">
        <f t="shared" si="1"/>
        <v>11889.804092407227</v>
      </c>
      <c r="E20" s="12">
        <f t="shared" si="2"/>
        <v>176596.87051391602</v>
      </c>
      <c r="F20" s="70">
        <f t="shared" si="0"/>
        <v>6146.1294860839844</v>
      </c>
    </row>
    <row r="21" spans="1:6" ht="15.75" thickBot="1">
      <c r="A21" s="9">
        <v>2007</v>
      </c>
      <c r="B21" s="13">
        <v>192528</v>
      </c>
      <c r="C21" s="4">
        <f t="shared" si="3"/>
        <v>9785</v>
      </c>
      <c r="D21" s="70">
        <f t="shared" si="1"/>
        <v>10837.402046203613</v>
      </c>
      <c r="E21" s="12">
        <f t="shared" si="2"/>
        <v>191559.73934936523</v>
      </c>
      <c r="F21" s="70">
        <f t="shared" si="0"/>
        <v>968.26065063476562</v>
      </c>
    </row>
    <row r="22" spans="1:6" ht="15.75" thickBot="1">
      <c r="A22" s="9">
        <v>2008</v>
      </c>
      <c r="B22" s="12">
        <v>190765</v>
      </c>
      <c r="C22" s="4">
        <f t="shared" si="3"/>
        <v>-1763</v>
      </c>
      <c r="D22" s="70">
        <f t="shared" si="1"/>
        <v>4537.2010231018066</v>
      </c>
      <c r="E22" s="12">
        <f t="shared" si="2"/>
        <v>202881.27172088623</v>
      </c>
      <c r="F22" s="70">
        <f t="shared" si="0"/>
        <v>12116.27172088623</v>
      </c>
    </row>
    <row r="23" spans="1:6" ht="15.75" thickBot="1">
      <c r="A23" s="14">
        <v>2009</v>
      </c>
      <c r="B23" s="33"/>
      <c r="C23" s="3"/>
      <c r="D23" s="3"/>
      <c r="E23" s="33">
        <f t="shared" si="2"/>
        <v>201360.33688354492</v>
      </c>
      <c r="F23" s="3"/>
    </row>
  </sheetData>
  <mergeCells count="4">
    <mergeCell ref="H4:I4"/>
    <mergeCell ref="H7:I7"/>
    <mergeCell ref="H10:I10"/>
    <mergeCell ref="H13:I1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1"/>
  <dimension ref="A3:K26"/>
  <sheetViews>
    <sheetView zoomScale="75" zoomScaleNormal="75" workbookViewId="0">
      <selection activeCell="B4" sqref="B4:B24"/>
    </sheetView>
  </sheetViews>
  <sheetFormatPr defaultRowHeight="15"/>
  <cols>
    <col min="2" max="2" width="28.42578125" bestFit="1" customWidth="1"/>
    <col min="3" max="3" width="23.85546875" bestFit="1" customWidth="1"/>
    <col min="4" max="4" width="12.5703125" bestFit="1" customWidth="1"/>
    <col min="5" max="5" width="13.5703125" bestFit="1" customWidth="1"/>
    <col min="6" max="6" width="16.42578125" bestFit="1" customWidth="1"/>
    <col min="7" max="7" width="19.42578125" bestFit="1" customWidth="1"/>
    <col min="8" max="8" width="21" bestFit="1" customWidth="1"/>
    <col min="9" max="9" width="13.85546875" bestFit="1" customWidth="1"/>
    <col min="11" max="11" width="13.5703125" bestFit="1" customWidth="1"/>
  </cols>
  <sheetData>
    <row r="3" spans="1:11" ht="15.75" thickBot="1">
      <c r="B3" s="2" t="s">
        <v>13</v>
      </c>
      <c r="C3" s="2" t="s">
        <v>14</v>
      </c>
    </row>
    <row r="4" spans="1:11" ht="31.5" thickBot="1">
      <c r="A4" s="9" t="s">
        <v>3</v>
      </c>
      <c r="B4" s="11" t="s">
        <v>51</v>
      </c>
      <c r="C4" s="9" t="s">
        <v>40</v>
      </c>
      <c r="D4" s="14" t="s">
        <v>43</v>
      </c>
      <c r="E4" s="14" t="s">
        <v>15</v>
      </c>
      <c r="F4" s="14" t="s">
        <v>16</v>
      </c>
      <c r="G4" s="9" t="s">
        <v>8</v>
      </c>
      <c r="H4" s="16" t="s">
        <v>17</v>
      </c>
      <c r="K4" s="44"/>
    </row>
    <row r="5" spans="1:11" ht="16.5" thickBot="1">
      <c r="A5" s="9">
        <v>1990</v>
      </c>
      <c r="B5" s="46">
        <v>11.34</v>
      </c>
      <c r="C5" s="12">
        <f>Data!B9/((1+0.04)^-19)</f>
        <v>332073.13972341898</v>
      </c>
      <c r="D5" s="12">
        <f t="shared" ref="D5:D23" si="0">a+(b*B5)</f>
        <v>368079.11695874593</v>
      </c>
      <c r="E5" s="12">
        <f>ABS(C5-D5)</f>
        <v>36005.977235326951</v>
      </c>
      <c r="F5" s="5">
        <f>E5^2</f>
        <v>1296430396.6708827</v>
      </c>
      <c r="G5" s="12">
        <v>157616</v>
      </c>
      <c r="H5" s="15" t="s">
        <v>18</v>
      </c>
      <c r="K5" s="44"/>
    </row>
    <row r="6" spans="1:11" ht="16.5" thickBot="1">
      <c r="A6" s="9">
        <v>1991</v>
      </c>
      <c r="B6" s="46">
        <v>12.2</v>
      </c>
      <c r="C6" s="12">
        <f>Data!B10/((1+0.04)^-18)</f>
        <v>340813.24146470748</v>
      </c>
      <c r="D6" s="12">
        <f t="shared" si="0"/>
        <v>368263.36738685018</v>
      </c>
      <c r="E6" s="12">
        <f t="shared" ref="E6:E23" si="1">ABS(C6-D6)</f>
        <v>27450.125922142703</v>
      </c>
      <c r="F6" s="5">
        <f t="shared" ref="F6:F23" si="2">E6^2</f>
        <v>753509413.14149082</v>
      </c>
      <c r="G6" s="12">
        <v>168235</v>
      </c>
      <c r="H6" s="15" t="s">
        <v>19</v>
      </c>
      <c r="I6">
        <f>INTERCEPT(DependentVariable,IndependentVariable)</f>
        <v>365649.58224397578</v>
      </c>
      <c r="K6" s="44"/>
    </row>
    <row r="7" spans="1:11" ht="16.5" thickBot="1">
      <c r="A7" s="9">
        <v>1992</v>
      </c>
      <c r="B7" s="46">
        <v>12.5</v>
      </c>
      <c r="C7" s="12">
        <f>Data!B11/((1+0.04)^-17)</f>
        <v>370099.14625519793</v>
      </c>
      <c r="D7" s="12">
        <f t="shared" si="0"/>
        <v>368327.64079200284</v>
      </c>
      <c r="E7" s="12">
        <f t="shared" si="1"/>
        <v>1771.5054631950916</v>
      </c>
      <c r="F7" s="5">
        <f t="shared" si="2"/>
        <v>3138231.6061300561</v>
      </c>
      <c r="G7" s="12">
        <v>189999</v>
      </c>
      <c r="H7" s="15" t="s">
        <v>20</v>
      </c>
      <c r="I7">
        <f>SLOPE(DependentVariable,IndependentVariable)</f>
        <v>214.24468384216595</v>
      </c>
      <c r="K7" s="44"/>
    </row>
    <row r="8" spans="1:11" ht="16.5" thickBot="1">
      <c r="A8" s="9">
        <v>1993</v>
      </c>
      <c r="B8" s="46">
        <v>14</v>
      </c>
      <c r="C8" s="12">
        <f>Data!B12/((1+0.04)^-16)</f>
        <v>397057.04024419928</v>
      </c>
      <c r="D8" s="12">
        <f t="shared" si="0"/>
        <v>368649.00781776611</v>
      </c>
      <c r="E8" s="12">
        <f t="shared" si="1"/>
        <v>28408.032426433172</v>
      </c>
      <c r="F8" s="5">
        <f t="shared" si="2"/>
        <v>807016306.34127855</v>
      </c>
      <c r="G8" s="12">
        <v>211992</v>
      </c>
      <c r="K8" s="44"/>
    </row>
    <row r="9" spans="1:11" ht="16.5" thickBot="1">
      <c r="A9" s="9">
        <v>1994</v>
      </c>
      <c r="B9" s="46">
        <v>10.199999999999999</v>
      </c>
      <c r="C9" s="12">
        <f>Data!B13/((1+0.04)^-15)</f>
        <v>413341.7477229145</v>
      </c>
      <c r="D9" s="12">
        <f t="shared" si="0"/>
        <v>367834.87801916589</v>
      </c>
      <c r="E9" s="12">
        <f t="shared" si="1"/>
        <v>45506.869703748613</v>
      </c>
      <c r="F9" s="5">
        <f t="shared" si="2"/>
        <v>2070875190.2339532</v>
      </c>
      <c r="G9" s="12">
        <v>229514</v>
      </c>
      <c r="K9" s="44"/>
    </row>
    <row r="10" spans="1:11" ht="16.5" thickBot="1">
      <c r="A10" s="9">
        <v>1995</v>
      </c>
      <c r="B10" s="46">
        <v>8.5</v>
      </c>
      <c r="C10" s="12">
        <f>Data!B14/((1+0.04)^-14)</f>
        <v>384189.73666515818</v>
      </c>
      <c r="D10" s="12">
        <f t="shared" si="0"/>
        <v>367470.6620566342</v>
      </c>
      <c r="E10" s="12">
        <f t="shared" si="1"/>
        <v>16719.074608523981</v>
      </c>
      <c r="F10" s="5">
        <f t="shared" si="2"/>
        <v>279527455.76539129</v>
      </c>
      <c r="G10" s="12">
        <v>221860</v>
      </c>
      <c r="H10" s="82" t="s">
        <v>21</v>
      </c>
      <c r="I10" s="82"/>
      <c r="K10" s="44"/>
    </row>
    <row r="11" spans="1:11" ht="16.5" thickBot="1">
      <c r="A11" s="9">
        <v>1996</v>
      </c>
      <c r="B11" s="46">
        <v>8.3000000000000007</v>
      </c>
      <c r="C11" s="12">
        <f>Data!B15/((1+0.04)^-13)</f>
        <v>364129.93009318708</v>
      </c>
      <c r="D11" s="12">
        <f t="shared" si="0"/>
        <v>367427.81311986578</v>
      </c>
      <c r="E11" s="12">
        <f t="shared" si="1"/>
        <v>3297.8830266786972</v>
      </c>
      <c r="F11" s="5">
        <f t="shared" si="2"/>
        <v>10876032.457655445</v>
      </c>
      <c r="G11" s="12">
        <v>218687</v>
      </c>
      <c r="H11" s="15" t="s">
        <v>22</v>
      </c>
      <c r="I11" s="18">
        <f>AVERAGE(E5:E23)</f>
        <v>42113.848836802666</v>
      </c>
      <c r="K11" s="44"/>
    </row>
    <row r="12" spans="1:11" ht="16.5" thickBot="1">
      <c r="A12" s="9">
        <v>1997</v>
      </c>
      <c r="B12" s="46">
        <v>7.1</v>
      </c>
      <c r="C12" s="12">
        <f>Data!B16/((1+0.04)^-12)</f>
        <v>353046.81658079667</v>
      </c>
      <c r="D12" s="12">
        <f t="shared" si="0"/>
        <v>367170.71949925518</v>
      </c>
      <c r="E12" s="12">
        <f t="shared" si="1"/>
        <v>14123.902918458509</v>
      </c>
      <c r="F12" s="5">
        <f t="shared" si="2"/>
        <v>199484633.65004078</v>
      </c>
      <c r="G12" s="12">
        <v>220512</v>
      </c>
      <c r="K12" s="44"/>
    </row>
    <row r="13" spans="1:11" ht="16.5" thickBot="1">
      <c r="A13" s="9">
        <v>1998</v>
      </c>
      <c r="B13" s="47">
        <v>6.9</v>
      </c>
      <c r="C13" s="12">
        <f>Data!B17/((1+0.04)^-11)</f>
        <v>326435.0748253871</v>
      </c>
      <c r="D13" s="12">
        <f t="shared" si="0"/>
        <v>367127.8705624867</v>
      </c>
      <c r="E13" s="12">
        <f t="shared" si="1"/>
        <v>40692.795737099601</v>
      </c>
      <c r="F13" s="5">
        <f t="shared" si="2"/>
        <v>1655903624.9013114</v>
      </c>
      <c r="G13" s="12">
        <v>212046</v>
      </c>
      <c r="H13" s="82" t="s">
        <v>23</v>
      </c>
      <c r="I13" s="82"/>
      <c r="K13" s="44"/>
    </row>
    <row r="14" spans="1:11" ht="16.5" thickBot="1">
      <c r="A14" s="9">
        <v>1999</v>
      </c>
      <c r="B14" s="47">
        <v>8.25</v>
      </c>
      <c r="C14" s="12">
        <f>Data!B18/((1+0.04)^-10)</f>
        <v>318671.43039007601</v>
      </c>
      <c r="D14" s="12">
        <f t="shared" si="0"/>
        <v>367417.10088567366</v>
      </c>
      <c r="E14" s="12">
        <f t="shared" si="1"/>
        <v>48745.670495597646</v>
      </c>
      <c r="F14" s="5">
        <f t="shared" si="2"/>
        <v>2376140392.0653787</v>
      </c>
      <c r="G14" s="12">
        <v>215283</v>
      </c>
      <c r="H14" s="15" t="s">
        <v>24</v>
      </c>
      <c r="I14" s="19">
        <f>SUMSQ(E5:E23) / COUNT(E5:E23)</f>
        <v>2636164266.90804</v>
      </c>
      <c r="K14" s="44"/>
    </row>
    <row r="15" spans="1:11" ht="16.5" thickBot="1">
      <c r="A15" s="9">
        <v>2000</v>
      </c>
      <c r="B15" s="47">
        <v>7.95</v>
      </c>
      <c r="C15" s="12">
        <f>Data!B19/((1+0.04)^-9)</f>
        <v>308843.00686552568</v>
      </c>
      <c r="D15" s="12">
        <f t="shared" si="0"/>
        <v>367352.82748052099</v>
      </c>
      <c r="E15" s="12">
        <f t="shared" si="1"/>
        <v>58509.820614995318</v>
      </c>
      <c r="F15" s="5">
        <f t="shared" si="2"/>
        <v>3423399108.398931</v>
      </c>
      <c r="G15" s="12">
        <v>216989</v>
      </c>
      <c r="K15" s="44"/>
    </row>
    <row r="16" spans="1:11" ht="16.5" thickBot="1">
      <c r="A16" s="9">
        <v>2001</v>
      </c>
      <c r="B16" s="47">
        <v>6.85</v>
      </c>
      <c r="C16" s="12">
        <f>Data!B20/((1+0.04)^-8)</f>
        <v>302388.06882514613</v>
      </c>
      <c r="D16" s="12">
        <f t="shared" si="0"/>
        <v>367117.15832829464</v>
      </c>
      <c r="E16" s="12">
        <f t="shared" si="1"/>
        <v>64729.089503148512</v>
      </c>
      <c r="F16" s="5">
        <f t="shared" si="2"/>
        <v>4189855027.906611</v>
      </c>
      <c r="G16" s="12">
        <v>220952</v>
      </c>
      <c r="H16" s="82" t="s">
        <v>25</v>
      </c>
      <c r="I16" s="82"/>
      <c r="K16" s="44"/>
    </row>
    <row r="17" spans="1:11" ht="16.5" thickBot="1">
      <c r="A17" s="9">
        <v>2002</v>
      </c>
      <c r="B17" s="47">
        <v>6.7</v>
      </c>
      <c r="C17" s="12">
        <f>Data!B21/((1+0.04)^-7)</f>
        <v>314189.23974679073</v>
      </c>
      <c r="D17" s="12">
        <f t="shared" si="0"/>
        <v>367085.02162571828</v>
      </c>
      <c r="E17" s="12">
        <f t="shared" si="1"/>
        <v>52895.781878927548</v>
      </c>
      <c r="F17" s="5">
        <f t="shared" si="2"/>
        <v>2797963740.5830798</v>
      </c>
      <c r="G17" s="12">
        <v>238758</v>
      </c>
      <c r="H17" s="15" t="s">
        <v>26</v>
      </c>
      <c r="I17" s="20">
        <v>200000</v>
      </c>
      <c r="K17" s="44"/>
    </row>
    <row r="18" spans="1:11" ht="16.5" thickBot="1">
      <c r="A18" s="9">
        <v>2003</v>
      </c>
      <c r="B18" s="47">
        <v>6.45</v>
      </c>
      <c r="C18" s="12">
        <f>Data!B22/((1+0.04)^-6)</f>
        <v>328774.16717090824</v>
      </c>
      <c r="D18" s="12">
        <f t="shared" si="0"/>
        <v>367031.46045475773</v>
      </c>
      <c r="E18" s="12">
        <f t="shared" si="1"/>
        <v>38257.293283849489</v>
      </c>
      <c r="F18" s="5">
        <f t="shared" si="2"/>
        <v>1463620489.4064753</v>
      </c>
      <c r="G18" s="12">
        <v>259835</v>
      </c>
      <c r="H18" s="15" t="s">
        <v>27</v>
      </c>
      <c r="I18" s="18">
        <f>a + (I17 * b)</f>
        <v>43214586.35067717</v>
      </c>
      <c r="K18" s="44"/>
    </row>
    <row r="19" spans="1:11" ht="16.5" thickBot="1">
      <c r="A19" s="9">
        <v>2004</v>
      </c>
      <c r="B19" s="47">
        <v>6.05</v>
      </c>
      <c r="C19" s="12">
        <f>Data!B23/((1+0.04)^-5)</f>
        <v>351572.53924782091</v>
      </c>
      <c r="D19" s="12">
        <f t="shared" si="0"/>
        <v>366945.76258122089</v>
      </c>
      <c r="E19" s="12">
        <f t="shared" si="1"/>
        <v>15373.223333399976</v>
      </c>
      <c r="F19" s="5">
        <f t="shared" si="2"/>
        <v>236335995.65859345</v>
      </c>
      <c r="G19" s="12">
        <v>288967</v>
      </c>
      <c r="K19" s="44"/>
    </row>
    <row r="20" spans="1:11" ht="16.5" thickBot="1">
      <c r="A20" s="9">
        <v>2005</v>
      </c>
      <c r="B20" s="47">
        <v>6.3</v>
      </c>
      <c r="C20" s="12">
        <f>Data!B24/((1+0.04)^-4)</f>
        <v>388553.31254272006</v>
      </c>
      <c r="D20" s="12">
        <f t="shared" si="0"/>
        <v>366999.32375218143</v>
      </c>
      <c r="E20" s="12">
        <f t="shared" si="1"/>
        <v>21553.988790538628</v>
      </c>
      <c r="F20" s="5">
        <f t="shared" si="2"/>
        <v>464574432.78266484</v>
      </c>
      <c r="G20" s="12">
        <v>332137</v>
      </c>
      <c r="K20" s="44"/>
    </row>
    <row r="21" spans="1:11" ht="16.5" thickBot="1">
      <c r="A21" s="9">
        <v>2006</v>
      </c>
      <c r="B21" s="47">
        <v>6.45</v>
      </c>
      <c r="C21" s="12">
        <f>Data!B25/((1+0.04)^-3)</f>
        <v>439780.20403200004</v>
      </c>
      <c r="D21" s="12">
        <f t="shared" si="0"/>
        <v>367031.46045475773</v>
      </c>
      <c r="E21" s="12">
        <f t="shared" si="1"/>
        <v>72748.743577242305</v>
      </c>
      <c r="F21" s="5">
        <f t="shared" si="2"/>
        <v>5292379692.0673532</v>
      </c>
      <c r="G21" s="12">
        <v>390963</v>
      </c>
      <c r="K21" s="44"/>
    </row>
    <row r="22" spans="1:11" ht="16.5" thickBot="1">
      <c r="A22" s="9">
        <v>2007</v>
      </c>
      <c r="B22" s="47">
        <v>7.54</v>
      </c>
      <c r="C22" s="12">
        <f>Data!B26/((1+0.04)^-2)</f>
        <v>474951.11040000006</v>
      </c>
      <c r="D22" s="12">
        <f t="shared" si="0"/>
        <v>367264.98716014571</v>
      </c>
      <c r="E22" s="12">
        <f t="shared" si="1"/>
        <v>107686.12323985435</v>
      </c>
      <c r="F22" s="5">
        <f t="shared" si="2"/>
        <v>11596301138.4291</v>
      </c>
      <c r="G22" s="12">
        <v>439119</v>
      </c>
      <c r="K22" s="44"/>
    </row>
    <row r="23" spans="1:11" ht="16.5" thickBot="1">
      <c r="A23" s="9">
        <v>2008</v>
      </c>
      <c r="B23" s="47">
        <v>6.75</v>
      </c>
      <c r="C23" s="12">
        <f>Data!B27/((1+0.04)^-1)</f>
        <v>472782.96</v>
      </c>
      <c r="D23" s="12">
        <f t="shared" si="0"/>
        <v>367095.7338599104</v>
      </c>
      <c r="E23" s="12">
        <f t="shared" si="1"/>
        <v>105687.22614008962</v>
      </c>
      <c r="F23" s="5">
        <f t="shared" si="2"/>
        <v>11169789769.186443</v>
      </c>
      <c r="G23" s="12">
        <v>454599</v>
      </c>
      <c r="K23" s="44"/>
    </row>
    <row r="24" spans="1:11" ht="16.5" thickBot="1">
      <c r="A24" s="14">
        <v>2009</v>
      </c>
      <c r="B24" s="48">
        <v>5.79</v>
      </c>
      <c r="C24" s="12"/>
      <c r="D24" s="33">
        <f>a+(b*B24)</f>
        <v>366890.05896342191</v>
      </c>
      <c r="E24" s="12"/>
      <c r="F24" s="12"/>
      <c r="G24" s="33"/>
      <c r="K24" s="44"/>
    </row>
    <row r="25" spans="1:11" ht="15.75">
      <c r="K25" s="44"/>
    </row>
    <row r="26" spans="1:11">
      <c r="B26" t="s">
        <v>50</v>
      </c>
    </row>
  </sheetData>
  <mergeCells count="3">
    <mergeCell ref="H10:I10"/>
    <mergeCell ref="H13:I13"/>
    <mergeCell ref="H16:I1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2:I23"/>
  <sheetViews>
    <sheetView zoomScale="76" zoomScaleNormal="76" workbookViewId="0">
      <selection activeCell="I19" sqref="I19"/>
    </sheetView>
  </sheetViews>
  <sheetFormatPr defaultRowHeight="15"/>
  <cols>
    <col min="1" max="1" width="15.7109375" bestFit="1" customWidth="1"/>
    <col min="2" max="2" width="27.7109375" customWidth="1"/>
    <col min="3" max="3" width="12.5703125" bestFit="1" customWidth="1"/>
    <col min="4" max="4" width="13.5703125" bestFit="1" customWidth="1"/>
    <col min="5" max="5" width="19.42578125" bestFit="1" customWidth="1"/>
    <col min="6" max="6" width="13.5703125" bestFit="1" customWidth="1"/>
    <col min="9" max="9" width="13.5703125" bestFit="1" customWidth="1"/>
  </cols>
  <sheetData>
    <row r="2" spans="1:9" ht="15.75" thickBot="1">
      <c r="A2" s="66"/>
      <c r="C2" s="8"/>
      <c r="D2" s="8"/>
      <c r="E2" s="8"/>
      <c r="F2" s="8"/>
      <c r="I2" s="8"/>
    </row>
    <row r="3" spans="1:9" ht="30.75" thickBot="1">
      <c r="A3" s="9" t="s">
        <v>3</v>
      </c>
      <c r="B3" s="11" t="s">
        <v>51</v>
      </c>
      <c r="C3" s="69" t="s">
        <v>55</v>
      </c>
      <c r="D3" s="69" t="s">
        <v>56</v>
      </c>
      <c r="E3" s="69" t="s">
        <v>57</v>
      </c>
      <c r="F3" s="69" t="s">
        <v>58</v>
      </c>
      <c r="G3" s="67"/>
      <c r="H3" s="67"/>
      <c r="I3" s="67"/>
    </row>
    <row r="4" spans="1:9" ht="15.75" thickBot="1">
      <c r="A4" s="9">
        <v>1990</v>
      </c>
      <c r="B4" s="46">
        <v>11.34</v>
      </c>
      <c r="C4" s="4">
        <v>0</v>
      </c>
      <c r="D4" s="4">
        <v>1</v>
      </c>
      <c r="E4" s="72">
        <v>11.34</v>
      </c>
      <c r="F4" s="70">
        <f t="shared" ref="F4:F22" si="0">ABS(ActualValue - ForecastValue)</f>
        <v>0</v>
      </c>
      <c r="H4" s="83" t="s">
        <v>21</v>
      </c>
      <c r="I4" s="83"/>
    </row>
    <row r="5" spans="1:9" ht="15.75" thickBot="1">
      <c r="A5" s="9">
        <v>1991</v>
      </c>
      <c r="B5" s="46">
        <v>12.2</v>
      </c>
      <c r="C5" s="4">
        <f>B5-B4</f>
        <v>0.85999999999999943</v>
      </c>
      <c r="D5" s="70">
        <f t="shared" ref="D5:D22" si="1">(Beta * C5) + ((1 - Beta) * D4)</f>
        <v>0.92999999999999972</v>
      </c>
      <c r="E5" s="72">
        <f t="shared" ref="E5:E23" si="2">((Alpha * B4) + ((1 - Alpha) * E4)) + D4</f>
        <v>12.34</v>
      </c>
      <c r="F5" s="70">
        <f t="shared" si="0"/>
        <v>0.14000000000000057</v>
      </c>
      <c r="H5" s="15" t="s">
        <v>22</v>
      </c>
      <c r="I5" s="18">
        <f>AVERAGE(ForecastingError)</f>
        <v>0.91795267740885422</v>
      </c>
    </row>
    <row r="6" spans="1:9" ht="15.75" thickBot="1">
      <c r="A6" s="9">
        <v>1992</v>
      </c>
      <c r="B6" s="46">
        <v>12.5</v>
      </c>
      <c r="C6" s="4">
        <f t="shared" ref="C6:C22" si="3">B6-B5</f>
        <v>0.30000000000000071</v>
      </c>
      <c r="D6" s="70">
        <f t="shared" si="1"/>
        <v>0.61500000000000021</v>
      </c>
      <c r="E6" s="72">
        <f t="shared" si="2"/>
        <v>13.2</v>
      </c>
      <c r="F6" s="70">
        <f t="shared" si="0"/>
        <v>0.69999999999999929</v>
      </c>
      <c r="I6" s="8"/>
    </row>
    <row r="7" spans="1:9" ht="15.75" thickBot="1">
      <c r="A7" s="9">
        <v>1993</v>
      </c>
      <c r="B7" s="46">
        <v>14</v>
      </c>
      <c r="C7" s="4">
        <f t="shared" si="3"/>
        <v>1.5</v>
      </c>
      <c r="D7" s="70">
        <f t="shared" si="1"/>
        <v>1.0575000000000001</v>
      </c>
      <c r="E7" s="72">
        <f t="shared" si="2"/>
        <v>13.465</v>
      </c>
      <c r="F7" s="70">
        <f t="shared" si="0"/>
        <v>0.53500000000000014</v>
      </c>
      <c r="H7" s="83" t="s">
        <v>23</v>
      </c>
      <c r="I7" s="83"/>
    </row>
    <row r="8" spans="1:9" ht="15.75" thickBot="1">
      <c r="A8" s="9">
        <v>1994</v>
      </c>
      <c r="B8" s="46">
        <v>10.199999999999999</v>
      </c>
      <c r="C8" s="4">
        <f t="shared" si="3"/>
        <v>-3.8000000000000007</v>
      </c>
      <c r="D8" s="70">
        <f t="shared" si="1"/>
        <v>-1.3712500000000003</v>
      </c>
      <c r="E8" s="72">
        <f t="shared" si="2"/>
        <v>14.79</v>
      </c>
      <c r="F8" s="70">
        <f t="shared" si="0"/>
        <v>4.59</v>
      </c>
      <c r="H8" s="15" t="s">
        <v>24</v>
      </c>
      <c r="I8" s="19">
        <f>SUMSQ(ForecastingError) / COUNT(ForecastingError)</f>
        <v>2.1308206432326902</v>
      </c>
    </row>
    <row r="9" spans="1:9" ht="15.75" thickBot="1">
      <c r="A9" s="9">
        <v>1995</v>
      </c>
      <c r="B9" s="46">
        <v>8.5</v>
      </c>
      <c r="C9" s="4">
        <f t="shared" si="3"/>
        <v>-1.6999999999999993</v>
      </c>
      <c r="D9" s="70">
        <f t="shared" si="1"/>
        <v>-1.5356249999999998</v>
      </c>
      <c r="E9" s="72">
        <f t="shared" si="2"/>
        <v>11.123749999999999</v>
      </c>
      <c r="F9" s="70">
        <f t="shared" si="0"/>
        <v>2.6237499999999994</v>
      </c>
      <c r="I9" s="8"/>
    </row>
    <row r="10" spans="1:9" ht="15.75" thickBot="1">
      <c r="A10" s="9">
        <v>1996</v>
      </c>
      <c r="B10" s="46">
        <v>8.3000000000000007</v>
      </c>
      <c r="C10" s="4">
        <f t="shared" si="3"/>
        <v>-0.19999999999999929</v>
      </c>
      <c r="D10" s="70">
        <f t="shared" si="1"/>
        <v>-0.86781249999999954</v>
      </c>
      <c r="E10" s="72">
        <f t="shared" si="2"/>
        <v>8.276250000000001</v>
      </c>
      <c r="F10" s="70">
        <f t="shared" si="0"/>
        <v>2.3749999999999716E-2</v>
      </c>
      <c r="H10" s="83" t="s">
        <v>59</v>
      </c>
      <c r="I10" s="83"/>
    </row>
    <row r="11" spans="1:9" ht="15.75" thickBot="1">
      <c r="A11" s="9">
        <v>1997</v>
      </c>
      <c r="B11" s="46">
        <v>7.1</v>
      </c>
      <c r="C11" s="4">
        <f t="shared" si="3"/>
        <v>-1.2000000000000011</v>
      </c>
      <c r="D11" s="70">
        <f t="shared" si="1"/>
        <v>-1.0339062500000002</v>
      </c>
      <c r="E11" s="72">
        <f t="shared" si="2"/>
        <v>7.4203125000000014</v>
      </c>
      <c r="F11" s="70">
        <f t="shared" si="0"/>
        <v>0.32031250000000178</v>
      </c>
      <c r="H11" s="68" t="s">
        <v>60</v>
      </c>
      <c r="I11" s="8">
        <v>0.5</v>
      </c>
    </row>
    <row r="12" spans="1:9" ht="15.75" thickBot="1">
      <c r="A12" s="9">
        <v>1998</v>
      </c>
      <c r="B12" s="47">
        <v>6.9</v>
      </c>
      <c r="C12" s="4">
        <f t="shared" si="3"/>
        <v>-0.19999999999999929</v>
      </c>
      <c r="D12" s="70">
        <f t="shared" si="1"/>
        <v>-0.61695312499999977</v>
      </c>
      <c r="E12" s="72">
        <f t="shared" si="2"/>
        <v>6.2262500000000003</v>
      </c>
      <c r="F12" s="70">
        <f t="shared" si="0"/>
        <v>0.67375000000000007</v>
      </c>
      <c r="I12" s="8"/>
    </row>
    <row r="13" spans="1:9" ht="15.75" thickBot="1">
      <c r="A13" s="9">
        <v>1999</v>
      </c>
      <c r="B13" s="47">
        <v>8.25</v>
      </c>
      <c r="C13" s="4">
        <f t="shared" si="3"/>
        <v>1.3499999999999996</v>
      </c>
      <c r="D13" s="70">
        <f t="shared" si="1"/>
        <v>0.36652343749999994</v>
      </c>
      <c r="E13" s="72">
        <f t="shared" si="2"/>
        <v>5.946171875000001</v>
      </c>
      <c r="F13" s="70">
        <f t="shared" si="0"/>
        <v>2.303828124999999</v>
      </c>
      <c r="H13" s="83" t="s">
        <v>61</v>
      </c>
      <c r="I13" s="83"/>
    </row>
    <row r="14" spans="1:9" ht="15.75" thickBot="1">
      <c r="A14" s="9">
        <v>2000</v>
      </c>
      <c r="B14" s="47">
        <v>7.95</v>
      </c>
      <c r="C14" s="4">
        <f t="shared" si="3"/>
        <v>-0.29999999999999982</v>
      </c>
      <c r="D14" s="70">
        <f t="shared" si="1"/>
        <v>3.3261718750000058E-2</v>
      </c>
      <c r="E14" s="72">
        <f t="shared" si="2"/>
        <v>7.4646093750000002</v>
      </c>
      <c r="F14" s="70">
        <f t="shared" si="0"/>
        <v>0.48539062499999996</v>
      </c>
      <c r="H14" s="68" t="s">
        <v>62</v>
      </c>
      <c r="I14" s="8">
        <v>0.5</v>
      </c>
    </row>
    <row r="15" spans="1:9" ht="15.75" thickBot="1">
      <c r="A15" s="9">
        <v>2001</v>
      </c>
      <c r="B15" s="47">
        <v>6.85</v>
      </c>
      <c r="C15" s="4">
        <f t="shared" si="3"/>
        <v>-1.1000000000000005</v>
      </c>
      <c r="D15" s="70">
        <f t="shared" si="1"/>
        <v>-0.53336914062500029</v>
      </c>
      <c r="E15" s="72">
        <f t="shared" si="2"/>
        <v>7.740566406250001</v>
      </c>
      <c r="F15" s="70">
        <f t="shared" si="0"/>
        <v>0.89056640625000139</v>
      </c>
    </row>
    <row r="16" spans="1:9" ht="15.75" thickBot="1">
      <c r="A16" s="9">
        <v>2002</v>
      </c>
      <c r="B16" s="47">
        <v>6.7</v>
      </c>
      <c r="C16" s="4">
        <f t="shared" si="3"/>
        <v>-0.14999999999999947</v>
      </c>
      <c r="D16" s="70">
        <f t="shared" si="1"/>
        <v>-0.34168457031249988</v>
      </c>
      <c r="E16" s="72">
        <f t="shared" si="2"/>
        <v>6.7619140625000007</v>
      </c>
      <c r="F16" s="70">
        <f t="shared" si="0"/>
        <v>6.1914062500000533E-2</v>
      </c>
    </row>
    <row r="17" spans="1:6" ht="15.75" thickBot="1">
      <c r="A17" s="9">
        <v>2003</v>
      </c>
      <c r="B17" s="47">
        <v>6.45</v>
      </c>
      <c r="C17" s="4">
        <f t="shared" si="3"/>
        <v>-0.25</v>
      </c>
      <c r="D17" s="70">
        <f t="shared" si="1"/>
        <v>-0.29584228515624994</v>
      </c>
      <c r="E17" s="72">
        <f t="shared" si="2"/>
        <v>6.3892724609374998</v>
      </c>
      <c r="F17" s="70">
        <f t="shared" si="0"/>
        <v>6.0727539062500391E-2</v>
      </c>
    </row>
    <row r="18" spans="1:6" ht="15.75" thickBot="1">
      <c r="A18" s="9">
        <v>2004</v>
      </c>
      <c r="B18" s="47">
        <v>6.05</v>
      </c>
      <c r="C18" s="4">
        <f t="shared" si="3"/>
        <v>-0.40000000000000036</v>
      </c>
      <c r="D18" s="70">
        <f t="shared" si="1"/>
        <v>-0.34792114257812512</v>
      </c>
      <c r="E18" s="72">
        <f t="shared" si="2"/>
        <v>6.1237939453125003</v>
      </c>
      <c r="F18" s="70">
        <f t="shared" si="0"/>
        <v>7.3793945312500497E-2</v>
      </c>
    </row>
    <row r="19" spans="1:6" ht="15.75" thickBot="1">
      <c r="A19" s="9">
        <v>2005</v>
      </c>
      <c r="B19" s="47">
        <v>6.3</v>
      </c>
      <c r="C19" s="4">
        <f t="shared" si="3"/>
        <v>0.25</v>
      </c>
      <c r="D19" s="70">
        <f t="shared" si="1"/>
        <v>-4.896057128906256E-2</v>
      </c>
      <c r="E19" s="72">
        <f t="shared" si="2"/>
        <v>5.7389758300781253</v>
      </c>
      <c r="F19" s="70">
        <f t="shared" si="0"/>
        <v>0.56102416992187454</v>
      </c>
    </row>
    <row r="20" spans="1:6" ht="15.75" thickBot="1">
      <c r="A20" s="9">
        <v>2006</v>
      </c>
      <c r="B20" s="47">
        <v>6.45</v>
      </c>
      <c r="C20" s="4">
        <f t="shared" si="3"/>
        <v>0.15000000000000036</v>
      </c>
      <c r="D20" s="70">
        <f t="shared" si="1"/>
        <v>5.0519714355468898E-2</v>
      </c>
      <c r="E20" s="72">
        <f t="shared" si="2"/>
        <v>5.9705273437500006</v>
      </c>
      <c r="F20" s="70">
        <f t="shared" si="0"/>
        <v>0.47947265624999957</v>
      </c>
    </row>
    <row r="21" spans="1:6" ht="15.75" thickBot="1">
      <c r="A21" s="9">
        <v>2007</v>
      </c>
      <c r="B21" s="47">
        <v>7.54</v>
      </c>
      <c r="C21" s="4">
        <f t="shared" si="3"/>
        <v>1.0899999999999999</v>
      </c>
      <c r="D21" s="70">
        <f t="shared" si="1"/>
        <v>0.57025985717773442</v>
      </c>
      <c r="E21" s="72">
        <f t="shared" si="2"/>
        <v>6.2607833862304689</v>
      </c>
      <c r="F21" s="70">
        <f t="shared" si="0"/>
        <v>1.2792166137695311</v>
      </c>
    </row>
    <row r="22" spans="1:6" ht="15.75" thickBot="1">
      <c r="A22" s="9">
        <v>2008</v>
      </c>
      <c r="B22" s="47">
        <v>6.75</v>
      </c>
      <c r="C22" s="4">
        <f t="shared" si="3"/>
        <v>-0.79</v>
      </c>
      <c r="D22" s="70">
        <f t="shared" si="1"/>
        <v>-0.10987007141113281</v>
      </c>
      <c r="E22" s="72">
        <f t="shared" si="2"/>
        <v>7.4706515502929687</v>
      </c>
      <c r="F22" s="70">
        <f t="shared" si="0"/>
        <v>0.72065155029296868</v>
      </c>
    </row>
    <row r="23" spans="1:6" ht="15.75" thickBot="1">
      <c r="A23" s="14">
        <v>2009</v>
      </c>
      <c r="B23" s="48"/>
      <c r="C23" s="3"/>
      <c r="D23" s="3"/>
      <c r="E23" s="73">
        <f t="shared" si="2"/>
        <v>7.0004557037353514</v>
      </c>
      <c r="F23" s="3"/>
    </row>
  </sheetData>
  <mergeCells count="4">
    <mergeCell ref="H4:I4"/>
    <mergeCell ref="H7:I7"/>
    <mergeCell ref="H10:I10"/>
    <mergeCell ref="H13:I1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9"/>
  <dimension ref="B1:O26"/>
  <sheetViews>
    <sheetView tabSelected="1" topLeftCell="I1" zoomScale="75" zoomScaleNormal="75" workbookViewId="0">
      <selection activeCell="L16" sqref="L16"/>
    </sheetView>
  </sheetViews>
  <sheetFormatPr defaultRowHeight="15"/>
  <cols>
    <col min="1" max="1" width="2.7109375" customWidth="1"/>
    <col min="2" max="2" width="29.140625" bestFit="1" customWidth="1"/>
    <col min="3" max="6" width="20.7109375" style="8" customWidth="1"/>
    <col min="7" max="7" width="22" style="8" bestFit="1" customWidth="1"/>
    <col min="8" max="8" width="29.85546875" style="8" bestFit="1" customWidth="1"/>
    <col min="9" max="9" width="16.7109375" style="8" bestFit="1" customWidth="1"/>
    <col min="10" max="10" width="33.140625" style="8" bestFit="1" customWidth="1"/>
    <col min="11" max="11" width="20.7109375" style="8" customWidth="1"/>
    <col min="12" max="12" width="51" bestFit="1" customWidth="1"/>
    <col min="13" max="13" width="29.85546875" bestFit="1" customWidth="1"/>
  </cols>
  <sheetData>
    <row r="1" spans="2:15">
      <c r="C1" s="10" t="s">
        <v>7</v>
      </c>
      <c r="D1" s="10" t="s">
        <v>35</v>
      </c>
      <c r="E1" s="10" t="s">
        <v>4</v>
      </c>
      <c r="F1" s="10" t="s">
        <v>36</v>
      </c>
      <c r="G1" s="10" t="s">
        <v>11</v>
      </c>
      <c r="H1" s="10" t="s">
        <v>37</v>
      </c>
      <c r="I1" s="17" t="s">
        <v>48</v>
      </c>
      <c r="J1" s="17" t="s">
        <v>52</v>
      </c>
      <c r="K1" s="17" t="s">
        <v>53</v>
      </c>
    </row>
    <row r="2" spans="2:15">
      <c r="B2" s="21" t="s">
        <v>38</v>
      </c>
      <c r="C2" s="20">
        <f>Projections!B3</f>
        <v>57206.09</v>
      </c>
      <c r="D2" s="20">
        <f>Projections!B4</f>
        <v>22800</v>
      </c>
      <c r="E2" s="20">
        <f>Projections!B5</f>
        <v>4446000</v>
      </c>
      <c r="F2" s="22">
        <f>Projections!B6</f>
        <v>5.3</v>
      </c>
      <c r="G2" s="31">
        <f>Projections!B7</f>
        <v>72990.399999999994</v>
      </c>
      <c r="H2" s="31">
        <f>Projections!B8</f>
        <v>29027.599999999999</v>
      </c>
      <c r="I2" s="31">
        <f>'BC GDP'!B24</f>
        <v>186949.7</v>
      </c>
      <c r="J2" s="45">
        <f>Projections!B10</f>
        <v>5.79</v>
      </c>
    </row>
    <row r="3" spans="2:15">
      <c r="B3" s="21" t="s">
        <v>39</v>
      </c>
      <c r="C3" s="63">
        <f>Weights!B18</f>
        <v>2.9088157432239185E-2</v>
      </c>
      <c r="D3" s="63">
        <f>Weights!B19</f>
        <v>9.4428432383339242E-2</v>
      </c>
      <c r="E3" s="63">
        <f>Weights!B17</f>
        <v>0.05</v>
      </c>
      <c r="F3" s="63">
        <f>Weights!B15</f>
        <v>0.4</v>
      </c>
      <c r="G3" s="63">
        <f>Weights!B20</f>
        <v>4.8531274645317715E-2</v>
      </c>
      <c r="H3" s="63">
        <f>Weights!B21</f>
        <v>0.16126131189678417</v>
      </c>
      <c r="I3" s="63">
        <f>Weights!B22</f>
        <v>1.6690823642319705E-2</v>
      </c>
      <c r="J3" s="63">
        <f>Weights!B16</f>
        <v>0.2</v>
      </c>
    </row>
    <row r="4" spans="2:15">
      <c r="B4" s="21" t="s">
        <v>67</v>
      </c>
      <c r="C4" s="63">
        <f>Projections!E3</f>
        <v>0.26058126954822841</v>
      </c>
      <c r="D4" s="63">
        <f>Projections!E4</f>
        <v>0.58241895357767737</v>
      </c>
      <c r="E4" s="63">
        <f>Projections!E5</f>
        <v>4.2336800451274401E-3</v>
      </c>
      <c r="F4" s="63">
        <f>Projections!E6</f>
        <v>0.27853587888321796</v>
      </c>
      <c r="G4" s="63">
        <f>Projections!E7</f>
        <v>3.2807822344442704E-2</v>
      </c>
      <c r="H4" s="63">
        <f>Projections!E8</f>
        <v>4.2136003463537637E-2</v>
      </c>
      <c r="I4" s="63">
        <f>Projections!E9</f>
        <v>7.708296340430025E-2</v>
      </c>
      <c r="J4" s="63">
        <f>Projections!E10</f>
        <v>0.20905970703546656</v>
      </c>
    </row>
    <row r="5" spans="2:15">
      <c r="B5" s="21" t="s">
        <v>68</v>
      </c>
      <c r="C5" s="63">
        <f>HousingSales!I11/HousingSales!D24</f>
        <v>0.11007168885991141</v>
      </c>
      <c r="D5" s="63">
        <f>HousingStarts!I11/HousingStarts!D24</f>
        <v>8.1384767001231456E-2</v>
      </c>
      <c r="E5" s="63">
        <f>Population!I11/Population!D24</f>
        <v>0.10504996788338702</v>
      </c>
      <c r="F5" s="63">
        <f>Unemployment!I11/Unemployment!D24</f>
        <v>8.7389166737323207E-2</v>
      </c>
      <c r="G5" s="63">
        <f>'Average Family Income'!I11/'Average Family Income'!D24</f>
        <v>0.11204652581600238</v>
      </c>
      <c r="H5" s="63">
        <f>'Average Unattached Individuals'!I11/'Average Unattached Individuals'!D24</f>
        <v>0.10410083677922687</v>
      </c>
      <c r="I5" s="63">
        <f>'BC GDP'!I11/'BC GDP'!D24</f>
        <v>9.3248317878696349E-2</v>
      </c>
      <c r="J5" s="63">
        <f>'Mortgage Interest Rates'!I11/'Mortgage Interest Rates'!D24</f>
        <v>0.1147860177945059</v>
      </c>
    </row>
    <row r="7" spans="2:15" ht="26.25">
      <c r="B7" s="24">
        <v>1000</v>
      </c>
      <c r="C7" s="25">
        <f ca="1">(NORMSINV(RAND())*(C4*C2))+C2</f>
        <v>58921.265144357691</v>
      </c>
      <c r="D7" s="25">
        <f t="shared" ref="D7:I7" ca="1" si="0">(NORMSINV(RAND())*(D4*D2))+D2</f>
        <v>14090.680837507067</v>
      </c>
      <c r="E7" s="25">
        <f t="shared" ca="1" si="0"/>
        <v>4421811.8737732731</v>
      </c>
      <c r="F7" s="25">
        <f t="shared" ca="1" si="0"/>
        <v>2.0526224436247849</v>
      </c>
      <c r="G7" s="25">
        <f t="shared" ca="1" si="0"/>
        <v>71140.886496140927</v>
      </c>
      <c r="H7" s="25">
        <f t="shared" ca="1" si="0"/>
        <v>28368.845109477166</v>
      </c>
      <c r="I7" s="25">
        <f t="shared" ca="1" si="0"/>
        <v>193452.03405438931</v>
      </c>
      <c r="J7" s="25">
        <f t="shared" ref="J7" ca="1" si="1">(NORMSINV(RAND())*(J4*J2))+J2</f>
        <v>7.8475547282265055</v>
      </c>
      <c r="K7" s="37">
        <f ca="1">(((NORMSINV(RAND())*(C5*(HousingSales!a+(HousingSales!b*C7))))+(HousingSales!a+(HousingSales!b*C7)))*C3)+(((NORMSINV(RAND())*(D5*(HousingStarts!a+(HousingStarts!b*D7))))+(HousingStarts!a+(HousingStarts!b*D7)))*D3)+(((NORMSINV(RAND())*(E5*(Population!a+(Population!b*E7))))+(Population!a+(Population!b*E7)))*E3)+(((NORMSINV(RAND())*(F5*(Unemployment!a+(Unemployment!b*F7))))+(Unemployment!a+(Unemployment!b*F7)))*F3)+(((NORMSINV(RAND())*(G5*('Average Family Income'!a+('Average Family Income'!b*G7))))+('Average Family Income'!a+('Average Family Income'!b*G7)))*G3)+(((NORMSINV(RAND())*(H5*('Average Unattached Individuals'!a+('Average Unattached Individuals'!b*H7))))+('Average Unattached Individuals'!a+('Average Unattached Individuals'!b*H7)))*H3)+(((NORMSINV(RAND())*(I5*('BC GDP'!a+('BC GDP'!b*I7))))+('BC GDP'!a+('BC GDP'!b*I7)))*I3)+(((NORMSINV(RAND())*(J5*('Mortgage Interest Rates'!a+('Mortgage Interest Rates'!b*J7))))+('Mortgage Interest Rates'!a+('Mortgage Interest Rates'!b*J7)))*J3)</f>
        <v>402143.26297741302</v>
      </c>
      <c r="L7" s="84" t="s">
        <v>49</v>
      </c>
      <c r="M7" s="42">
        <f>K8</f>
        <v>387873.60387673212</v>
      </c>
      <c r="N7" s="23"/>
      <c r="O7" s="26"/>
    </row>
    <row r="8" spans="2:15" ht="26.25">
      <c r="B8" s="27" t="s">
        <v>28</v>
      </c>
      <c r="C8" s="38">
        <v>56551.12364279358</v>
      </c>
      <c r="D8" s="28">
        <v>23115.896212615273</v>
      </c>
      <c r="E8" s="38">
        <v>4445947.2634826815</v>
      </c>
      <c r="F8" s="38">
        <v>5.3053797583452527</v>
      </c>
      <c r="G8" s="38">
        <v>73043.201902297733</v>
      </c>
      <c r="H8" s="38">
        <v>29004.412794294312</v>
      </c>
      <c r="I8" s="38">
        <v>187388.61791807096</v>
      </c>
      <c r="J8" s="38">
        <v>5.7746569928455704</v>
      </c>
      <c r="K8" s="39">
        <v>387873.60387673212</v>
      </c>
      <c r="L8" s="84" t="str">
        <f>IF(M7&lt;Data!B27,"Average House Price decreased in 2009 by","Average House Price increased in 2009 by")</f>
        <v>Average House Price decreased in 2009 by</v>
      </c>
      <c r="M8" s="65">
        <f>1-(M7/Data!B27)</f>
        <v>0.14677858095435292</v>
      </c>
      <c r="N8" s="23"/>
      <c r="O8" s="26"/>
    </row>
    <row r="9" spans="2:15">
      <c r="B9" s="27" t="s">
        <v>29</v>
      </c>
      <c r="C9" s="38">
        <v>458.65693927566372</v>
      </c>
      <c r="D9" s="38">
        <v>421.55389328531288</v>
      </c>
      <c r="E9" s="38">
        <v>601.71790788784108</v>
      </c>
      <c r="F9" s="38">
        <v>4.6630407773235953E-2</v>
      </c>
      <c r="G9" s="38">
        <v>78.850955893113962</v>
      </c>
      <c r="H9" s="38">
        <v>39.000954920062206</v>
      </c>
      <c r="I9" s="38">
        <v>448.91144607394972</v>
      </c>
      <c r="J9" s="38">
        <v>3.9462563464642053E-2</v>
      </c>
      <c r="K9" s="39">
        <v>677.7346565700733</v>
      </c>
      <c r="M9" s="8"/>
      <c r="N9" s="23"/>
      <c r="O9" s="26"/>
    </row>
    <row r="10" spans="2:15">
      <c r="B10" s="27" t="s">
        <v>30</v>
      </c>
      <c r="C10" s="38">
        <v>56611.203663672968</v>
      </c>
      <c r="D10" s="38">
        <v>22904.370923856593</v>
      </c>
      <c r="E10" s="38">
        <v>4445961.6266067503</v>
      </c>
      <c r="F10" s="38">
        <v>5.3225532863607894</v>
      </c>
      <c r="G10" s="38">
        <v>73040.634297636527</v>
      </c>
      <c r="H10" s="38">
        <v>28963.063753206978</v>
      </c>
      <c r="I10" s="38">
        <v>187498.42790392129</v>
      </c>
      <c r="J10" s="38">
        <v>5.7438669866864451</v>
      </c>
      <c r="K10" s="39">
        <v>386935.31663570605</v>
      </c>
      <c r="M10" s="43"/>
    </row>
    <row r="11" spans="2:15">
      <c r="B11" s="27" t="s">
        <v>31</v>
      </c>
      <c r="C11" s="38">
        <v>14504.005927526363</v>
      </c>
      <c r="D11" s="38">
        <v>13330.704592931499</v>
      </c>
      <c r="E11" s="38">
        <v>19027.990978369744</v>
      </c>
      <c r="F11" s="38">
        <v>1.4745829678584599</v>
      </c>
      <c r="G11" s="38">
        <v>2493.4861630371652</v>
      </c>
      <c r="H11" s="38">
        <v>1233.3184846894676</v>
      </c>
      <c r="I11" s="38">
        <v>14195.826373135333</v>
      </c>
      <c r="J11" s="38">
        <v>1.2479158285721443</v>
      </c>
      <c r="K11" s="39">
        <v>21431.851639934313</v>
      </c>
    </row>
    <row r="12" spans="2:15">
      <c r="B12" s="27" t="s">
        <v>32</v>
      </c>
      <c r="C12" s="38">
        <v>210366187.94571987</v>
      </c>
      <c r="D12" s="38">
        <v>177707684.94400495</v>
      </c>
      <c r="E12" s="38">
        <v>362064440.67292035</v>
      </c>
      <c r="F12" s="38">
        <v>2.1743949290982636</v>
      </c>
      <c r="G12" s="38">
        <v>6217473.2452578042</v>
      </c>
      <c r="H12" s="38">
        <v>1521074.4846767245</v>
      </c>
      <c r="I12" s="38">
        <v>201521486.41620466</v>
      </c>
      <c r="J12" s="38">
        <v>1.5572939152009015</v>
      </c>
      <c r="K12" s="39">
        <v>459324264.71615511</v>
      </c>
    </row>
    <row r="13" spans="2:15">
      <c r="B13" s="27" t="s">
        <v>33</v>
      </c>
      <c r="C13" s="38">
        <v>-0.11336283578293173</v>
      </c>
      <c r="D13" s="38">
        <v>0.12554098323621615</v>
      </c>
      <c r="E13" s="38">
        <v>3.9887349094934743E-3</v>
      </c>
      <c r="F13" s="38">
        <v>7.8335707708437844E-3</v>
      </c>
      <c r="G13" s="38">
        <v>-2.8668520688093189E-2</v>
      </c>
      <c r="H13" s="38">
        <v>-1.19071729967108E-2</v>
      </c>
      <c r="I13" s="38">
        <v>-1.6113811446249474E-2</v>
      </c>
      <c r="J13" s="38">
        <v>0.12750308257580945</v>
      </c>
      <c r="K13" s="39">
        <v>0.13320802715753596</v>
      </c>
    </row>
    <row r="14" spans="2:15">
      <c r="B14" s="29" t="s">
        <v>34</v>
      </c>
      <c r="C14" s="40">
        <v>2.8081707335999115</v>
      </c>
      <c r="D14" s="40">
        <v>3.1646128720593647</v>
      </c>
      <c r="E14" s="40">
        <v>2.9052617047045142</v>
      </c>
      <c r="F14" s="40">
        <v>3.1575860682058323</v>
      </c>
      <c r="G14" s="40">
        <v>3.2263663032211509</v>
      </c>
      <c r="H14" s="40">
        <v>2.916653591587512</v>
      </c>
      <c r="I14" s="40">
        <v>3.0434874288432425</v>
      </c>
      <c r="J14" s="40">
        <v>3.0791802129491619</v>
      </c>
      <c r="K14" s="41">
        <v>3.0997841202928176</v>
      </c>
    </row>
    <row r="17" spans="6:10">
      <c r="J17" s="22"/>
    </row>
    <row r="19" spans="6:10">
      <c r="F19" s="10"/>
      <c r="G19" s="10"/>
      <c r="H19" s="10"/>
      <c r="I19" s="10"/>
      <c r="J19" s="50"/>
    </row>
    <row r="21" spans="6:10">
      <c r="J21" s="18"/>
    </row>
    <row r="26" spans="6:10">
      <c r="J26" s="18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23"/>
  <sheetViews>
    <sheetView zoomScale="78" zoomScaleNormal="78" workbookViewId="0">
      <selection activeCell="F23" sqref="F23"/>
    </sheetView>
  </sheetViews>
  <sheetFormatPr defaultRowHeight="15"/>
  <cols>
    <col min="1" max="1" width="33.28515625" bestFit="1" customWidth="1"/>
    <col min="2" max="2" width="13.28515625" bestFit="1" customWidth="1"/>
    <col min="3" max="3" width="10.7109375" bestFit="1" customWidth="1"/>
    <col min="4" max="4" width="15.140625" bestFit="1" customWidth="1"/>
    <col min="5" max="5" width="15.28515625" customWidth="1"/>
    <col min="6" max="6" width="29.85546875" bestFit="1" customWidth="1"/>
    <col min="7" max="7" width="16.7109375" bestFit="1" customWidth="1"/>
    <col min="8" max="8" width="33.28515625" bestFit="1" customWidth="1"/>
    <col min="9" max="9" width="17.5703125" bestFit="1" customWidth="1"/>
  </cols>
  <sheetData>
    <row r="1" spans="1:5">
      <c r="C1" s="2" t="s">
        <v>54</v>
      </c>
      <c r="E1" s="53">
        <v>0.35</v>
      </c>
    </row>
    <row r="2" spans="1:5">
      <c r="A2" s="54" t="s">
        <v>7</v>
      </c>
      <c r="B2" s="55">
        <f>HousingSales!b</f>
        <v>1.2967177968180217</v>
      </c>
      <c r="C2" s="55">
        <f>ABS(B2)</f>
        <v>1.2967177968180217</v>
      </c>
      <c r="D2" s="56">
        <f t="shared" ref="D2:D7" si="0">C2/$C$7</f>
        <v>8.3109021234969105E-2</v>
      </c>
      <c r="E2" s="57">
        <f>D2*$E$1</f>
        <v>2.9088157432239185E-2</v>
      </c>
    </row>
    <row r="3" spans="1:5">
      <c r="A3" s="54" t="s">
        <v>35</v>
      </c>
      <c r="B3" s="55">
        <f>HousingStarts!b</f>
        <v>4.2095147856079693</v>
      </c>
      <c r="C3" s="55">
        <f t="shared" ref="C3:C6" si="1">ABS(B3)</f>
        <v>4.2095147856079693</v>
      </c>
      <c r="D3" s="56">
        <f t="shared" si="0"/>
        <v>0.26979552109525501</v>
      </c>
      <c r="E3" s="57">
        <f t="shared" ref="E3:E6" si="2">D3*$E$1</f>
        <v>9.4428432383339242E-2</v>
      </c>
    </row>
    <row r="4" spans="1:5">
      <c r="A4" s="54" t="s">
        <v>11</v>
      </c>
      <c r="B4" s="55">
        <f>'Average Family Income'!b</f>
        <v>2.1634703979255208</v>
      </c>
      <c r="C4" s="55">
        <f t="shared" si="1"/>
        <v>2.1634703979255208</v>
      </c>
      <c r="D4" s="56">
        <f t="shared" si="0"/>
        <v>0.13866078470090776</v>
      </c>
      <c r="E4" s="57">
        <f t="shared" si="2"/>
        <v>4.8531274645317715E-2</v>
      </c>
    </row>
    <row r="5" spans="1:5">
      <c r="A5" s="54" t="s">
        <v>37</v>
      </c>
      <c r="B5" s="55">
        <f>'Average Unattached Individuals'!b</f>
        <v>7.1888504303479577</v>
      </c>
      <c r="C5" s="55">
        <f t="shared" si="1"/>
        <v>7.1888504303479577</v>
      </c>
      <c r="D5" s="56">
        <f t="shared" si="0"/>
        <v>0.46074660541938339</v>
      </c>
      <c r="E5" s="57">
        <f t="shared" si="2"/>
        <v>0.16126131189678417</v>
      </c>
    </row>
    <row r="6" spans="1:5">
      <c r="A6" s="54" t="s">
        <v>48</v>
      </c>
      <c r="B6" s="55">
        <f>'BC GDP'!b</f>
        <v>0.74405840627633291</v>
      </c>
      <c r="C6" s="55">
        <f t="shared" si="1"/>
        <v>0.74405840627633291</v>
      </c>
      <c r="D6" s="56">
        <f t="shared" si="0"/>
        <v>4.7688067549484875E-2</v>
      </c>
      <c r="E6" s="57">
        <f t="shared" si="2"/>
        <v>1.6690823642319705E-2</v>
      </c>
    </row>
    <row r="7" spans="1:5">
      <c r="A7" s="55"/>
      <c r="B7" s="55"/>
      <c r="C7" s="55">
        <f>SUM(C2:C6)</f>
        <v>15.6026118169758</v>
      </c>
      <c r="D7" s="58">
        <f t="shared" si="0"/>
        <v>1</v>
      </c>
      <c r="E7" s="59">
        <f>SUM(E2:E6)</f>
        <v>0.35000000000000003</v>
      </c>
    </row>
    <row r="8" spans="1:5">
      <c r="A8" s="50"/>
      <c r="D8" s="52"/>
    </row>
    <row r="9" spans="1:5">
      <c r="D9" s="52"/>
      <c r="E9" s="53"/>
    </row>
    <row r="10" spans="1:5">
      <c r="A10" s="54" t="s">
        <v>36</v>
      </c>
      <c r="B10" s="55">
        <f>Unemployment!b</f>
        <v>-17841.585954128026</v>
      </c>
      <c r="C10" s="55">
        <f>ABS(B10)</f>
        <v>17841.585954128026</v>
      </c>
      <c r="D10" s="62">
        <v>0.4</v>
      </c>
      <c r="E10" s="60">
        <v>0.4</v>
      </c>
    </row>
    <row r="11" spans="1:5">
      <c r="A11" s="54" t="s">
        <v>52</v>
      </c>
      <c r="B11" s="55">
        <f>'Mortgage Interest Rates'!b</f>
        <v>214.24468384216595</v>
      </c>
      <c r="C11" s="55">
        <f>ABS(B11)</f>
        <v>214.24468384216595</v>
      </c>
      <c r="D11" s="62">
        <v>0.2</v>
      </c>
      <c r="E11" s="60">
        <v>0.2</v>
      </c>
    </row>
    <row r="12" spans="1:5">
      <c r="A12" s="54" t="s">
        <v>4</v>
      </c>
      <c r="B12" s="55">
        <f>Population!b</f>
        <v>4.6975589920714392E-2</v>
      </c>
      <c r="C12" s="55">
        <f>ABS(B12)</f>
        <v>4.6975589920714392E-2</v>
      </c>
      <c r="D12" s="56">
        <f>C12/$C$7</f>
        <v>3.0107516915600292E-3</v>
      </c>
      <c r="E12" s="64">
        <v>0.05</v>
      </c>
    </row>
    <row r="13" spans="1:5">
      <c r="A13" s="54"/>
      <c r="B13" s="55"/>
      <c r="C13" s="55"/>
      <c r="D13" s="62"/>
      <c r="E13" s="61">
        <v>0.65</v>
      </c>
    </row>
    <row r="15" spans="1:5">
      <c r="A15" s="54" t="s">
        <v>36</v>
      </c>
      <c r="B15" s="60">
        <f>E10</f>
        <v>0.4</v>
      </c>
    </row>
    <row r="16" spans="1:5">
      <c r="A16" s="54" t="s">
        <v>52</v>
      </c>
      <c r="B16" s="60">
        <f>E11</f>
        <v>0.2</v>
      </c>
      <c r="D16" s="51"/>
    </row>
    <row r="17" spans="1:4">
      <c r="A17" s="54" t="s">
        <v>4</v>
      </c>
      <c r="B17" s="57">
        <f>E12</f>
        <v>0.05</v>
      </c>
      <c r="D17" s="51"/>
    </row>
    <row r="18" spans="1:4">
      <c r="A18" s="54" t="s">
        <v>7</v>
      </c>
      <c r="B18" s="57">
        <f>E2</f>
        <v>2.9088157432239185E-2</v>
      </c>
      <c r="D18" s="51"/>
    </row>
    <row r="19" spans="1:4">
      <c r="A19" s="54" t="s">
        <v>35</v>
      </c>
      <c r="B19" s="57">
        <f>E3</f>
        <v>9.4428432383339242E-2</v>
      </c>
      <c r="D19" s="51"/>
    </row>
    <row r="20" spans="1:4">
      <c r="A20" s="54" t="s">
        <v>11</v>
      </c>
      <c r="B20" s="57">
        <f>E4</f>
        <v>4.8531274645317715E-2</v>
      </c>
      <c r="D20" s="51"/>
    </row>
    <row r="21" spans="1:4">
      <c r="A21" s="54" t="s">
        <v>37</v>
      </c>
      <c r="B21" s="57">
        <f>E5</f>
        <v>0.16126131189678417</v>
      </c>
      <c r="D21" s="51"/>
    </row>
    <row r="22" spans="1:4">
      <c r="A22" s="54" t="s">
        <v>48</v>
      </c>
      <c r="B22" s="57">
        <f>E6</f>
        <v>1.6690823642319705E-2</v>
      </c>
      <c r="D22" s="51"/>
    </row>
    <row r="23" spans="1:4">
      <c r="A23" s="55"/>
      <c r="B23" s="61">
        <f>SUM(B15:B22)</f>
        <v>1</v>
      </c>
      <c r="D23" s="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3:I26"/>
  <sheetViews>
    <sheetView zoomScale="75" zoomScaleNormal="75" workbookViewId="0">
      <selection activeCell="I23" sqref="I23"/>
    </sheetView>
  </sheetViews>
  <sheetFormatPr defaultRowHeight="15"/>
  <cols>
    <col min="2" max="2" width="20.7109375" bestFit="1" customWidth="1"/>
    <col min="3" max="3" width="23.85546875" bestFit="1" customWidth="1"/>
    <col min="4" max="4" width="12.5703125" bestFit="1" customWidth="1"/>
    <col min="5" max="5" width="13.5703125" bestFit="1" customWidth="1"/>
    <col min="6" max="6" width="16.42578125" bestFit="1" customWidth="1"/>
    <col min="7" max="7" width="19.42578125" bestFit="1" customWidth="1"/>
    <col min="8" max="8" width="21" bestFit="1" customWidth="1"/>
    <col min="9" max="9" width="15.140625" bestFit="1" customWidth="1"/>
  </cols>
  <sheetData>
    <row r="3" spans="1:9" ht="15.75" thickBot="1">
      <c r="B3" s="2" t="s">
        <v>13</v>
      </c>
      <c r="C3" s="2" t="s">
        <v>14</v>
      </c>
    </row>
    <row r="4" spans="1:9" ht="15.75" thickBot="1">
      <c r="A4" s="9" t="s">
        <v>3</v>
      </c>
      <c r="B4" s="9" t="s">
        <v>7</v>
      </c>
      <c r="C4" s="9" t="s">
        <v>40</v>
      </c>
      <c r="D4" s="14" t="s">
        <v>43</v>
      </c>
      <c r="E4" s="14" t="s">
        <v>15</v>
      </c>
      <c r="F4" s="14" t="s">
        <v>16</v>
      </c>
      <c r="G4" s="9" t="s">
        <v>8</v>
      </c>
      <c r="H4" s="16" t="s">
        <v>17</v>
      </c>
    </row>
    <row r="5" spans="1:9" ht="15.75" thickBot="1">
      <c r="A5" s="9">
        <v>1990</v>
      </c>
      <c r="B5" s="5">
        <v>58027</v>
      </c>
      <c r="C5" s="12">
        <f>Data!B9/((1+0.04)^-19)</f>
        <v>332073.13972341898</v>
      </c>
      <c r="D5" s="12">
        <f t="shared" ref="D5:D23" si="0">a+(b*B5)</f>
        <v>342362.49906253529</v>
      </c>
      <c r="E5" s="12">
        <f>ABS(C5-D5)</f>
        <v>10289.359339116316</v>
      </c>
      <c r="F5" s="5">
        <f>E5^2</f>
        <v>105870915.60946015</v>
      </c>
      <c r="G5" s="12">
        <v>157616</v>
      </c>
      <c r="H5" s="15" t="s">
        <v>18</v>
      </c>
    </row>
    <row r="6" spans="1:9" ht="15.75" thickBot="1">
      <c r="A6" s="9">
        <v>1991</v>
      </c>
      <c r="B6" s="5">
        <v>84554</v>
      </c>
      <c r="C6" s="12">
        <f>Data!B10/((1+0.04)^-18)</f>
        <v>340813.24146470748</v>
      </c>
      <c r="D6" s="12">
        <f t="shared" si="0"/>
        <v>376760.53205872694</v>
      </c>
      <c r="E6" s="12">
        <f t="shared" ref="E6:E23" si="1">ABS(C6-D6)</f>
        <v>35947.290594019461</v>
      </c>
      <c r="F6" s="5">
        <f t="shared" ref="F6:F23" si="2">E6^2</f>
        <v>1292207701.05088</v>
      </c>
      <c r="G6" s="12">
        <v>168235</v>
      </c>
      <c r="H6" s="15" t="s">
        <v>19</v>
      </c>
      <c r="I6">
        <f>INTERCEPT(DependentVariable,IndependentVariable)</f>
        <v>267117.85546657594</v>
      </c>
    </row>
    <row r="7" spans="1:9" ht="15.75" thickBot="1">
      <c r="A7" s="9">
        <v>1992</v>
      </c>
      <c r="B7" s="5">
        <v>93564</v>
      </c>
      <c r="C7" s="12">
        <f>Data!B11/((1+0.04)^-17)</f>
        <v>370099.14625519793</v>
      </c>
      <c r="D7" s="12">
        <f t="shared" si="0"/>
        <v>388443.95940805733</v>
      </c>
      <c r="E7" s="12">
        <f t="shared" si="1"/>
        <v>18344.813152859395</v>
      </c>
      <c r="F7" s="5">
        <f t="shared" si="2"/>
        <v>336532169.61332303</v>
      </c>
      <c r="G7" s="12">
        <v>189999</v>
      </c>
      <c r="H7" s="15" t="s">
        <v>20</v>
      </c>
      <c r="I7">
        <f>SLOPE(DependentVariable,IndependentVariable)</f>
        <v>1.2967177968180217</v>
      </c>
    </row>
    <row r="8" spans="1:9" ht="15.75" thickBot="1">
      <c r="A8" s="9">
        <v>1993</v>
      </c>
      <c r="B8" s="5">
        <v>80919</v>
      </c>
      <c r="C8" s="12">
        <f>Data!B12/((1+0.04)^-16)</f>
        <v>397057.04024419928</v>
      </c>
      <c r="D8" s="12">
        <f t="shared" si="0"/>
        <v>372046.96286729345</v>
      </c>
      <c r="E8" s="12">
        <f t="shared" si="1"/>
        <v>25010.077376905829</v>
      </c>
      <c r="F8" s="5">
        <f t="shared" si="2"/>
        <v>625503970.3988167</v>
      </c>
      <c r="G8" s="12">
        <v>211992</v>
      </c>
    </row>
    <row r="9" spans="1:9" ht="15.75" thickBot="1">
      <c r="A9" s="9">
        <v>1994</v>
      </c>
      <c r="B9" s="5">
        <v>75270</v>
      </c>
      <c r="C9" s="12">
        <f>Data!B13/((1+0.04)^-15)</f>
        <v>413341.7477229145</v>
      </c>
      <c r="D9" s="12">
        <f t="shared" si="0"/>
        <v>364721.80403306842</v>
      </c>
      <c r="E9" s="12">
        <f t="shared" si="1"/>
        <v>48619.943689846084</v>
      </c>
      <c r="F9" s="5">
        <f t="shared" si="2"/>
        <v>2363898924.4038043</v>
      </c>
      <c r="G9" s="12">
        <v>229514</v>
      </c>
    </row>
    <row r="10" spans="1:9" ht="15.75" thickBot="1">
      <c r="A10" s="9">
        <v>1995</v>
      </c>
      <c r="B10" s="5">
        <v>58082</v>
      </c>
      <c r="C10" s="12">
        <f>Data!B14/((1+0.04)^-14)</f>
        <v>384189.73666515818</v>
      </c>
      <c r="D10" s="12">
        <f t="shared" si="0"/>
        <v>342433.81854136026</v>
      </c>
      <c r="E10" s="12">
        <f t="shared" si="1"/>
        <v>41755.918123797921</v>
      </c>
      <c r="F10" s="5">
        <f t="shared" si="2"/>
        <v>1743556698.3613157</v>
      </c>
      <c r="G10" s="12">
        <v>221860</v>
      </c>
      <c r="H10" s="82" t="s">
        <v>21</v>
      </c>
      <c r="I10" s="82"/>
    </row>
    <row r="11" spans="1:9" ht="15.75" thickBot="1">
      <c r="A11" s="9">
        <v>1996</v>
      </c>
      <c r="B11" s="5">
        <v>72182</v>
      </c>
      <c r="C11" s="12">
        <f>Data!B15/((1+0.04)^-13)</f>
        <v>364129.93009318708</v>
      </c>
      <c r="D11" s="12">
        <f t="shared" si="0"/>
        <v>360717.53947649442</v>
      </c>
      <c r="E11" s="12">
        <f t="shared" si="1"/>
        <v>3412.3906166926608</v>
      </c>
      <c r="F11" s="5">
        <f t="shared" si="2"/>
        <v>11644409.720892118</v>
      </c>
      <c r="G11" s="12">
        <v>218687</v>
      </c>
      <c r="H11" s="15" t="s">
        <v>22</v>
      </c>
      <c r="I11" s="18">
        <f>AVERAGE(E5:E23)</f>
        <v>37567.248415414055</v>
      </c>
    </row>
    <row r="12" spans="1:9" ht="15.75" thickBot="1">
      <c r="A12" s="9">
        <v>1997</v>
      </c>
      <c r="B12" s="5">
        <v>68182</v>
      </c>
      <c r="C12" s="12">
        <f>Data!B16/((1+0.04)^-12)</f>
        <v>353046.81658079667</v>
      </c>
      <c r="D12" s="12">
        <f t="shared" si="0"/>
        <v>355530.66828922229</v>
      </c>
      <c r="E12" s="12">
        <f t="shared" si="1"/>
        <v>2483.8517084256164</v>
      </c>
      <c r="F12" s="5">
        <f t="shared" si="2"/>
        <v>6169519.3094488531</v>
      </c>
      <c r="G12" s="12">
        <v>220512</v>
      </c>
    </row>
    <row r="13" spans="1:9" ht="15.75" thickBot="1">
      <c r="A13" s="9">
        <v>1998</v>
      </c>
      <c r="B13" s="5">
        <v>52910</v>
      </c>
      <c r="C13" s="12">
        <f>Data!B17/((1+0.04)^-11)</f>
        <v>326435.0748253871</v>
      </c>
      <c r="D13" s="12">
        <f t="shared" si="0"/>
        <v>335727.19409621746</v>
      </c>
      <c r="E13" s="12">
        <f t="shared" si="1"/>
        <v>9292.119270830357</v>
      </c>
      <c r="F13" s="5">
        <f t="shared" si="2"/>
        <v>86343480.543336883</v>
      </c>
      <c r="G13" s="12">
        <v>212046</v>
      </c>
      <c r="H13" s="82" t="s">
        <v>23</v>
      </c>
      <c r="I13" s="82"/>
    </row>
    <row r="14" spans="1:9" ht="15.75" thickBot="1">
      <c r="A14" s="9">
        <v>1999</v>
      </c>
      <c r="B14" s="5">
        <v>58084</v>
      </c>
      <c r="C14" s="12">
        <f>Data!B18/((1+0.04)^-10)</f>
        <v>318671.43039007601</v>
      </c>
      <c r="D14" s="12">
        <f t="shared" si="0"/>
        <v>342436.41197695391</v>
      </c>
      <c r="E14" s="12">
        <f t="shared" si="1"/>
        <v>23764.981586877897</v>
      </c>
      <c r="F14" s="5">
        <f t="shared" si="2"/>
        <v>564774349.82464552</v>
      </c>
      <c r="G14" s="12">
        <v>215283</v>
      </c>
      <c r="H14" s="15" t="s">
        <v>24</v>
      </c>
      <c r="I14" s="19">
        <f>SUMSQ(E5:E23) / COUNT(E5:E23)</f>
        <v>2160253646.9935875</v>
      </c>
    </row>
    <row r="15" spans="1:9" ht="15.75" thickBot="1">
      <c r="A15" s="9">
        <v>2000</v>
      </c>
      <c r="B15" s="5">
        <v>53454</v>
      </c>
      <c r="C15" s="12">
        <f>Data!B19/((1+0.04)^-9)</f>
        <v>308843.00686552568</v>
      </c>
      <c r="D15" s="12">
        <f t="shared" si="0"/>
        <v>336432.60857768648</v>
      </c>
      <c r="E15" s="12">
        <f t="shared" si="1"/>
        <v>27589.601712160802</v>
      </c>
      <c r="F15" s="5">
        <f t="shared" si="2"/>
        <v>761186122.63566625</v>
      </c>
      <c r="G15" s="12">
        <v>216989</v>
      </c>
    </row>
    <row r="16" spans="1:9" ht="15.75" thickBot="1">
      <c r="A16" s="9">
        <v>2001</v>
      </c>
      <c r="B16" s="5">
        <v>68105</v>
      </c>
      <c r="C16" s="12">
        <f>Data!B20/((1+0.04)^-8)</f>
        <v>302388.06882514613</v>
      </c>
      <c r="D16" s="12">
        <f t="shared" si="0"/>
        <v>355430.82101886731</v>
      </c>
      <c r="E16" s="12">
        <f t="shared" si="1"/>
        <v>53042.752193721186</v>
      </c>
      <c r="F16" s="5">
        <f t="shared" si="2"/>
        <v>2813533560.2845135</v>
      </c>
      <c r="G16" s="12">
        <v>220952</v>
      </c>
      <c r="H16" s="82" t="s">
        <v>25</v>
      </c>
      <c r="I16" s="82"/>
    </row>
    <row r="17" spans="1:9" ht="15.75" thickBot="1">
      <c r="A17" s="9">
        <v>2002</v>
      </c>
      <c r="B17" s="5">
        <v>82725</v>
      </c>
      <c r="C17" s="12">
        <f>Data!B21/((1+0.04)^-7)</f>
        <v>314189.23974679073</v>
      </c>
      <c r="D17" s="12">
        <f t="shared" si="0"/>
        <v>374388.83520834678</v>
      </c>
      <c r="E17" s="12">
        <f t="shared" si="1"/>
        <v>60199.595461556048</v>
      </c>
      <c r="F17" s="5">
        <f t="shared" si="2"/>
        <v>3623991293.7349997</v>
      </c>
      <c r="G17" s="12">
        <v>238758</v>
      </c>
      <c r="H17" s="15" t="s">
        <v>26</v>
      </c>
      <c r="I17" s="8">
        <v>100000</v>
      </c>
    </row>
    <row r="18" spans="1:9" ht="15.75" thickBot="1">
      <c r="A18" s="9">
        <v>2003</v>
      </c>
      <c r="B18" s="5">
        <v>93126</v>
      </c>
      <c r="C18" s="12">
        <f>Data!B22/((1+0.04)^-6)</f>
        <v>328774.16717090824</v>
      </c>
      <c r="D18" s="12">
        <f t="shared" si="0"/>
        <v>387875.99701305106</v>
      </c>
      <c r="E18" s="12">
        <f t="shared" si="1"/>
        <v>59101.829842142819</v>
      </c>
      <c r="F18" s="5">
        <f t="shared" si="2"/>
        <v>3493026290.6896033</v>
      </c>
      <c r="G18" s="12">
        <v>259835</v>
      </c>
      <c r="H18" s="15" t="s">
        <v>27</v>
      </c>
      <c r="I18" s="18">
        <f>a + (I17 * b)</f>
        <v>396789.63514837809</v>
      </c>
    </row>
    <row r="19" spans="1:9" ht="15.75" thickBot="1">
      <c r="A19" s="9">
        <v>2004</v>
      </c>
      <c r="B19" s="5">
        <v>96316</v>
      </c>
      <c r="C19" s="12">
        <f>Data!B23/((1+0.04)^-5)</f>
        <v>351572.53924782091</v>
      </c>
      <c r="D19" s="12">
        <f t="shared" si="0"/>
        <v>392012.52678490052</v>
      </c>
      <c r="E19" s="12">
        <f t="shared" si="1"/>
        <v>40439.987537079607</v>
      </c>
      <c r="F19" s="5">
        <f t="shared" si="2"/>
        <v>1635392591.9991539</v>
      </c>
      <c r="G19" s="12">
        <v>288967</v>
      </c>
    </row>
    <row r="20" spans="1:9" ht="15.75" thickBot="1">
      <c r="A20" s="9">
        <v>2005</v>
      </c>
      <c r="B20" s="5">
        <v>106290</v>
      </c>
      <c r="C20" s="12">
        <f>Data!B24/((1+0.04)^-4)</f>
        <v>388553.31254272006</v>
      </c>
      <c r="D20" s="12">
        <f t="shared" si="0"/>
        <v>404945.99009036343</v>
      </c>
      <c r="E20" s="12">
        <f t="shared" si="1"/>
        <v>16392.677547643369</v>
      </c>
      <c r="F20" s="5">
        <f t="shared" si="2"/>
        <v>268719877.18101102</v>
      </c>
      <c r="G20" s="12">
        <v>332137</v>
      </c>
    </row>
    <row r="21" spans="1:9" ht="15.75" thickBot="1">
      <c r="A21" s="9">
        <v>2006</v>
      </c>
      <c r="B21" s="5">
        <v>96696</v>
      </c>
      <c r="C21" s="12">
        <f>Data!B25/((1+0.04)^-3)</f>
        <v>439780.20403200004</v>
      </c>
      <c r="D21" s="12">
        <f t="shared" si="0"/>
        <v>392505.27954769135</v>
      </c>
      <c r="E21" s="12">
        <f t="shared" si="1"/>
        <v>47274.924484308693</v>
      </c>
      <c r="F21" s="5">
        <f t="shared" si="2"/>
        <v>2234918484.9970894</v>
      </c>
      <c r="G21" s="12">
        <v>390963</v>
      </c>
    </row>
    <row r="22" spans="1:9" ht="15.75" thickBot="1">
      <c r="A22" s="9">
        <v>2007</v>
      </c>
      <c r="B22" s="5">
        <v>102805</v>
      </c>
      <c r="C22" s="12">
        <f>Data!B26/((1+0.04)^-2)</f>
        <v>474951.11040000006</v>
      </c>
      <c r="D22" s="12">
        <f t="shared" si="0"/>
        <v>400426.92856845265</v>
      </c>
      <c r="E22" s="12">
        <f t="shared" si="1"/>
        <v>74524.181831547408</v>
      </c>
      <c r="F22" s="5">
        <f t="shared" si="2"/>
        <v>5553853677.661541</v>
      </c>
      <c r="G22" s="12">
        <v>439119</v>
      </c>
    </row>
    <row r="23" spans="1:9" ht="15.75" thickBot="1">
      <c r="A23" s="9">
        <v>2008</v>
      </c>
      <c r="B23" s="5">
        <v>68923</v>
      </c>
      <c r="C23" s="12">
        <f>Data!B27/((1+0.04)^-1)</f>
        <v>472782.96</v>
      </c>
      <c r="D23" s="12">
        <f t="shared" si="0"/>
        <v>356491.53617666446</v>
      </c>
      <c r="E23" s="12">
        <f t="shared" si="1"/>
        <v>116291.42382333556</v>
      </c>
      <c r="F23" s="5">
        <f t="shared" si="2"/>
        <v>13523695254.858656</v>
      </c>
      <c r="G23" s="12">
        <v>454599</v>
      </c>
    </row>
    <row r="24" spans="1:9" ht="15.75" thickBot="1">
      <c r="A24" s="9">
        <v>2009</v>
      </c>
      <c r="B24" s="32">
        <f>B23-(B23*0.17)</f>
        <v>57206.09</v>
      </c>
      <c r="C24" s="4"/>
      <c r="D24" s="49">
        <f>a+(b*B24)</f>
        <v>341298.01045594941</v>
      </c>
      <c r="E24" s="4"/>
      <c r="F24" s="4"/>
      <c r="G24" s="33"/>
    </row>
    <row r="26" spans="1:9">
      <c r="B26" t="s">
        <v>42</v>
      </c>
    </row>
  </sheetData>
  <mergeCells count="3">
    <mergeCell ref="H10:I10"/>
    <mergeCell ref="H13:I13"/>
    <mergeCell ref="H16:I1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2:E10"/>
  <sheetViews>
    <sheetView zoomScale="77" zoomScaleNormal="77" workbookViewId="0">
      <selection activeCell="C20" sqref="C20"/>
    </sheetView>
  </sheetViews>
  <sheetFormatPr defaultRowHeight="15"/>
  <cols>
    <col min="1" max="1" width="33.28515625" bestFit="1" customWidth="1"/>
    <col min="2" max="2" width="19" bestFit="1" customWidth="1"/>
    <col min="3" max="3" width="26" bestFit="1" customWidth="1"/>
    <col min="4" max="4" width="23.140625" bestFit="1" customWidth="1"/>
    <col min="5" max="5" width="23.85546875" bestFit="1" customWidth="1"/>
  </cols>
  <sheetData>
    <row r="2" spans="1:5">
      <c r="A2" s="55"/>
      <c r="B2" s="74" t="s">
        <v>63</v>
      </c>
      <c r="C2" s="74" t="s">
        <v>64</v>
      </c>
      <c r="D2" s="74" t="s">
        <v>65</v>
      </c>
      <c r="E2" s="81" t="s">
        <v>66</v>
      </c>
    </row>
    <row r="3" spans="1:5">
      <c r="A3" s="54" t="s">
        <v>7</v>
      </c>
      <c r="B3" s="75">
        <f>HousingSales!B24</f>
        <v>57206.09</v>
      </c>
      <c r="C3" s="80">
        <f>'HousingSales Forecast'!E23</f>
        <v>72112.92555809021</v>
      </c>
      <c r="D3" s="78">
        <f>ABS(B3-C3)</f>
        <v>14906.835558090213</v>
      </c>
      <c r="E3" s="62">
        <f>D3/B3</f>
        <v>0.26058126954822841</v>
      </c>
    </row>
    <row r="4" spans="1:5">
      <c r="A4" s="54" t="s">
        <v>35</v>
      </c>
      <c r="B4" s="75">
        <f>HousingStarts!B24</f>
        <v>22800</v>
      </c>
      <c r="C4" s="80">
        <f>'HousingStarts Forecast'!E23</f>
        <v>36079.152141571045</v>
      </c>
      <c r="D4" s="78">
        <f t="shared" ref="D4:D10" si="0">ABS(B4-C4)</f>
        <v>13279.152141571045</v>
      </c>
      <c r="E4" s="62">
        <f t="shared" ref="E4:E10" si="1">D4/B4</f>
        <v>0.58241895357767737</v>
      </c>
    </row>
    <row r="5" spans="1:5">
      <c r="A5" s="54" t="s">
        <v>4</v>
      </c>
      <c r="B5" s="75">
        <f>Population!B24</f>
        <v>4446000</v>
      </c>
      <c r="C5" s="80">
        <f>PopulationForecast!E23</f>
        <v>4427177.0585193634</v>
      </c>
      <c r="D5" s="78">
        <f t="shared" si="0"/>
        <v>18822.941480636597</v>
      </c>
      <c r="E5" s="62">
        <f t="shared" si="1"/>
        <v>4.2336800451274401E-3</v>
      </c>
    </row>
    <row r="6" spans="1:5">
      <c r="A6" s="54" t="s">
        <v>36</v>
      </c>
      <c r="B6" s="55">
        <f>Unemployment!B24</f>
        <v>5.3</v>
      </c>
      <c r="C6" s="79">
        <f>'Unemployment Forecast'!E23</f>
        <v>3.8237598419189447</v>
      </c>
      <c r="D6" s="78">
        <f t="shared" si="0"/>
        <v>1.4762401580810551</v>
      </c>
      <c r="E6" s="62">
        <f t="shared" si="1"/>
        <v>0.27853587888321796</v>
      </c>
    </row>
    <row r="7" spans="1:5">
      <c r="A7" s="54" t="s">
        <v>11</v>
      </c>
      <c r="B7" s="77">
        <f>'Average Family Income'!B24</f>
        <v>72990.399999999994</v>
      </c>
      <c r="C7" s="80">
        <f>'Average Family Income Forecast'!E23</f>
        <v>75385.056076049805</v>
      </c>
      <c r="D7" s="78">
        <f t="shared" si="0"/>
        <v>2394.6560760498105</v>
      </c>
      <c r="E7" s="62">
        <f t="shared" si="1"/>
        <v>3.2807822344442704E-2</v>
      </c>
    </row>
    <row r="8" spans="1:5">
      <c r="A8" s="54" t="s">
        <v>37</v>
      </c>
      <c r="B8" s="77">
        <f>'Average Unattached Individuals'!B24</f>
        <v>29027.599999999999</v>
      </c>
      <c r="C8" s="80">
        <f>'Average Unattached Forecast'!E23</f>
        <v>30250.707054138184</v>
      </c>
      <c r="D8" s="78">
        <f t="shared" si="0"/>
        <v>1223.107054138185</v>
      </c>
      <c r="E8" s="62">
        <f t="shared" si="1"/>
        <v>4.2136003463537637E-2</v>
      </c>
    </row>
    <row r="9" spans="1:5">
      <c r="A9" s="54" t="s">
        <v>48</v>
      </c>
      <c r="B9" s="77">
        <f>'BC GDP'!B24</f>
        <v>186949.7</v>
      </c>
      <c r="C9" s="80">
        <f>'BC GDP Forecast'!E23</f>
        <v>201360.33688354492</v>
      </c>
      <c r="D9" s="78">
        <f t="shared" si="0"/>
        <v>14410.63688354491</v>
      </c>
      <c r="E9" s="62">
        <f t="shared" si="1"/>
        <v>7.708296340430025E-2</v>
      </c>
    </row>
    <row r="10" spans="1:5">
      <c r="A10" s="54" t="s">
        <v>52</v>
      </c>
      <c r="B10" s="76">
        <f>'Mortgage Interest Rates'!B24</f>
        <v>5.79</v>
      </c>
      <c r="C10" s="79">
        <f>'Mortgage Int Rate Forsecast'!E23</f>
        <v>7.0004557037353514</v>
      </c>
      <c r="D10" s="78">
        <f t="shared" si="0"/>
        <v>1.2104557037353514</v>
      </c>
      <c r="E10" s="62">
        <f t="shared" si="1"/>
        <v>0.20905970703546656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23"/>
  <sheetViews>
    <sheetView zoomScale="76" zoomScaleNormal="76" workbookViewId="0">
      <selection activeCell="E26" sqref="E26"/>
    </sheetView>
  </sheetViews>
  <sheetFormatPr defaultRowHeight="15"/>
  <cols>
    <col min="1" max="1" width="15.7109375" bestFit="1" customWidth="1"/>
    <col min="2" max="2" width="23.7109375" bestFit="1" customWidth="1"/>
    <col min="3" max="3" width="12.5703125" bestFit="1" customWidth="1"/>
    <col min="4" max="4" width="13.5703125" bestFit="1" customWidth="1"/>
    <col min="5" max="5" width="19.42578125" bestFit="1" customWidth="1"/>
    <col min="6" max="6" width="13.5703125" bestFit="1" customWidth="1"/>
    <col min="9" max="9" width="13.5703125" bestFit="1" customWidth="1"/>
  </cols>
  <sheetData>
    <row r="2" spans="1:9" ht="15.75" thickBot="1">
      <c r="A2" s="66"/>
      <c r="C2" s="8"/>
      <c r="D2" s="8"/>
      <c r="E2" s="8"/>
      <c r="F2" s="8"/>
      <c r="I2" s="8"/>
    </row>
    <row r="3" spans="1:9" ht="30.75" thickBot="1">
      <c r="A3" s="9" t="s">
        <v>3</v>
      </c>
      <c r="B3" s="9" t="s">
        <v>7</v>
      </c>
      <c r="C3" s="69" t="s">
        <v>55</v>
      </c>
      <c r="D3" s="69" t="s">
        <v>56</v>
      </c>
      <c r="E3" s="69" t="s">
        <v>57</v>
      </c>
      <c r="F3" s="69" t="s">
        <v>58</v>
      </c>
      <c r="G3" s="67"/>
      <c r="H3" s="67"/>
      <c r="I3" s="67"/>
    </row>
    <row r="4" spans="1:9" ht="15.75" thickBot="1">
      <c r="A4" s="9">
        <v>1990</v>
      </c>
      <c r="B4" s="5">
        <v>58027</v>
      </c>
      <c r="C4" s="4">
        <v>0</v>
      </c>
      <c r="D4" s="4">
        <v>20000</v>
      </c>
      <c r="E4" s="4">
        <v>58000</v>
      </c>
      <c r="F4" s="70">
        <f t="shared" ref="F4:F22" si="0">ABS(ActualValue - ForecastValue)</f>
        <v>27</v>
      </c>
      <c r="H4" s="83" t="s">
        <v>21</v>
      </c>
      <c r="I4" s="83"/>
    </row>
    <row r="5" spans="1:9" ht="15.75" thickBot="1">
      <c r="A5" s="9">
        <v>1991</v>
      </c>
      <c r="B5" s="5">
        <v>84554</v>
      </c>
      <c r="C5" s="4">
        <f>B5-B4</f>
        <v>26527</v>
      </c>
      <c r="D5" s="70">
        <f t="shared" ref="D5:D22" si="1">(Beta * C5) + ((1 - Beta) * D4)</f>
        <v>23263.5</v>
      </c>
      <c r="E5" s="70">
        <f t="shared" ref="E5:E23" si="2">((Alpha * B4) + ((1 - Alpha) * E4)) + D4</f>
        <v>78013.5</v>
      </c>
      <c r="F5" s="70">
        <f t="shared" si="0"/>
        <v>6540.5</v>
      </c>
      <c r="H5" s="15" t="s">
        <v>22</v>
      </c>
      <c r="I5" s="18">
        <f>AVERAGE(ForecastingError)</f>
        <v>13392.450166278415</v>
      </c>
    </row>
    <row r="6" spans="1:9" ht="15.75" thickBot="1">
      <c r="A6" s="9">
        <v>1992</v>
      </c>
      <c r="B6" s="5">
        <v>93564</v>
      </c>
      <c r="C6" s="4">
        <f t="shared" ref="C6:C22" si="3">B6-B5</f>
        <v>9010</v>
      </c>
      <c r="D6" s="70">
        <f t="shared" si="1"/>
        <v>16136.75</v>
      </c>
      <c r="E6" s="70">
        <f t="shared" si="2"/>
        <v>104547.25</v>
      </c>
      <c r="F6" s="70">
        <f t="shared" si="0"/>
        <v>10983.25</v>
      </c>
      <c r="I6" s="8"/>
    </row>
    <row r="7" spans="1:9" ht="15.75" thickBot="1">
      <c r="A7" s="9">
        <v>1993</v>
      </c>
      <c r="B7" s="5">
        <v>80919</v>
      </c>
      <c r="C7" s="4">
        <f t="shared" si="3"/>
        <v>-12645</v>
      </c>
      <c r="D7" s="70">
        <f t="shared" si="1"/>
        <v>1745.875</v>
      </c>
      <c r="E7" s="70">
        <f t="shared" si="2"/>
        <v>115192.375</v>
      </c>
      <c r="F7" s="70">
        <f t="shared" si="0"/>
        <v>34273.375</v>
      </c>
      <c r="H7" s="83" t="s">
        <v>23</v>
      </c>
      <c r="I7" s="83"/>
    </row>
    <row r="8" spans="1:9" ht="15.75" thickBot="1">
      <c r="A8" s="9">
        <v>1994</v>
      </c>
      <c r="B8" s="5">
        <v>75270</v>
      </c>
      <c r="C8" s="4">
        <f t="shared" si="3"/>
        <v>-5649</v>
      </c>
      <c r="D8" s="70">
        <f t="shared" si="1"/>
        <v>-1951.5625</v>
      </c>
      <c r="E8" s="70">
        <f t="shared" si="2"/>
        <v>99801.5625</v>
      </c>
      <c r="F8" s="70">
        <f t="shared" si="0"/>
        <v>24531.5625</v>
      </c>
      <c r="H8" s="15" t="s">
        <v>24</v>
      </c>
      <c r="I8" s="19">
        <f>SUMSQ(ForecastingError) / COUNT(ForecastingError)</f>
        <v>303484212.7117992</v>
      </c>
    </row>
    <row r="9" spans="1:9" ht="15.75" thickBot="1">
      <c r="A9" s="9">
        <v>1995</v>
      </c>
      <c r="B9" s="5">
        <v>58082</v>
      </c>
      <c r="C9" s="4">
        <f t="shared" si="3"/>
        <v>-17188</v>
      </c>
      <c r="D9" s="70">
        <f t="shared" si="1"/>
        <v>-9569.78125</v>
      </c>
      <c r="E9" s="70">
        <f t="shared" si="2"/>
        <v>85584.21875</v>
      </c>
      <c r="F9" s="70">
        <f t="shared" si="0"/>
        <v>27502.21875</v>
      </c>
      <c r="I9" s="8"/>
    </row>
    <row r="10" spans="1:9" ht="15.75" thickBot="1">
      <c r="A10" s="9">
        <v>1996</v>
      </c>
      <c r="B10" s="5">
        <v>72182</v>
      </c>
      <c r="C10" s="4">
        <f t="shared" si="3"/>
        <v>14100</v>
      </c>
      <c r="D10" s="70">
        <f t="shared" si="1"/>
        <v>2265.109375</v>
      </c>
      <c r="E10" s="70">
        <f t="shared" si="2"/>
        <v>62263.328125</v>
      </c>
      <c r="F10" s="70">
        <f t="shared" si="0"/>
        <v>9918.671875</v>
      </c>
      <c r="H10" s="83" t="s">
        <v>59</v>
      </c>
      <c r="I10" s="83"/>
    </row>
    <row r="11" spans="1:9" ht="15.75" thickBot="1">
      <c r="A11" s="9">
        <v>1997</v>
      </c>
      <c r="B11" s="5">
        <v>68182</v>
      </c>
      <c r="C11" s="4">
        <f t="shared" si="3"/>
        <v>-4000</v>
      </c>
      <c r="D11" s="70">
        <f t="shared" si="1"/>
        <v>-867.4453125</v>
      </c>
      <c r="E11" s="70">
        <f t="shared" si="2"/>
        <v>69487.7734375</v>
      </c>
      <c r="F11" s="70">
        <f t="shared" si="0"/>
        <v>1305.7734375</v>
      </c>
      <c r="H11" s="68" t="s">
        <v>60</v>
      </c>
      <c r="I11" s="8">
        <v>0.5</v>
      </c>
    </row>
    <row r="12" spans="1:9" ht="15.75" thickBot="1">
      <c r="A12" s="9">
        <v>1998</v>
      </c>
      <c r="B12" s="5">
        <v>52910</v>
      </c>
      <c r="C12" s="4">
        <f t="shared" si="3"/>
        <v>-15272</v>
      </c>
      <c r="D12" s="70">
        <f t="shared" si="1"/>
        <v>-8069.72265625</v>
      </c>
      <c r="E12" s="70">
        <f t="shared" si="2"/>
        <v>67967.44140625</v>
      </c>
      <c r="F12" s="70">
        <f t="shared" si="0"/>
        <v>15057.44140625</v>
      </c>
      <c r="I12" s="8"/>
    </row>
    <row r="13" spans="1:9" ht="15.75" thickBot="1">
      <c r="A13" s="9">
        <v>1999</v>
      </c>
      <c r="B13" s="5">
        <v>58084</v>
      </c>
      <c r="C13" s="4">
        <f t="shared" si="3"/>
        <v>5174</v>
      </c>
      <c r="D13" s="70">
        <f t="shared" si="1"/>
        <v>-1447.861328125</v>
      </c>
      <c r="E13" s="70">
        <f t="shared" si="2"/>
        <v>52368.998046875</v>
      </c>
      <c r="F13" s="70">
        <f t="shared" si="0"/>
        <v>5715.001953125</v>
      </c>
      <c r="H13" s="83" t="s">
        <v>61</v>
      </c>
      <c r="I13" s="83"/>
    </row>
    <row r="14" spans="1:9" ht="15.75" thickBot="1">
      <c r="A14" s="9">
        <v>2000</v>
      </c>
      <c r="B14" s="5">
        <v>53454</v>
      </c>
      <c r="C14" s="4">
        <f t="shared" si="3"/>
        <v>-4630</v>
      </c>
      <c r="D14" s="70">
        <f t="shared" si="1"/>
        <v>-3038.9306640625</v>
      </c>
      <c r="E14" s="70">
        <f t="shared" si="2"/>
        <v>53778.6376953125</v>
      </c>
      <c r="F14" s="70">
        <f t="shared" si="0"/>
        <v>324.6376953125</v>
      </c>
      <c r="H14" s="68" t="s">
        <v>62</v>
      </c>
      <c r="I14" s="8">
        <v>0.5</v>
      </c>
    </row>
    <row r="15" spans="1:9" ht="15.75" thickBot="1">
      <c r="A15" s="9">
        <v>2001</v>
      </c>
      <c r="B15" s="5">
        <v>68105</v>
      </c>
      <c r="C15" s="4">
        <f t="shared" si="3"/>
        <v>14651</v>
      </c>
      <c r="D15" s="70">
        <f t="shared" si="1"/>
        <v>5806.03466796875</v>
      </c>
      <c r="E15" s="70">
        <f t="shared" si="2"/>
        <v>50577.38818359375</v>
      </c>
      <c r="F15" s="70">
        <f t="shared" si="0"/>
        <v>17527.61181640625</v>
      </c>
    </row>
    <row r="16" spans="1:9" ht="15.75" thickBot="1">
      <c r="A16" s="9">
        <v>2002</v>
      </c>
      <c r="B16" s="5">
        <v>82725</v>
      </c>
      <c r="C16" s="4">
        <f t="shared" si="3"/>
        <v>14620</v>
      </c>
      <c r="D16" s="70">
        <f t="shared" si="1"/>
        <v>10213.017333984375</v>
      </c>
      <c r="E16" s="70">
        <f t="shared" si="2"/>
        <v>65147.228759765625</v>
      </c>
      <c r="F16" s="70">
        <f t="shared" si="0"/>
        <v>17577.771240234375</v>
      </c>
    </row>
    <row r="17" spans="1:6" ht="15.75" thickBot="1">
      <c r="A17" s="9">
        <v>2003</v>
      </c>
      <c r="B17" s="5">
        <v>93126</v>
      </c>
      <c r="C17" s="4">
        <f t="shared" si="3"/>
        <v>10401</v>
      </c>
      <c r="D17" s="70">
        <f t="shared" si="1"/>
        <v>10307.008666992187</v>
      </c>
      <c r="E17" s="70">
        <f t="shared" si="2"/>
        <v>84149.131713867188</v>
      </c>
      <c r="F17" s="70">
        <f t="shared" si="0"/>
        <v>8976.8682861328125</v>
      </c>
    </row>
    <row r="18" spans="1:6" ht="15.75" thickBot="1">
      <c r="A18" s="9">
        <v>2004</v>
      </c>
      <c r="B18" s="5">
        <v>96316</v>
      </c>
      <c r="C18" s="4">
        <f t="shared" si="3"/>
        <v>3190</v>
      </c>
      <c r="D18" s="70">
        <f t="shared" si="1"/>
        <v>6748.5043334960937</v>
      </c>
      <c r="E18" s="70">
        <f t="shared" si="2"/>
        <v>98944.574523925781</v>
      </c>
      <c r="F18" s="70">
        <f t="shared" si="0"/>
        <v>2628.5745239257812</v>
      </c>
    </row>
    <row r="19" spans="1:6" ht="15.75" thickBot="1">
      <c r="A19" s="9">
        <v>2005</v>
      </c>
      <c r="B19" s="5">
        <v>106290</v>
      </c>
      <c r="C19" s="4">
        <f t="shared" si="3"/>
        <v>9974</v>
      </c>
      <c r="D19" s="70">
        <f t="shared" si="1"/>
        <v>8361.2521667480469</v>
      </c>
      <c r="E19" s="70">
        <f t="shared" si="2"/>
        <v>104378.79159545898</v>
      </c>
      <c r="F19" s="70">
        <f t="shared" si="0"/>
        <v>1911.2084045410156</v>
      </c>
    </row>
    <row r="20" spans="1:6" ht="15.75" thickBot="1">
      <c r="A20" s="9">
        <v>2006</v>
      </c>
      <c r="B20" s="5">
        <v>96696</v>
      </c>
      <c r="C20" s="4">
        <f t="shared" si="3"/>
        <v>-9594</v>
      </c>
      <c r="D20" s="70">
        <f t="shared" si="1"/>
        <v>-616.37391662597656</v>
      </c>
      <c r="E20" s="70">
        <f t="shared" si="2"/>
        <v>113695.64796447754</v>
      </c>
      <c r="F20" s="70">
        <f t="shared" si="0"/>
        <v>16999.647964477539</v>
      </c>
    </row>
    <row r="21" spans="1:6" ht="15.75" thickBot="1">
      <c r="A21" s="9">
        <v>2007</v>
      </c>
      <c r="B21" s="5">
        <v>102805</v>
      </c>
      <c r="C21" s="4">
        <f t="shared" si="3"/>
        <v>6109</v>
      </c>
      <c r="D21" s="70">
        <f t="shared" si="1"/>
        <v>2746.3130416870117</v>
      </c>
      <c r="E21" s="70">
        <f t="shared" si="2"/>
        <v>104579.45006561279</v>
      </c>
      <c r="F21" s="70">
        <f t="shared" si="0"/>
        <v>1774.450065612793</v>
      </c>
    </row>
    <row r="22" spans="1:6" ht="15.75" thickBot="1">
      <c r="A22" s="9">
        <v>2008</v>
      </c>
      <c r="B22" s="5">
        <v>68923</v>
      </c>
      <c r="C22" s="4">
        <f t="shared" si="3"/>
        <v>-33882</v>
      </c>
      <c r="D22" s="70">
        <f t="shared" si="1"/>
        <v>-15567.843479156494</v>
      </c>
      <c r="E22" s="70">
        <f t="shared" si="2"/>
        <v>106438.53807449341</v>
      </c>
      <c r="F22" s="70">
        <f t="shared" si="0"/>
        <v>37515.538074493408</v>
      </c>
    </row>
    <row r="23" spans="1:6" ht="15.75" thickBot="1">
      <c r="A23" s="14">
        <v>2009</v>
      </c>
      <c r="B23" s="32"/>
      <c r="C23" s="3"/>
      <c r="D23" s="3"/>
      <c r="E23" s="71">
        <f t="shared" si="2"/>
        <v>72112.92555809021</v>
      </c>
      <c r="F23" s="3"/>
    </row>
  </sheetData>
  <mergeCells count="4">
    <mergeCell ref="H4:I4"/>
    <mergeCell ref="H7:I7"/>
    <mergeCell ref="H10:I10"/>
    <mergeCell ref="H13:I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3:I26"/>
  <sheetViews>
    <sheetView zoomScale="74" zoomScaleNormal="74" workbookViewId="0">
      <selection activeCell="B4" sqref="B4:B24"/>
    </sheetView>
  </sheetViews>
  <sheetFormatPr defaultRowHeight="15"/>
  <cols>
    <col min="2" max="2" width="23.7109375" bestFit="1" customWidth="1"/>
    <col min="3" max="3" width="23.85546875" bestFit="1" customWidth="1"/>
    <col min="4" max="4" width="12.5703125" bestFit="1" customWidth="1"/>
    <col min="5" max="5" width="13.5703125" bestFit="1" customWidth="1"/>
    <col min="6" max="6" width="16.42578125" bestFit="1" customWidth="1"/>
    <col min="7" max="7" width="19.42578125" bestFit="1" customWidth="1"/>
    <col min="8" max="8" width="21" bestFit="1" customWidth="1"/>
    <col min="9" max="9" width="12.7109375" bestFit="1" customWidth="1"/>
  </cols>
  <sheetData>
    <row r="3" spans="1:9" ht="15.75" thickBot="1">
      <c r="B3" s="2" t="s">
        <v>13</v>
      </c>
      <c r="C3" s="2" t="s">
        <v>14</v>
      </c>
    </row>
    <row r="4" spans="1:9" ht="15.75" thickBot="1">
      <c r="A4" s="9" t="s">
        <v>3</v>
      </c>
      <c r="B4" s="9" t="s">
        <v>6</v>
      </c>
      <c r="C4" s="9" t="s">
        <v>40</v>
      </c>
      <c r="D4" s="14" t="s">
        <v>43</v>
      </c>
      <c r="E4" s="14" t="s">
        <v>15</v>
      </c>
      <c r="F4" s="14" t="s">
        <v>16</v>
      </c>
      <c r="G4" s="9" t="s">
        <v>8</v>
      </c>
      <c r="H4" s="16" t="s">
        <v>17</v>
      </c>
    </row>
    <row r="5" spans="1:9" ht="15.75" thickBot="1">
      <c r="A5" s="9">
        <v>1990</v>
      </c>
      <c r="B5" s="5">
        <v>36720</v>
      </c>
      <c r="C5" s="12">
        <f>Data!B9/((1+0.04)^-19)</f>
        <v>332073.13972341898</v>
      </c>
      <c r="D5" s="12">
        <f t="shared" ref="D5:D23" si="0">a+(b*B5)</f>
        <v>396265.83741335646</v>
      </c>
      <c r="E5" s="12">
        <f>ABS(C5-D5)</f>
        <v>64192.697689937486</v>
      </c>
      <c r="F5" s="5">
        <f>E5^2</f>
        <v>4120702436.7117052</v>
      </c>
      <c r="G5" s="12">
        <v>157616</v>
      </c>
      <c r="H5" s="15" t="s">
        <v>18</v>
      </c>
    </row>
    <row r="6" spans="1:9" ht="15.75" thickBot="1">
      <c r="A6" s="9">
        <v>1991</v>
      </c>
      <c r="B6" s="5">
        <v>31875</v>
      </c>
      <c r="C6" s="12">
        <f>Data!B10/((1+0.04)^-18)</f>
        <v>340813.24146470748</v>
      </c>
      <c r="D6" s="12">
        <f t="shared" si="0"/>
        <v>375870.73827708582</v>
      </c>
      <c r="E6" s="12">
        <f t="shared" ref="E6:E23" si="1">ABS(C6-D6)</f>
        <v>35057.496812378347</v>
      </c>
      <c r="F6" s="5">
        <f t="shared" ref="F6:F23" si="2">E6^2</f>
        <v>1229028082.749918</v>
      </c>
      <c r="G6" s="12">
        <v>168235</v>
      </c>
      <c r="H6" s="15" t="s">
        <v>19</v>
      </c>
      <c r="I6">
        <f>INTERCEPT(DependentVariable,IndependentVariable)</f>
        <v>241692.45448583184</v>
      </c>
    </row>
    <row r="7" spans="1:9" ht="15.75" thickBot="1">
      <c r="A7" s="9">
        <v>1992</v>
      </c>
      <c r="B7" s="5">
        <v>40621</v>
      </c>
      <c r="C7" s="12">
        <f>Data!B11/((1+0.04)^-17)</f>
        <v>370099.14625519793</v>
      </c>
      <c r="D7" s="12">
        <f t="shared" si="0"/>
        <v>412687.15459201316</v>
      </c>
      <c r="E7" s="12">
        <f t="shared" si="1"/>
        <v>42588.008336815226</v>
      </c>
      <c r="F7" s="5">
        <f t="shared" si="2"/>
        <v>1813738454.0966432</v>
      </c>
      <c r="G7" s="12">
        <v>189999</v>
      </c>
      <c r="H7" s="15" t="s">
        <v>20</v>
      </c>
      <c r="I7">
        <f>SLOPE(DependentVariable,IndependentVariable)</f>
        <v>4.2095147856079693</v>
      </c>
    </row>
    <row r="8" spans="1:9" ht="15.75" thickBot="1">
      <c r="A8" s="9">
        <v>1993</v>
      </c>
      <c r="B8" s="5">
        <v>42807</v>
      </c>
      <c r="C8" s="12">
        <f>Data!B12/((1+0.04)^-16)</f>
        <v>397057.04024419928</v>
      </c>
      <c r="D8" s="12">
        <f t="shared" si="0"/>
        <v>421889.15391335217</v>
      </c>
      <c r="E8" s="12">
        <f t="shared" si="1"/>
        <v>24832.113669152895</v>
      </c>
      <c r="F8" s="5">
        <f t="shared" si="2"/>
        <v>616633869.27773011</v>
      </c>
      <c r="G8" s="12">
        <v>211992</v>
      </c>
    </row>
    <row r="9" spans="1:9" ht="15.75" thickBot="1">
      <c r="A9" s="9">
        <v>1994</v>
      </c>
      <c r="B9" s="5">
        <v>39408</v>
      </c>
      <c r="C9" s="12">
        <f>Data!B13/((1+0.04)^-15)</f>
        <v>413341.7477229145</v>
      </c>
      <c r="D9" s="12">
        <f t="shared" si="0"/>
        <v>407581.01315707073</v>
      </c>
      <c r="E9" s="12">
        <f t="shared" si="1"/>
        <v>5760.7345658437698</v>
      </c>
      <c r="F9" s="5">
        <f t="shared" si="2"/>
        <v>33186062.738107208</v>
      </c>
      <c r="G9" s="12">
        <v>229514</v>
      </c>
    </row>
    <row r="10" spans="1:9" ht="15.75" thickBot="1">
      <c r="A10" s="9">
        <v>1995</v>
      </c>
      <c r="B10" s="5">
        <v>27057</v>
      </c>
      <c r="C10" s="12">
        <f>Data!B14/((1+0.04)^-14)</f>
        <v>384189.73666515818</v>
      </c>
      <c r="D10" s="12">
        <f t="shared" si="0"/>
        <v>355589.29604002665</v>
      </c>
      <c r="E10" s="12">
        <f t="shared" si="1"/>
        <v>28600.440625131538</v>
      </c>
      <c r="F10" s="5">
        <f t="shared" si="2"/>
        <v>817985203.95167446</v>
      </c>
      <c r="G10" s="12">
        <v>221860</v>
      </c>
      <c r="H10" s="82" t="s">
        <v>21</v>
      </c>
      <c r="I10" s="82"/>
    </row>
    <row r="11" spans="1:9" ht="15.75" thickBot="1">
      <c r="A11" s="9">
        <v>1996</v>
      </c>
      <c r="B11" s="5">
        <v>27641</v>
      </c>
      <c r="C11" s="12">
        <f>Data!B15/((1+0.04)^-13)</f>
        <v>364129.93009318708</v>
      </c>
      <c r="D11" s="12">
        <f t="shared" si="0"/>
        <v>358047.65267482173</v>
      </c>
      <c r="E11" s="12">
        <f t="shared" si="1"/>
        <v>6082.2774183653528</v>
      </c>
      <c r="F11" s="5">
        <f t="shared" si="2"/>
        <v>36994098.593957104</v>
      </c>
      <c r="G11" s="12">
        <v>218687</v>
      </c>
      <c r="H11" s="15" t="s">
        <v>22</v>
      </c>
      <c r="I11" s="18">
        <f>AVERAGE(E5:E23)</f>
        <v>27481.144758625873</v>
      </c>
    </row>
    <row r="12" spans="1:9" ht="15.75" thickBot="1">
      <c r="A12" s="9">
        <v>1997</v>
      </c>
      <c r="B12" s="5">
        <v>29351</v>
      </c>
      <c r="C12" s="12">
        <f>Data!B16/((1+0.04)^-12)</f>
        <v>353046.81658079667</v>
      </c>
      <c r="D12" s="12">
        <f t="shared" si="0"/>
        <v>365245.92295821133</v>
      </c>
      <c r="E12" s="12">
        <f t="shared" si="1"/>
        <v>12199.106377414661</v>
      </c>
      <c r="F12" s="5">
        <f t="shared" si="2"/>
        <v>148818196.40747905</v>
      </c>
      <c r="G12" s="12">
        <v>220512</v>
      </c>
    </row>
    <row r="13" spans="1:9" ht="15.75" thickBot="1">
      <c r="A13" s="9">
        <v>1998</v>
      </c>
      <c r="B13" s="5">
        <v>19931</v>
      </c>
      <c r="C13" s="12">
        <f>Data!B17/((1+0.04)^-11)</f>
        <v>326435.0748253871</v>
      </c>
      <c r="D13" s="12">
        <f t="shared" si="0"/>
        <v>325592.29367778427</v>
      </c>
      <c r="E13" s="12">
        <f t="shared" si="1"/>
        <v>842.78114760282915</v>
      </c>
      <c r="F13" s="5">
        <f t="shared" si="2"/>
        <v>710280.06275474175</v>
      </c>
      <c r="G13" s="12">
        <v>212046</v>
      </c>
      <c r="H13" s="82" t="s">
        <v>23</v>
      </c>
      <c r="I13" s="82"/>
    </row>
    <row r="14" spans="1:9" ht="15.75" thickBot="1">
      <c r="A14" s="9">
        <v>1999</v>
      </c>
      <c r="B14" s="5">
        <v>16309</v>
      </c>
      <c r="C14" s="12">
        <f>Data!B18/((1+0.04)^-10)</f>
        <v>318671.43039007601</v>
      </c>
      <c r="D14" s="12">
        <f t="shared" si="0"/>
        <v>310345.43112431222</v>
      </c>
      <c r="E14" s="12">
        <f t="shared" si="1"/>
        <v>8325.9992657637922</v>
      </c>
      <c r="F14" s="5">
        <f t="shared" si="2"/>
        <v>69322263.773499206</v>
      </c>
      <c r="G14" s="12">
        <v>215283</v>
      </c>
      <c r="H14" s="15" t="s">
        <v>24</v>
      </c>
      <c r="I14" s="19">
        <f>SUMSQ(E5:E23) / COUNT(E5:E23)</f>
        <v>1354326031.7352943</v>
      </c>
    </row>
    <row r="15" spans="1:9" ht="15.75" thickBot="1">
      <c r="A15" s="9">
        <v>2000</v>
      </c>
      <c r="B15" s="5">
        <v>14418</v>
      </c>
      <c r="C15" s="12">
        <f>Data!B19/((1+0.04)^-9)</f>
        <v>308843.00686552568</v>
      </c>
      <c r="D15" s="12">
        <f t="shared" si="0"/>
        <v>302385.23866472754</v>
      </c>
      <c r="E15" s="12">
        <f t="shared" si="1"/>
        <v>6457.7682007981348</v>
      </c>
      <c r="F15" s="5">
        <f t="shared" si="2"/>
        <v>41702770.135239579</v>
      </c>
      <c r="G15" s="12">
        <v>216989</v>
      </c>
    </row>
    <row r="16" spans="1:9" ht="15.75" thickBot="1">
      <c r="A16" s="9">
        <v>2001</v>
      </c>
      <c r="B16" s="5">
        <v>17234</v>
      </c>
      <c r="C16" s="12">
        <f>Data!B20/((1+0.04)^-8)</f>
        <v>302388.06882514613</v>
      </c>
      <c r="D16" s="12">
        <f t="shared" si="0"/>
        <v>314239.23230099957</v>
      </c>
      <c r="E16" s="12">
        <f t="shared" si="1"/>
        <v>11851.163475853449</v>
      </c>
      <c r="F16" s="5">
        <f t="shared" si="2"/>
        <v>140450075.73140281</v>
      </c>
      <c r="G16" s="12">
        <v>220952</v>
      </c>
      <c r="H16" s="82" t="s">
        <v>25</v>
      </c>
      <c r="I16" s="82"/>
    </row>
    <row r="17" spans="1:9" ht="15.75" thickBot="1">
      <c r="A17" s="9">
        <v>2002</v>
      </c>
      <c r="B17" s="5">
        <v>21625</v>
      </c>
      <c r="C17" s="12">
        <f>Data!B21/((1+0.04)^-7)</f>
        <v>314189.23974679073</v>
      </c>
      <c r="D17" s="12">
        <f t="shared" si="0"/>
        <v>332723.21172460419</v>
      </c>
      <c r="E17" s="12">
        <f t="shared" si="1"/>
        <v>18533.97197781346</v>
      </c>
      <c r="F17" s="5">
        <f t="shared" si="2"/>
        <v>343508117.2743746</v>
      </c>
      <c r="G17" s="12">
        <v>238758</v>
      </c>
      <c r="H17" s="15" t="s">
        <v>26</v>
      </c>
      <c r="I17" s="8">
        <v>40000</v>
      </c>
    </row>
    <row r="18" spans="1:9" ht="15.75" thickBot="1">
      <c r="A18" s="9">
        <v>2003</v>
      </c>
      <c r="B18" s="5">
        <v>26174</v>
      </c>
      <c r="C18" s="12">
        <f>Data!B22/((1+0.04)^-6)</f>
        <v>328774.16717090824</v>
      </c>
      <c r="D18" s="12">
        <f t="shared" si="0"/>
        <v>351872.29448433482</v>
      </c>
      <c r="E18" s="12">
        <f t="shared" si="1"/>
        <v>23098.127313426579</v>
      </c>
      <c r="F18" s="5">
        <f t="shared" si="2"/>
        <v>533523485.38726294</v>
      </c>
      <c r="G18" s="12">
        <v>259835</v>
      </c>
      <c r="H18" s="15" t="s">
        <v>27</v>
      </c>
      <c r="I18" s="18">
        <f>a + (I17 * b)</f>
        <v>410073.04591015063</v>
      </c>
    </row>
    <row r="19" spans="1:9" ht="15.75" thickBot="1">
      <c r="A19" s="9">
        <v>2004</v>
      </c>
      <c r="B19" s="5">
        <v>32925</v>
      </c>
      <c r="C19" s="12">
        <f>Data!B23/((1+0.04)^-5)</f>
        <v>351572.53924782091</v>
      </c>
      <c r="D19" s="12">
        <f t="shared" si="0"/>
        <v>380290.72880197421</v>
      </c>
      <c r="E19" s="12">
        <f t="shared" si="1"/>
        <v>28718.189554153301</v>
      </c>
      <c r="F19" s="5">
        <f t="shared" si="2"/>
        <v>824734411.26827979</v>
      </c>
      <c r="G19" s="12">
        <v>288967</v>
      </c>
    </row>
    <row r="20" spans="1:9" ht="15.75" thickBot="1">
      <c r="A20" s="9">
        <v>2005</v>
      </c>
      <c r="B20" s="5">
        <v>34667</v>
      </c>
      <c r="C20" s="12">
        <f>Data!B24/((1+0.04)^-4)</f>
        <v>388553.31254272006</v>
      </c>
      <c r="D20" s="12">
        <f t="shared" si="0"/>
        <v>387623.7035585033</v>
      </c>
      <c r="E20" s="12">
        <f t="shared" si="1"/>
        <v>929.60898421675665</v>
      </c>
      <c r="F20" s="5">
        <f t="shared" si="2"/>
        <v>864172.86353651015</v>
      </c>
      <c r="G20" s="12">
        <v>332137</v>
      </c>
    </row>
    <row r="21" spans="1:9" ht="15.75" thickBot="1">
      <c r="A21" s="9">
        <v>2006</v>
      </c>
      <c r="B21" s="5">
        <v>36443</v>
      </c>
      <c r="C21" s="12">
        <f>Data!B25/((1+0.04)^-3)</f>
        <v>439780.20403200004</v>
      </c>
      <c r="D21" s="12">
        <f t="shared" si="0"/>
        <v>395099.80181774311</v>
      </c>
      <c r="E21" s="12">
        <f t="shared" si="1"/>
        <v>44680.40221425693</v>
      </c>
      <c r="F21" s="5">
        <f t="shared" si="2"/>
        <v>1996338342.0277755</v>
      </c>
      <c r="G21" s="12">
        <v>390963</v>
      </c>
    </row>
    <row r="22" spans="1:9" ht="15.75" thickBot="1">
      <c r="A22" s="9">
        <v>2007</v>
      </c>
      <c r="B22" s="5">
        <v>39195</v>
      </c>
      <c r="C22" s="12">
        <f>Data!B26/((1+0.04)^-2)</f>
        <v>474951.11040000006</v>
      </c>
      <c r="D22" s="12">
        <f t="shared" si="0"/>
        <v>406684.38650773617</v>
      </c>
      <c r="E22" s="12">
        <f t="shared" si="1"/>
        <v>68266.723892263894</v>
      </c>
      <c r="F22" s="5">
        <f t="shared" si="2"/>
        <v>4660345590.9825935</v>
      </c>
      <c r="G22" s="12">
        <v>439119</v>
      </c>
    </row>
    <row r="23" spans="1:9" ht="15.75" thickBot="1">
      <c r="A23" s="9">
        <v>2008</v>
      </c>
      <c r="B23" s="5">
        <v>33250</v>
      </c>
      <c r="C23" s="12">
        <f>Data!B27/((1+0.04)^-1)</f>
        <v>472782.96</v>
      </c>
      <c r="D23" s="12">
        <f t="shared" si="0"/>
        <v>381658.82110729686</v>
      </c>
      <c r="E23" s="12">
        <f t="shared" si="1"/>
        <v>91124.138892703166</v>
      </c>
      <c r="F23" s="5">
        <f t="shared" si="2"/>
        <v>8303608688.9366579</v>
      </c>
      <c r="G23" s="12">
        <v>454599</v>
      </c>
    </row>
    <row r="24" spans="1:9" ht="15.75" thickBot="1">
      <c r="A24" s="14">
        <v>2009</v>
      </c>
      <c r="B24" s="35">
        <v>22800</v>
      </c>
      <c r="C24" s="12"/>
      <c r="D24" s="33">
        <f>a+(b*B24)</f>
        <v>337669.39159769355</v>
      </c>
      <c r="E24" s="3"/>
      <c r="F24" s="3"/>
      <c r="G24" s="33"/>
    </row>
    <row r="26" spans="1:9">
      <c r="B26" t="s">
        <v>44</v>
      </c>
    </row>
  </sheetData>
  <mergeCells count="3">
    <mergeCell ref="H10:I10"/>
    <mergeCell ref="H13:I13"/>
    <mergeCell ref="H16:I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I23"/>
  <sheetViews>
    <sheetView zoomScale="75" zoomScaleNormal="75" workbookViewId="0">
      <selection activeCell="I22" sqref="I22"/>
    </sheetView>
  </sheetViews>
  <sheetFormatPr defaultRowHeight="15"/>
  <cols>
    <col min="1" max="1" width="15.7109375" bestFit="1" customWidth="1"/>
    <col min="2" max="2" width="23.7109375" bestFit="1" customWidth="1"/>
    <col min="3" max="3" width="12.5703125" bestFit="1" customWidth="1"/>
    <col min="4" max="4" width="13.5703125" bestFit="1" customWidth="1"/>
    <col min="5" max="5" width="19.42578125" bestFit="1" customWidth="1"/>
    <col min="6" max="6" width="13.5703125" bestFit="1" customWidth="1"/>
    <col min="9" max="9" width="13.5703125" bestFit="1" customWidth="1"/>
  </cols>
  <sheetData>
    <row r="2" spans="1:9" ht="15.75" thickBot="1">
      <c r="A2" s="66"/>
      <c r="C2" s="8"/>
      <c r="D2" s="8"/>
      <c r="E2" s="8"/>
      <c r="F2" s="8"/>
      <c r="I2" s="8"/>
    </row>
    <row r="3" spans="1:9" ht="30.75" thickBot="1">
      <c r="A3" s="9" t="s">
        <v>3</v>
      </c>
      <c r="B3" s="9" t="s">
        <v>6</v>
      </c>
      <c r="C3" s="69" t="s">
        <v>55</v>
      </c>
      <c r="D3" s="69" t="s">
        <v>56</v>
      </c>
      <c r="E3" s="69" t="s">
        <v>57</v>
      </c>
      <c r="F3" s="69" t="s">
        <v>58</v>
      </c>
      <c r="G3" s="67"/>
      <c r="H3" s="67"/>
      <c r="I3" s="67"/>
    </row>
    <row r="4" spans="1:9" ht="15.75" thickBot="1">
      <c r="A4" s="9">
        <v>1990</v>
      </c>
      <c r="B4" s="5">
        <v>36720</v>
      </c>
      <c r="C4" s="4">
        <v>0</v>
      </c>
      <c r="D4" s="4">
        <v>5000</v>
      </c>
      <c r="E4" s="4">
        <v>36000</v>
      </c>
      <c r="F4" s="70">
        <f t="shared" ref="F4:F22" si="0">ABS(ActualValue - ForecastValue)</f>
        <v>720</v>
      </c>
      <c r="H4" s="83" t="s">
        <v>21</v>
      </c>
      <c r="I4" s="83"/>
    </row>
    <row r="5" spans="1:9" ht="15.75" thickBot="1">
      <c r="A5" s="9">
        <v>1991</v>
      </c>
      <c r="B5" s="5">
        <v>31875</v>
      </c>
      <c r="C5" s="4">
        <f>B5-B4</f>
        <v>-4845</v>
      </c>
      <c r="D5" s="70">
        <f t="shared" ref="D5:D22" si="1">(Beta * C5) + ((1 - Beta) * D4)</f>
        <v>77.5</v>
      </c>
      <c r="E5" s="70">
        <f t="shared" ref="E5:E23" si="2">((Alpha * B4) + ((1 - Alpha) * E4)) + D4</f>
        <v>41360</v>
      </c>
      <c r="F5" s="70">
        <f t="shared" si="0"/>
        <v>9485</v>
      </c>
      <c r="H5" s="15" t="s">
        <v>22</v>
      </c>
      <c r="I5" s="18">
        <f>AVERAGE(ForecastingError)</f>
        <v>5009.4536158243818</v>
      </c>
    </row>
    <row r="6" spans="1:9" ht="15.75" thickBot="1">
      <c r="A6" s="9">
        <v>1992</v>
      </c>
      <c r="B6" s="5">
        <v>40621</v>
      </c>
      <c r="C6" s="4">
        <f t="shared" ref="C6:C22" si="3">B6-B5</f>
        <v>8746</v>
      </c>
      <c r="D6" s="70">
        <f t="shared" si="1"/>
        <v>4411.75</v>
      </c>
      <c r="E6" s="70">
        <f t="shared" si="2"/>
        <v>36695</v>
      </c>
      <c r="F6" s="70">
        <f t="shared" si="0"/>
        <v>3926</v>
      </c>
      <c r="I6" s="8"/>
    </row>
    <row r="7" spans="1:9" ht="15.75" thickBot="1">
      <c r="A7" s="9">
        <v>1993</v>
      </c>
      <c r="B7" s="5">
        <v>42807</v>
      </c>
      <c r="C7" s="4">
        <f t="shared" si="3"/>
        <v>2186</v>
      </c>
      <c r="D7" s="70">
        <f t="shared" si="1"/>
        <v>3298.875</v>
      </c>
      <c r="E7" s="70">
        <f t="shared" si="2"/>
        <v>43069.75</v>
      </c>
      <c r="F7" s="70">
        <f t="shared" si="0"/>
        <v>262.75</v>
      </c>
      <c r="H7" s="83" t="s">
        <v>23</v>
      </c>
      <c r="I7" s="83"/>
    </row>
    <row r="8" spans="1:9" ht="15.75" thickBot="1">
      <c r="A8" s="9">
        <v>1994</v>
      </c>
      <c r="B8" s="5">
        <v>39408</v>
      </c>
      <c r="C8" s="4">
        <f t="shared" si="3"/>
        <v>-3399</v>
      </c>
      <c r="D8" s="70">
        <f t="shared" si="1"/>
        <v>-50.0625</v>
      </c>
      <c r="E8" s="70">
        <f t="shared" si="2"/>
        <v>46237.25</v>
      </c>
      <c r="F8" s="70">
        <f t="shared" si="0"/>
        <v>6829.25</v>
      </c>
      <c r="H8" s="15" t="s">
        <v>24</v>
      </c>
      <c r="I8" s="19">
        <f>SUMSQ(ForecastingError) / COUNT(ForecastingError)</f>
        <v>41161957.64027527</v>
      </c>
    </row>
    <row r="9" spans="1:9" ht="15.75" thickBot="1">
      <c r="A9" s="9">
        <v>1995</v>
      </c>
      <c r="B9" s="5">
        <v>27057</v>
      </c>
      <c r="C9" s="4">
        <f t="shared" si="3"/>
        <v>-12351</v>
      </c>
      <c r="D9" s="70">
        <f t="shared" si="1"/>
        <v>-6200.53125</v>
      </c>
      <c r="E9" s="70">
        <f t="shared" si="2"/>
        <v>42772.5625</v>
      </c>
      <c r="F9" s="70">
        <f t="shared" si="0"/>
        <v>15715.5625</v>
      </c>
      <c r="I9" s="8"/>
    </row>
    <row r="10" spans="1:9" ht="15.75" thickBot="1">
      <c r="A10" s="9">
        <v>1996</v>
      </c>
      <c r="B10" s="5">
        <v>27641</v>
      </c>
      <c r="C10" s="4">
        <f t="shared" si="3"/>
        <v>584</v>
      </c>
      <c r="D10" s="70">
        <f t="shared" si="1"/>
        <v>-2808.265625</v>
      </c>
      <c r="E10" s="70">
        <f t="shared" si="2"/>
        <v>28714.25</v>
      </c>
      <c r="F10" s="70">
        <f t="shared" si="0"/>
        <v>1073.25</v>
      </c>
      <c r="H10" s="83" t="s">
        <v>59</v>
      </c>
      <c r="I10" s="83"/>
    </row>
    <row r="11" spans="1:9" ht="15.75" thickBot="1">
      <c r="A11" s="9">
        <v>1997</v>
      </c>
      <c r="B11" s="5">
        <v>29351</v>
      </c>
      <c r="C11" s="4">
        <f t="shared" si="3"/>
        <v>1710</v>
      </c>
      <c r="D11" s="70">
        <f t="shared" si="1"/>
        <v>-549.1328125</v>
      </c>
      <c r="E11" s="70">
        <f t="shared" si="2"/>
        <v>25369.359375</v>
      </c>
      <c r="F11" s="70">
        <f t="shared" si="0"/>
        <v>3981.640625</v>
      </c>
      <c r="H11" s="68" t="s">
        <v>60</v>
      </c>
      <c r="I11" s="8">
        <v>0.5</v>
      </c>
    </row>
    <row r="12" spans="1:9" ht="15.75" thickBot="1">
      <c r="A12" s="9">
        <v>1998</v>
      </c>
      <c r="B12" s="5">
        <v>19931</v>
      </c>
      <c r="C12" s="4">
        <f t="shared" si="3"/>
        <v>-9420</v>
      </c>
      <c r="D12" s="70">
        <f t="shared" si="1"/>
        <v>-4984.56640625</v>
      </c>
      <c r="E12" s="70">
        <f t="shared" si="2"/>
        <v>26811.046875</v>
      </c>
      <c r="F12" s="70">
        <f t="shared" si="0"/>
        <v>6880.046875</v>
      </c>
      <c r="I12" s="8"/>
    </row>
    <row r="13" spans="1:9" ht="15.75" thickBot="1">
      <c r="A13" s="9">
        <v>1999</v>
      </c>
      <c r="B13" s="5">
        <v>16309</v>
      </c>
      <c r="C13" s="4">
        <f t="shared" si="3"/>
        <v>-3622</v>
      </c>
      <c r="D13" s="70">
        <f t="shared" si="1"/>
        <v>-4303.283203125</v>
      </c>
      <c r="E13" s="70">
        <f t="shared" si="2"/>
        <v>18386.45703125</v>
      </c>
      <c r="F13" s="70">
        <f t="shared" si="0"/>
        <v>2077.45703125</v>
      </c>
      <c r="H13" s="83" t="s">
        <v>61</v>
      </c>
      <c r="I13" s="83"/>
    </row>
    <row r="14" spans="1:9" ht="15.75" thickBot="1">
      <c r="A14" s="9">
        <v>2000</v>
      </c>
      <c r="B14" s="5">
        <v>14418</v>
      </c>
      <c r="C14" s="4">
        <f t="shared" si="3"/>
        <v>-1891</v>
      </c>
      <c r="D14" s="70">
        <f t="shared" si="1"/>
        <v>-3097.1416015625</v>
      </c>
      <c r="E14" s="70">
        <f t="shared" si="2"/>
        <v>13044.4453125</v>
      </c>
      <c r="F14" s="70">
        <f t="shared" si="0"/>
        <v>1373.5546875</v>
      </c>
      <c r="H14" s="68" t="s">
        <v>62</v>
      </c>
      <c r="I14" s="8">
        <v>0.5</v>
      </c>
    </row>
    <row r="15" spans="1:9" ht="15.75" thickBot="1">
      <c r="A15" s="9">
        <v>2001</v>
      </c>
      <c r="B15" s="5">
        <v>17234</v>
      </c>
      <c r="C15" s="4">
        <f t="shared" si="3"/>
        <v>2816</v>
      </c>
      <c r="D15" s="70">
        <f t="shared" si="1"/>
        <v>-140.57080078125</v>
      </c>
      <c r="E15" s="70">
        <f t="shared" si="2"/>
        <v>10634.0810546875</v>
      </c>
      <c r="F15" s="70">
        <f t="shared" si="0"/>
        <v>6599.9189453125</v>
      </c>
    </row>
    <row r="16" spans="1:9" ht="15.75" thickBot="1">
      <c r="A16" s="9">
        <v>2002</v>
      </c>
      <c r="B16" s="5">
        <v>21625</v>
      </c>
      <c r="C16" s="4">
        <f t="shared" si="3"/>
        <v>4391</v>
      </c>
      <c r="D16" s="70">
        <f t="shared" si="1"/>
        <v>2125.214599609375</v>
      </c>
      <c r="E16" s="70">
        <f t="shared" si="2"/>
        <v>13793.4697265625</v>
      </c>
      <c r="F16" s="70">
        <f t="shared" si="0"/>
        <v>7831.5302734375</v>
      </c>
    </row>
    <row r="17" spans="1:6" ht="15.75" thickBot="1">
      <c r="A17" s="9">
        <v>2003</v>
      </c>
      <c r="B17" s="5">
        <v>26174</v>
      </c>
      <c r="C17" s="4">
        <f t="shared" si="3"/>
        <v>4549</v>
      </c>
      <c r="D17" s="70">
        <f t="shared" si="1"/>
        <v>3337.1072998046875</v>
      </c>
      <c r="E17" s="70">
        <f t="shared" si="2"/>
        <v>19834.449462890625</v>
      </c>
      <c r="F17" s="70">
        <f t="shared" si="0"/>
        <v>6339.550537109375</v>
      </c>
    </row>
    <row r="18" spans="1:6" ht="15.75" thickBot="1">
      <c r="A18" s="9">
        <v>2004</v>
      </c>
      <c r="B18" s="5">
        <v>32925</v>
      </c>
      <c r="C18" s="4">
        <f t="shared" si="3"/>
        <v>6751</v>
      </c>
      <c r="D18" s="70">
        <f t="shared" si="1"/>
        <v>5044.0536499023437</v>
      </c>
      <c r="E18" s="70">
        <f t="shared" si="2"/>
        <v>26341.33203125</v>
      </c>
      <c r="F18" s="70">
        <f t="shared" si="0"/>
        <v>6583.66796875</v>
      </c>
    </row>
    <row r="19" spans="1:6" ht="15.75" thickBot="1">
      <c r="A19" s="9">
        <v>2005</v>
      </c>
      <c r="B19" s="5">
        <v>34667</v>
      </c>
      <c r="C19" s="4">
        <f t="shared" si="3"/>
        <v>1742</v>
      </c>
      <c r="D19" s="70">
        <f t="shared" si="1"/>
        <v>3393.0268249511719</v>
      </c>
      <c r="E19" s="70">
        <f t="shared" si="2"/>
        <v>34677.219665527344</v>
      </c>
      <c r="F19" s="70">
        <f t="shared" si="0"/>
        <v>10.21966552734375</v>
      </c>
    </row>
    <row r="20" spans="1:6" ht="15.75" thickBot="1">
      <c r="A20" s="9">
        <v>2006</v>
      </c>
      <c r="B20" s="5">
        <v>36443</v>
      </c>
      <c r="C20" s="4">
        <f t="shared" si="3"/>
        <v>1776</v>
      </c>
      <c r="D20" s="70">
        <f t="shared" si="1"/>
        <v>2584.5134124755859</v>
      </c>
      <c r="E20" s="70">
        <f t="shared" si="2"/>
        <v>38065.136657714844</v>
      </c>
      <c r="F20" s="70">
        <f t="shared" si="0"/>
        <v>1622.1366577148437</v>
      </c>
    </row>
    <row r="21" spans="1:6" ht="15.75" thickBot="1">
      <c r="A21" s="9">
        <v>2007</v>
      </c>
      <c r="B21" s="5">
        <v>39195</v>
      </c>
      <c r="C21" s="4">
        <f t="shared" si="3"/>
        <v>2752</v>
      </c>
      <c r="D21" s="70">
        <f t="shared" si="1"/>
        <v>2668.256706237793</v>
      </c>
      <c r="E21" s="70">
        <f t="shared" si="2"/>
        <v>39838.581741333008</v>
      </c>
      <c r="F21" s="70">
        <f t="shared" si="0"/>
        <v>643.58174133300781</v>
      </c>
    </row>
    <row r="22" spans="1:6" ht="15.75" thickBot="1">
      <c r="A22" s="9">
        <v>2008</v>
      </c>
      <c r="B22" s="5">
        <v>33250</v>
      </c>
      <c r="C22" s="4">
        <f t="shared" si="3"/>
        <v>-5945</v>
      </c>
      <c r="D22" s="70">
        <f t="shared" si="1"/>
        <v>-1638.3716468811035</v>
      </c>
      <c r="E22" s="70">
        <f t="shared" si="2"/>
        <v>42185.047576904297</v>
      </c>
      <c r="F22" s="70">
        <f t="shared" si="0"/>
        <v>8935.0475769042969</v>
      </c>
    </row>
    <row r="23" spans="1:6" ht="15.75" thickBot="1">
      <c r="A23" s="14">
        <v>2009</v>
      </c>
      <c r="B23" s="35"/>
      <c r="C23" s="3"/>
      <c r="D23" s="3"/>
      <c r="E23" s="71">
        <f t="shared" si="2"/>
        <v>36079.152141571045</v>
      </c>
      <c r="F23" s="3"/>
    </row>
  </sheetData>
  <mergeCells count="4">
    <mergeCell ref="H4:I4"/>
    <mergeCell ref="H7:I7"/>
    <mergeCell ref="H10:I10"/>
    <mergeCell ref="H13:I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3:I26"/>
  <sheetViews>
    <sheetView zoomScale="75" zoomScaleNormal="75" workbookViewId="0">
      <selection activeCell="C26" sqref="C26"/>
    </sheetView>
  </sheetViews>
  <sheetFormatPr defaultRowHeight="15"/>
  <cols>
    <col min="2" max="2" width="23.7109375" bestFit="1" customWidth="1"/>
    <col min="3" max="3" width="23.85546875" bestFit="1" customWidth="1"/>
    <col min="4" max="4" width="12.5703125" bestFit="1" customWidth="1"/>
    <col min="5" max="5" width="13.5703125" bestFit="1" customWidth="1"/>
    <col min="6" max="6" width="16.42578125" bestFit="1" customWidth="1"/>
    <col min="7" max="7" width="19.42578125" bestFit="1" customWidth="1"/>
    <col min="8" max="8" width="21" bestFit="1" customWidth="1"/>
    <col min="9" max="9" width="13.5703125" bestFit="1" customWidth="1"/>
  </cols>
  <sheetData>
    <row r="3" spans="1:9" ht="15.75" thickBot="1">
      <c r="B3" s="2" t="s">
        <v>13</v>
      </c>
      <c r="C3" s="2" t="s">
        <v>14</v>
      </c>
    </row>
    <row r="4" spans="1:9" ht="15.75" thickBot="1">
      <c r="A4" s="9" t="s">
        <v>3</v>
      </c>
      <c r="B4" s="9" t="s">
        <v>4</v>
      </c>
      <c r="C4" s="9" t="s">
        <v>40</v>
      </c>
      <c r="D4" s="14" t="s">
        <v>43</v>
      </c>
      <c r="E4" s="14" t="s">
        <v>15</v>
      </c>
      <c r="F4" s="14" t="s">
        <v>16</v>
      </c>
      <c r="G4" s="9" t="s">
        <v>8</v>
      </c>
      <c r="H4" s="16" t="s">
        <v>17</v>
      </c>
    </row>
    <row r="5" spans="1:9" ht="15.75" thickBot="1">
      <c r="A5" s="9">
        <v>1990</v>
      </c>
      <c r="B5" s="6">
        <v>3292111</v>
      </c>
      <c r="C5" s="12">
        <f>Data!B9/((1+0.04)^-19)</f>
        <v>332073.13972341898</v>
      </c>
      <c r="D5" s="12">
        <f t="shared" ref="D5:D23" si="0">a+(b*B5)</f>
        <v>337673.14023317827</v>
      </c>
      <c r="E5" s="12">
        <f>ABS(C5-D5)</f>
        <v>5600.0005097592948</v>
      </c>
      <c r="F5" s="5">
        <f>E5^2</f>
        <v>31360005.709304363</v>
      </c>
      <c r="G5" s="12">
        <v>157616</v>
      </c>
      <c r="H5" s="15" t="s">
        <v>18</v>
      </c>
    </row>
    <row r="6" spans="1:9" ht="15.75" thickBot="1">
      <c r="A6" s="9">
        <v>1991</v>
      </c>
      <c r="B6" s="7">
        <v>3373787</v>
      </c>
      <c r="C6" s="12">
        <f>Data!B10/((1+0.04)^-18)</f>
        <v>340813.24146470748</v>
      </c>
      <c r="D6" s="12">
        <f t="shared" si="0"/>
        <v>341509.91851554252</v>
      </c>
      <c r="E6" s="12">
        <f t="shared" ref="E6:E23" si="1">ABS(C6-D6)</f>
        <v>696.67705083504552</v>
      </c>
      <c r="F6" s="5">
        <f t="shared" ref="F6:F23" si="2">E6^2</f>
        <v>485358.91316021659</v>
      </c>
      <c r="G6" s="12">
        <v>168235</v>
      </c>
      <c r="H6" s="15" t="s">
        <v>19</v>
      </c>
      <c r="I6">
        <f>INTERCEPT(DependentVariable,IndependentVariable)</f>
        <v>183024.28392370528</v>
      </c>
    </row>
    <row r="7" spans="1:9" ht="15.75" thickBot="1">
      <c r="A7" s="9">
        <v>1992</v>
      </c>
      <c r="B7" s="7">
        <v>3468802</v>
      </c>
      <c r="C7" s="12">
        <f>Data!B11/((1+0.04)^-17)</f>
        <v>370099.14625519793</v>
      </c>
      <c r="D7" s="12">
        <f t="shared" si="0"/>
        <v>345973.30419185921</v>
      </c>
      <c r="E7" s="12">
        <f t="shared" si="1"/>
        <v>24125.842063338729</v>
      </c>
      <c r="F7" s="5">
        <f t="shared" si="2"/>
        <v>582056255.26516438</v>
      </c>
      <c r="G7" s="12">
        <v>189999</v>
      </c>
      <c r="H7" s="15" t="s">
        <v>20</v>
      </c>
      <c r="I7">
        <f>SLOPE(DependentVariable,IndependentVariable)</f>
        <v>4.6975589920714392E-2</v>
      </c>
    </row>
    <row r="8" spans="1:9" ht="15.75" thickBot="1">
      <c r="A8" s="9">
        <v>1993</v>
      </c>
      <c r="B8" s="7">
        <v>3567772</v>
      </c>
      <c r="C8" s="12">
        <f>Data!B12/((1+0.04)^-16)</f>
        <v>397057.04024419928</v>
      </c>
      <c r="D8" s="12">
        <f t="shared" si="0"/>
        <v>350622.47832631232</v>
      </c>
      <c r="E8" s="12">
        <f t="shared" si="1"/>
        <v>46434.561917886953</v>
      </c>
      <c r="F8" s="5">
        <f t="shared" si="2"/>
        <v>2156168540.5060773</v>
      </c>
      <c r="G8" s="12">
        <v>211992</v>
      </c>
    </row>
    <row r="9" spans="1:9" ht="15.75" thickBot="1">
      <c r="A9" s="9">
        <v>1994</v>
      </c>
      <c r="B9" s="7">
        <v>3676075</v>
      </c>
      <c r="C9" s="12">
        <f>Data!B13/((1+0.04)^-15)</f>
        <v>413341.7477229145</v>
      </c>
      <c r="D9" s="12">
        <f t="shared" si="0"/>
        <v>355710.07564149541</v>
      </c>
      <c r="E9" s="12">
        <f t="shared" si="1"/>
        <v>57631.672081419092</v>
      </c>
      <c r="F9" s="5">
        <f t="shared" si="2"/>
        <v>3321409626.9002209</v>
      </c>
      <c r="G9" s="12">
        <v>229514</v>
      </c>
    </row>
    <row r="10" spans="1:9" ht="15.75" thickBot="1">
      <c r="A10" s="9">
        <v>1995</v>
      </c>
      <c r="B10" s="7">
        <v>3777390</v>
      </c>
      <c r="C10" s="12">
        <f>Data!B14/((1+0.04)^-14)</f>
        <v>384189.73666515818</v>
      </c>
      <c r="D10" s="12">
        <f t="shared" si="0"/>
        <v>360469.40753431263</v>
      </c>
      <c r="E10" s="12">
        <f t="shared" si="1"/>
        <v>23720.329130845552</v>
      </c>
      <c r="F10" s="5">
        <f t="shared" si="2"/>
        <v>562654014.07564008</v>
      </c>
      <c r="G10" s="12">
        <v>221860</v>
      </c>
      <c r="H10" s="82" t="s">
        <v>21</v>
      </c>
      <c r="I10" s="82"/>
    </row>
    <row r="11" spans="1:9" ht="15.75" thickBot="1">
      <c r="A11" s="9">
        <v>1996</v>
      </c>
      <c r="B11" s="7">
        <v>3874317</v>
      </c>
      <c r="C11" s="12">
        <f>Data!B15/((1+0.04)^-13)</f>
        <v>364129.93009318708</v>
      </c>
      <c r="D11" s="12">
        <f t="shared" si="0"/>
        <v>365022.6105385577</v>
      </c>
      <c r="E11" s="12">
        <f t="shared" si="1"/>
        <v>892.6804453706136</v>
      </c>
      <c r="F11" s="5">
        <f t="shared" si="2"/>
        <v>796878.37754707702</v>
      </c>
      <c r="G11" s="12">
        <v>218687</v>
      </c>
      <c r="H11" s="15" t="s">
        <v>22</v>
      </c>
      <c r="I11" s="18">
        <f>AVERAGE(E5:E23)</f>
        <v>41166.745756725475</v>
      </c>
    </row>
    <row r="12" spans="1:9" ht="15.75" thickBot="1">
      <c r="A12" s="9">
        <v>1997</v>
      </c>
      <c r="B12" s="7">
        <v>3948583</v>
      </c>
      <c r="C12" s="12">
        <f>Data!B16/((1+0.04)^-12)</f>
        <v>353046.81658079667</v>
      </c>
      <c r="D12" s="12">
        <f t="shared" si="0"/>
        <v>368511.29969960952</v>
      </c>
      <c r="E12" s="12">
        <f t="shared" si="1"/>
        <v>15464.483118812845</v>
      </c>
      <c r="F12" s="5">
        <f t="shared" si="2"/>
        <v>239150238.13204744</v>
      </c>
      <c r="G12" s="12">
        <v>220512</v>
      </c>
    </row>
    <row r="13" spans="1:9" ht="15.75" thickBot="1">
      <c r="A13" s="9">
        <v>1998</v>
      </c>
      <c r="B13" s="7">
        <v>3983113</v>
      </c>
      <c r="C13" s="12">
        <f>Data!B17/((1+0.04)^-11)</f>
        <v>326435.0748253871</v>
      </c>
      <c r="D13" s="12">
        <f t="shared" si="0"/>
        <v>370133.3668195717</v>
      </c>
      <c r="E13" s="12">
        <f t="shared" si="1"/>
        <v>43698.291994184605</v>
      </c>
      <c r="F13" s="5">
        <f t="shared" si="2"/>
        <v>1909540723.2090182</v>
      </c>
      <c r="G13" s="12">
        <v>212046</v>
      </c>
      <c r="H13" s="82" t="s">
        <v>23</v>
      </c>
      <c r="I13" s="82"/>
    </row>
    <row r="14" spans="1:9" ht="15.75" thickBot="1">
      <c r="A14" s="9">
        <v>1999</v>
      </c>
      <c r="B14" s="7">
        <v>4011375</v>
      </c>
      <c r="C14" s="12">
        <f>Data!B18/((1+0.04)^-10)</f>
        <v>318671.43039007601</v>
      </c>
      <c r="D14" s="12">
        <f t="shared" si="0"/>
        <v>371460.990941911</v>
      </c>
      <c r="E14" s="12">
        <f t="shared" si="1"/>
        <v>52789.560551834991</v>
      </c>
      <c r="F14" s="5">
        <f t="shared" si="2"/>
        <v>2786737703.2558532</v>
      </c>
      <c r="G14" s="12">
        <v>215283</v>
      </c>
      <c r="H14" s="15" t="s">
        <v>24</v>
      </c>
      <c r="I14" s="19">
        <f>SUMSQ(E5:E23) / COUNT(E5:E23)</f>
        <v>2424112440.8953114</v>
      </c>
    </row>
    <row r="15" spans="1:9" ht="15.75" thickBot="1">
      <c r="A15" s="9">
        <v>2000</v>
      </c>
      <c r="B15" s="7">
        <v>4039230</v>
      </c>
      <c r="C15" s="12">
        <f>Data!B19/((1+0.04)^-9)</f>
        <v>308843.00686552568</v>
      </c>
      <c r="D15" s="12">
        <f t="shared" si="0"/>
        <v>372769.49599915248</v>
      </c>
      <c r="E15" s="12">
        <f t="shared" si="1"/>
        <v>63926.489133626805</v>
      </c>
      <c r="F15" s="5">
        <f t="shared" si="2"/>
        <v>4086596012.9517059</v>
      </c>
      <c r="G15" s="12">
        <v>216989</v>
      </c>
    </row>
    <row r="16" spans="1:9" ht="15.75" thickBot="1">
      <c r="A16" s="9">
        <v>2001</v>
      </c>
      <c r="B16" s="7">
        <v>4076264</v>
      </c>
      <c r="C16" s="12">
        <f>Data!B20/((1+0.04)^-8)</f>
        <v>302388.06882514613</v>
      </c>
      <c r="D16" s="12">
        <f t="shared" si="0"/>
        <v>374509.18999627623</v>
      </c>
      <c r="E16" s="12">
        <f t="shared" si="1"/>
        <v>72121.1211711301</v>
      </c>
      <c r="F16" s="5">
        <f t="shared" si="2"/>
        <v>5201456118.9808302</v>
      </c>
      <c r="G16" s="12">
        <v>220952</v>
      </c>
      <c r="H16" s="82" t="s">
        <v>25</v>
      </c>
      <c r="I16" s="82"/>
    </row>
    <row r="17" spans="1:9" ht="15.75" thickBot="1">
      <c r="A17" s="9">
        <v>2002</v>
      </c>
      <c r="B17" s="7">
        <v>4098178</v>
      </c>
      <c r="C17" s="12">
        <f>Data!B21/((1+0.04)^-7)</f>
        <v>314189.23974679073</v>
      </c>
      <c r="D17" s="12">
        <f t="shared" si="0"/>
        <v>375538.61307379871</v>
      </c>
      <c r="E17" s="12">
        <f t="shared" si="1"/>
        <v>61349.373327007983</v>
      </c>
      <c r="F17" s="5">
        <f t="shared" si="2"/>
        <v>3763745607.6165986</v>
      </c>
      <c r="G17" s="12">
        <v>238758</v>
      </c>
      <c r="H17" s="15" t="s">
        <v>26</v>
      </c>
      <c r="I17" s="20">
        <v>5000000</v>
      </c>
    </row>
    <row r="18" spans="1:9" ht="15.75" thickBot="1">
      <c r="A18" s="9">
        <v>2003</v>
      </c>
      <c r="B18" s="7">
        <v>4122396</v>
      </c>
      <c r="C18" s="12">
        <f>Data!B22/((1+0.04)^-6)</f>
        <v>328774.16717090824</v>
      </c>
      <c r="D18" s="12">
        <f t="shared" si="0"/>
        <v>376676.2679104986</v>
      </c>
      <c r="E18" s="12">
        <f t="shared" si="1"/>
        <v>47902.100739590358</v>
      </c>
      <c r="F18" s="5">
        <f t="shared" si="2"/>
        <v>2294611255.2658629</v>
      </c>
      <c r="G18" s="12">
        <v>259835</v>
      </c>
      <c r="H18" s="15" t="s">
        <v>27</v>
      </c>
      <c r="I18" s="18">
        <f>a + (I17 * b)</f>
        <v>417902.23352727725</v>
      </c>
    </row>
    <row r="19" spans="1:9" ht="15.75" thickBot="1">
      <c r="A19" s="9">
        <v>2004</v>
      </c>
      <c r="B19" s="7">
        <v>4155170</v>
      </c>
      <c r="C19" s="12">
        <f>Data!B23/((1+0.04)^-5)</f>
        <v>351572.53924782091</v>
      </c>
      <c r="D19" s="12">
        <f t="shared" si="0"/>
        <v>378215.8458945601</v>
      </c>
      <c r="E19" s="12">
        <f t="shared" si="1"/>
        <v>26643.306646739191</v>
      </c>
      <c r="F19" s="5">
        <f t="shared" si="2"/>
        <v>709865789.07217669</v>
      </c>
      <c r="G19" s="12">
        <v>288967</v>
      </c>
    </row>
    <row r="20" spans="1:9" ht="15.75" thickBot="1">
      <c r="A20" s="9">
        <v>2005</v>
      </c>
      <c r="B20" s="7">
        <v>4196788</v>
      </c>
      <c r="C20" s="12">
        <f>Data!B24/((1+0.04)^-4)</f>
        <v>388553.31254272006</v>
      </c>
      <c r="D20" s="12">
        <f t="shared" si="0"/>
        <v>380170.8759958804</v>
      </c>
      <c r="E20" s="12">
        <f t="shared" si="1"/>
        <v>8382.4365468396572</v>
      </c>
      <c r="F20" s="5">
        <f t="shared" si="2"/>
        <v>70265242.461793154</v>
      </c>
      <c r="G20" s="12">
        <v>332137</v>
      </c>
    </row>
    <row r="21" spans="1:9" ht="15.75" thickBot="1">
      <c r="A21" s="9">
        <v>2006</v>
      </c>
      <c r="B21" s="7">
        <v>4243580</v>
      </c>
      <c r="C21" s="12">
        <f>Data!B25/((1+0.04)^-3)</f>
        <v>439780.20403200004</v>
      </c>
      <c r="D21" s="12">
        <f t="shared" si="0"/>
        <v>382368.95779945049</v>
      </c>
      <c r="E21" s="12">
        <f t="shared" si="1"/>
        <v>57411.246232549543</v>
      </c>
      <c r="F21" s="5">
        <f t="shared" si="2"/>
        <v>3296051193.9744344</v>
      </c>
      <c r="G21" s="12">
        <v>390963</v>
      </c>
    </row>
    <row r="22" spans="1:9" ht="15.75" thickBot="1">
      <c r="A22" s="9">
        <v>2007</v>
      </c>
      <c r="B22" s="7">
        <v>4310305</v>
      </c>
      <c r="C22" s="12">
        <f>Data!B26/((1+0.04)^-2)</f>
        <v>474951.11040000006</v>
      </c>
      <c r="D22" s="12">
        <f t="shared" si="0"/>
        <v>385503.40403691016</v>
      </c>
      <c r="E22" s="12">
        <f t="shared" si="1"/>
        <v>89447.706363089907</v>
      </c>
      <c r="F22" s="5">
        <f t="shared" si="2"/>
        <v>8000892173.6175547</v>
      </c>
      <c r="G22" s="12">
        <v>439119</v>
      </c>
    </row>
    <row r="23" spans="1:9" ht="15.75" thickBot="1">
      <c r="A23" s="9">
        <v>2008</v>
      </c>
      <c r="B23" s="7">
        <v>4381603</v>
      </c>
      <c r="C23" s="12">
        <f>Data!B27/((1+0.04)^-1)</f>
        <v>472782.96</v>
      </c>
      <c r="D23" s="12">
        <f t="shared" si="0"/>
        <v>388852.66964707721</v>
      </c>
      <c r="E23" s="12">
        <f t="shared" si="1"/>
        <v>83930.290352922806</v>
      </c>
      <c r="F23" s="5">
        <f t="shared" si="2"/>
        <v>7044293638.7259274</v>
      </c>
      <c r="G23" s="12">
        <v>454599</v>
      </c>
    </row>
    <row r="24" spans="1:9" ht="15.75" thickBot="1">
      <c r="A24" s="14">
        <v>2009</v>
      </c>
      <c r="B24" s="34">
        <v>4446000</v>
      </c>
      <c r="C24" s="30"/>
      <c r="D24" s="33">
        <f>a+(b*B24)</f>
        <v>391877.75671120151</v>
      </c>
      <c r="E24" s="3"/>
      <c r="F24" s="3"/>
      <c r="G24" s="33"/>
    </row>
    <row r="26" spans="1:9">
      <c r="B26" t="s">
        <v>41</v>
      </c>
    </row>
  </sheetData>
  <mergeCells count="3">
    <mergeCell ref="H10:I10"/>
    <mergeCell ref="H13:I13"/>
    <mergeCell ref="H16:I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I23"/>
  <sheetViews>
    <sheetView zoomScale="75" zoomScaleNormal="75" workbookViewId="0">
      <selection activeCell="L1" sqref="L1"/>
    </sheetView>
  </sheetViews>
  <sheetFormatPr defaultRowHeight="15"/>
  <cols>
    <col min="1" max="1" width="15.7109375" bestFit="1" customWidth="1"/>
    <col min="2" max="2" width="23.7109375" bestFit="1" customWidth="1"/>
    <col min="3" max="3" width="12.5703125" bestFit="1" customWidth="1"/>
    <col min="4" max="4" width="13.5703125" bestFit="1" customWidth="1"/>
    <col min="5" max="5" width="19.42578125" bestFit="1" customWidth="1"/>
    <col min="6" max="6" width="13.5703125" bestFit="1" customWidth="1"/>
    <col min="9" max="9" width="14.42578125" bestFit="1" customWidth="1"/>
  </cols>
  <sheetData>
    <row r="2" spans="1:9" ht="15.75" thickBot="1">
      <c r="A2" s="66"/>
      <c r="C2" s="8"/>
      <c r="D2" s="8"/>
      <c r="E2" s="8"/>
      <c r="F2" s="8"/>
      <c r="I2" s="8"/>
    </row>
    <row r="3" spans="1:9" ht="30.75" thickBot="1">
      <c r="A3" s="9" t="s">
        <v>3</v>
      </c>
      <c r="B3" s="9" t="s">
        <v>4</v>
      </c>
      <c r="C3" s="69" t="s">
        <v>55</v>
      </c>
      <c r="D3" s="69" t="s">
        <v>56</v>
      </c>
      <c r="E3" s="69" t="s">
        <v>57</v>
      </c>
      <c r="F3" s="69" t="s">
        <v>58</v>
      </c>
      <c r="G3" s="67"/>
      <c r="H3" s="67"/>
      <c r="I3" s="67"/>
    </row>
    <row r="4" spans="1:9" ht="15.75" thickBot="1">
      <c r="A4" s="9">
        <v>1990</v>
      </c>
      <c r="B4" s="7">
        <v>3292111</v>
      </c>
      <c r="C4" s="4">
        <v>0</v>
      </c>
      <c r="D4" s="4">
        <v>40000</v>
      </c>
      <c r="E4" s="4">
        <v>3300000</v>
      </c>
      <c r="F4" s="70">
        <f t="shared" ref="F4:F22" si="0">ABS(ActualValue - ForecastValue)</f>
        <v>7889</v>
      </c>
      <c r="H4" s="83" t="s">
        <v>21</v>
      </c>
      <c r="I4" s="83"/>
    </row>
    <row r="5" spans="1:9" ht="15.75" thickBot="1">
      <c r="A5" s="9">
        <v>1991</v>
      </c>
      <c r="B5" s="7">
        <v>3373787</v>
      </c>
      <c r="C5" s="4">
        <f>B5-B4</f>
        <v>81676</v>
      </c>
      <c r="D5" s="70">
        <f t="shared" ref="D5:D22" si="1">(Beta * C5) + ((1 - Beta) * D4)</f>
        <v>60838</v>
      </c>
      <c r="E5" s="70">
        <f t="shared" ref="E5:E23" si="2">((Alpha * B4) + ((1 - Alpha) * E4)) + D4</f>
        <v>3336055.5</v>
      </c>
      <c r="F5" s="70">
        <f t="shared" si="0"/>
        <v>37731.5</v>
      </c>
      <c r="H5" s="15" t="s">
        <v>22</v>
      </c>
      <c r="I5" s="18">
        <f>AVERAGE(ForecastingError)</f>
        <v>31815.249365276759</v>
      </c>
    </row>
    <row r="6" spans="1:9" ht="15.75" thickBot="1">
      <c r="A6" s="9">
        <v>1992</v>
      </c>
      <c r="B6" s="7">
        <v>3468802</v>
      </c>
      <c r="C6" s="4">
        <f t="shared" ref="C6:C22" si="3">B6-B5</f>
        <v>95015</v>
      </c>
      <c r="D6" s="70">
        <f t="shared" si="1"/>
        <v>77926.5</v>
      </c>
      <c r="E6" s="70">
        <f t="shared" si="2"/>
        <v>3415759.25</v>
      </c>
      <c r="F6" s="70">
        <f t="shared" si="0"/>
        <v>53042.75</v>
      </c>
      <c r="I6" s="8"/>
    </row>
    <row r="7" spans="1:9" ht="15.75" thickBot="1">
      <c r="A7" s="9">
        <v>1993</v>
      </c>
      <c r="B7" s="7">
        <v>3567772</v>
      </c>
      <c r="C7" s="4">
        <f t="shared" si="3"/>
        <v>98970</v>
      </c>
      <c r="D7" s="70">
        <f t="shared" si="1"/>
        <v>88448.25</v>
      </c>
      <c r="E7" s="70">
        <f t="shared" si="2"/>
        <v>3520207.125</v>
      </c>
      <c r="F7" s="70">
        <f t="shared" si="0"/>
        <v>47564.875</v>
      </c>
      <c r="H7" s="83" t="s">
        <v>23</v>
      </c>
      <c r="I7" s="83"/>
    </row>
    <row r="8" spans="1:9" ht="15.75" thickBot="1">
      <c r="A8" s="9">
        <v>1994</v>
      </c>
      <c r="B8" s="7">
        <v>3676075</v>
      </c>
      <c r="C8" s="4">
        <f t="shared" si="3"/>
        <v>108303</v>
      </c>
      <c r="D8" s="70">
        <f t="shared" si="1"/>
        <v>98375.625</v>
      </c>
      <c r="E8" s="70">
        <f t="shared" si="2"/>
        <v>3632437.8125</v>
      </c>
      <c r="F8" s="70">
        <f t="shared" si="0"/>
        <v>43637.1875</v>
      </c>
      <c r="H8" s="15" t="s">
        <v>24</v>
      </c>
      <c r="I8" s="19">
        <f>SUMSQ(ForecastingError) / COUNT(ForecastingError)</f>
        <v>1318970103.3280616</v>
      </c>
    </row>
    <row r="9" spans="1:9" ht="15.75" thickBot="1">
      <c r="A9" s="9">
        <v>1995</v>
      </c>
      <c r="B9" s="7">
        <v>3777390</v>
      </c>
      <c r="C9" s="4">
        <f t="shared" si="3"/>
        <v>101315</v>
      </c>
      <c r="D9" s="70">
        <f t="shared" si="1"/>
        <v>99845.3125</v>
      </c>
      <c r="E9" s="70">
        <f t="shared" si="2"/>
        <v>3752632.03125</v>
      </c>
      <c r="F9" s="70">
        <f t="shared" si="0"/>
        <v>24757.96875</v>
      </c>
      <c r="I9" s="8"/>
    </row>
    <row r="10" spans="1:9" ht="15.75" thickBot="1">
      <c r="A10" s="9">
        <v>1996</v>
      </c>
      <c r="B10" s="7">
        <v>3874317</v>
      </c>
      <c r="C10" s="4">
        <f t="shared" si="3"/>
        <v>96927</v>
      </c>
      <c r="D10" s="70">
        <f t="shared" si="1"/>
        <v>98386.15625</v>
      </c>
      <c r="E10" s="70">
        <f t="shared" si="2"/>
        <v>3864856.328125</v>
      </c>
      <c r="F10" s="70">
        <f t="shared" si="0"/>
        <v>9460.671875</v>
      </c>
      <c r="H10" s="83" t="s">
        <v>59</v>
      </c>
      <c r="I10" s="83"/>
    </row>
    <row r="11" spans="1:9" ht="15.75" thickBot="1">
      <c r="A11" s="9">
        <v>1997</v>
      </c>
      <c r="B11" s="7">
        <v>3948583</v>
      </c>
      <c r="C11" s="4">
        <f t="shared" si="3"/>
        <v>74266</v>
      </c>
      <c r="D11" s="70">
        <f t="shared" si="1"/>
        <v>86326.078125</v>
      </c>
      <c r="E11" s="70">
        <f t="shared" si="2"/>
        <v>3967972.8203125</v>
      </c>
      <c r="F11" s="70">
        <f t="shared" si="0"/>
        <v>19389.8203125</v>
      </c>
      <c r="H11" s="68" t="s">
        <v>60</v>
      </c>
      <c r="I11" s="8">
        <v>0.5</v>
      </c>
    </row>
    <row r="12" spans="1:9" ht="15.75" thickBot="1">
      <c r="A12" s="9">
        <v>1998</v>
      </c>
      <c r="B12" s="7">
        <v>3983113</v>
      </c>
      <c r="C12" s="4">
        <f t="shared" si="3"/>
        <v>34530</v>
      </c>
      <c r="D12" s="70">
        <f t="shared" si="1"/>
        <v>60428.0390625</v>
      </c>
      <c r="E12" s="70">
        <f t="shared" si="2"/>
        <v>4044603.98828125</v>
      </c>
      <c r="F12" s="70">
        <f t="shared" si="0"/>
        <v>61490.98828125</v>
      </c>
      <c r="I12" s="8"/>
    </row>
    <row r="13" spans="1:9" ht="15.75" thickBot="1">
      <c r="A13" s="9">
        <v>1999</v>
      </c>
      <c r="B13" s="7">
        <v>4011375</v>
      </c>
      <c r="C13" s="4">
        <f t="shared" si="3"/>
        <v>28262</v>
      </c>
      <c r="D13" s="70">
        <f t="shared" si="1"/>
        <v>44345.01953125</v>
      </c>
      <c r="E13" s="70">
        <f t="shared" si="2"/>
        <v>4074286.533203125</v>
      </c>
      <c r="F13" s="70">
        <f t="shared" si="0"/>
        <v>62911.533203125</v>
      </c>
      <c r="H13" s="83" t="s">
        <v>61</v>
      </c>
      <c r="I13" s="83"/>
    </row>
    <row r="14" spans="1:9" ht="15.75" thickBot="1">
      <c r="A14" s="9">
        <v>2000</v>
      </c>
      <c r="B14" s="7">
        <v>4039230</v>
      </c>
      <c r="C14" s="4">
        <f t="shared" si="3"/>
        <v>27855</v>
      </c>
      <c r="D14" s="70">
        <f t="shared" si="1"/>
        <v>36100.009765625</v>
      </c>
      <c r="E14" s="70">
        <f t="shared" si="2"/>
        <v>4087175.7861328125</v>
      </c>
      <c r="F14" s="70">
        <f t="shared" si="0"/>
        <v>47945.7861328125</v>
      </c>
      <c r="H14" s="68" t="s">
        <v>62</v>
      </c>
      <c r="I14" s="8">
        <v>0.5</v>
      </c>
    </row>
    <row r="15" spans="1:9" ht="15.75" thickBot="1">
      <c r="A15" s="9">
        <v>2001</v>
      </c>
      <c r="B15" s="7">
        <v>4076264</v>
      </c>
      <c r="C15" s="4">
        <f t="shared" si="3"/>
        <v>37034</v>
      </c>
      <c r="D15" s="70">
        <f t="shared" si="1"/>
        <v>36567.0048828125</v>
      </c>
      <c r="E15" s="70">
        <f t="shared" si="2"/>
        <v>4099302.9028320312</v>
      </c>
      <c r="F15" s="70">
        <f t="shared" si="0"/>
        <v>23038.90283203125</v>
      </c>
    </row>
    <row r="16" spans="1:9" ht="15.75" thickBot="1">
      <c r="A16" s="9">
        <v>2002</v>
      </c>
      <c r="B16" s="7">
        <v>4098178</v>
      </c>
      <c r="C16" s="4">
        <f t="shared" si="3"/>
        <v>21914</v>
      </c>
      <c r="D16" s="70">
        <f t="shared" si="1"/>
        <v>29240.50244140625</v>
      </c>
      <c r="E16" s="70">
        <f t="shared" si="2"/>
        <v>4124350.4562988281</v>
      </c>
      <c r="F16" s="70">
        <f t="shared" si="0"/>
        <v>26172.456298828125</v>
      </c>
    </row>
    <row r="17" spans="1:6" ht="15.75" thickBot="1">
      <c r="A17" s="9">
        <v>2003</v>
      </c>
      <c r="B17" s="7">
        <v>4122396</v>
      </c>
      <c r="C17" s="4">
        <f t="shared" si="3"/>
        <v>24218</v>
      </c>
      <c r="D17" s="70">
        <f t="shared" si="1"/>
        <v>26729.251220703125</v>
      </c>
      <c r="E17" s="70">
        <f t="shared" si="2"/>
        <v>4140504.7305908203</v>
      </c>
      <c r="F17" s="70">
        <f t="shared" si="0"/>
        <v>18108.730590820313</v>
      </c>
    </row>
    <row r="18" spans="1:6" ht="15.75" thickBot="1">
      <c r="A18" s="9">
        <v>2004</v>
      </c>
      <c r="B18" s="7">
        <v>4155170</v>
      </c>
      <c r="C18" s="4">
        <f t="shared" si="3"/>
        <v>32774</v>
      </c>
      <c r="D18" s="70">
        <f t="shared" si="1"/>
        <v>29751.625610351563</v>
      </c>
      <c r="E18" s="70">
        <f t="shared" si="2"/>
        <v>4158179.6165161133</v>
      </c>
      <c r="F18" s="70">
        <f t="shared" si="0"/>
        <v>3009.6165161132812</v>
      </c>
    </row>
    <row r="19" spans="1:6" ht="15.75" thickBot="1">
      <c r="A19" s="9">
        <v>2005</v>
      </c>
      <c r="B19" s="7">
        <v>4196788</v>
      </c>
      <c r="C19" s="4">
        <f t="shared" si="3"/>
        <v>41618</v>
      </c>
      <c r="D19" s="70">
        <f t="shared" si="1"/>
        <v>35684.812805175781</v>
      </c>
      <c r="E19" s="70">
        <f t="shared" si="2"/>
        <v>4186426.4338684082</v>
      </c>
      <c r="F19" s="70">
        <f t="shared" si="0"/>
        <v>10361.566131591797</v>
      </c>
    </row>
    <row r="20" spans="1:6" ht="15.75" thickBot="1">
      <c r="A20" s="9">
        <v>2006</v>
      </c>
      <c r="B20" s="7">
        <v>4243580</v>
      </c>
      <c r="C20" s="4">
        <f t="shared" si="3"/>
        <v>46792</v>
      </c>
      <c r="D20" s="70">
        <f t="shared" si="1"/>
        <v>41238.406402587891</v>
      </c>
      <c r="E20" s="70">
        <f t="shared" si="2"/>
        <v>4227292.0297393799</v>
      </c>
      <c r="F20" s="70">
        <f t="shared" si="0"/>
        <v>16287.970260620117</v>
      </c>
    </row>
    <row r="21" spans="1:6" ht="15.75" thickBot="1">
      <c r="A21" s="9">
        <v>2007</v>
      </c>
      <c r="B21" s="7">
        <v>4310305</v>
      </c>
      <c r="C21" s="4">
        <f t="shared" si="3"/>
        <v>66725</v>
      </c>
      <c r="D21" s="70">
        <f t="shared" si="1"/>
        <v>53981.703201293945</v>
      </c>
      <c r="E21" s="70">
        <f t="shared" si="2"/>
        <v>4276674.4212722778</v>
      </c>
      <c r="F21" s="70">
        <f t="shared" si="0"/>
        <v>33630.578727722168</v>
      </c>
    </row>
    <row r="22" spans="1:6" ht="15.75" thickBot="1">
      <c r="A22" s="9">
        <v>2008</v>
      </c>
      <c r="B22" s="7">
        <v>4381603</v>
      </c>
      <c r="C22" s="4">
        <f t="shared" si="3"/>
        <v>71298</v>
      </c>
      <c r="D22" s="70">
        <f t="shared" si="1"/>
        <v>62639.851600646973</v>
      </c>
      <c r="E22" s="70">
        <f t="shared" si="2"/>
        <v>4347471.4138374329</v>
      </c>
      <c r="F22" s="70">
        <f t="shared" si="0"/>
        <v>34131.586162567139</v>
      </c>
    </row>
    <row r="23" spans="1:6" ht="15.75" thickBot="1">
      <c r="A23" s="14">
        <v>2009</v>
      </c>
      <c r="B23" s="34"/>
      <c r="C23" s="3"/>
      <c r="D23" s="3"/>
      <c r="E23" s="71">
        <f t="shared" si="2"/>
        <v>4427177.0585193634</v>
      </c>
      <c r="F23" s="3"/>
    </row>
  </sheetData>
  <mergeCells count="4">
    <mergeCell ref="H13:I13"/>
    <mergeCell ref="H4:I4"/>
    <mergeCell ref="H7:I7"/>
    <mergeCell ref="H10:I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5"/>
  <dimension ref="A3:I26"/>
  <sheetViews>
    <sheetView zoomScale="73" zoomScaleNormal="73" workbookViewId="0">
      <selection activeCell="H21" sqref="H21"/>
    </sheetView>
  </sheetViews>
  <sheetFormatPr defaultRowHeight="15"/>
  <cols>
    <col min="2" max="2" width="23.7109375" bestFit="1" customWidth="1"/>
    <col min="3" max="3" width="23.85546875" bestFit="1" customWidth="1"/>
    <col min="4" max="4" width="12.5703125" bestFit="1" customWidth="1"/>
    <col min="5" max="5" width="13.5703125" bestFit="1" customWidth="1"/>
    <col min="6" max="6" width="16.42578125" bestFit="1" customWidth="1"/>
    <col min="7" max="7" width="19.42578125" bestFit="1" customWidth="1"/>
    <col min="8" max="8" width="21" bestFit="1" customWidth="1"/>
    <col min="9" max="9" width="13.85546875" bestFit="1" customWidth="1"/>
  </cols>
  <sheetData>
    <row r="3" spans="1:9" ht="15.75" thickBot="1">
      <c r="B3" s="2" t="s">
        <v>13</v>
      </c>
      <c r="C3" s="2" t="s">
        <v>14</v>
      </c>
    </row>
    <row r="4" spans="1:9" ht="15.75" thickBot="1">
      <c r="A4" s="9" t="s">
        <v>3</v>
      </c>
      <c r="B4" s="9" t="s">
        <v>5</v>
      </c>
      <c r="C4" s="9" t="s">
        <v>40</v>
      </c>
      <c r="D4" s="14" t="s">
        <v>43</v>
      </c>
      <c r="E4" s="14" t="s">
        <v>15</v>
      </c>
      <c r="F4" s="14" t="s">
        <v>16</v>
      </c>
      <c r="G4" s="9" t="s">
        <v>8</v>
      </c>
      <c r="H4" s="16" t="s">
        <v>17</v>
      </c>
    </row>
    <row r="5" spans="1:9" ht="15.75" thickBot="1">
      <c r="A5" s="9">
        <v>1990</v>
      </c>
      <c r="B5" s="4">
        <v>8.4</v>
      </c>
      <c r="C5" s="12">
        <f>Data!B9/((1+0.04)^-19)</f>
        <v>332073.13972341898</v>
      </c>
      <c r="D5" s="12">
        <f t="shared" ref="D5:D23" si="0">a+(b*B5)</f>
        <v>356470.80827013979</v>
      </c>
      <c r="E5" s="12">
        <f>ABS(C5-D5)</f>
        <v>24397.668546720815</v>
      </c>
      <c r="F5" s="5">
        <f>E5^2</f>
        <v>595246230.51565015</v>
      </c>
      <c r="G5" s="12">
        <v>157616</v>
      </c>
      <c r="H5" s="15" t="s">
        <v>18</v>
      </c>
    </row>
    <row r="6" spans="1:9" ht="15.75" thickBot="1">
      <c r="A6" s="9">
        <v>1991</v>
      </c>
      <c r="B6" s="4">
        <v>9.9</v>
      </c>
      <c r="C6" s="12">
        <f>Data!B10/((1+0.04)^-18)</f>
        <v>340813.24146470748</v>
      </c>
      <c r="D6" s="12">
        <f t="shared" si="0"/>
        <v>329708.42933894775</v>
      </c>
      <c r="E6" s="12">
        <f t="shared" ref="E6:E23" si="1">ABS(C6-D6)</f>
        <v>11104.812125759723</v>
      </c>
      <c r="F6" s="5">
        <f t="shared" ref="F6:F23" si="2">E6^2</f>
        <v>123316852.34842019</v>
      </c>
      <c r="G6" s="12">
        <v>168235</v>
      </c>
      <c r="H6" s="15" t="s">
        <v>19</v>
      </c>
      <c r="I6">
        <f>INTERCEPT(DependentVariable,IndependentVariable)</f>
        <v>506340.13028481521</v>
      </c>
    </row>
    <row r="7" spans="1:9" ht="15.75" thickBot="1">
      <c r="A7" s="9">
        <v>1992</v>
      </c>
      <c r="B7" s="4">
        <v>10.1</v>
      </c>
      <c r="C7" s="12">
        <f>Data!B11/((1+0.04)^-17)</f>
        <v>370099.14625519793</v>
      </c>
      <c r="D7" s="12">
        <f t="shared" si="0"/>
        <v>326140.11214812216</v>
      </c>
      <c r="E7" s="12">
        <f t="shared" si="1"/>
        <v>43959.034107075771</v>
      </c>
      <c r="F7" s="5">
        <f t="shared" si="2"/>
        <v>1932396679.6270509</v>
      </c>
      <c r="G7" s="12">
        <v>189999</v>
      </c>
      <c r="H7" s="15" t="s">
        <v>20</v>
      </c>
      <c r="I7">
        <f>SLOPE(DependentVariable,IndependentVariable)</f>
        <v>-17841.585954128026</v>
      </c>
    </row>
    <row r="8" spans="1:9" ht="15.75" thickBot="1">
      <c r="A8" s="9">
        <v>1993</v>
      </c>
      <c r="B8" s="4">
        <v>9.6999999999999993</v>
      </c>
      <c r="C8" s="12">
        <f>Data!B12/((1+0.04)^-16)</f>
        <v>397057.04024419928</v>
      </c>
      <c r="D8" s="12">
        <f t="shared" si="0"/>
        <v>333276.74652977334</v>
      </c>
      <c r="E8" s="12">
        <f t="shared" si="1"/>
        <v>63780.293714425934</v>
      </c>
      <c r="F8" s="5">
        <f t="shared" si="2"/>
        <v>4067925866.2984405</v>
      </c>
      <c r="G8" s="12">
        <v>211992</v>
      </c>
    </row>
    <row r="9" spans="1:9" ht="15.75" thickBot="1">
      <c r="A9" s="9">
        <v>1994</v>
      </c>
      <c r="B9" s="4">
        <v>9.1</v>
      </c>
      <c r="C9" s="12">
        <f>Data!B13/((1+0.04)^-15)</f>
        <v>413341.7477229145</v>
      </c>
      <c r="D9" s="12">
        <f t="shared" si="0"/>
        <v>343981.69810225017</v>
      </c>
      <c r="E9" s="12">
        <f t="shared" si="1"/>
        <v>69360.049620664329</v>
      </c>
      <c r="F9" s="5">
        <f t="shared" si="2"/>
        <v>4810816483.3810177</v>
      </c>
      <c r="G9" s="12">
        <v>229514</v>
      </c>
    </row>
    <row r="10" spans="1:9" ht="15.75" thickBot="1">
      <c r="A10" s="9">
        <v>1995</v>
      </c>
      <c r="B10" s="4">
        <v>8.5</v>
      </c>
      <c r="C10" s="12">
        <f>Data!B14/((1+0.04)^-14)</f>
        <v>384189.73666515818</v>
      </c>
      <c r="D10" s="12">
        <f t="shared" si="0"/>
        <v>354686.649674727</v>
      </c>
      <c r="E10" s="12">
        <f t="shared" si="1"/>
        <v>29503.086990431184</v>
      </c>
      <c r="F10" s="5">
        <f t="shared" si="2"/>
        <v>870432141.96494973</v>
      </c>
      <c r="G10" s="12">
        <v>221860</v>
      </c>
      <c r="H10" s="82" t="s">
        <v>21</v>
      </c>
      <c r="I10" s="82"/>
    </row>
    <row r="11" spans="1:9" ht="15.75" thickBot="1">
      <c r="A11" s="9">
        <v>1996</v>
      </c>
      <c r="B11" s="4">
        <v>8.6999999999999993</v>
      </c>
      <c r="C11" s="12">
        <f>Data!B15/((1+0.04)^-13)</f>
        <v>364129.93009318708</v>
      </c>
      <c r="D11" s="12">
        <f t="shared" si="0"/>
        <v>351118.33248390141</v>
      </c>
      <c r="E11" s="12">
        <f t="shared" si="1"/>
        <v>13011.597609285673</v>
      </c>
      <c r="F11" s="5">
        <f t="shared" si="2"/>
        <v>169301672.34596863</v>
      </c>
      <c r="G11" s="12">
        <v>218687</v>
      </c>
      <c r="H11" s="15" t="s">
        <v>22</v>
      </c>
      <c r="I11" s="18">
        <f>AVERAGE(E5:E23)</f>
        <v>35985.087023298707</v>
      </c>
    </row>
    <row r="12" spans="1:9" ht="15.75" thickBot="1">
      <c r="A12" s="9">
        <v>1997</v>
      </c>
      <c r="B12" s="4">
        <v>8.4</v>
      </c>
      <c r="C12" s="12">
        <f>Data!B16/((1+0.04)^-12)</f>
        <v>353046.81658079667</v>
      </c>
      <c r="D12" s="12">
        <f t="shared" si="0"/>
        <v>356470.80827013979</v>
      </c>
      <c r="E12" s="12">
        <f t="shared" si="1"/>
        <v>3423.9916893431218</v>
      </c>
      <c r="F12" s="5">
        <f t="shared" si="2"/>
        <v>11723719.088690765</v>
      </c>
      <c r="G12" s="12">
        <v>220512</v>
      </c>
    </row>
    <row r="13" spans="1:9" ht="15.75" thickBot="1">
      <c r="A13" s="9">
        <v>1998</v>
      </c>
      <c r="B13" s="4">
        <v>8.8000000000000007</v>
      </c>
      <c r="C13" s="12">
        <f>Data!B17/((1+0.04)^-11)</f>
        <v>326435.0748253871</v>
      </c>
      <c r="D13" s="12">
        <f t="shared" si="0"/>
        <v>349334.17388848856</v>
      </c>
      <c r="E13" s="12">
        <f t="shared" si="1"/>
        <v>22899.099063101457</v>
      </c>
      <c r="F13" s="5">
        <f t="shared" si="2"/>
        <v>524368737.90173405</v>
      </c>
      <c r="G13" s="12">
        <v>212046</v>
      </c>
      <c r="H13" s="82" t="s">
        <v>23</v>
      </c>
      <c r="I13" s="82"/>
    </row>
    <row r="14" spans="1:9" ht="15.75" thickBot="1">
      <c r="A14" s="9">
        <v>1999</v>
      </c>
      <c r="B14" s="4">
        <v>8.3000000000000007</v>
      </c>
      <c r="C14" s="12">
        <f>Data!B18/((1+0.04)^-10)</f>
        <v>318671.43039007601</v>
      </c>
      <c r="D14" s="12">
        <f t="shared" si="0"/>
        <v>358254.96686555259</v>
      </c>
      <c r="E14" s="12">
        <f t="shared" si="1"/>
        <v>39583.536475476576</v>
      </c>
      <c r="F14" s="5">
        <f t="shared" si="2"/>
        <v>1566856359.9053845</v>
      </c>
      <c r="G14" s="12">
        <v>215283</v>
      </c>
      <c r="H14" s="15" t="s">
        <v>24</v>
      </c>
      <c r="I14" s="19">
        <f>SUMSQ(E5:E23) / COUNT(E5:E23)</f>
        <v>1707163895.7670145</v>
      </c>
    </row>
    <row r="15" spans="1:9" ht="15.75" thickBot="1">
      <c r="A15" s="9">
        <v>2000</v>
      </c>
      <c r="B15" s="4">
        <v>7.1</v>
      </c>
      <c r="C15" s="12">
        <f>Data!B19/((1+0.04)^-9)</f>
        <v>308843.00686552568</v>
      </c>
      <c r="D15" s="12">
        <f t="shared" si="0"/>
        <v>379664.87001050625</v>
      </c>
      <c r="E15" s="12">
        <f t="shared" si="1"/>
        <v>70821.863144980569</v>
      </c>
      <c r="F15" s="5">
        <f t="shared" si="2"/>
        <v>5015736299.3263569</v>
      </c>
      <c r="G15" s="12">
        <v>216989</v>
      </c>
    </row>
    <row r="16" spans="1:9" ht="15.75" thickBot="1">
      <c r="A16" s="9">
        <v>2001</v>
      </c>
      <c r="B16" s="4">
        <v>7.7</v>
      </c>
      <c r="C16" s="12">
        <f>Data!B20/((1+0.04)^-8)</f>
        <v>302388.06882514613</v>
      </c>
      <c r="D16" s="12">
        <f t="shared" si="0"/>
        <v>368959.91843802942</v>
      </c>
      <c r="E16" s="12">
        <f t="shared" si="1"/>
        <v>66571.849612883292</v>
      </c>
      <c r="F16" s="5">
        <f t="shared" si="2"/>
        <v>4431811160.8803492</v>
      </c>
      <c r="G16" s="12">
        <v>220952</v>
      </c>
      <c r="H16" s="82" t="s">
        <v>25</v>
      </c>
      <c r="I16" s="82"/>
    </row>
    <row r="17" spans="1:9" ht="15.75" thickBot="1">
      <c r="A17" s="9">
        <v>2002</v>
      </c>
      <c r="B17" s="4">
        <v>8.5</v>
      </c>
      <c r="C17" s="12">
        <f>Data!B21/((1+0.04)^-7)</f>
        <v>314189.23974679073</v>
      </c>
      <c r="D17" s="12">
        <f t="shared" si="0"/>
        <v>354686.649674727</v>
      </c>
      <c r="E17" s="12">
        <f t="shared" si="1"/>
        <v>40497.409927936271</v>
      </c>
      <c r="F17" s="5">
        <f t="shared" si="2"/>
        <v>1640040210.8713112</v>
      </c>
      <c r="G17" s="12">
        <v>238758</v>
      </c>
      <c r="H17" s="15" t="s">
        <v>26</v>
      </c>
      <c r="I17" s="20">
        <v>8</v>
      </c>
    </row>
    <row r="18" spans="1:9" ht="15.75" thickBot="1">
      <c r="A18" s="9">
        <v>2003</v>
      </c>
      <c r="B18" s="4">
        <v>8</v>
      </c>
      <c r="C18" s="12">
        <f>Data!B22/((1+0.04)^-6)</f>
        <v>328774.16717090824</v>
      </c>
      <c r="D18" s="12">
        <f t="shared" si="0"/>
        <v>363607.44265179103</v>
      </c>
      <c r="E18" s="12">
        <f t="shared" si="1"/>
        <v>34833.275480882789</v>
      </c>
      <c r="F18" s="5">
        <f t="shared" si="2"/>
        <v>1213357080.7270701</v>
      </c>
      <c r="G18" s="12">
        <v>259835</v>
      </c>
      <c r="H18" s="15" t="s">
        <v>27</v>
      </c>
      <c r="I18" s="18">
        <f>a + (I17 * b)</f>
        <v>363607.44265179103</v>
      </c>
    </row>
    <row r="19" spans="1:9" ht="15.75" thickBot="1">
      <c r="A19" s="9">
        <v>2004</v>
      </c>
      <c r="B19" s="4">
        <v>7.2</v>
      </c>
      <c r="C19" s="12">
        <f>Data!B23/((1+0.04)^-5)</f>
        <v>351572.53924782091</v>
      </c>
      <c r="D19" s="12">
        <f t="shared" si="0"/>
        <v>377880.71141509339</v>
      </c>
      <c r="E19" s="12">
        <f t="shared" si="1"/>
        <v>26308.172167272482</v>
      </c>
      <c r="F19" s="5">
        <f t="shared" si="2"/>
        <v>692119922.7828505</v>
      </c>
      <c r="G19" s="12">
        <v>288967</v>
      </c>
    </row>
    <row r="20" spans="1:9" ht="15.75" thickBot="1">
      <c r="A20" s="9">
        <v>2005</v>
      </c>
      <c r="B20" s="4">
        <v>5.9</v>
      </c>
      <c r="C20" s="12">
        <f>Data!B24/((1+0.04)^-4)</f>
        <v>388553.31254272006</v>
      </c>
      <c r="D20" s="12">
        <f t="shared" si="0"/>
        <v>401074.77315545984</v>
      </c>
      <c r="E20" s="12">
        <f t="shared" si="1"/>
        <v>12521.460612739786</v>
      </c>
      <c r="F20" s="5">
        <f t="shared" si="2"/>
        <v>156786975.8763938</v>
      </c>
      <c r="G20" s="12">
        <v>332137</v>
      </c>
    </row>
    <row r="21" spans="1:9" ht="15.75" thickBot="1">
      <c r="A21" s="9">
        <v>2006</v>
      </c>
      <c r="B21" s="4">
        <v>4.8</v>
      </c>
      <c r="C21" s="12">
        <f>Data!B25/((1+0.04)^-3)</f>
        <v>439780.20403200004</v>
      </c>
      <c r="D21" s="12">
        <f t="shared" si="0"/>
        <v>420700.5177050007</v>
      </c>
      <c r="E21" s="12">
        <f t="shared" si="1"/>
        <v>19079.686326999334</v>
      </c>
      <c r="F21" s="5">
        <f t="shared" si="2"/>
        <v>364034430.3366853</v>
      </c>
      <c r="G21" s="12">
        <v>390963</v>
      </c>
    </row>
    <row r="22" spans="1:9" ht="15.75" thickBot="1">
      <c r="A22" s="9">
        <v>2007</v>
      </c>
      <c r="B22" s="4">
        <v>4.2</v>
      </c>
      <c r="C22" s="12">
        <f>Data!B26/((1+0.04)^-2)</f>
        <v>474951.11040000006</v>
      </c>
      <c r="D22" s="12">
        <f t="shared" si="0"/>
        <v>431405.46927747747</v>
      </c>
      <c r="E22" s="12">
        <f t="shared" si="1"/>
        <v>43545.641122522589</v>
      </c>
      <c r="F22" s="5">
        <f t="shared" si="2"/>
        <v>1896222860.7715304</v>
      </c>
      <c r="G22" s="12">
        <v>439119</v>
      </c>
    </row>
    <row r="23" spans="1:9" ht="15.75" thickBot="1">
      <c r="A23" s="9">
        <v>2008</v>
      </c>
      <c r="B23" s="4">
        <v>4.5999999999999996</v>
      </c>
      <c r="C23" s="12">
        <f>Data!B27/((1+0.04)^-1)</f>
        <v>472782.96</v>
      </c>
      <c r="D23" s="12">
        <f t="shared" si="0"/>
        <v>424268.83489582629</v>
      </c>
      <c r="E23" s="12">
        <f t="shared" si="1"/>
        <v>48514.125104173727</v>
      </c>
      <c r="F23" s="5">
        <f t="shared" si="2"/>
        <v>2353620334.6234193</v>
      </c>
      <c r="G23" s="12">
        <v>454599</v>
      </c>
    </row>
    <row r="24" spans="1:9" ht="15.75" thickBot="1">
      <c r="A24" s="14">
        <v>2009</v>
      </c>
      <c r="B24" s="36">
        <v>5.3</v>
      </c>
      <c r="C24" s="12"/>
      <c r="D24" s="33">
        <f>a+(b*B24)</f>
        <v>411779.72472793667</v>
      </c>
      <c r="E24" s="4"/>
      <c r="F24" s="4"/>
      <c r="G24" s="33"/>
    </row>
    <row r="26" spans="1:9">
      <c r="B26" t="s">
        <v>46</v>
      </c>
    </row>
  </sheetData>
  <mergeCells count="3">
    <mergeCell ref="H10:I10"/>
    <mergeCell ref="H13:I13"/>
    <mergeCell ref="H16:I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I23"/>
  <sheetViews>
    <sheetView zoomScale="75" zoomScaleNormal="75" workbookViewId="0">
      <selection activeCell="G23" sqref="G23"/>
    </sheetView>
  </sheetViews>
  <sheetFormatPr defaultRowHeight="15"/>
  <cols>
    <col min="1" max="1" width="15.7109375" bestFit="1" customWidth="1"/>
    <col min="2" max="2" width="23.7109375" bestFit="1" customWidth="1"/>
    <col min="3" max="3" width="12.5703125" bestFit="1" customWidth="1"/>
    <col min="4" max="4" width="13.5703125" bestFit="1" customWidth="1"/>
    <col min="5" max="5" width="19.42578125" bestFit="1" customWidth="1"/>
    <col min="6" max="6" width="13.5703125" bestFit="1" customWidth="1"/>
    <col min="9" max="9" width="13.5703125" bestFit="1" customWidth="1"/>
  </cols>
  <sheetData>
    <row r="2" spans="1:9" ht="15.75" thickBot="1">
      <c r="A2" s="66"/>
      <c r="C2" s="8"/>
      <c r="D2" s="8"/>
      <c r="E2" s="8"/>
      <c r="F2" s="8"/>
      <c r="I2" s="8"/>
    </row>
    <row r="3" spans="1:9" ht="30.75" thickBot="1">
      <c r="A3" s="9" t="s">
        <v>3</v>
      </c>
      <c r="B3" s="9" t="s">
        <v>5</v>
      </c>
      <c r="C3" s="69" t="s">
        <v>55</v>
      </c>
      <c r="D3" s="69" t="s">
        <v>56</v>
      </c>
      <c r="E3" s="69" t="s">
        <v>57</v>
      </c>
      <c r="F3" s="69" t="s">
        <v>58</v>
      </c>
      <c r="G3" s="67"/>
      <c r="H3" s="67"/>
      <c r="I3" s="67"/>
    </row>
    <row r="4" spans="1:9" ht="15.75" thickBot="1">
      <c r="A4" s="9">
        <v>1990</v>
      </c>
      <c r="B4" s="4">
        <v>8.4</v>
      </c>
      <c r="C4" s="4">
        <v>0</v>
      </c>
      <c r="D4" s="4">
        <v>1</v>
      </c>
      <c r="E4" s="4">
        <v>8.4</v>
      </c>
      <c r="F4" s="70">
        <f t="shared" ref="F4:F22" si="0">ABS(ActualValue - ForecastValue)</f>
        <v>0</v>
      </c>
      <c r="H4" s="83" t="s">
        <v>21</v>
      </c>
      <c r="I4" s="83"/>
    </row>
    <row r="5" spans="1:9" ht="15.75" thickBot="1">
      <c r="A5" s="9">
        <v>1991</v>
      </c>
      <c r="B5" s="4">
        <v>9.9</v>
      </c>
      <c r="C5" s="4">
        <f>B5-B4</f>
        <v>1.5</v>
      </c>
      <c r="D5" s="70">
        <f t="shared" ref="D5:D22" si="1">(Beta * C5) + ((1 - Beta) * D4)</f>
        <v>1.25</v>
      </c>
      <c r="E5" s="70">
        <f t="shared" ref="E5:E23" si="2">((Alpha * B4) + ((1 - Alpha) * E4)) + D4</f>
        <v>9.4</v>
      </c>
      <c r="F5" s="70">
        <f t="shared" si="0"/>
        <v>0.5</v>
      </c>
      <c r="H5" s="15" t="s">
        <v>22</v>
      </c>
      <c r="I5" s="18">
        <f>AVERAGE(ForecastingError)</f>
        <v>0.78971447414822038</v>
      </c>
    </row>
    <row r="6" spans="1:9" ht="15.75" thickBot="1">
      <c r="A6" s="9">
        <v>1992</v>
      </c>
      <c r="B6" s="4">
        <v>10.1</v>
      </c>
      <c r="C6" s="4">
        <f t="shared" ref="C6:C22" si="3">B6-B5</f>
        <v>0.19999999999999929</v>
      </c>
      <c r="D6" s="70">
        <f t="shared" si="1"/>
        <v>0.72499999999999964</v>
      </c>
      <c r="E6" s="70">
        <f t="shared" si="2"/>
        <v>10.9</v>
      </c>
      <c r="F6" s="70">
        <f t="shared" si="0"/>
        <v>0.80000000000000071</v>
      </c>
      <c r="I6" s="8"/>
    </row>
    <row r="7" spans="1:9" ht="15.75" thickBot="1">
      <c r="A7" s="9">
        <v>1993</v>
      </c>
      <c r="B7" s="4">
        <v>9.6999999999999993</v>
      </c>
      <c r="C7" s="4">
        <f t="shared" si="3"/>
        <v>-0.40000000000000036</v>
      </c>
      <c r="D7" s="70">
        <f t="shared" si="1"/>
        <v>0.16249999999999964</v>
      </c>
      <c r="E7" s="70">
        <f t="shared" si="2"/>
        <v>11.225</v>
      </c>
      <c r="F7" s="70">
        <f t="shared" si="0"/>
        <v>1.5250000000000004</v>
      </c>
      <c r="H7" s="83" t="s">
        <v>23</v>
      </c>
      <c r="I7" s="83"/>
    </row>
    <row r="8" spans="1:9" ht="15.75" thickBot="1">
      <c r="A8" s="9">
        <v>1994</v>
      </c>
      <c r="B8" s="4">
        <v>9.1</v>
      </c>
      <c r="C8" s="4">
        <f t="shared" si="3"/>
        <v>-0.59999999999999964</v>
      </c>
      <c r="D8" s="70">
        <f t="shared" si="1"/>
        <v>-0.21875</v>
      </c>
      <c r="E8" s="70">
        <f t="shared" si="2"/>
        <v>10.624999999999998</v>
      </c>
      <c r="F8" s="70">
        <f t="shared" si="0"/>
        <v>1.5249999999999986</v>
      </c>
      <c r="H8" s="15" t="s">
        <v>24</v>
      </c>
      <c r="I8" s="19">
        <f>SUMSQ(ForecastingError) / COUNT(ForecastingError)</f>
        <v>0.84891349960648865</v>
      </c>
    </row>
    <row r="9" spans="1:9" ht="15.75" thickBot="1">
      <c r="A9" s="9">
        <v>1995</v>
      </c>
      <c r="B9" s="4">
        <v>8.5</v>
      </c>
      <c r="C9" s="4">
        <f t="shared" si="3"/>
        <v>-0.59999999999999964</v>
      </c>
      <c r="D9" s="70">
        <f t="shared" si="1"/>
        <v>-0.40937499999999982</v>
      </c>
      <c r="E9" s="70">
        <f t="shared" si="2"/>
        <v>9.6437499999999989</v>
      </c>
      <c r="F9" s="70">
        <f t="shared" si="0"/>
        <v>1.1437499999999989</v>
      </c>
      <c r="I9" s="8"/>
    </row>
    <row r="10" spans="1:9" ht="15.75" thickBot="1">
      <c r="A10" s="9">
        <v>1996</v>
      </c>
      <c r="B10" s="4">
        <v>8.6999999999999993</v>
      </c>
      <c r="C10" s="4">
        <f t="shared" si="3"/>
        <v>0.19999999999999929</v>
      </c>
      <c r="D10" s="70">
        <f t="shared" si="1"/>
        <v>-0.10468750000000027</v>
      </c>
      <c r="E10" s="70">
        <f t="shared" si="2"/>
        <v>8.6624999999999979</v>
      </c>
      <c r="F10" s="70">
        <f t="shared" si="0"/>
        <v>3.7500000000001421E-2</v>
      </c>
      <c r="H10" s="83" t="s">
        <v>59</v>
      </c>
      <c r="I10" s="83"/>
    </row>
    <row r="11" spans="1:9" ht="15.75" thickBot="1">
      <c r="A11" s="9">
        <v>1997</v>
      </c>
      <c r="B11" s="4">
        <v>8.4</v>
      </c>
      <c r="C11" s="4">
        <f t="shared" si="3"/>
        <v>-0.29999999999999893</v>
      </c>
      <c r="D11" s="70">
        <f t="shared" si="1"/>
        <v>-0.2023437499999996</v>
      </c>
      <c r="E11" s="70">
        <f t="shared" si="2"/>
        <v>8.5765624999999979</v>
      </c>
      <c r="F11" s="70">
        <f t="shared" si="0"/>
        <v>0.17656249999999751</v>
      </c>
      <c r="H11" s="68" t="s">
        <v>60</v>
      </c>
      <c r="I11" s="8">
        <v>0.5</v>
      </c>
    </row>
    <row r="12" spans="1:9" ht="15.75" thickBot="1">
      <c r="A12" s="9">
        <v>1998</v>
      </c>
      <c r="B12" s="4">
        <v>8.8000000000000007</v>
      </c>
      <c r="C12" s="4">
        <f t="shared" si="3"/>
        <v>0.40000000000000036</v>
      </c>
      <c r="D12" s="70">
        <f t="shared" si="1"/>
        <v>9.8828125000000377E-2</v>
      </c>
      <c r="E12" s="70">
        <f t="shared" si="2"/>
        <v>8.2859375000000011</v>
      </c>
      <c r="F12" s="70">
        <f t="shared" si="0"/>
        <v>0.51406249999999964</v>
      </c>
      <c r="I12" s="8"/>
    </row>
    <row r="13" spans="1:9" ht="15.75" thickBot="1">
      <c r="A13" s="9">
        <v>1999</v>
      </c>
      <c r="B13" s="4">
        <v>8.3000000000000007</v>
      </c>
      <c r="C13" s="4">
        <f t="shared" si="3"/>
        <v>-0.5</v>
      </c>
      <c r="D13" s="70">
        <f t="shared" si="1"/>
        <v>-0.20058593749999981</v>
      </c>
      <c r="E13" s="70">
        <f t="shared" si="2"/>
        <v>8.6417968750000007</v>
      </c>
      <c r="F13" s="70">
        <f t="shared" si="0"/>
        <v>0.341796875</v>
      </c>
      <c r="H13" s="83" t="s">
        <v>61</v>
      </c>
      <c r="I13" s="83"/>
    </row>
    <row r="14" spans="1:9" ht="15.75" thickBot="1">
      <c r="A14" s="9">
        <v>2000</v>
      </c>
      <c r="B14" s="4">
        <v>7.1</v>
      </c>
      <c r="C14" s="4">
        <f t="shared" si="3"/>
        <v>-1.2000000000000011</v>
      </c>
      <c r="D14" s="70">
        <f t="shared" si="1"/>
        <v>-0.70029296875000047</v>
      </c>
      <c r="E14" s="70">
        <f t="shared" si="2"/>
        <v>8.2703125000000011</v>
      </c>
      <c r="F14" s="70">
        <f t="shared" si="0"/>
        <v>1.1703125000000014</v>
      </c>
      <c r="H14" s="68" t="s">
        <v>62</v>
      </c>
      <c r="I14" s="8">
        <v>0.5</v>
      </c>
    </row>
    <row r="15" spans="1:9" ht="15.75" thickBot="1">
      <c r="A15" s="9">
        <v>2001</v>
      </c>
      <c r="B15" s="4">
        <v>7.7</v>
      </c>
      <c r="C15" s="4">
        <f t="shared" si="3"/>
        <v>0.60000000000000053</v>
      </c>
      <c r="D15" s="70">
        <f t="shared" si="1"/>
        <v>-5.0146484374999967E-2</v>
      </c>
      <c r="E15" s="70">
        <f t="shared" si="2"/>
        <v>6.98486328125</v>
      </c>
      <c r="F15" s="70">
        <f t="shared" si="0"/>
        <v>0.71513671875000018</v>
      </c>
    </row>
    <row r="16" spans="1:9" ht="15.75" thickBot="1">
      <c r="A16" s="9">
        <v>2002</v>
      </c>
      <c r="B16" s="4">
        <v>8.5</v>
      </c>
      <c r="C16" s="4">
        <f t="shared" si="3"/>
        <v>0.79999999999999982</v>
      </c>
      <c r="D16" s="70">
        <f t="shared" si="1"/>
        <v>0.37492675781249996</v>
      </c>
      <c r="E16" s="70">
        <f t="shared" si="2"/>
        <v>7.2922851562499993</v>
      </c>
      <c r="F16" s="70">
        <f t="shared" si="0"/>
        <v>1.2077148437500007</v>
      </c>
    </row>
    <row r="17" spans="1:6" ht="15.75" thickBot="1">
      <c r="A17" s="9">
        <v>2003</v>
      </c>
      <c r="B17" s="4">
        <v>8</v>
      </c>
      <c r="C17" s="4">
        <f t="shared" si="3"/>
        <v>-0.5</v>
      </c>
      <c r="D17" s="70">
        <f t="shared" si="1"/>
        <v>-6.2536621093750022E-2</v>
      </c>
      <c r="E17" s="70">
        <f t="shared" si="2"/>
        <v>8.2710693359374989</v>
      </c>
      <c r="F17" s="70">
        <f t="shared" si="0"/>
        <v>0.27106933593749893</v>
      </c>
    </row>
    <row r="18" spans="1:6" ht="15.75" thickBot="1">
      <c r="A18" s="9">
        <v>2004</v>
      </c>
      <c r="B18" s="4">
        <v>7.2</v>
      </c>
      <c r="C18" s="4">
        <f t="shared" si="3"/>
        <v>-0.79999999999999982</v>
      </c>
      <c r="D18" s="70">
        <f t="shared" si="1"/>
        <v>-0.43126831054687492</v>
      </c>
      <c r="E18" s="70">
        <f t="shared" si="2"/>
        <v>8.0729980468749982</v>
      </c>
      <c r="F18" s="70">
        <f t="shared" si="0"/>
        <v>0.87299804687499805</v>
      </c>
    </row>
    <row r="19" spans="1:6" ht="15.75" thickBot="1">
      <c r="A19" s="9">
        <v>2005</v>
      </c>
      <c r="B19" s="4">
        <v>5.9</v>
      </c>
      <c r="C19" s="4">
        <f t="shared" si="3"/>
        <v>-1.2999999999999998</v>
      </c>
      <c r="D19" s="70">
        <f t="shared" si="1"/>
        <v>-0.86563415527343734</v>
      </c>
      <c r="E19" s="70">
        <f t="shared" si="2"/>
        <v>7.205230712890625</v>
      </c>
      <c r="F19" s="70">
        <f t="shared" si="0"/>
        <v>1.3052307128906246</v>
      </c>
    </row>
    <row r="20" spans="1:6" ht="15.75" thickBot="1">
      <c r="A20" s="9">
        <v>2006</v>
      </c>
      <c r="B20" s="4">
        <v>4.8</v>
      </c>
      <c r="C20" s="4">
        <f t="shared" si="3"/>
        <v>-1.1000000000000005</v>
      </c>
      <c r="D20" s="70">
        <f t="shared" si="1"/>
        <v>-0.98281707763671888</v>
      </c>
      <c r="E20" s="70">
        <f t="shared" si="2"/>
        <v>5.686981201171875</v>
      </c>
      <c r="F20" s="70">
        <f t="shared" si="0"/>
        <v>0.88698120117187518</v>
      </c>
    </row>
    <row r="21" spans="1:6" ht="15.75" thickBot="1">
      <c r="A21" s="9">
        <v>2007</v>
      </c>
      <c r="B21" s="4">
        <v>4.2</v>
      </c>
      <c r="C21" s="4">
        <f t="shared" si="3"/>
        <v>-0.59999999999999964</v>
      </c>
      <c r="D21" s="70">
        <f t="shared" si="1"/>
        <v>-0.79140853881835926</v>
      </c>
      <c r="E21" s="70">
        <f t="shared" si="2"/>
        <v>4.2606735229492188</v>
      </c>
      <c r="F21" s="70">
        <f t="shared" si="0"/>
        <v>6.0673522949218572E-2</v>
      </c>
    </row>
    <row r="22" spans="1:6" ht="15.75" thickBot="1">
      <c r="A22" s="9">
        <v>2008</v>
      </c>
      <c r="B22" s="4">
        <v>4.5999999999999996</v>
      </c>
      <c r="C22" s="4">
        <f t="shared" si="3"/>
        <v>0.39999999999999947</v>
      </c>
      <c r="D22" s="70">
        <f t="shared" si="1"/>
        <v>-0.1957042694091799</v>
      </c>
      <c r="E22" s="70">
        <f t="shared" si="2"/>
        <v>3.4389282226562496</v>
      </c>
      <c r="F22" s="70">
        <f t="shared" si="0"/>
        <v>1.16107177734375</v>
      </c>
    </row>
    <row r="23" spans="1:6" ht="15.75" thickBot="1">
      <c r="A23" s="14">
        <v>2009</v>
      </c>
      <c r="B23" s="36"/>
      <c r="C23" s="3"/>
      <c r="D23" s="3"/>
      <c r="E23" s="71">
        <f t="shared" si="2"/>
        <v>3.8237598419189447</v>
      </c>
      <c r="F23" s="3"/>
    </row>
  </sheetData>
  <mergeCells count="4">
    <mergeCell ref="H4:I4"/>
    <mergeCell ref="H7:I7"/>
    <mergeCell ref="H10:I10"/>
    <mergeCell ref="H13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72</vt:i4>
      </vt:variant>
    </vt:vector>
  </HeadingPairs>
  <TitlesOfParts>
    <vt:vector size="92" baseType="lpstr">
      <vt:lpstr>Data</vt:lpstr>
      <vt:lpstr>HousingSales</vt:lpstr>
      <vt:lpstr>HousingSales Forecast</vt:lpstr>
      <vt:lpstr>HousingStarts</vt:lpstr>
      <vt:lpstr>HousingStarts Forecast</vt:lpstr>
      <vt:lpstr>Population</vt:lpstr>
      <vt:lpstr>PopulationForecast</vt:lpstr>
      <vt:lpstr>Unemployment</vt:lpstr>
      <vt:lpstr>Unemployment Forecast</vt:lpstr>
      <vt:lpstr>Average Family Income</vt:lpstr>
      <vt:lpstr>Average Family Income Forecast</vt:lpstr>
      <vt:lpstr>Average Unattached Individuals</vt:lpstr>
      <vt:lpstr>Average Unattached Forecast</vt:lpstr>
      <vt:lpstr>BC GDP</vt:lpstr>
      <vt:lpstr>BC GDP Forecast</vt:lpstr>
      <vt:lpstr>Mortgage Interest Rates</vt:lpstr>
      <vt:lpstr>Mortgage Int Rate Forsecast</vt:lpstr>
      <vt:lpstr>Housing Simulation</vt:lpstr>
      <vt:lpstr>Weights</vt:lpstr>
      <vt:lpstr>Projections</vt:lpstr>
      <vt:lpstr>'Average Family Income'!a</vt:lpstr>
      <vt:lpstr>'Average Unattached Individuals'!a</vt:lpstr>
      <vt:lpstr>'BC GDP'!a</vt:lpstr>
      <vt:lpstr>HousingSales!a</vt:lpstr>
      <vt:lpstr>HousingStarts!a</vt:lpstr>
      <vt:lpstr>'Mortgage Interest Rates'!a</vt:lpstr>
      <vt:lpstr>Population!a</vt:lpstr>
      <vt:lpstr>Unemployment!a</vt:lpstr>
      <vt:lpstr>'Average Family Income Forecast'!ActualValue</vt:lpstr>
      <vt:lpstr>'Average Unattached Forecast'!ActualValue</vt:lpstr>
      <vt:lpstr>'BC GDP Forecast'!ActualValue</vt:lpstr>
      <vt:lpstr>'HousingSales Forecast'!ActualValue</vt:lpstr>
      <vt:lpstr>'HousingStarts Forecast'!ActualValue</vt:lpstr>
      <vt:lpstr>'Mortgage Int Rate Forsecast'!ActualValue</vt:lpstr>
      <vt:lpstr>PopulationForecast!ActualValue</vt:lpstr>
      <vt:lpstr>'Unemployment Forecast'!ActualValue</vt:lpstr>
      <vt:lpstr>'Average Family Income Forecast'!Alpha</vt:lpstr>
      <vt:lpstr>'Average Unattached Forecast'!Alpha</vt:lpstr>
      <vt:lpstr>'BC GDP Forecast'!Alpha</vt:lpstr>
      <vt:lpstr>'HousingSales Forecast'!Alpha</vt:lpstr>
      <vt:lpstr>'HousingStarts Forecast'!Alpha</vt:lpstr>
      <vt:lpstr>'Mortgage Int Rate Forsecast'!Alpha</vt:lpstr>
      <vt:lpstr>PopulationForecast!Alpha</vt:lpstr>
      <vt:lpstr>'Unemployment Forecast'!Alpha</vt:lpstr>
      <vt:lpstr>'Average Family Income'!b</vt:lpstr>
      <vt:lpstr>'Average Unattached Individuals'!b</vt:lpstr>
      <vt:lpstr>'BC GDP'!b</vt:lpstr>
      <vt:lpstr>HousingSales!b</vt:lpstr>
      <vt:lpstr>HousingStarts!b</vt:lpstr>
      <vt:lpstr>'Mortgage Interest Rates'!b</vt:lpstr>
      <vt:lpstr>Population!b</vt:lpstr>
      <vt:lpstr>Unemployment!b</vt:lpstr>
      <vt:lpstr>'Average Family Income Forecast'!Beta</vt:lpstr>
      <vt:lpstr>'Average Unattached Forecast'!Beta</vt:lpstr>
      <vt:lpstr>'BC GDP Forecast'!Beta</vt:lpstr>
      <vt:lpstr>'HousingSales Forecast'!Beta</vt:lpstr>
      <vt:lpstr>'HousingStarts Forecast'!Beta</vt:lpstr>
      <vt:lpstr>'Mortgage Int Rate Forsecast'!Beta</vt:lpstr>
      <vt:lpstr>PopulationForecast!Beta</vt:lpstr>
      <vt:lpstr>'Unemployment Forecast'!Beta</vt:lpstr>
      <vt:lpstr>'Average Family Income'!DependentVariable</vt:lpstr>
      <vt:lpstr>'Average Unattached Individuals'!DependentVariable</vt:lpstr>
      <vt:lpstr>'BC GDP'!DependentVariable</vt:lpstr>
      <vt:lpstr>HousingSales!DependentVariable</vt:lpstr>
      <vt:lpstr>HousingStarts!DependentVariable</vt:lpstr>
      <vt:lpstr>'Mortgage Interest Rates'!DependentVariable</vt:lpstr>
      <vt:lpstr>Population!DependentVariable</vt:lpstr>
      <vt:lpstr>Unemployment!DependentVariable</vt:lpstr>
      <vt:lpstr>'Average Family Income Forecast'!ForecastingError</vt:lpstr>
      <vt:lpstr>'Average Unattached Forecast'!ForecastingError</vt:lpstr>
      <vt:lpstr>'BC GDP Forecast'!ForecastingError</vt:lpstr>
      <vt:lpstr>'HousingSales Forecast'!ForecastingError</vt:lpstr>
      <vt:lpstr>'HousingStarts Forecast'!ForecastingError</vt:lpstr>
      <vt:lpstr>'Mortgage Int Rate Forsecast'!ForecastingError</vt:lpstr>
      <vt:lpstr>PopulationForecast!ForecastingError</vt:lpstr>
      <vt:lpstr>'Unemployment Forecast'!ForecastingError</vt:lpstr>
      <vt:lpstr>'Average Family Income Forecast'!ForecastValue</vt:lpstr>
      <vt:lpstr>'Average Unattached Forecast'!ForecastValue</vt:lpstr>
      <vt:lpstr>'BC GDP Forecast'!ForecastValue</vt:lpstr>
      <vt:lpstr>'HousingSales Forecast'!ForecastValue</vt:lpstr>
      <vt:lpstr>'HousingStarts Forecast'!ForecastValue</vt:lpstr>
      <vt:lpstr>'Mortgage Int Rate Forsecast'!ForecastValue</vt:lpstr>
      <vt:lpstr>PopulationForecast!ForecastValue</vt:lpstr>
      <vt:lpstr>'Unemployment Forecast'!ForecastValue</vt:lpstr>
      <vt:lpstr>'Average Family Income'!IndependentVariable</vt:lpstr>
      <vt:lpstr>'Average Unattached Individuals'!IndependentVariable</vt:lpstr>
      <vt:lpstr>'BC GDP'!IndependentVariable</vt:lpstr>
      <vt:lpstr>HousingSales!IndependentVariable</vt:lpstr>
      <vt:lpstr>HousingStarts!IndependentVariable</vt:lpstr>
      <vt:lpstr>'Mortgage Interest Rates'!IndependentVariable</vt:lpstr>
      <vt:lpstr>Population!IndependentVariable</vt:lpstr>
      <vt:lpstr>Unemployment!IndependentVariable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2009-03-07T04:13:20Z</dcterms:created>
  <dcterms:modified xsi:type="dcterms:W3CDTF">2009-04-02T00:28:18Z</dcterms:modified>
</cp:coreProperties>
</file>